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6FA11DDB-2A74-45AD-B6C2-67F4C7579867}" xr6:coauthVersionLast="47" xr6:coauthVersionMax="47" xr10:uidLastSave="{00000000-0000-0000-0000-000000000000}"/>
  <bookViews>
    <workbookView xWindow="-28920" yWindow="-120" windowWidth="29040" windowHeight="15840" xr2:uid="{321866D4-23DE-45E5-9696-B9D8F3C46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459" i="1" l="1"/>
  <c r="AS1459" i="1"/>
  <c r="AT1458" i="1"/>
  <c r="AS1458" i="1"/>
  <c r="AR1458" i="1"/>
  <c r="AT1457" i="1"/>
  <c r="AS1457" i="1"/>
  <c r="AT1456" i="1"/>
  <c r="AS1456" i="1"/>
  <c r="AR1456" i="1"/>
  <c r="AT1455" i="1"/>
  <c r="AS1455" i="1"/>
  <c r="AR1455" i="1"/>
  <c r="AT1454" i="1"/>
  <c r="AS1454" i="1"/>
  <c r="AR1454" i="1"/>
  <c r="AT1453" i="1"/>
  <c r="AS1453" i="1"/>
  <c r="AR1453" i="1"/>
  <c r="AT1452" i="1"/>
  <c r="AS1452" i="1"/>
  <c r="AR1452" i="1"/>
  <c r="AT1451" i="1"/>
  <c r="AS1451" i="1"/>
  <c r="AR1451" i="1"/>
  <c r="AT1450" i="1"/>
  <c r="AS1450" i="1"/>
  <c r="AR1450" i="1"/>
  <c r="AT1449" i="1"/>
  <c r="AS1449" i="1"/>
  <c r="AR1449" i="1"/>
  <c r="AT1448" i="1"/>
  <c r="AS1448" i="1"/>
  <c r="AR1448" i="1"/>
  <c r="AT1447" i="1"/>
  <c r="AS1447" i="1"/>
  <c r="AR1447" i="1"/>
  <c r="AT1446" i="1"/>
  <c r="AS1446" i="1"/>
  <c r="AR1446" i="1"/>
  <c r="AT1445" i="1"/>
  <c r="AS1445" i="1"/>
  <c r="AR1445" i="1"/>
  <c r="AT1444" i="1"/>
  <c r="AS1444" i="1"/>
  <c r="AR1444" i="1"/>
  <c r="AT1443" i="1"/>
  <c r="AS1443" i="1"/>
  <c r="AT1442" i="1"/>
  <c r="AS1442" i="1"/>
  <c r="AR1442" i="1"/>
  <c r="AT1441" i="1"/>
  <c r="AS1441" i="1"/>
  <c r="AR1441" i="1"/>
  <c r="AT1440" i="1"/>
  <c r="AS1440" i="1"/>
  <c r="AT1439" i="1"/>
  <c r="AS1439" i="1"/>
  <c r="AR1439" i="1"/>
  <c r="AT1438" i="1"/>
  <c r="AS1438" i="1"/>
  <c r="AR1438" i="1"/>
  <c r="AT1437" i="1"/>
  <c r="AS1437" i="1"/>
  <c r="AR1437" i="1"/>
  <c r="AT1436" i="1"/>
  <c r="AS1436" i="1"/>
  <c r="AR1436" i="1"/>
  <c r="AT1435" i="1"/>
  <c r="AS1435" i="1"/>
  <c r="AT1434" i="1"/>
  <c r="AS1434" i="1"/>
  <c r="AR1434" i="1"/>
  <c r="AT1433" i="1"/>
  <c r="AS1433" i="1"/>
  <c r="AR1433" i="1"/>
  <c r="AT1432" i="1"/>
  <c r="AS1432" i="1"/>
  <c r="AR1432" i="1"/>
  <c r="AT1431" i="1"/>
  <c r="AS1431" i="1"/>
  <c r="AR1431" i="1"/>
  <c r="AT1430" i="1"/>
  <c r="AS1430" i="1"/>
  <c r="AT1429" i="1"/>
  <c r="AS1429" i="1"/>
  <c r="AR1429" i="1"/>
  <c r="AT1428" i="1"/>
  <c r="AS1428" i="1"/>
  <c r="AR1428" i="1"/>
  <c r="AT1427" i="1"/>
  <c r="AS1427" i="1"/>
  <c r="AR1427" i="1"/>
  <c r="AT1426" i="1"/>
  <c r="AS1426" i="1"/>
  <c r="AT1425" i="1"/>
  <c r="AS1425" i="1"/>
  <c r="AR1425" i="1"/>
  <c r="AT1424" i="1"/>
  <c r="AS1424" i="1"/>
  <c r="AR1424" i="1"/>
  <c r="AT1423" i="1"/>
  <c r="AS1423" i="1"/>
  <c r="AR1423" i="1"/>
  <c r="AT1422" i="1"/>
  <c r="AS1422" i="1"/>
  <c r="AT1421" i="1"/>
  <c r="AS1421" i="1"/>
  <c r="AT1420" i="1"/>
  <c r="AS1420" i="1"/>
  <c r="AR1420" i="1"/>
  <c r="AT1419" i="1"/>
  <c r="AS1419" i="1"/>
  <c r="AR1419" i="1"/>
  <c r="AT1418" i="1"/>
  <c r="AS1418" i="1"/>
  <c r="AT1417" i="1"/>
  <c r="AS1417" i="1"/>
  <c r="AR1417" i="1"/>
  <c r="AT1416" i="1"/>
  <c r="AS1416" i="1"/>
  <c r="AT1415" i="1"/>
  <c r="AS1415" i="1"/>
  <c r="AT1414" i="1"/>
  <c r="AS1414" i="1"/>
  <c r="AT1413" i="1"/>
  <c r="AS1413" i="1"/>
  <c r="AT1412" i="1"/>
  <c r="AS1412" i="1"/>
  <c r="AT1411" i="1"/>
  <c r="AS1411" i="1"/>
  <c r="AR1411" i="1"/>
  <c r="AT1410" i="1"/>
  <c r="AS1410" i="1"/>
  <c r="AR1410" i="1"/>
  <c r="AT1409" i="1"/>
  <c r="AS1409" i="1"/>
  <c r="AR1409" i="1"/>
  <c r="AT1408" i="1"/>
  <c r="AS1408" i="1"/>
  <c r="AR1408" i="1"/>
  <c r="AT1407" i="1"/>
  <c r="AS1407" i="1"/>
  <c r="AT1406" i="1"/>
  <c r="AS1406" i="1"/>
  <c r="AR1406" i="1"/>
  <c r="AT1405" i="1"/>
  <c r="AS1405" i="1"/>
  <c r="AR1405" i="1"/>
  <c r="AT1404" i="1"/>
  <c r="AS1404" i="1"/>
  <c r="AR1404" i="1"/>
  <c r="AT1403" i="1"/>
  <c r="AS1403" i="1"/>
  <c r="AR1403" i="1"/>
  <c r="AT1402" i="1"/>
  <c r="AS1402" i="1"/>
  <c r="AR1402" i="1"/>
  <c r="AT1401" i="1"/>
  <c r="AS1401" i="1"/>
  <c r="AR1401" i="1"/>
  <c r="AT1400" i="1"/>
  <c r="AS1400" i="1"/>
  <c r="AR1400" i="1"/>
  <c r="AT1399" i="1"/>
  <c r="AS1399" i="1"/>
  <c r="AR1399" i="1"/>
  <c r="AT1398" i="1"/>
  <c r="AS1398" i="1"/>
  <c r="AR1398" i="1"/>
  <c r="AT1397" i="1"/>
  <c r="AS1397" i="1"/>
  <c r="AT1396" i="1"/>
  <c r="AS1396" i="1"/>
  <c r="AR1396" i="1"/>
  <c r="AT1395" i="1"/>
  <c r="AS1395" i="1"/>
  <c r="AR1395" i="1"/>
  <c r="AT1394" i="1"/>
  <c r="AS1394" i="1"/>
  <c r="AT1393" i="1"/>
  <c r="AS1393" i="1"/>
  <c r="AT1392" i="1"/>
  <c r="AS1392" i="1"/>
  <c r="AR1392" i="1"/>
  <c r="AT1391" i="1"/>
  <c r="AS1391" i="1"/>
  <c r="AT1390" i="1"/>
  <c r="AS1390" i="1"/>
  <c r="AT1389" i="1"/>
  <c r="AS1389" i="1"/>
  <c r="AR1389" i="1"/>
  <c r="AT1388" i="1"/>
  <c r="AS1388" i="1"/>
  <c r="AR1388" i="1"/>
  <c r="AT1387" i="1"/>
  <c r="AS1387" i="1"/>
  <c r="AR1387" i="1"/>
  <c r="AT1386" i="1"/>
  <c r="AS1386" i="1"/>
  <c r="AT1385" i="1"/>
  <c r="AS1385" i="1"/>
  <c r="AT1384" i="1"/>
  <c r="AS1384" i="1"/>
  <c r="AT1383" i="1"/>
  <c r="AS1383" i="1"/>
  <c r="AR1383" i="1"/>
  <c r="AT1382" i="1"/>
  <c r="AS1382" i="1"/>
  <c r="AR1382" i="1"/>
  <c r="AT1381" i="1"/>
  <c r="AS1381" i="1"/>
  <c r="AR1381" i="1"/>
  <c r="AT1380" i="1"/>
  <c r="AS1380" i="1"/>
  <c r="AR1380" i="1"/>
  <c r="AT1379" i="1"/>
  <c r="AS1379" i="1"/>
  <c r="AT1378" i="1"/>
  <c r="AS1378" i="1"/>
  <c r="AT1377" i="1"/>
  <c r="AS1377" i="1"/>
  <c r="AT1376" i="1"/>
  <c r="AS1376" i="1"/>
  <c r="AR1376" i="1"/>
  <c r="AT1375" i="1"/>
  <c r="AS1375" i="1"/>
  <c r="AR1375" i="1"/>
  <c r="AT1374" i="1"/>
  <c r="AS1374" i="1"/>
  <c r="AR1374" i="1"/>
  <c r="AT1373" i="1"/>
  <c r="AS1373" i="1"/>
  <c r="AR1373" i="1"/>
  <c r="AT1372" i="1"/>
  <c r="AS1372" i="1"/>
  <c r="AR1372" i="1"/>
  <c r="AT1371" i="1"/>
  <c r="AS1371" i="1"/>
  <c r="AR1371" i="1"/>
  <c r="AT1370" i="1"/>
  <c r="AS1370" i="1"/>
  <c r="AT1369" i="1"/>
  <c r="AS1369" i="1"/>
  <c r="AR1369" i="1"/>
  <c r="AT1368" i="1"/>
  <c r="AS1368" i="1"/>
  <c r="AR1368" i="1"/>
  <c r="AT1367" i="1"/>
  <c r="AS1367" i="1"/>
  <c r="AR1367" i="1"/>
  <c r="AT1366" i="1"/>
  <c r="AS1366" i="1"/>
  <c r="AT1365" i="1"/>
  <c r="AS1365" i="1"/>
  <c r="AT1364" i="1"/>
  <c r="AS1364" i="1"/>
  <c r="AR1364" i="1"/>
  <c r="AT1363" i="1"/>
  <c r="AS1363" i="1"/>
  <c r="AT1362" i="1"/>
  <c r="AS1362" i="1"/>
  <c r="AR1362" i="1"/>
  <c r="AT1361" i="1"/>
  <c r="AS1361" i="1"/>
  <c r="AR1361" i="1"/>
  <c r="AT1360" i="1"/>
  <c r="AS1360" i="1"/>
  <c r="AR1360" i="1"/>
  <c r="AT1359" i="1"/>
  <c r="AS1359" i="1"/>
  <c r="AT1358" i="1"/>
  <c r="AS1358" i="1"/>
  <c r="AR1358" i="1"/>
  <c r="AT1357" i="1"/>
  <c r="AS1357" i="1"/>
  <c r="AT1356" i="1"/>
  <c r="AS1356" i="1"/>
  <c r="AR1356" i="1"/>
  <c r="AT1355" i="1"/>
  <c r="AS1355" i="1"/>
  <c r="AT1354" i="1"/>
  <c r="AS1354" i="1"/>
  <c r="AT1353" i="1"/>
  <c r="AS1353" i="1"/>
  <c r="AR1353" i="1"/>
  <c r="AT1352" i="1"/>
  <c r="AS1352" i="1"/>
  <c r="AR1352" i="1"/>
  <c r="AT1351" i="1"/>
  <c r="AS1351" i="1"/>
  <c r="AR1351" i="1"/>
  <c r="AT1350" i="1"/>
  <c r="AS1350" i="1"/>
  <c r="AR1350" i="1"/>
  <c r="AT1349" i="1"/>
  <c r="AS1349" i="1"/>
  <c r="AR1349" i="1"/>
  <c r="AT1348" i="1"/>
  <c r="AS1348" i="1"/>
  <c r="AR1348" i="1"/>
  <c r="AT1347" i="1"/>
  <c r="AS1347" i="1"/>
  <c r="AR1347" i="1"/>
  <c r="AT1346" i="1"/>
  <c r="AS1346" i="1"/>
  <c r="AT1345" i="1"/>
  <c r="AS1345" i="1"/>
  <c r="AR1345" i="1"/>
  <c r="AT1344" i="1"/>
  <c r="AS1344" i="1"/>
  <c r="AT1343" i="1"/>
  <c r="AS1343" i="1"/>
  <c r="AR1343" i="1"/>
  <c r="AT1342" i="1"/>
  <c r="AS1342" i="1"/>
  <c r="AR1342" i="1"/>
  <c r="AT1341" i="1"/>
  <c r="AS1341" i="1"/>
  <c r="AT1340" i="1"/>
  <c r="AS1340" i="1"/>
  <c r="AR1340" i="1"/>
  <c r="AT1339" i="1"/>
  <c r="AS1339" i="1"/>
  <c r="AR1339" i="1"/>
  <c r="AT1338" i="1"/>
  <c r="AS1338" i="1"/>
  <c r="AT1337" i="1"/>
  <c r="AS1337" i="1"/>
  <c r="AR1337" i="1"/>
  <c r="AT1336" i="1"/>
  <c r="AS1336" i="1"/>
  <c r="AR1336" i="1"/>
  <c r="AT1335" i="1"/>
  <c r="AS1335" i="1"/>
  <c r="AR1335" i="1"/>
  <c r="AT1334" i="1"/>
  <c r="AS1334" i="1"/>
  <c r="AT1333" i="1"/>
  <c r="AS1333" i="1"/>
  <c r="AT1332" i="1"/>
  <c r="AS1332" i="1"/>
  <c r="AR1332" i="1"/>
  <c r="AT1331" i="1"/>
  <c r="AS1331" i="1"/>
  <c r="AR1331" i="1"/>
  <c r="AT1330" i="1"/>
  <c r="AS1330" i="1"/>
  <c r="AT1329" i="1"/>
  <c r="AS1329" i="1"/>
  <c r="AT1328" i="1"/>
  <c r="AS1328" i="1"/>
  <c r="AT1327" i="1"/>
  <c r="AS1327" i="1"/>
  <c r="AT1326" i="1"/>
  <c r="AS1326" i="1"/>
  <c r="AT1325" i="1"/>
  <c r="AS1325" i="1"/>
  <c r="AR1325" i="1"/>
  <c r="AT1324" i="1"/>
  <c r="AS1324" i="1"/>
  <c r="AR1324" i="1"/>
  <c r="AT1323" i="1"/>
  <c r="AS1323" i="1"/>
  <c r="AR1323" i="1"/>
  <c r="AT1322" i="1"/>
  <c r="AS1322" i="1"/>
  <c r="AR1322" i="1"/>
  <c r="AT1321" i="1"/>
  <c r="AS1321" i="1"/>
  <c r="AR1321" i="1"/>
  <c r="AT1320" i="1"/>
  <c r="AS1320" i="1"/>
  <c r="AR1320" i="1"/>
  <c r="AT1319" i="1"/>
  <c r="AS1319" i="1"/>
  <c r="AT1318" i="1"/>
  <c r="AS1318" i="1"/>
  <c r="AR1318" i="1"/>
  <c r="AT1317" i="1"/>
  <c r="AS1317" i="1"/>
  <c r="AT1316" i="1"/>
  <c r="AS1316" i="1"/>
  <c r="AR1316" i="1"/>
  <c r="AT1315" i="1"/>
  <c r="AS1315" i="1"/>
  <c r="AT1314" i="1"/>
  <c r="AS1314" i="1"/>
  <c r="AT1313" i="1"/>
  <c r="AS1313" i="1"/>
  <c r="AT1312" i="1"/>
  <c r="AS1312" i="1"/>
  <c r="AR1312" i="1"/>
  <c r="AT1311" i="1"/>
  <c r="AS1311" i="1"/>
  <c r="AT1310" i="1"/>
  <c r="AS1310" i="1"/>
  <c r="AR1310" i="1"/>
  <c r="AT1309" i="1"/>
  <c r="AS1309" i="1"/>
  <c r="AR1309" i="1"/>
  <c r="AT1308" i="1"/>
  <c r="AS1308" i="1"/>
  <c r="AR1308" i="1"/>
  <c r="AT1307" i="1"/>
  <c r="AS1307" i="1"/>
  <c r="AR1307" i="1"/>
  <c r="AT1306" i="1"/>
  <c r="AS1306" i="1"/>
  <c r="AR1306" i="1"/>
  <c r="AT1305" i="1"/>
  <c r="AS1305" i="1"/>
  <c r="AR1305" i="1"/>
  <c r="AT1304" i="1"/>
  <c r="AS1304" i="1"/>
  <c r="AR1304" i="1"/>
  <c r="AT1303" i="1"/>
  <c r="AS1303" i="1"/>
  <c r="AT1302" i="1"/>
  <c r="AS1302" i="1"/>
  <c r="AT1301" i="1"/>
  <c r="AS1301" i="1"/>
  <c r="AR1301" i="1"/>
  <c r="AT1300" i="1"/>
  <c r="AS1300" i="1"/>
  <c r="AT1299" i="1"/>
  <c r="AS1299" i="1"/>
  <c r="AT1298" i="1"/>
  <c r="AS1298" i="1"/>
  <c r="AT1297" i="1"/>
  <c r="AS1297" i="1"/>
  <c r="AR1297" i="1"/>
  <c r="AT1296" i="1"/>
  <c r="AS1296" i="1"/>
  <c r="AR1296" i="1"/>
  <c r="AT1295" i="1"/>
  <c r="AS1295" i="1"/>
  <c r="AT1294" i="1"/>
  <c r="AS1294" i="1"/>
  <c r="AT1293" i="1"/>
  <c r="AS1293" i="1"/>
  <c r="AR1293" i="1"/>
  <c r="AT1292" i="1"/>
  <c r="AS1292" i="1"/>
  <c r="AT1291" i="1"/>
  <c r="AS1291" i="1"/>
  <c r="AR1291" i="1"/>
  <c r="AT1290" i="1"/>
  <c r="AS1290" i="1"/>
  <c r="AT1289" i="1"/>
  <c r="AS1289" i="1"/>
  <c r="AR1289" i="1"/>
  <c r="AT1288" i="1"/>
  <c r="AS1288" i="1"/>
  <c r="AT1287" i="1"/>
  <c r="AS1287" i="1"/>
  <c r="AR1287" i="1"/>
  <c r="AT1286" i="1"/>
  <c r="AS1286" i="1"/>
  <c r="AT1285" i="1"/>
  <c r="AS1285" i="1"/>
  <c r="AR1285" i="1"/>
  <c r="AT1284" i="1"/>
  <c r="AS1284" i="1"/>
  <c r="AR1284" i="1"/>
  <c r="AT1283" i="1"/>
  <c r="AS1283" i="1"/>
  <c r="AT1282" i="1"/>
  <c r="AS1282" i="1"/>
  <c r="AT1281" i="1"/>
  <c r="AS1281" i="1"/>
  <c r="AR1281" i="1"/>
  <c r="AT1280" i="1"/>
  <c r="AS1280" i="1"/>
  <c r="AR1280" i="1"/>
  <c r="AT1279" i="1"/>
  <c r="AS1279" i="1"/>
  <c r="AR1279" i="1"/>
  <c r="AT1278" i="1"/>
  <c r="AS1278" i="1"/>
  <c r="AR1278" i="1"/>
  <c r="AT1277" i="1"/>
  <c r="AS1277" i="1"/>
  <c r="AR1277" i="1"/>
  <c r="AT1276" i="1"/>
  <c r="AS1276" i="1"/>
  <c r="AR1276" i="1"/>
  <c r="AT1275" i="1"/>
  <c r="AS1275" i="1"/>
  <c r="AR1275" i="1"/>
  <c r="AT1274" i="1"/>
  <c r="AS1274" i="1"/>
  <c r="AT1273" i="1"/>
  <c r="AS1273" i="1"/>
  <c r="AT1272" i="1"/>
  <c r="AS1272" i="1"/>
  <c r="AR1272" i="1"/>
  <c r="AT1271" i="1"/>
  <c r="AS1271" i="1"/>
  <c r="AR1271" i="1"/>
  <c r="AT1270" i="1"/>
  <c r="AS1270" i="1"/>
  <c r="AR1270" i="1"/>
  <c r="AT1269" i="1"/>
  <c r="AS1269" i="1"/>
  <c r="AR1269" i="1"/>
  <c r="AT1268" i="1"/>
  <c r="AS1268" i="1"/>
  <c r="AR1268" i="1"/>
  <c r="AT1267" i="1"/>
  <c r="AS1267" i="1"/>
  <c r="AR1267" i="1"/>
  <c r="AT1266" i="1"/>
  <c r="AS1266" i="1"/>
  <c r="AT1265" i="1"/>
  <c r="AS1265" i="1"/>
  <c r="AR1265" i="1"/>
  <c r="AT1264" i="1"/>
  <c r="AS1264" i="1"/>
  <c r="AT1263" i="1"/>
  <c r="AS1263" i="1"/>
  <c r="AR1263" i="1"/>
  <c r="AT1262" i="1"/>
  <c r="AS1262" i="1"/>
  <c r="AR1262" i="1"/>
  <c r="AT1261" i="1"/>
  <c r="AS1261" i="1"/>
  <c r="AR1261" i="1"/>
  <c r="AT1260" i="1"/>
  <c r="AS1260" i="1"/>
  <c r="AT1259" i="1"/>
  <c r="AS1259" i="1"/>
  <c r="AR1259" i="1"/>
  <c r="AT1258" i="1"/>
  <c r="AS1258" i="1"/>
  <c r="AR1258" i="1"/>
  <c r="AT1257" i="1"/>
  <c r="AS1257" i="1"/>
  <c r="AR1257" i="1"/>
  <c r="AT1256" i="1"/>
  <c r="AS1256" i="1"/>
  <c r="AT1255" i="1"/>
  <c r="AS1255" i="1"/>
  <c r="AR1255" i="1"/>
  <c r="AT1254" i="1"/>
  <c r="AS1254" i="1"/>
  <c r="AR1254" i="1"/>
  <c r="AT1253" i="1"/>
  <c r="AS1253" i="1"/>
  <c r="AR1253" i="1"/>
  <c r="AT1252" i="1"/>
  <c r="AS1252" i="1"/>
  <c r="AR1252" i="1"/>
  <c r="AT1251" i="1"/>
  <c r="AS1251" i="1"/>
  <c r="AR1251" i="1"/>
  <c r="AT1250" i="1"/>
  <c r="AS1250" i="1"/>
  <c r="AR1250" i="1"/>
  <c r="AT1249" i="1"/>
  <c r="AS1249" i="1"/>
  <c r="AT1248" i="1"/>
  <c r="AS1248" i="1"/>
  <c r="AR1248" i="1"/>
  <c r="AT1247" i="1"/>
  <c r="AS1247" i="1"/>
  <c r="AR1247" i="1"/>
  <c r="AT1246" i="1"/>
  <c r="AS1246" i="1"/>
  <c r="AR1246" i="1"/>
  <c r="AT1245" i="1"/>
  <c r="AS1245" i="1"/>
  <c r="AT1244" i="1"/>
  <c r="AS1244" i="1"/>
  <c r="AT1243" i="1"/>
  <c r="AS1243" i="1"/>
  <c r="AR1243" i="1"/>
  <c r="AT1242" i="1"/>
  <c r="AS1242" i="1"/>
  <c r="AT1241" i="1"/>
  <c r="AS1241" i="1"/>
  <c r="AR1241" i="1"/>
  <c r="AT1240" i="1"/>
  <c r="AS1240" i="1"/>
  <c r="AR1240" i="1"/>
  <c r="AT1239" i="1"/>
  <c r="AS1239" i="1"/>
  <c r="AT1238" i="1"/>
  <c r="AS1238" i="1"/>
  <c r="AT1237" i="1"/>
  <c r="AS1237" i="1"/>
  <c r="AR1237" i="1"/>
  <c r="AT1236" i="1"/>
  <c r="AS1236" i="1"/>
  <c r="AR1236" i="1"/>
  <c r="AT1235" i="1"/>
  <c r="AS1235" i="1"/>
  <c r="AR1235" i="1"/>
  <c r="AT1234" i="1"/>
  <c r="AS1234" i="1"/>
  <c r="AT1233" i="1"/>
  <c r="AS1233" i="1"/>
  <c r="AR1233" i="1"/>
  <c r="AT1232" i="1"/>
  <c r="AS1232" i="1"/>
  <c r="AR1232" i="1"/>
  <c r="AT1231" i="1"/>
  <c r="AS1231" i="1"/>
  <c r="AR1231" i="1"/>
  <c r="AT1230" i="1"/>
  <c r="AS1230" i="1"/>
  <c r="AT1229" i="1"/>
  <c r="AS1229" i="1"/>
  <c r="AR1229" i="1"/>
  <c r="AT1228" i="1"/>
  <c r="AS1228" i="1"/>
  <c r="AR1228" i="1"/>
  <c r="AT1227" i="1"/>
  <c r="AS1227" i="1"/>
  <c r="AT1226" i="1"/>
  <c r="AS1226" i="1"/>
  <c r="AR1226" i="1"/>
  <c r="AT1225" i="1"/>
  <c r="AS1225" i="1"/>
  <c r="AR1225" i="1"/>
  <c r="AT1224" i="1"/>
  <c r="AS1224" i="1"/>
  <c r="AR1224" i="1"/>
  <c r="AT1223" i="1"/>
  <c r="AS1223" i="1"/>
  <c r="AR1223" i="1"/>
  <c r="AT1222" i="1"/>
  <c r="AS1222" i="1"/>
  <c r="AR1222" i="1"/>
  <c r="AT1221" i="1"/>
  <c r="AS1221" i="1"/>
  <c r="AT1220" i="1"/>
  <c r="AS1220" i="1"/>
  <c r="AR1220" i="1"/>
  <c r="AT1219" i="1"/>
  <c r="AS1219" i="1"/>
  <c r="AR1219" i="1"/>
  <c r="AT1218" i="1"/>
  <c r="AS1218" i="1"/>
  <c r="AT1217" i="1"/>
  <c r="AS1217" i="1"/>
  <c r="AR1217" i="1"/>
  <c r="AT1216" i="1"/>
  <c r="AS1216" i="1"/>
  <c r="AR1216" i="1"/>
  <c r="AT1215" i="1"/>
  <c r="AS1215" i="1"/>
  <c r="AT1214" i="1"/>
  <c r="AS1214" i="1"/>
  <c r="AR1214" i="1"/>
  <c r="AT1213" i="1"/>
  <c r="AS1213" i="1"/>
  <c r="AR1213" i="1"/>
  <c r="AT1212" i="1"/>
  <c r="AS1212" i="1"/>
  <c r="AR1212" i="1"/>
  <c r="AT1211" i="1"/>
  <c r="AS1211" i="1"/>
  <c r="AR1211" i="1"/>
  <c r="AT1210" i="1"/>
  <c r="AS1210" i="1"/>
  <c r="AR1210" i="1"/>
  <c r="AT1209" i="1"/>
  <c r="AS1209" i="1"/>
  <c r="AR1209" i="1"/>
  <c r="AT1208" i="1"/>
  <c r="AS1208" i="1"/>
  <c r="AR1208" i="1"/>
  <c r="AT1207" i="1"/>
  <c r="AS1207" i="1"/>
  <c r="AT1206" i="1"/>
  <c r="AS1206" i="1"/>
  <c r="AR1206" i="1"/>
  <c r="AT1205" i="1"/>
  <c r="AS1205" i="1"/>
  <c r="AR1205" i="1"/>
  <c r="AT1204" i="1"/>
  <c r="AS1204" i="1"/>
  <c r="AT1203" i="1"/>
  <c r="AS1203" i="1"/>
  <c r="AT1202" i="1"/>
  <c r="AS1202" i="1"/>
  <c r="AR1202" i="1"/>
  <c r="AT1201" i="1"/>
  <c r="AS1201" i="1"/>
  <c r="AT1200" i="1"/>
  <c r="AS1200" i="1"/>
  <c r="AR1200" i="1"/>
  <c r="AT1199" i="1"/>
  <c r="AS1199" i="1"/>
  <c r="AR1199" i="1"/>
  <c r="AT1198" i="1"/>
  <c r="AS1198" i="1"/>
  <c r="AR1198" i="1"/>
  <c r="AT1197" i="1"/>
  <c r="AS1197" i="1"/>
  <c r="AR1197" i="1"/>
  <c r="AT1196" i="1"/>
  <c r="AS1196" i="1"/>
  <c r="AR1196" i="1"/>
  <c r="AT1195" i="1"/>
  <c r="AS1195" i="1"/>
  <c r="AR1195" i="1"/>
  <c r="AT1194" i="1"/>
  <c r="AS1194" i="1"/>
  <c r="AR1194" i="1"/>
  <c r="AT1193" i="1"/>
  <c r="AS1193" i="1"/>
  <c r="AR1193" i="1"/>
  <c r="AT1192" i="1"/>
  <c r="AS1192" i="1"/>
  <c r="AR1192" i="1"/>
  <c r="AT1191" i="1"/>
  <c r="AS1191" i="1"/>
  <c r="AT1190" i="1"/>
  <c r="AS1190" i="1"/>
  <c r="AR1190" i="1"/>
  <c r="AT1189" i="1"/>
  <c r="AS1189" i="1"/>
  <c r="AR1189" i="1"/>
  <c r="AT1188" i="1"/>
  <c r="AS1188" i="1"/>
  <c r="AR1188" i="1"/>
  <c r="AT1187" i="1"/>
  <c r="AS1187" i="1"/>
  <c r="AT1186" i="1"/>
  <c r="AS1186" i="1"/>
  <c r="AR1186" i="1"/>
  <c r="AT1185" i="1"/>
  <c r="AS1185" i="1"/>
  <c r="AR1185" i="1"/>
  <c r="AT1184" i="1"/>
  <c r="AS1184" i="1"/>
  <c r="AR1184" i="1"/>
  <c r="AT1183" i="1"/>
  <c r="AS1183" i="1"/>
  <c r="AR1183" i="1"/>
  <c r="AT1182" i="1"/>
  <c r="AS1182" i="1"/>
  <c r="AR1182" i="1"/>
  <c r="AT1181" i="1"/>
  <c r="AS1181" i="1"/>
  <c r="AT1180" i="1"/>
  <c r="AS1180" i="1"/>
  <c r="AR1180" i="1"/>
  <c r="AT1179" i="1"/>
  <c r="AS1179" i="1"/>
  <c r="AR1179" i="1"/>
  <c r="AT1178" i="1"/>
  <c r="AS1178" i="1"/>
  <c r="AT1177" i="1"/>
  <c r="AS1177" i="1"/>
  <c r="AT1176" i="1"/>
  <c r="AS1176" i="1"/>
  <c r="AR1176" i="1"/>
  <c r="AT1175" i="1"/>
  <c r="AS1175" i="1"/>
  <c r="AR1175" i="1"/>
  <c r="AT1174" i="1"/>
  <c r="AS1174" i="1"/>
  <c r="AR1174" i="1"/>
  <c r="AT1173" i="1"/>
  <c r="AS1173" i="1"/>
  <c r="AR1173" i="1"/>
  <c r="AT1172" i="1"/>
  <c r="AS1172" i="1"/>
  <c r="AR1172" i="1"/>
  <c r="AT1171" i="1"/>
  <c r="AS1171" i="1"/>
  <c r="AR1171" i="1"/>
  <c r="AT1170" i="1"/>
  <c r="AS1170" i="1"/>
  <c r="AR1170" i="1"/>
  <c r="AT1169" i="1"/>
  <c r="AS1169" i="1"/>
  <c r="AT1168" i="1"/>
  <c r="AS1168" i="1"/>
  <c r="AT1167" i="1"/>
  <c r="AS1167" i="1"/>
  <c r="AR1167" i="1"/>
  <c r="AT1166" i="1"/>
  <c r="AS1166" i="1"/>
  <c r="AR1166" i="1"/>
  <c r="AT1165" i="1"/>
  <c r="AS1165" i="1"/>
  <c r="AR1165" i="1"/>
  <c r="AT1164" i="1"/>
  <c r="AS1164" i="1"/>
  <c r="AR1164" i="1"/>
  <c r="AT1163" i="1"/>
  <c r="AS1163" i="1"/>
  <c r="AR1163" i="1"/>
  <c r="AT1162" i="1"/>
  <c r="AS1162" i="1"/>
  <c r="AR1162" i="1"/>
  <c r="AT1161" i="1"/>
  <c r="AS1161" i="1"/>
  <c r="AR1161" i="1"/>
  <c r="AT1160" i="1"/>
  <c r="AS1160" i="1"/>
  <c r="AR1160" i="1"/>
  <c r="AT1159" i="1"/>
  <c r="AS1159" i="1"/>
  <c r="AR1159" i="1"/>
  <c r="AT1158" i="1"/>
  <c r="AS1158" i="1"/>
  <c r="AT1157" i="1"/>
  <c r="AS1157" i="1"/>
  <c r="AR1157" i="1"/>
  <c r="AT1156" i="1"/>
  <c r="AS1156" i="1"/>
  <c r="AT1155" i="1"/>
  <c r="AS1155" i="1"/>
  <c r="AT1154" i="1"/>
  <c r="AS1154" i="1"/>
  <c r="AR1154" i="1"/>
  <c r="AT1153" i="1"/>
  <c r="AS1153" i="1"/>
  <c r="AT1152" i="1"/>
  <c r="AS1152" i="1"/>
  <c r="AR1152" i="1"/>
  <c r="AT1151" i="1"/>
  <c r="AS1151" i="1"/>
  <c r="AT1150" i="1"/>
  <c r="AS1150" i="1"/>
  <c r="AT1149" i="1"/>
  <c r="AS1149" i="1"/>
  <c r="AR1149" i="1"/>
  <c r="AT1148" i="1"/>
  <c r="AS1148" i="1"/>
  <c r="AR1148" i="1"/>
  <c r="AT1147" i="1"/>
  <c r="AS1147" i="1"/>
  <c r="AR1147" i="1"/>
  <c r="AT1146" i="1"/>
  <c r="AS1146" i="1"/>
  <c r="AR1146" i="1"/>
  <c r="AT1145" i="1"/>
  <c r="AS1145" i="1"/>
  <c r="AT1144" i="1"/>
  <c r="AS1144" i="1"/>
  <c r="AT1143" i="1"/>
  <c r="AS1143" i="1"/>
  <c r="AT1142" i="1"/>
  <c r="AS1142" i="1"/>
  <c r="AT1141" i="1"/>
  <c r="AS1141" i="1"/>
  <c r="AR1141" i="1"/>
  <c r="AT1140" i="1"/>
  <c r="AS1140" i="1"/>
  <c r="AR1140" i="1"/>
  <c r="AT1139" i="1"/>
  <c r="AS1139" i="1"/>
  <c r="AR1139" i="1"/>
  <c r="AT1138" i="1"/>
  <c r="AS1138" i="1"/>
  <c r="AT1137" i="1"/>
  <c r="AS1137" i="1"/>
  <c r="AT1136" i="1"/>
  <c r="AS1136" i="1"/>
  <c r="AR1136" i="1"/>
  <c r="AT1135" i="1"/>
  <c r="AS1135" i="1"/>
  <c r="AR1135" i="1"/>
  <c r="AT1134" i="1"/>
  <c r="AS1134" i="1"/>
  <c r="AR1134" i="1"/>
  <c r="AT1133" i="1"/>
  <c r="AS1133" i="1"/>
  <c r="AR1133" i="1"/>
  <c r="AT1132" i="1"/>
  <c r="AS1132" i="1"/>
  <c r="AR1132" i="1"/>
  <c r="AT1131" i="1"/>
  <c r="AS1131" i="1"/>
  <c r="AR1131" i="1"/>
  <c r="AT1130" i="1"/>
  <c r="AS1130" i="1"/>
  <c r="AT1129" i="1"/>
  <c r="AS1129" i="1"/>
  <c r="AR1129" i="1"/>
  <c r="AT1128" i="1"/>
  <c r="AS1128" i="1"/>
  <c r="AR1128" i="1"/>
  <c r="AT1127" i="1"/>
  <c r="AS1127" i="1"/>
  <c r="AT1126" i="1"/>
  <c r="AS1126" i="1"/>
  <c r="AR1126" i="1"/>
  <c r="AT1125" i="1"/>
  <c r="AS1125" i="1"/>
  <c r="AR1125" i="1"/>
  <c r="AT1124" i="1"/>
  <c r="AS1124" i="1"/>
  <c r="AR1124" i="1"/>
  <c r="AT1123" i="1"/>
  <c r="AS1123" i="1"/>
  <c r="AT1122" i="1"/>
  <c r="AS1122" i="1"/>
  <c r="AT1121" i="1"/>
  <c r="AS1121" i="1"/>
  <c r="AR1121" i="1"/>
  <c r="AT1120" i="1"/>
  <c r="AS1120" i="1"/>
  <c r="AR1120" i="1"/>
  <c r="AT1119" i="1"/>
  <c r="AS1119" i="1"/>
  <c r="AR1119" i="1"/>
  <c r="AT1118" i="1"/>
  <c r="AS1118" i="1"/>
  <c r="AR1118" i="1"/>
  <c r="AT1117" i="1"/>
  <c r="AS1117" i="1"/>
  <c r="AR1117" i="1"/>
  <c r="AT1116" i="1"/>
  <c r="AS1116" i="1"/>
  <c r="AR1116" i="1"/>
  <c r="AT1115" i="1"/>
  <c r="AS1115" i="1"/>
  <c r="AR1115" i="1"/>
  <c r="AT1114" i="1"/>
  <c r="AS1114" i="1"/>
  <c r="AR1114" i="1"/>
  <c r="AT1113" i="1"/>
  <c r="AS1113" i="1"/>
  <c r="AT1112" i="1"/>
  <c r="AS1112" i="1"/>
  <c r="AR1112" i="1"/>
  <c r="AT1111" i="1"/>
  <c r="AS1111" i="1"/>
  <c r="AR1111" i="1"/>
  <c r="AT1110" i="1"/>
  <c r="AS1110" i="1"/>
  <c r="AR1110" i="1"/>
  <c r="AT1109" i="1"/>
  <c r="AS1109" i="1"/>
  <c r="AR1109" i="1"/>
  <c r="AT1108" i="1"/>
  <c r="AS1108" i="1"/>
  <c r="AR1108" i="1"/>
  <c r="AT1107" i="1"/>
  <c r="AS1107" i="1"/>
  <c r="AR1107" i="1"/>
  <c r="AT1106" i="1"/>
  <c r="AS1106" i="1"/>
  <c r="AR1106" i="1"/>
  <c r="AT1105" i="1"/>
  <c r="AS1105" i="1"/>
  <c r="AR1105" i="1"/>
  <c r="AT1104" i="1"/>
  <c r="AS1104" i="1"/>
  <c r="AR1104" i="1"/>
  <c r="AT1103" i="1"/>
  <c r="AS1103" i="1"/>
  <c r="AR1103" i="1"/>
  <c r="AT1102" i="1"/>
  <c r="AS1102" i="1"/>
  <c r="AR1102" i="1"/>
  <c r="AT1101" i="1"/>
  <c r="AS1101" i="1"/>
  <c r="AT1100" i="1"/>
  <c r="AS1100" i="1"/>
  <c r="AR1100" i="1"/>
  <c r="AT1099" i="1"/>
  <c r="AS1099" i="1"/>
  <c r="AT1098" i="1"/>
  <c r="AS1098" i="1"/>
  <c r="AT1097" i="1"/>
  <c r="AS1097" i="1"/>
  <c r="AR1097" i="1"/>
  <c r="AT1096" i="1"/>
  <c r="AS1096" i="1"/>
  <c r="AR1096" i="1"/>
  <c r="AT1095" i="1"/>
  <c r="AS1095" i="1"/>
  <c r="AR1095" i="1"/>
  <c r="AT1094" i="1"/>
  <c r="AS1094" i="1"/>
  <c r="AR1094" i="1"/>
  <c r="AT1093" i="1"/>
  <c r="AS1093" i="1"/>
  <c r="AR1093" i="1"/>
  <c r="AT1092" i="1"/>
  <c r="AS1092" i="1"/>
  <c r="AR1092" i="1"/>
  <c r="AT1091" i="1"/>
  <c r="AS1091" i="1"/>
  <c r="AR1091" i="1"/>
  <c r="AT1090" i="1"/>
  <c r="AS1090" i="1"/>
  <c r="AR1090" i="1"/>
  <c r="AT1089" i="1"/>
  <c r="AS1089" i="1"/>
  <c r="AT1088" i="1"/>
  <c r="AS1088" i="1"/>
  <c r="AR1088" i="1"/>
  <c r="AT1087" i="1"/>
  <c r="AS1087" i="1"/>
  <c r="AR1087" i="1"/>
  <c r="AT1086" i="1"/>
  <c r="AS1086" i="1"/>
  <c r="AR1086" i="1"/>
  <c r="AT1085" i="1"/>
  <c r="AS1085" i="1"/>
  <c r="AT1084" i="1"/>
  <c r="AS1084" i="1"/>
  <c r="AR1084" i="1"/>
  <c r="AT1083" i="1"/>
  <c r="AS1083" i="1"/>
  <c r="AT1082" i="1"/>
  <c r="AS1082" i="1"/>
  <c r="AR1082" i="1"/>
  <c r="AT1081" i="1"/>
  <c r="AS1081" i="1"/>
  <c r="AR1081" i="1"/>
  <c r="AT1080" i="1"/>
  <c r="AS1080" i="1"/>
  <c r="AR1080" i="1"/>
  <c r="AT1079" i="1"/>
  <c r="AS1079" i="1"/>
  <c r="AT1078" i="1"/>
  <c r="AS1078" i="1"/>
  <c r="AR1078" i="1"/>
  <c r="AT1077" i="1"/>
  <c r="AS1077" i="1"/>
  <c r="AR1077" i="1"/>
  <c r="AT1076" i="1"/>
  <c r="AS1076" i="1"/>
  <c r="AR1076" i="1"/>
  <c r="AT1075" i="1"/>
  <c r="AS1075" i="1"/>
  <c r="AR1075" i="1"/>
  <c r="AT1074" i="1"/>
  <c r="AS1074" i="1"/>
  <c r="AR1074" i="1"/>
  <c r="AT1073" i="1"/>
  <c r="AS1073" i="1"/>
  <c r="AR1073" i="1"/>
  <c r="AT1072" i="1"/>
  <c r="AS1072" i="1"/>
  <c r="AR1072" i="1"/>
  <c r="AT1071" i="1"/>
  <c r="AS1071" i="1"/>
  <c r="AT1070" i="1"/>
  <c r="AS1070" i="1"/>
  <c r="AT1069" i="1"/>
  <c r="AS1069" i="1"/>
  <c r="AR1069" i="1"/>
  <c r="AT1068" i="1"/>
  <c r="AS1068" i="1"/>
  <c r="AR1068" i="1"/>
  <c r="AT1067" i="1"/>
  <c r="AS1067" i="1"/>
  <c r="AR1067" i="1"/>
  <c r="AT1066" i="1"/>
  <c r="AS1066" i="1"/>
  <c r="AT1065" i="1"/>
  <c r="AS1065" i="1"/>
  <c r="AT1064" i="1"/>
  <c r="AS1064" i="1"/>
  <c r="AR1064" i="1"/>
  <c r="AT1063" i="1"/>
  <c r="AS1063" i="1"/>
  <c r="AT1062" i="1"/>
  <c r="AS1062" i="1"/>
  <c r="AT1061" i="1"/>
  <c r="AS1061" i="1"/>
  <c r="AR1061" i="1"/>
  <c r="AT1060" i="1"/>
  <c r="AS1060" i="1"/>
  <c r="AR1060" i="1"/>
  <c r="AT1059" i="1"/>
  <c r="AS1059" i="1"/>
  <c r="AR1059" i="1"/>
  <c r="AT1058" i="1"/>
  <c r="AS1058" i="1"/>
  <c r="AR1058" i="1"/>
  <c r="AT1057" i="1"/>
  <c r="AS1057" i="1"/>
  <c r="AR1057" i="1"/>
  <c r="AT1056" i="1"/>
  <c r="AS1056" i="1"/>
  <c r="AR1056" i="1"/>
  <c r="AT1055" i="1"/>
  <c r="AS1055" i="1"/>
  <c r="AR1055" i="1"/>
  <c r="AT1054" i="1"/>
  <c r="AS1054" i="1"/>
  <c r="AR1054" i="1"/>
  <c r="AT1053" i="1"/>
  <c r="AS1053" i="1"/>
  <c r="AT1052" i="1"/>
  <c r="AS1052" i="1"/>
  <c r="AR1052" i="1"/>
  <c r="AT1051" i="1"/>
  <c r="AS1051" i="1"/>
  <c r="AT1050" i="1"/>
  <c r="AS1050" i="1"/>
  <c r="AR1050" i="1"/>
  <c r="AT1049" i="1"/>
  <c r="AS1049" i="1"/>
  <c r="AR1049" i="1"/>
  <c r="AT1048" i="1"/>
  <c r="AS1048" i="1"/>
  <c r="AT1047" i="1"/>
  <c r="AS1047" i="1"/>
  <c r="AR1047" i="1"/>
  <c r="AT1046" i="1"/>
  <c r="AS1046" i="1"/>
  <c r="AR1046" i="1"/>
  <c r="AT1045" i="1"/>
  <c r="AS1045" i="1"/>
  <c r="AR1045" i="1"/>
  <c r="AT1044" i="1"/>
  <c r="AS1044" i="1"/>
  <c r="AT1043" i="1"/>
  <c r="AS1043" i="1"/>
  <c r="AR1043" i="1"/>
  <c r="AT1042" i="1"/>
  <c r="AS1042" i="1"/>
  <c r="AR1042" i="1"/>
  <c r="AT1041" i="1"/>
  <c r="AS1041" i="1"/>
  <c r="AR1041" i="1"/>
  <c r="AT1040" i="1"/>
  <c r="AS1040" i="1"/>
  <c r="AR1040" i="1"/>
  <c r="AT1039" i="1"/>
  <c r="AS1039" i="1"/>
  <c r="AT1038" i="1"/>
  <c r="AS1038" i="1"/>
  <c r="AT1037" i="1"/>
  <c r="AS1037" i="1"/>
  <c r="AT1036" i="1"/>
  <c r="AS1036" i="1"/>
  <c r="AR1036" i="1"/>
  <c r="AT1035" i="1"/>
  <c r="AS1035" i="1"/>
  <c r="AR1035" i="1"/>
  <c r="AT1034" i="1"/>
  <c r="AS1034" i="1"/>
  <c r="AR1034" i="1"/>
  <c r="AT1033" i="1"/>
  <c r="AS1033" i="1"/>
  <c r="AR1033" i="1"/>
  <c r="AT1032" i="1"/>
  <c r="AS1032" i="1"/>
  <c r="AR1032" i="1"/>
  <c r="AT1031" i="1"/>
  <c r="AS1031" i="1"/>
  <c r="AR1031" i="1"/>
  <c r="AT1030" i="1"/>
  <c r="AS1030" i="1"/>
  <c r="AT1029" i="1"/>
  <c r="AS1029" i="1"/>
  <c r="AT1028" i="1"/>
  <c r="AS1028" i="1"/>
  <c r="AR1028" i="1"/>
  <c r="AT1027" i="1"/>
  <c r="AS1027" i="1"/>
  <c r="AR1027" i="1"/>
  <c r="AT1026" i="1"/>
  <c r="AS1026" i="1"/>
  <c r="AR1026" i="1"/>
  <c r="AT1025" i="1"/>
  <c r="AS1025" i="1"/>
  <c r="AT1024" i="1"/>
  <c r="AS1024" i="1"/>
  <c r="AR1024" i="1"/>
  <c r="AT1023" i="1"/>
  <c r="AS1023" i="1"/>
  <c r="AR1023" i="1"/>
  <c r="AT1022" i="1"/>
  <c r="AS1022" i="1"/>
  <c r="AR1022" i="1"/>
  <c r="AT1021" i="1"/>
  <c r="AS1021" i="1"/>
  <c r="AR1021" i="1"/>
  <c r="AT1020" i="1"/>
  <c r="AS1020" i="1"/>
  <c r="AR1020" i="1"/>
  <c r="AT1019" i="1"/>
  <c r="AS1019" i="1"/>
  <c r="AT1018" i="1"/>
  <c r="AS1018" i="1"/>
  <c r="AT1017" i="1"/>
  <c r="AS1017" i="1"/>
  <c r="AT1016" i="1"/>
  <c r="AS1016" i="1"/>
  <c r="AT1015" i="1"/>
  <c r="AS1015" i="1"/>
  <c r="AT1014" i="1"/>
  <c r="AS1014" i="1"/>
  <c r="AT1013" i="1"/>
  <c r="AS1013" i="1"/>
  <c r="AT1012" i="1"/>
  <c r="AS1012" i="1"/>
  <c r="AR1012" i="1"/>
  <c r="AT1011" i="1"/>
  <c r="AS1011" i="1"/>
  <c r="AT1010" i="1"/>
  <c r="AS1010" i="1"/>
  <c r="AR1010" i="1"/>
  <c r="AT1009" i="1"/>
  <c r="AS1009" i="1"/>
  <c r="AR1009" i="1"/>
  <c r="AT1008" i="1"/>
  <c r="AS1008" i="1"/>
  <c r="AR1008" i="1"/>
  <c r="AT1007" i="1"/>
  <c r="AS1007" i="1"/>
  <c r="AR1007" i="1"/>
  <c r="AT1006" i="1"/>
  <c r="AS1006" i="1"/>
  <c r="AR1006" i="1"/>
  <c r="AT1005" i="1"/>
  <c r="AS1005" i="1"/>
  <c r="AR1005" i="1"/>
  <c r="AT1004" i="1"/>
  <c r="AS1004" i="1"/>
  <c r="AR1004" i="1"/>
  <c r="AT1003" i="1"/>
  <c r="AS1003" i="1"/>
  <c r="AT1002" i="1"/>
  <c r="AS1002" i="1"/>
  <c r="AR1002" i="1"/>
  <c r="AT1001" i="1"/>
  <c r="AS1001" i="1"/>
  <c r="AR1001" i="1"/>
  <c r="AT1000" i="1"/>
  <c r="AS1000" i="1"/>
  <c r="AR1000" i="1"/>
  <c r="AT999" i="1"/>
  <c r="AS999" i="1"/>
  <c r="AR999" i="1"/>
  <c r="AT998" i="1"/>
  <c r="AS998" i="1"/>
  <c r="AR998" i="1"/>
  <c r="AT997" i="1"/>
  <c r="AS997" i="1"/>
  <c r="AR997" i="1"/>
  <c r="AT996" i="1"/>
  <c r="AS996" i="1"/>
  <c r="AR996" i="1"/>
  <c r="AT995" i="1"/>
  <c r="AS995" i="1"/>
  <c r="AR995" i="1"/>
  <c r="AT994" i="1"/>
  <c r="AS994" i="1"/>
  <c r="AR994" i="1"/>
  <c r="AT993" i="1"/>
  <c r="AS993" i="1"/>
  <c r="AR993" i="1"/>
  <c r="AT992" i="1"/>
  <c r="AS992" i="1"/>
  <c r="AR992" i="1"/>
  <c r="AT991" i="1"/>
  <c r="AS991" i="1"/>
  <c r="AT990" i="1"/>
  <c r="AS990" i="1"/>
  <c r="AT989" i="1"/>
  <c r="AS989" i="1"/>
  <c r="AT988" i="1"/>
  <c r="AS988" i="1"/>
  <c r="AT987" i="1"/>
  <c r="AS987" i="1"/>
  <c r="AR987" i="1"/>
  <c r="AT986" i="1"/>
  <c r="AS986" i="1"/>
  <c r="AT985" i="1"/>
  <c r="AS985" i="1"/>
  <c r="AT984" i="1"/>
  <c r="AS984" i="1"/>
  <c r="AR984" i="1"/>
  <c r="AT983" i="1"/>
  <c r="AS983" i="1"/>
  <c r="AR983" i="1"/>
  <c r="AT982" i="1"/>
  <c r="AS982" i="1"/>
  <c r="AR982" i="1"/>
  <c r="AT981" i="1"/>
  <c r="AS981" i="1"/>
  <c r="AR981" i="1"/>
  <c r="AT980" i="1"/>
  <c r="AS980" i="1"/>
  <c r="AT979" i="1"/>
  <c r="AS979" i="1"/>
  <c r="AR979" i="1"/>
  <c r="AT978" i="1"/>
  <c r="AS978" i="1"/>
  <c r="AR978" i="1"/>
  <c r="AT977" i="1"/>
  <c r="AS977" i="1"/>
  <c r="AR977" i="1"/>
  <c r="AT976" i="1"/>
  <c r="AS976" i="1"/>
  <c r="AR976" i="1"/>
  <c r="AT975" i="1"/>
  <c r="AS975" i="1"/>
  <c r="AT974" i="1"/>
  <c r="AS974" i="1"/>
  <c r="AR974" i="1"/>
  <c r="AT973" i="1"/>
  <c r="AS973" i="1"/>
  <c r="AT972" i="1"/>
  <c r="AS972" i="1"/>
  <c r="AT971" i="1"/>
  <c r="AS971" i="1"/>
  <c r="AR971" i="1"/>
  <c r="AT970" i="1"/>
  <c r="AS970" i="1"/>
  <c r="AT969" i="1"/>
  <c r="AS969" i="1"/>
  <c r="AT968" i="1"/>
  <c r="AS968" i="1"/>
  <c r="AR968" i="1"/>
  <c r="AT967" i="1"/>
  <c r="AS967" i="1"/>
  <c r="AR967" i="1"/>
  <c r="AT966" i="1"/>
  <c r="AS966" i="1"/>
  <c r="AR966" i="1"/>
  <c r="AT965" i="1"/>
  <c r="AS965" i="1"/>
  <c r="AR965" i="1"/>
  <c r="AT964" i="1"/>
  <c r="AS964" i="1"/>
  <c r="AT963" i="1"/>
  <c r="AS963" i="1"/>
  <c r="AT962" i="1"/>
  <c r="AS962" i="1"/>
  <c r="AR962" i="1"/>
  <c r="AT961" i="1"/>
  <c r="AS961" i="1"/>
  <c r="AR961" i="1"/>
  <c r="AT960" i="1"/>
  <c r="AS960" i="1"/>
  <c r="AR960" i="1"/>
  <c r="AT959" i="1"/>
  <c r="AS959" i="1"/>
  <c r="AR959" i="1"/>
  <c r="AT958" i="1"/>
  <c r="AS958" i="1"/>
  <c r="AR958" i="1"/>
  <c r="AT957" i="1"/>
  <c r="AS957" i="1"/>
  <c r="AR957" i="1"/>
  <c r="AT956" i="1"/>
  <c r="AS956" i="1"/>
  <c r="AR956" i="1"/>
  <c r="AT955" i="1"/>
  <c r="AS955" i="1"/>
  <c r="AR955" i="1"/>
  <c r="AT954" i="1"/>
  <c r="AS954" i="1"/>
  <c r="AR954" i="1"/>
  <c r="AT953" i="1"/>
  <c r="AS953" i="1"/>
  <c r="AR953" i="1"/>
  <c r="AT952" i="1"/>
  <c r="AS952" i="1"/>
  <c r="AR952" i="1"/>
  <c r="AT951" i="1"/>
  <c r="AS951" i="1"/>
  <c r="AR951" i="1"/>
  <c r="AT950" i="1"/>
  <c r="AS950" i="1"/>
  <c r="AT949" i="1"/>
  <c r="AS949" i="1"/>
  <c r="AR949" i="1"/>
  <c r="AT948" i="1"/>
  <c r="AS948" i="1"/>
  <c r="AR948" i="1"/>
  <c r="AT947" i="1"/>
  <c r="AS947" i="1"/>
  <c r="AT946" i="1"/>
  <c r="AS946" i="1"/>
  <c r="AR946" i="1"/>
  <c r="AT945" i="1"/>
  <c r="AS945" i="1"/>
  <c r="AR945" i="1"/>
  <c r="AT944" i="1"/>
  <c r="AS944" i="1"/>
  <c r="AR944" i="1"/>
  <c r="AT943" i="1"/>
  <c r="AS943" i="1"/>
  <c r="AT942" i="1"/>
  <c r="AS942" i="1"/>
  <c r="AR942" i="1"/>
  <c r="AT941" i="1"/>
  <c r="AS941" i="1"/>
  <c r="AR941" i="1"/>
  <c r="AT940" i="1"/>
  <c r="AS940" i="1"/>
  <c r="AR940" i="1"/>
  <c r="AT939" i="1"/>
  <c r="AS939" i="1"/>
  <c r="AR939" i="1"/>
  <c r="AT938" i="1"/>
  <c r="AS938" i="1"/>
  <c r="AR938" i="1"/>
  <c r="AT937" i="1"/>
  <c r="AS937" i="1"/>
  <c r="AT936" i="1"/>
  <c r="AS936" i="1"/>
  <c r="AR936" i="1"/>
  <c r="AT935" i="1"/>
  <c r="AS935" i="1"/>
  <c r="AT934" i="1"/>
  <c r="AS934" i="1"/>
  <c r="AR934" i="1"/>
  <c r="AT933" i="1"/>
  <c r="AS933" i="1"/>
  <c r="AR933" i="1"/>
  <c r="AT932" i="1"/>
  <c r="AS932" i="1"/>
  <c r="AT931" i="1"/>
  <c r="AS931" i="1"/>
  <c r="AT930" i="1"/>
  <c r="AS930" i="1"/>
  <c r="AR930" i="1"/>
  <c r="AT929" i="1"/>
  <c r="AS929" i="1"/>
  <c r="AR929" i="1"/>
  <c r="AT928" i="1"/>
  <c r="AS928" i="1"/>
  <c r="AT927" i="1"/>
  <c r="AS927" i="1"/>
  <c r="AR927" i="1"/>
  <c r="AT926" i="1"/>
  <c r="AS926" i="1"/>
  <c r="AR926" i="1"/>
  <c r="AT925" i="1"/>
  <c r="AS925" i="1"/>
  <c r="AR925" i="1"/>
  <c r="AT924" i="1"/>
  <c r="AS924" i="1"/>
  <c r="AT923" i="1"/>
  <c r="AS923" i="1"/>
  <c r="AT922" i="1"/>
  <c r="AS922" i="1"/>
  <c r="AR922" i="1"/>
  <c r="AT921" i="1"/>
  <c r="AS921" i="1"/>
  <c r="AR921" i="1"/>
  <c r="AT920" i="1"/>
  <c r="AS920" i="1"/>
  <c r="AR920" i="1"/>
  <c r="AT919" i="1"/>
  <c r="AS919" i="1"/>
  <c r="AR919" i="1"/>
  <c r="AT918" i="1"/>
  <c r="AS918" i="1"/>
  <c r="AR918" i="1"/>
  <c r="AT917" i="1"/>
  <c r="AS917" i="1"/>
  <c r="AR917" i="1"/>
  <c r="AT916" i="1"/>
  <c r="AS916" i="1"/>
  <c r="AT915" i="1"/>
  <c r="AS915" i="1"/>
  <c r="AR915" i="1"/>
  <c r="AT914" i="1"/>
  <c r="AS914" i="1"/>
  <c r="AT913" i="1"/>
  <c r="AS913" i="1"/>
  <c r="AR913" i="1"/>
  <c r="AT912" i="1"/>
  <c r="AS912" i="1"/>
  <c r="AR912" i="1"/>
  <c r="AT911" i="1"/>
  <c r="AS911" i="1"/>
  <c r="AR911" i="1"/>
  <c r="AT910" i="1"/>
  <c r="AS910" i="1"/>
  <c r="AR910" i="1"/>
  <c r="AT909" i="1"/>
  <c r="AS909" i="1"/>
  <c r="AR909" i="1"/>
  <c r="AT908" i="1"/>
  <c r="AS908" i="1"/>
  <c r="AR908" i="1"/>
  <c r="AT907" i="1"/>
  <c r="AS907" i="1"/>
  <c r="AR907" i="1"/>
  <c r="AT906" i="1"/>
  <c r="AS906" i="1"/>
  <c r="AT905" i="1"/>
  <c r="AS905" i="1"/>
  <c r="AR905" i="1"/>
  <c r="AT904" i="1"/>
  <c r="AS904" i="1"/>
  <c r="AR904" i="1"/>
  <c r="AT903" i="1"/>
  <c r="AS903" i="1"/>
  <c r="AR903" i="1"/>
  <c r="AT902" i="1"/>
  <c r="AS902" i="1"/>
  <c r="AR902" i="1"/>
  <c r="AT901" i="1"/>
  <c r="AS901" i="1"/>
  <c r="AT900" i="1"/>
  <c r="AS900" i="1"/>
  <c r="AT899" i="1"/>
  <c r="AS899" i="1"/>
  <c r="AT898" i="1"/>
  <c r="AS898" i="1"/>
  <c r="AT897" i="1"/>
  <c r="AS897" i="1"/>
  <c r="AR897" i="1"/>
  <c r="AT896" i="1"/>
  <c r="AS896" i="1"/>
  <c r="AR896" i="1"/>
  <c r="AT895" i="1"/>
  <c r="AS895" i="1"/>
  <c r="AR895" i="1"/>
  <c r="AT894" i="1"/>
  <c r="AS894" i="1"/>
  <c r="AR894" i="1"/>
  <c r="AT893" i="1"/>
  <c r="AS893" i="1"/>
  <c r="AR893" i="1"/>
  <c r="AT892" i="1"/>
  <c r="AS892" i="1"/>
  <c r="AR892" i="1"/>
  <c r="AT891" i="1"/>
  <c r="AS891" i="1"/>
  <c r="AT890" i="1"/>
  <c r="AS890" i="1"/>
  <c r="AR890" i="1"/>
  <c r="AT889" i="1"/>
  <c r="AS889" i="1"/>
  <c r="AR889" i="1"/>
  <c r="AT888" i="1"/>
  <c r="AS888" i="1"/>
  <c r="AT887" i="1"/>
  <c r="AS887" i="1"/>
  <c r="AT886" i="1"/>
  <c r="AS886" i="1"/>
  <c r="AR886" i="1"/>
  <c r="AT885" i="1"/>
  <c r="AS885" i="1"/>
  <c r="AR885" i="1"/>
  <c r="AT884" i="1"/>
  <c r="AS884" i="1"/>
  <c r="AT883" i="1"/>
  <c r="AS883" i="1"/>
  <c r="AR883" i="1"/>
  <c r="AT882" i="1"/>
  <c r="AS882" i="1"/>
  <c r="AR882" i="1"/>
  <c r="AT881" i="1"/>
  <c r="AS881" i="1"/>
  <c r="AR881" i="1"/>
  <c r="AT880" i="1"/>
  <c r="AS880" i="1"/>
  <c r="AR880" i="1"/>
  <c r="AT879" i="1"/>
  <c r="AS879" i="1"/>
  <c r="AT878" i="1"/>
  <c r="AS878" i="1"/>
  <c r="AR878" i="1"/>
  <c r="AT877" i="1"/>
  <c r="AS877" i="1"/>
  <c r="AR877" i="1"/>
  <c r="AT876" i="1"/>
  <c r="AS876" i="1"/>
  <c r="AR876" i="1"/>
  <c r="AT875" i="1"/>
  <c r="AS875" i="1"/>
  <c r="AR875" i="1"/>
  <c r="AT874" i="1"/>
  <c r="AS874" i="1"/>
  <c r="AR874" i="1"/>
  <c r="AT873" i="1"/>
  <c r="AS873" i="1"/>
  <c r="AR873" i="1"/>
  <c r="AT872" i="1"/>
  <c r="AS872" i="1"/>
  <c r="AR872" i="1"/>
  <c r="AT871" i="1"/>
  <c r="AS871" i="1"/>
  <c r="AR871" i="1"/>
  <c r="AT870" i="1"/>
  <c r="AS870" i="1"/>
  <c r="AT869" i="1"/>
  <c r="AS869" i="1"/>
  <c r="AR869" i="1"/>
  <c r="AT868" i="1"/>
  <c r="AS868" i="1"/>
  <c r="AR868" i="1"/>
  <c r="AT867" i="1"/>
  <c r="AS867" i="1"/>
  <c r="AR867" i="1"/>
  <c r="AT866" i="1"/>
  <c r="AS866" i="1"/>
  <c r="AT865" i="1"/>
  <c r="AS865" i="1"/>
  <c r="AT864" i="1"/>
  <c r="AS864" i="1"/>
  <c r="AR864" i="1"/>
  <c r="AT863" i="1"/>
  <c r="AS863" i="1"/>
  <c r="AT862" i="1"/>
  <c r="AS862" i="1"/>
  <c r="AR862" i="1"/>
  <c r="AT861" i="1"/>
  <c r="AS861" i="1"/>
  <c r="AR861" i="1"/>
  <c r="AT860" i="1"/>
  <c r="AS860" i="1"/>
  <c r="AR860" i="1"/>
  <c r="AT859" i="1"/>
  <c r="AS859" i="1"/>
  <c r="AT858" i="1"/>
  <c r="AS858" i="1"/>
  <c r="AT857" i="1"/>
  <c r="AS857" i="1"/>
  <c r="AT856" i="1"/>
  <c r="AS856" i="1"/>
  <c r="AR856" i="1"/>
  <c r="AT855" i="1"/>
  <c r="AS855" i="1"/>
  <c r="AT854" i="1"/>
  <c r="AS854" i="1"/>
  <c r="AT853" i="1"/>
  <c r="AS853" i="1"/>
  <c r="AT852" i="1"/>
  <c r="AS852" i="1"/>
  <c r="AT851" i="1"/>
  <c r="AS851" i="1"/>
  <c r="AR851" i="1"/>
  <c r="AT850" i="1"/>
  <c r="AS850" i="1"/>
  <c r="AT849" i="1"/>
  <c r="AS849" i="1"/>
  <c r="AR849" i="1"/>
  <c r="AT848" i="1"/>
  <c r="AS848" i="1"/>
  <c r="AR848" i="1"/>
  <c r="AT847" i="1"/>
  <c r="AS847" i="1"/>
  <c r="AR847" i="1"/>
  <c r="AT846" i="1"/>
  <c r="AS846" i="1"/>
  <c r="AR846" i="1"/>
  <c r="AT845" i="1"/>
  <c r="AS845" i="1"/>
  <c r="AT844" i="1"/>
  <c r="AS844" i="1"/>
  <c r="AR844" i="1"/>
  <c r="AT843" i="1"/>
  <c r="AS843" i="1"/>
  <c r="AR843" i="1"/>
  <c r="AT842" i="1"/>
  <c r="AS842" i="1"/>
  <c r="AR842" i="1"/>
  <c r="AT841" i="1"/>
  <c r="AS841" i="1"/>
  <c r="AR841" i="1"/>
  <c r="AT840" i="1"/>
  <c r="AS840" i="1"/>
  <c r="AR840" i="1"/>
  <c r="AT839" i="1"/>
  <c r="AS839" i="1"/>
  <c r="AR839" i="1"/>
  <c r="AT838" i="1"/>
  <c r="AS838" i="1"/>
  <c r="AT837" i="1"/>
  <c r="AS837" i="1"/>
  <c r="AR837" i="1"/>
  <c r="AT836" i="1"/>
  <c r="AS836" i="1"/>
  <c r="AR836" i="1"/>
  <c r="AT835" i="1"/>
  <c r="AS835" i="1"/>
  <c r="AR835" i="1"/>
  <c r="AT834" i="1"/>
  <c r="AS834" i="1"/>
  <c r="AT833" i="1"/>
  <c r="AS833" i="1"/>
  <c r="AT832" i="1"/>
  <c r="AS832" i="1"/>
  <c r="AT831" i="1"/>
  <c r="AS831" i="1"/>
  <c r="AR831" i="1"/>
  <c r="AT830" i="1"/>
  <c r="AS830" i="1"/>
  <c r="AR830" i="1"/>
  <c r="AT829" i="1"/>
  <c r="AS829" i="1"/>
  <c r="AR829" i="1"/>
  <c r="AT828" i="1"/>
  <c r="AS828" i="1"/>
  <c r="AT827" i="1"/>
  <c r="AS827" i="1"/>
  <c r="AR827" i="1"/>
  <c r="AT826" i="1"/>
  <c r="AS826" i="1"/>
  <c r="AR826" i="1"/>
  <c r="AT825" i="1"/>
  <c r="AS825" i="1"/>
  <c r="AR825" i="1"/>
  <c r="AT824" i="1"/>
  <c r="AS824" i="1"/>
  <c r="AT823" i="1"/>
  <c r="AS823" i="1"/>
  <c r="AR823" i="1"/>
  <c r="AT822" i="1"/>
  <c r="AS822" i="1"/>
  <c r="AR822" i="1"/>
  <c r="AT821" i="1"/>
  <c r="AS821" i="1"/>
  <c r="AT820" i="1"/>
  <c r="AS820" i="1"/>
  <c r="AR820" i="1"/>
  <c r="AT819" i="1"/>
  <c r="AS819" i="1"/>
  <c r="AT818" i="1"/>
  <c r="AS818" i="1"/>
  <c r="AT817" i="1"/>
  <c r="AS817" i="1"/>
  <c r="AR817" i="1"/>
  <c r="AT816" i="1"/>
  <c r="AS816" i="1"/>
  <c r="AT815" i="1"/>
  <c r="AS815" i="1"/>
  <c r="AR815" i="1"/>
  <c r="AT814" i="1"/>
  <c r="AS814" i="1"/>
  <c r="AR814" i="1"/>
  <c r="AT813" i="1"/>
  <c r="AS813" i="1"/>
  <c r="AR813" i="1"/>
  <c r="AT812" i="1"/>
  <c r="AS812" i="1"/>
  <c r="AR812" i="1"/>
  <c r="AT811" i="1"/>
  <c r="AS811" i="1"/>
  <c r="AR811" i="1"/>
  <c r="AT810" i="1"/>
  <c r="AS810" i="1"/>
  <c r="AR810" i="1"/>
  <c r="AT809" i="1"/>
  <c r="AS809" i="1"/>
  <c r="AR809" i="1"/>
  <c r="AT808" i="1"/>
  <c r="AS808" i="1"/>
  <c r="AR808" i="1"/>
  <c r="AT807" i="1"/>
  <c r="AS807" i="1"/>
  <c r="AT806" i="1"/>
  <c r="AS806" i="1"/>
  <c r="AR806" i="1"/>
  <c r="AT805" i="1"/>
  <c r="AS805" i="1"/>
  <c r="AR805" i="1"/>
  <c r="AT804" i="1"/>
  <c r="AS804" i="1"/>
  <c r="AR804" i="1"/>
  <c r="AT803" i="1"/>
  <c r="AS803" i="1"/>
  <c r="AT802" i="1"/>
  <c r="AS802" i="1"/>
  <c r="AR802" i="1"/>
  <c r="AT801" i="1"/>
  <c r="AS801" i="1"/>
  <c r="AR801" i="1"/>
  <c r="AT800" i="1"/>
  <c r="AS800" i="1"/>
  <c r="AR800" i="1"/>
  <c r="AT799" i="1"/>
  <c r="AS799" i="1"/>
  <c r="AR799" i="1"/>
  <c r="AT798" i="1"/>
  <c r="AS798" i="1"/>
  <c r="AR798" i="1"/>
  <c r="AT797" i="1"/>
  <c r="AS797" i="1"/>
  <c r="AR797" i="1"/>
  <c r="AT796" i="1"/>
  <c r="AS796" i="1"/>
  <c r="AT795" i="1"/>
  <c r="AS795" i="1"/>
  <c r="AR795" i="1"/>
  <c r="AT794" i="1"/>
  <c r="AS794" i="1"/>
  <c r="AR794" i="1"/>
  <c r="AT793" i="1"/>
  <c r="AS793" i="1"/>
  <c r="AR793" i="1"/>
  <c r="AT792" i="1"/>
  <c r="AS792" i="1"/>
  <c r="AR792" i="1"/>
  <c r="AT791" i="1"/>
  <c r="AS791" i="1"/>
  <c r="AR791" i="1"/>
  <c r="AT790" i="1"/>
  <c r="AS790" i="1"/>
  <c r="AR790" i="1"/>
  <c r="AT789" i="1"/>
  <c r="AS789" i="1"/>
  <c r="AT788" i="1"/>
  <c r="AS788" i="1"/>
  <c r="AR788" i="1"/>
  <c r="AT787" i="1"/>
  <c r="AS787" i="1"/>
  <c r="AR787" i="1"/>
  <c r="AT786" i="1"/>
  <c r="AS786" i="1"/>
  <c r="AR786" i="1"/>
  <c r="AT785" i="1"/>
  <c r="AS785" i="1"/>
  <c r="AR785" i="1"/>
  <c r="AT784" i="1"/>
  <c r="AS784" i="1"/>
  <c r="AT783" i="1"/>
  <c r="AS783" i="1"/>
  <c r="AT782" i="1"/>
  <c r="AS782" i="1"/>
  <c r="AT781" i="1"/>
  <c r="AS781" i="1"/>
  <c r="AR781" i="1"/>
  <c r="AT780" i="1"/>
  <c r="AS780" i="1"/>
  <c r="AT779" i="1"/>
  <c r="AS779" i="1"/>
  <c r="AT778" i="1"/>
  <c r="AS778" i="1"/>
  <c r="AR778" i="1"/>
  <c r="AT777" i="1"/>
  <c r="AS777" i="1"/>
  <c r="AR777" i="1"/>
  <c r="AT776" i="1"/>
  <c r="AS776" i="1"/>
  <c r="AR776" i="1"/>
  <c r="AT775" i="1"/>
  <c r="AS775" i="1"/>
  <c r="AR775" i="1"/>
  <c r="AT774" i="1"/>
  <c r="AS774" i="1"/>
  <c r="AT773" i="1"/>
  <c r="AS773" i="1"/>
  <c r="AT772" i="1"/>
  <c r="AS772" i="1"/>
  <c r="AT771" i="1"/>
  <c r="AS771" i="1"/>
  <c r="AR771" i="1"/>
  <c r="AT770" i="1"/>
  <c r="AS770" i="1"/>
  <c r="AR770" i="1"/>
  <c r="AT769" i="1"/>
  <c r="AS769" i="1"/>
  <c r="AR769" i="1"/>
  <c r="AT768" i="1"/>
  <c r="AS768" i="1"/>
  <c r="AT767" i="1"/>
  <c r="AS767" i="1"/>
  <c r="AT766" i="1"/>
  <c r="AS766" i="1"/>
  <c r="AT765" i="1"/>
  <c r="AS765" i="1"/>
  <c r="AR765" i="1"/>
  <c r="AT764" i="1"/>
  <c r="AS764" i="1"/>
  <c r="AR764" i="1"/>
  <c r="AT763" i="1"/>
  <c r="AS763" i="1"/>
  <c r="AR763" i="1"/>
  <c r="AT762" i="1"/>
  <c r="AS762" i="1"/>
  <c r="AT761" i="1"/>
  <c r="AS761" i="1"/>
  <c r="AR761" i="1"/>
  <c r="AT760" i="1"/>
  <c r="AS760" i="1"/>
  <c r="AR760" i="1"/>
  <c r="AT759" i="1"/>
  <c r="AS759" i="1"/>
  <c r="AT758" i="1"/>
  <c r="AS758" i="1"/>
  <c r="AR758" i="1"/>
  <c r="AT757" i="1"/>
  <c r="AS757" i="1"/>
  <c r="AT756" i="1"/>
  <c r="AS756" i="1"/>
  <c r="AT755" i="1"/>
  <c r="AS755" i="1"/>
  <c r="AT754" i="1"/>
  <c r="AS754" i="1"/>
  <c r="AT753" i="1"/>
  <c r="AS753" i="1"/>
  <c r="AR753" i="1"/>
  <c r="AT752" i="1"/>
  <c r="AS752" i="1"/>
  <c r="AR752" i="1"/>
  <c r="AT751" i="1"/>
  <c r="AS751" i="1"/>
  <c r="AT750" i="1"/>
  <c r="AS750" i="1"/>
  <c r="AR750" i="1"/>
  <c r="AT749" i="1"/>
  <c r="AS749" i="1"/>
  <c r="AR749" i="1"/>
  <c r="AT748" i="1"/>
  <c r="AS748" i="1"/>
  <c r="AR748" i="1"/>
  <c r="AT747" i="1"/>
  <c r="AS747" i="1"/>
  <c r="AR747" i="1"/>
  <c r="AT746" i="1"/>
  <c r="AS746" i="1"/>
  <c r="AR746" i="1"/>
  <c r="AT745" i="1"/>
  <c r="AS745" i="1"/>
  <c r="AR745" i="1"/>
  <c r="AT744" i="1"/>
  <c r="AS744" i="1"/>
  <c r="AR744" i="1"/>
  <c r="AT743" i="1"/>
  <c r="AS743" i="1"/>
  <c r="AR743" i="1"/>
  <c r="AT742" i="1"/>
  <c r="AS742" i="1"/>
  <c r="AR742" i="1"/>
  <c r="AT741" i="1"/>
  <c r="AS741" i="1"/>
  <c r="AR741" i="1"/>
  <c r="AT740" i="1"/>
  <c r="AS740" i="1"/>
  <c r="AT739" i="1"/>
  <c r="AS739" i="1"/>
  <c r="AR739" i="1"/>
  <c r="AT738" i="1"/>
  <c r="AS738" i="1"/>
  <c r="AR738" i="1"/>
  <c r="AT737" i="1"/>
  <c r="AS737" i="1"/>
  <c r="AT736" i="1"/>
  <c r="AS736" i="1"/>
  <c r="AT735" i="1"/>
  <c r="AS735" i="1"/>
  <c r="AR735" i="1"/>
  <c r="AT734" i="1"/>
  <c r="AS734" i="1"/>
  <c r="AT733" i="1"/>
  <c r="AS733" i="1"/>
  <c r="AR733" i="1"/>
  <c r="AT732" i="1"/>
  <c r="AS732" i="1"/>
  <c r="AR732" i="1"/>
  <c r="AT731" i="1"/>
  <c r="AS731" i="1"/>
  <c r="AR731" i="1"/>
  <c r="AT730" i="1"/>
  <c r="AS730" i="1"/>
  <c r="AR730" i="1"/>
  <c r="AT729" i="1"/>
  <c r="AS729" i="1"/>
  <c r="AR729" i="1"/>
  <c r="AT728" i="1"/>
  <c r="AS728" i="1"/>
  <c r="AR728" i="1"/>
  <c r="AT727" i="1"/>
  <c r="AS727" i="1"/>
  <c r="AR727" i="1"/>
  <c r="AT726" i="1"/>
  <c r="AS726" i="1"/>
  <c r="AR726" i="1"/>
  <c r="AT725" i="1"/>
  <c r="AS725" i="1"/>
  <c r="AT724" i="1"/>
  <c r="AS724" i="1"/>
  <c r="AR724" i="1"/>
  <c r="AT723" i="1"/>
  <c r="AS723" i="1"/>
  <c r="AR723" i="1"/>
  <c r="AT722" i="1"/>
  <c r="AS722" i="1"/>
  <c r="AR722" i="1"/>
  <c r="AT721" i="1"/>
  <c r="AS721" i="1"/>
  <c r="AT720" i="1"/>
  <c r="AS720" i="1"/>
  <c r="AR720" i="1"/>
  <c r="AT719" i="1"/>
  <c r="AS719" i="1"/>
  <c r="AR719" i="1"/>
  <c r="AT718" i="1"/>
  <c r="AS718" i="1"/>
  <c r="AT717" i="1"/>
  <c r="AS717" i="1"/>
  <c r="AR717" i="1"/>
  <c r="AT716" i="1"/>
  <c r="AS716" i="1"/>
  <c r="AR716" i="1"/>
  <c r="AT715" i="1"/>
  <c r="AS715" i="1"/>
  <c r="AR715" i="1"/>
  <c r="AT714" i="1"/>
  <c r="AS714" i="1"/>
  <c r="AR714" i="1"/>
  <c r="AT713" i="1"/>
  <c r="AS713" i="1"/>
  <c r="AR713" i="1"/>
  <c r="AT712" i="1"/>
  <c r="AS712" i="1"/>
  <c r="AT711" i="1"/>
  <c r="AS711" i="1"/>
  <c r="AR711" i="1"/>
  <c r="AT710" i="1"/>
  <c r="AS710" i="1"/>
  <c r="AR710" i="1"/>
  <c r="AT709" i="1"/>
  <c r="AS709" i="1"/>
  <c r="AT708" i="1"/>
  <c r="AS708" i="1"/>
  <c r="AR708" i="1"/>
  <c r="AT707" i="1"/>
  <c r="AS707" i="1"/>
  <c r="AR707" i="1"/>
  <c r="AT706" i="1"/>
  <c r="AS706" i="1"/>
  <c r="AR706" i="1"/>
  <c r="AT705" i="1"/>
  <c r="AS705" i="1"/>
  <c r="AR705" i="1"/>
  <c r="AT704" i="1"/>
  <c r="AS704" i="1"/>
  <c r="AR704" i="1"/>
  <c r="AT703" i="1"/>
  <c r="AS703" i="1"/>
  <c r="AR703" i="1"/>
  <c r="AT702" i="1"/>
  <c r="AS702" i="1"/>
  <c r="AR702" i="1"/>
  <c r="AT701" i="1"/>
  <c r="AS701" i="1"/>
  <c r="AR701" i="1"/>
  <c r="AT700" i="1"/>
  <c r="AS700" i="1"/>
  <c r="AR700" i="1"/>
  <c r="AT699" i="1"/>
  <c r="AS699" i="1"/>
  <c r="AR699" i="1"/>
  <c r="AT698" i="1"/>
  <c r="AS698" i="1"/>
  <c r="AT697" i="1"/>
  <c r="AS697" i="1"/>
  <c r="AR697" i="1"/>
  <c r="AT696" i="1"/>
  <c r="AS696" i="1"/>
  <c r="AR696" i="1"/>
  <c r="AT695" i="1"/>
  <c r="AS695" i="1"/>
  <c r="AT694" i="1"/>
  <c r="AS694" i="1"/>
  <c r="AT693" i="1"/>
  <c r="AS693" i="1"/>
  <c r="AT692" i="1"/>
  <c r="AS692" i="1"/>
  <c r="AT691" i="1"/>
  <c r="AS691" i="1"/>
  <c r="AT690" i="1"/>
  <c r="AS690" i="1"/>
  <c r="AR690" i="1"/>
  <c r="AT689" i="1"/>
  <c r="AS689" i="1"/>
  <c r="AT688" i="1"/>
  <c r="AS688" i="1"/>
  <c r="AT687" i="1"/>
  <c r="AS687" i="1"/>
  <c r="AT686" i="1"/>
  <c r="AS686" i="1"/>
  <c r="AR686" i="1"/>
  <c r="AT685" i="1"/>
  <c r="AS685" i="1"/>
  <c r="AR685" i="1"/>
  <c r="AT684" i="1"/>
  <c r="AS684" i="1"/>
  <c r="AR684" i="1"/>
  <c r="AT683" i="1"/>
  <c r="AS683" i="1"/>
  <c r="AT682" i="1"/>
  <c r="AS682" i="1"/>
  <c r="AR682" i="1"/>
  <c r="AT681" i="1"/>
  <c r="AS681" i="1"/>
  <c r="AR681" i="1"/>
  <c r="AT680" i="1"/>
  <c r="AS680" i="1"/>
  <c r="AR680" i="1"/>
  <c r="AT679" i="1"/>
  <c r="AS679" i="1"/>
  <c r="AR679" i="1"/>
  <c r="AT678" i="1"/>
  <c r="AS678" i="1"/>
  <c r="AR678" i="1"/>
  <c r="AT677" i="1"/>
  <c r="AS677" i="1"/>
  <c r="AR677" i="1"/>
  <c r="AT676" i="1"/>
  <c r="AS676" i="1"/>
  <c r="AR676" i="1"/>
  <c r="AT675" i="1"/>
  <c r="AS675" i="1"/>
  <c r="AR675" i="1"/>
  <c r="AT674" i="1"/>
  <c r="AS674" i="1"/>
  <c r="AR674" i="1"/>
  <c r="AT673" i="1"/>
  <c r="AS673" i="1"/>
  <c r="AR673" i="1"/>
  <c r="AT672" i="1"/>
  <c r="AS672" i="1"/>
  <c r="AR672" i="1"/>
  <c r="AT671" i="1"/>
  <c r="AS671" i="1"/>
  <c r="AT670" i="1"/>
  <c r="AS670" i="1"/>
  <c r="AR670" i="1"/>
  <c r="AT669" i="1"/>
  <c r="AS669" i="1"/>
  <c r="AT668" i="1"/>
  <c r="AS668" i="1"/>
  <c r="AT667" i="1"/>
  <c r="AS667" i="1"/>
  <c r="AR667" i="1"/>
  <c r="AT666" i="1"/>
  <c r="AS666" i="1"/>
  <c r="AR666" i="1"/>
  <c r="AT665" i="1"/>
  <c r="AS665" i="1"/>
  <c r="AR665" i="1"/>
  <c r="AT664" i="1"/>
  <c r="AS664" i="1"/>
  <c r="AR664" i="1"/>
  <c r="AT663" i="1"/>
  <c r="AS663" i="1"/>
  <c r="AR663" i="1"/>
  <c r="AT662" i="1"/>
  <c r="AS662" i="1"/>
  <c r="AR662" i="1"/>
  <c r="AT661" i="1"/>
  <c r="AS661" i="1"/>
  <c r="AR661" i="1"/>
  <c r="AT660" i="1"/>
  <c r="AS660" i="1"/>
  <c r="AT659" i="1"/>
  <c r="AS659" i="1"/>
  <c r="AT658" i="1"/>
  <c r="AS658" i="1"/>
  <c r="AR658" i="1"/>
  <c r="AT657" i="1"/>
  <c r="AS657" i="1"/>
  <c r="AR657" i="1"/>
  <c r="AT656" i="1"/>
  <c r="AS656" i="1"/>
  <c r="AR656" i="1"/>
  <c r="AT655" i="1"/>
  <c r="AS655" i="1"/>
  <c r="AR655" i="1"/>
  <c r="AT654" i="1"/>
  <c r="AS654" i="1"/>
  <c r="AR654" i="1"/>
  <c r="AT653" i="1"/>
  <c r="AS653" i="1"/>
  <c r="AT652" i="1"/>
  <c r="AS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R646" i="1"/>
  <c r="AT645" i="1"/>
  <c r="AS645" i="1"/>
  <c r="AR645" i="1"/>
  <c r="AT644" i="1"/>
  <c r="AS644" i="1"/>
  <c r="AR644" i="1"/>
  <c r="AT643" i="1"/>
  <c r="AS643" i="1"/>
  <c r="AT642" i="1"/>
  <c r="AS642" i="1"/>
  <c r="AT641" i="1"/>
  <c r="AS641" i="1"/>
  <c r="AR641" i="1"/>
  <c r="AT640" i="1"/>
  <c r="AS640" i="1"/>
  <c r="AR640" i="1"/>
  <c r="AT639" i="1"/>
  <c r="AS639" i="1"/>
  <c r="AR639" i="1"/>
  <c r="AT638" i="1"/>
  <c r="AS638" i="1"/>
  <c r="AR638" i="1"/>
  <c r="AT637" i="1"/>
  <c r="AS637" i="1"/>
  <c r="AR637" i="1"/>
  <c r="AT636" i="1"/>
  <c r="AS636" i="1"/>
  <c r="AR636" i="1"/>
  <c r="AT635" i="1"/>
  <c r="AS635" i="1"/>
  <c r="AT634" i="1"/>
  <c r="AS634" i="1"/>
  <c r="AR634" i="1"/>
  <c r="AT633" i="1"/>
  <c r="AS633" i="1"/>
  <c r="AR633" i="1"/>
  <c r="AT632" i="1"/>
  <c r="AS632" i="1"/>
  <c r="AR632" i="1"/>
  <c r="AT631" i="1"/>
  <c r="AS631" i="1"/>
  <c r="AR631" i="1"/>
  <c r="AT630" i="1"/>
  <c r="AS630" i="1"/>
  <c r="AR630" i="1"/>
  <c r="AT629" i="1"/>
  <c r="AS629" i="1"/>
  <c r="AR629" i="1"/>
  <c r="AT628" i="1"/>
  <c r="AS628" i="1"/>
  <c r="AR628" i="1"/>
  <c r="AT627" i="1"/>
  <c r="AS627" i="1"/>
  <c r="AR627" i="1"/>
  <c r="AT626" i="1"/>
  <c r="AS626" i="1"/>
  <c r="AR626" i="1"/>
  <c r="AT625" i="1"/>
  <c r="AS625" i="1"/>
  <c r="AT624" i="1"/>
  <c r="AS624" i="1"/>
  <c r="AR624" i="1"/>
  <c r="AT623" i="1"/>
  <c r="AS623" i="1"/>
  <c r="AR623" i="1"/>
  <c r="AT622" i="1"/>
  <c r="AS622" i="1"/>
  <c r="AR622" i="1"/>
  <c r="AT621" i="1"/>
  <c r="AS621" i="1"/>
  <c r="AR621" i="1"/>
  <c r="AT620" i="1"/>
  <c r="AS620" i="1"/>
  <c r="AR620" i="1"/>
  <c r="AT619" i="1"/>
  <c r="AS619" i="1"/>
  <c r="AT618" i="1"/>
  <c r="AS618" i="1"/>
  <c r="AR618" i="1"/>
  <c r="AT617" i="1"/>
  <c r="AS617" i="1"/>
  <c r="AR617" i="1"/>
  <c r="AT616" i="1"/>
  <c r="AS616" i="1"/>
  <c r="AR616" i="1"/>
  <c r="AT615" i="1"/>
  <c r="AS615" i="1"/>
  <c r="AR615" i="1"/>
  <c r="AT614" i="1"/>
  <c r="AS614" i="1"/>
  <c r="AT613" i="1"/>
  <c r="AS613" i="1"/>
  <c r="AR613" i="1"/>
  <c r="AT612" i="1"/>
  <c r="AS612" i="1"/>
  <c r="AT611" i="1"/>
  <c r="AS611" i="1"/>
  <c r="AT610" i="1"/>
  <c r="AS610" i="1"/>
  <c r="AR610" i="1"/>
  <c r="AT609" i="1"/>
  <c r="AS609" i="1"/>
  <c r="AR609" i="1"/>
  <c r="AT608" i="1"/>
  <c r="AS608" i="1"/>
  <c r="AR608" i="1"/>
  <c r="AT607" i="1"/>
  <c r="AS607" i="1"/>
  <c r="AR607" i="1"/>
  <c r="AT606" i="1"/>
  <c r="AS606" i="1"/>
  <c r="AT605" i="1"/>
  <c r="AS605" i="1"/>
  <c r="AT604" i="1"/>
  <c r="AS604" i="1"/>
  <c r="AR604" i="1"/>
  <c r="AT603" i="1"/>
  <c r="AS603" i="1"/>
  <c r="AR603" i="1"/>
  <c r="AT602" i="1"/>
  <c r="AS602" i="1"/>
  <c r="AR602" i="1"/>
  <c r="AT601" i="1"/>
  <c r="AS601" i="1"/>
  <c r="AR601" i="1"/>
  <c r="AT600" i="1"/>
  <c r="AS600" i="1"/>
  <c r="AR600" i="1"/>
  <c r="AT599" i="1"/>
  <c r="AS599" i="1"/>
  <c r="AR599" i="1"/>
  <c r="AT598" i="1"/>
  <c r="AS598" i="1"/>
  <c r="AR598" i="1"/>
  <c r="AT597" i="1"/>
  <c r="AS597" i="1"/>
  <c r="AT596" i="1"/>
  <c r="AS596" i="1"/>
  <c r="AR596" i="1"/>
  <c r="AT595" i="1"/>
  <c r="AS595" i="1"/>
  <c r="AR595" i="1"/>
  <c r="AT594" i="1"/>
  <c r="AS594" i="1"/>
  <c r="AR594" i="1"/>
  <c r="AT593" i="1"/>
  <c r="AS593" i="1"/>
  <c r="AR593" i="1"/>
  <c r="AT592" i="1"/>
  <c r="AS592" i="1"/>
  <c r="AR592" i="1"/>
  <c r="AT591" i="1"/>
  <c r="AS591" i="1"/>
  <c r="AR591" i="1"/>
  <c r="AT590" i="1"/>
  <c r="AS590" i="1"/>
  <c r="AR590" i="1"/>
  <c r="AT589" i="1"/>
  <c r="AS589" i="1"/>
  <c r="AR589" i="1"/>
  <c r="AT588" i="1"/>
  <c r="AS588" i="1"/>
  <c r="AR588" i="1"/>
  <c r="AT587" i="1"/>
  <c r="AS587" i="1"/>
  <c r="AT586" i="1"/>
  <c r="AS586" i="1"/>
  <c r="AT585" i="1"/>
  <c r="AS585" i="1"/>
  <c r="AT584" i="1"/>
  <c r="AS584" i="1"/>
  <c r="AR584" i="1"/>
  <c r="AT583" i="1"/>
  <c r="AS583" i="1"/>
  <c r="AR583" i="1"/>
  <c r="AT582" i="1"/>
  <c r="AS582" i="1"/>
  <c r="AR582" i="1"/>
  <c r="AT581" i="1"/>
  <c r="AS581" i="1"/>
  <c r="AR581" i="1"/>
  <c r="AT580" i="1"/>
  <c r="AS580" i="1"/>
  <c r="AR580" i="1"/>
  <c r="AT579" i="1"/>
  <c r="AS579" i="1"/>
  <c r="AT578" i="1"/>
  <c r="AS578" i="1"/>
  <c r="AR578" i="1"/>
  <c r="AT577" i="1"/>
  <c r="AS577" i="1"/>
  <c r="AR577" i="1"/>
  <c r="AT576" i="1"/>
  <c r="AS576" i="1"/>
  <c r="AT575" i="1"/>
  <c r="AS575" i="1"/>
  <c r="AR575" i="1"/>
  <c r="AT574" i="1"/>
  <c r="AS574" i="1"/>
  <c r="AT573" i="1"/>
  <c r="AS573" i="1"/>
  <c r="AT572" i="1"/>
  <c r="AS572" i="1"/>
  <c r="AT571" i="1"/>
  <c r="AS571" i="1"/>
  <c r="AR571" i="1"/>
  <c r="AT570" i="1"/>
  <c r="AS570" i="1"/>
  <c r="AT569" i="1"/>
  <c r="AS569" i="1"/>
  <c r="AT568" i="1"/>
  <c r="AS568" i="1"/>
  <c r="AR568" i="1"/>
  <c r="AT567" i="1"/>
  <c r="AS567" i="1"/>
  <c r="AT566" i="1"/>
  <c r="AS566" i="1"/>
  <c r="AR566" i="1"/>
  <c r="AT565" i="1"/>
  <c r="AS565" i="1"/>
  <c r="AR565" i="1"/>
  <c r="AT564" i="1"/>
  <c r="AS564" i="1"/>
  <c r="AR564" i="1"/>
  <c r="AT563" i="1"/>
  <c r="AS563" i="1"/>
  <c r="AT562" i="1"/>
  <c r="AS562" i="1"/>
  <c r="AR562" i="1"/>
  <c r="AT561" i="1"/>
  <c r="AS561" i="1"/>
  <c r="AR561" i="1"/>
  <c r="AT560" i="1"/>
  <c r="AS560" i="1"/>
  <c r="AR560" i="1"/>
  <c r="AT559" i="1"/>
  <c r="AS559" i="1"/>
  <c r="AR559" i="1"/>
  <c r="AT558" i="1"/>
  <c r="AS558" i="1"/>
  <c r="AT557" i="1"/>
  <c r="AS557" i="1"/>
  <c r="AR557" i="1"/>
  <c r="AT556" i="1"/>
  <c r="AS556" i="1"/>
  <c r="AR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R550" i="1"/>
  <c r="AT549" i="1"/>
  <c r="AS549" i="1"/>
  <c r="AR549" i="1"/>
  <c r="AT548" i="1"/>
  <c r="AS548" i="1"/>
  <c r="AR548" i="1"/>
  <c r="AT547" i="1"/>
  <c r="AS547" i="1"/>
  <c r="AR547" i="1"/>
  <c r="AT546" i="1"/>
  <c r="AS546" i="1"/>
  <c r="AT545" i="1"/>
  <c r="AS545" i="1"/>
  <c r="AR545" i="1"/>
  <c r="AT544" i="1"/>
  <c r="AS544" i="1"/>
  <c r="AR544" i="1"/>
  <c r="AT543" i="1"/>
  <c r="AS543" i="1"/>
  <c r="AR543" i="1"/>
  <c r="AT542" i="1"/>
  <c r="AS542" i="1"/>
  <c r="AR542" i="1"/>
  <c r="AT541" i="1"/>
  <c r="AS541" i="1"/>
  <c r="AT540" i="1"/>
  <c r="AS540" i="1"/>
  <c r="AT539" i="1"/>
  <c r="AS539" i="1"/>
  <c r="AR539" i="1"/>
  <c r="AT538" i="1"/>
  <c r="AS538" i="1"/>
  <c r="AT537" i="1"/>
  <c r="AS537" i="1"/>
  <c r="AR537" i="1"/>
  <c r="AT536" i="1"/>
  <c r="AS536" i="1"/>
  <c r="AR536" i="1"/>
  <c r="AT535" i="1"/>
  <c r="AS535" i="1"/>
  <c r="AT534" i="1"/>
  <c r="AS534" i="1"/>
  <c r="AT533" i="1"/>
  <c r="AS533" i="1"/>
  <c r="AT532" i="1"/>
  <c r="AS532" i="1"/>
  <c r="AR532" i="1"/>
  <c r="AT531" i="1"/>
  <c r="AS531" i="1"/>
  <c r="AR531" i="1"/>
  <c r="AT530" i="1"/>
  <c r="AS530" i="1"/>
  <c r="AT529" i="1"/>
  <c r="AS529" i="1"/>
  <c r="AR529" i="1"/>
  <c r="AT528" i="1"/>
  <c r="AS528" i="1"/>
  <c r="AR528" i="1"/>
  <c r="AT527" i="1"/>
  <c r="AS527" i="1"/>
  <c r="AR527" i="1"/>
  <c r="AT526" i="1"/>
  <c r="AS526" i="1"/>
  <c r="AT525" i="1"/>
  <c r="AS525" i="1"/>
  <c r="AT524" i="1"/>
  <c r="AS524" i="1"/>
  <c r="AT523" i="1"/>
  <c r="AS523" i="1"/>
  <c r="AT522" i="1"/>
  <c r="AS522" i="1"/>
  <c r="AT521" i="1"/>
  <c r="AS521" i="1"/>
  <c r="AT520" i="1"/>
  <c r="AS520" i="1"/>
  <c r="AR520" i="1"/>
  <c r="AT519" i="1"/>
  <c r="AS519" i="1"/>
  <c r="AT518" i="1"/>
  <c r="AS518" i="1"/>
  <c r="AT517" i="1"/>
  <c r="AS517" i="1"/>
  <c r="AR517" i="1"/>
  <c r="AT516" i="1"/>
  <c r="AS516" i="1"/>
  <c r="AT515" i="1"/>
  <c r="AS515" i="1"/>
  <c r="AR515" i="1"/>
  <c r="AT514" i="1"/>
  <c r="AS514" i="1"/>
  <c r="AR514" i="1"/>
  <c r="AT513" i="1"/>
  <c r="AS513" i="1"/>
  <c r="AT512" i="1"/>
  <c r="AS512" i="1"/>
  <c r="AT511" i="1"/>
  <c r="AS511" i="1"/>
  <c r="AR511" i="1"/>
  <c r="AT510" i="1"/>
  <c r="AS510" i="1"/>
  <c r="AR510" i="1"/>
  <c r="AT509" i="1"/>
  <c r="AS509" i="1"/>
  <c r="AR509" i="1"/>
  <c r="AT508" i="1"/>
  <c r="AS508" i="1"/>
  <c r="AT507" i="1"/>
  <c r="AS507" i="1"/>
  <c r="AT506" i="1"/>
  <c r="AS506" i="1"/>
  <c r="AT505" i="1"/>
  <c r="AS505" i="1"/>
  <c r="AT504" i="1"/>
  <c r="AS504" i="1"/>
  <c r="AR504" i="1"/>
  <c r="AT503" i="1"/>
  <c r="AS503" i="1"/>
  <c r="AT502" i="1"/>
  <c r="AS502" i="1"/>
  <c r="AR502" i="1"/>
  <c r="AT501" i="1"/>
  <c r="AS501" i="1"/>
  <c r="AR501" i="1"/>
  <c r="AT500" i="1"/>
  <c r="AS500" i="1"/>
  <c r="AR500" i="1"/>
  <c r="AT499" i="1"/>
  <c r="AS499" i="1"/>
  <c r="AR499" i="1"/>
  <c r="AT498" i="1"/>
  <c r="AS498" i="1"/>
  <c r="AT497" i="1"/>
  <c r="AS497" i="1"/>
  <c r="AR497" i="1"/>
  <c r="AT496" i="1"/>
  <c r="AS496" i="1"/>
  <c r="AR496" i="1"/>
  <c r="AT495" i="1"/>
  <c r="AS495" i="1"/>
  <c r="AR495" i="1"/>
  <c r="AT494" i="1"/>
  <c r="AS494" i="1"/>
  <c r="AR494" i="1"/>
  <c r="AT493" i="1"/>
  <c r="AS493" i="1"/>
  <c r="AR493" i="1"/>
  <c r="AT492" i="1"/>
  <c r="AS492" i="1"/>
  <c r="AR492" i="1"/>
  <c r="AT491" i="1"/>
  <c r="AS491" i="1"/>
  <c r="AR491" i="1"/>
  <c r="AT490" i="1"/>
  <c r="AS490" i="1"/>
  <c r="AT489" i="1"/>
  <c r="AS489" i="1"/>
  <c r="AR489" i="1"/>
  <c r="AT488" i="1"/>
  <c r="AS488" i="1"/>
  <c r="AR488" i="1"/>
  <c r="AT487" i="1"/>
  <c r="AS487" i="1"/>
  <c r="AR487" i="1"/>
  <c r="AT486" i="1"/>
  <c r="AS486" i="1"/>
  <c r="AR486" i="1"/>
  <c r="AT485" i="1"/>
  <c r="AS485" i="1"/>
  <c r="AR485" i="1"/>
  <c r="AT484" i="1"/>
  <c r="AS484" i="1"/>
  <c r="AR484" i="1"/>
  <c r="AT483" i="1"/>
  <c r="AS483" i="1"/>
  <c r="AR483" i="1"/>
  <c r="AT482" i="1"/>
  <c r="AS482" i="1"/>
  <c r="AT481" i="1"/>
  <c r="AS481" i="1"/>
  <c r="AT480" i="1"/>
  <c r="AS480" i="1"/>
  <c r="AR480" i="1"/>
  <c r="AT479" i="1"/>
  <c r="AS479" i="1"/>
  <c r="AR479" i="1"/>
  <c r="AT478" i="1"/>
  <c r="AS478" i="1"/>
  <c r="AR478" i="1"/>
  <c r="AT477" i="1"/>
  <c r="AS477" i="1"/>
  <c r="AR477" i="1"/>
  <c r="AT476" i="1"/>
  <c r="AS476" i="1"/>
  <c r="AR476" i="1"/>
  <c r="AT475" i="1"/>
  <c r="AS475" i="1"/>
  <c r="AR475" i="1"/>
  <c r="AT474" i="1"/>
  <c r="AS474" i="1"/>
  <c r="AT473" i="1"/>
  <c r="AS473" i="1"/>
  <c r="AR473" i="1"/>
  <c r="AT472" i="1"/>
  <c r="AS472" i="1"/>
  <c r="AT471" i="1"/>
  <c r="AS471" i="1"/>
  <c r="AR471" i="1"/>
  <c r="AT470" i="1"/>
  <c r="AS470" i="1"/>
  <c r="AR470" i="1"/>
  <c r="AT469" i="1"/>
  <c r="AS469" i="1"/>
  <c r="AR469" i="1"/>
  <c r="AT468" i="1"/>
  <c r="AS468" i="1"/>
  <c r="AT467" i="1"/>
  <c r="AS467" i="1"/>
  <c r="AR467" i="1"/>
  <c r="AT466" i="1"/>
  <c r="AS466" i="1"/>
  <c r="AT465" i="1"/>
  <c r="AS465" i="1"/>
  <c r="AR465" i="1"/>
  <c r="AT464" i="1"/>
  <c r="AS464" i="1"/>
  <c r="AR464" i="1"/>
  <c r="AT463" i="1"/>
  <c r="AS463" i="1"/>
  <c r="AR463" i="1"/>
  <c r="AT462" i="1"/>
  <c r="AS462" i="1"/>
  <c r="AR462" i="1"/>
  <c r="AT461" i="1"/>
  <c r="AS461" i="1"/>
  <c r="AR461" i="1"/>
  <c r="AT460" i="1"/>
  <c r="AS460" i="1"/>
  <c r="AR460" i="1"/>
  <c r="AT459" i="1"/>
  <c r="AS459" i="1"/>
  <c r="AR459" i="1"/>
  <c r="AT458" i="1"/>
  <c r="AS458" i="1"/>
  <c r="AT457" i="1"/>
  <c r="AS457" i="1"/>
  <c r="AR457" i="1"/>
  <c r="AT456" i="1"/>
  <c r="AS456" i="1"/>
  <c r="AR456" i="1"/>
  <c r="AT455" i="1"/>
  <c r="AS455" i="1"/>
  <c r="AR455" i="1"/>
  <c r="AT454" i="1"/>
  <c r="AS454" i="1"/>
  <c r="AR454" i="1"/>
  <c r="AT453" i="1"/>
  <c r="AS453" i="1"/>
  <c r="AR453" i="1"/>
  <c r="AT452" i="1"/>
  <c r="AS452" i="1"/>
  <c r="AR452" i="1"/>
  <c r="AT451" i="1"/>
  <c r="AS451" i="1"/>
  <c r="AR451" i="1"/>
  <c r="AT450" i="1"/>
  <c r="AS450" i="1"/>
  <c r="AR450" i="1"/>
  <c r="AT449" i="1"/>
  <c r="AS449" i="1"/>
  <c r="AT448" i="1"/>
  <c r="AS448" i="1"/>
  <c r="AR448" i="1"/>
  <c r="AT447" i="1"/>
  <c r="AS447" i="1"/>
  <c r="AR447" i="1"/>
  <c r="AT446" i="1"/>
  <c r="AS446" i="1"/>
  <c r="AT445" i="1"/>
  <c r="AS445" i="1"/>
  <c r="AR445" i="1"/>
  <c r="AT444" i="1"/>
  <c r="AS444" i="1"/>
  <c r="AR444" i="1"/>
  <c r="AT443" i="1"/>
  <c r="AS443" i="1"/>
  <c r="AR443" i="1"/>
  <c r="AT442" i="1"/>
  <c r="AS442" i="1"/>
  <c r="AR442" i="1"/>
  <c r="AT441" i="1"/>
  <c r="AS441" i="1"/>
  <c r="AR441" i="1"/>
  <c r="AT440" i="1"/>
  <c r="AS440" i="1"/>
  <c r="AR440" i="1"/>
  <c r="AT439" i="1"/>
  <c r="AS439" i="1"/>
  <c r="AR439" i="1"/>
  <c r="AT438" i="1"/>
  <c r="AS438" i="1"/>
  <c r="AT437" i="1"/>
  <c r="AS437" i="1"/>
  <c r="AT436" i="1"/>
  <c r="AS436" i="1"/>
  <c r="AT435" i="1"/>
  <c r="AS435" i="1"/>
  <c r="AR435" i="1"/>
  <c r="AT434" i="1"/>
  <c r="AS434" i="1"/>
  <c r="AT433" i="1"/>
  <c r="AS433" i="1"/>
  <c r="AR433" i="1"/>
  <c r="AT432" i="1"/>
  <c r="AS432" i="1"/>
  <c r="AR432" i="1"/>
  <c r="AT431" i="1"/>
  <c r="AS431" i="1"/>
  <c r="AT430" i="1"/>
  <c r="AS430" i="1"/>
  <c r="AR430" i="1"/>
  <c r="AT429" i="1"/>
  <c r="AS429" i="1"/>
  <c r="AR429" i="1"/>
  <c r="AT428" i="1"/>
  <c r="AS428" i="1"/>
  <c r="AT427" i="1"/>
  <c r="AS427" i="1"/>
  <c r="AT426" i="1"/>
  <c r="AS426" i="1"/>
  <c r="AR426" i="1"/>
  <c r="AT425" i="1"/>
  <c r="AS425" i="1"/>
  <c r="AR425" i="1"/>
  <c r="AT424" i="1"/>
  <c r="AS424" i="1"/>
  <c r="AR424" i="1"/>
  <c r="AT423" i="1"/>
  <c r="AS423" i="1"/>
  <c r="AR423" i="1"/>
  <c r="AT422" i="1"/>
  <c r="AS422" i="1"/>
  <c r="AR422" i="1"/>
  <c r="AT421" i="1"/>
  <c r="AS421" i="1"/>
  <c r="AR421" i="1"/>
  <c r="AT420" i="1"/>
  <c r="AS420" i="1"/>
  <c r="AT419" i="1"/>
  <c r="AS419" i="1"/>
  <c r="AT418" i="1"/>
  <c r="AS418" i="1"/>
  <c r="AR418" i="1"/>
  <c r="AT417" i="1"/>
  <c r="AS417" i="1"/>
  <c r="AR417" i="1"/>
  <c r="AT416" i="1"/>
  <c r="AS416" i="1"/>
  <c r="AR416" i="1"/>
  <c r="AT415" i="1"/>
  <c r="AS415" i="1"/>
  <c r="AR415" i="1"/>
  <c r="AT414" i="1"/>
  <c r="AS414" i="1"/>
  <c r="AT413" i="1"/>
  <c r="AS413" i="1"/>
  <c r="AR413" i="1"/>
  <c r="AT412" i="1"/>
  <c r="AS412" i="1"/>
  <c r="AT411" i="1"/>
  <c r="AS411" i="1"/>
  <c r="AT410" i="1"/>
  <c r="AS410" i="1"/>
  <c r="AT409" i="1"/>
  <c r="AS409" i="1"/>
  <c r="AT408" i="1"/>
  <c r="AS408" i="1"/>
  <c r="AT407" i="1"/>
  <c r="AS407" i="1"/>
  <c r="AR407" i="1"/>
  <c r="AT406" i="1"/>
  <c r="AS406" i="1"/>
  <c r="AR406" i="1"/>
  <c r="AT405" i="1"/>
  <c r="AS405" i="1"/>
  <c r="AT404" i="1"/>
  <c r="AS404" i="1"/>
  <c r="AT403" i="1"/>
  <c r="AS403" i="1"/>
  <c r="AT402" i="1"/>
  <c r="AS402" i="1"/>
  <c r="AR402" i="1"/>
  <c r="AT401" i="1"/>
  <c r="AS401" i="1"/>
  <c r="AR401" i="1"/>
  <c r="AT400" i="1"/>
  <c r="AS400" i="1"/>
  <c r="AR400" i="1"/>
  <c r="AT399" i="1"/>
  <c r="AS399" i="1"/>
  <c r="AR399" i="1"/>
  <c r="AT398" i="1"/>
  <c r="AS398" i="1"/>
  <c r="AR398" i="1"/>
  <c r="AT397" i="1"/>
  <c r="AS397" i="1"/>
  <c r="AR397" i="1"/>
  <c r="AT396" i="1"/>
  <c r="AS396" i="1"/>
  <c r="AR396" i="1"/>
  <c r="AT395" i="1"/>
  <c r="AS395" i="1"/>
  <c r="AR395" i="1"/>
  <c r="AT394" i="1"/>
  <c r="AS394" i="1"/>
  <c r="AT393" i="1"/>
  <c r="AS393" i="1"/>
  <c r="AT392" i="1"/>
  <c r="AS392" i="1"/>
  <c r="AR392" i="1"/>
  <c r="AT391" i="1"/>
  <c r="AS391" i="1"/>
  <c r="AT390" i="1"/>
  <c r="AS390" i="1"/>
  <c r="AR390" i="1"/>
  <c r="AT389" i="1"/>
  <c r="AS389" i="1"/>
  <c r="AR389" i="1"/>
  <c r="AT388" i="1"/>
  <c r="AS388" i="1"/>
  <c r="AR388" i="1"/>
  <c r="AT387" i="1"/>
  <c r="AS387" i="1"/>
  <c r="AT386" i="1"/>
  <c r="AS386" i="1"/>
  <c r="AT385" i="1"/>
  <c r="AS385" i="1"/>
  <c r="AR385" i="1"/>
  <c r="AT384" i="1"/>
  <c r="AS384" i="1"/>
  <c r="AR384" i="1"/>
  <c r="AT383" i="1"/>
  <c r="AS383" i="1"/>
  <c r="AR383" i="1"/>
  <c r="AT382" i="1"/>
  <c r="AS382" i="1"/>
  <c r="AR382" i="1"/>
  <c r="AT381" i="1"/>
  <c r="AS381" i="1"/>
  <c r="AR381" i="1"/>
  <c r="AT380" i="1"/>
  <c r="AS380" i="1"/>
  <c r="AT379" i="1"/>
  <c r="AS379" i="1"/>
  <c r="AR379" i="1"/>
  <c r="AT378" i="1"/>
  <c r="AS378" i="1"/>
  <c r="AR378" i="1"/>
  <c r="AT377" i="1"/>
  <c r="AS377" i="1"/>
  <c r="AR377" i="1"/>
  <c r="AT376" i="1"/>
  <c r="AS376" i="1"/>
  <c r="AR376" i="1"/>
  <c r="AT375" i="1"/>
  <c r="AS375" i="1"/>
  <c r="AR375" i="1"/>
  <c r="AT374" i="1"/>
  <c r="AS374" i="1"/>
  <c r="AT373" i="1"/>
  <c r="AS373" i="1"/>
  <c r="AR373" i="1"/>
  <c r="AT372" i="1"/>
  <c r="AS372" i="1"/>
  <c r="AR372" i="1"/>
  <c r="AT371" i="1"/>
  <c r="AS371" i="1"/>
  <c r="AR371" i="1"/>
  <c r="AT370" i="1"/>
  <c r="AS370" i="1"/>
  <c r="AR370" i="1"/>
  <c r="AT369" i="1"/>
  <c r="AS369" i="1"/>
  <c r="AR369" i="1"/>
  <c r="AT368" i="1"/>
  <c r="AS368" i="1"/>
  <c r="AR368" i="1"/>
  <c r="AT367" i="1"/>
  <c r="AS367" i="1"/>
  <c r="AR367" i="1"/>
  <c r="AT366" i="1"/>
  <c r="AS366" i="1"/>
  <c r="AR366" i="1"/>
  <c r="AT365" i="1"/>
  <c r="AS365" i="1"/>
  <c r="AT364" i="1"/>
  <c r="AS364" i="1"/>
  <c r="AR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R359" i="1"/>
  <c r="AT358" i="1"/>
  <c r="AS358" i="1"/>
  <c r="AT357" i="1"/>
  <c r="AS357" i="1"/>
  <c r="AT356" i="1"/>
  <c r="AS356" i="1"/>
  <c r="AT355" i="1"/>
  <c r="AS355" i="1"/>
  <c r="AT354" i="1"/>
  <c r="AS354" i="1"/>
  <c r="AT353" i="1"/>
  <c r="AS353" i="1"/>
  <c r="AR353" i="1"/>
  <c r="AT352" i="1"/>
  <c r="AS352" i="1"/>
  <c r="AT351" i="1"/>
  <c r="AS351" i="1"/>
  <c r="AR351" i="1"/>
  <c r="AT350" i="1"/>
  <c r="AS350" i="1"/>
  <c r="AR350" i="1"/>
  <c r="AT349" i="1"/>
  <c r="AS349" i="1"/>
  <c r="AR349" i="1"/>
  <c r="AT348" i="1"/>
  <c r="AS348" i="1"/>
  <c r="AT347" i="1"/>
  <c r="AS347" i="1"/>
  <c r="AR347" i="1"/>
  <c r="AT346" i="1"/>
  <c r="AS346" i="1"/>
  <c r="AR346" i="1"/>
  <c r="AT345" i="1"/>
  <c r="AS345" i="1"/>
  <c r="AR345" i="1"/>
  <c r="AT344" i="1"/>
  <c r="AS344" i="1"/>
  <c r="AR344" i="1"/>
  <c r="AT343" i="1"/>
  <c r="AS343" i="1"/>
  <c r="AR343" i="1"/>
  <c r="AT342" i="1"/>
  <c r="AS342" i="1"/>
  <c r="AR342" i="1"/>
  <c r="AT341" i="1"/>
  <c r="AS341" i="1"/>
  <c r="AR341" i="1"/>
  <c r="AT340" i="1"/>
  <c r="AS340" i="1"/>
  <c r="AT339" i="1"/>
  <c r="AS339" i="1"/>
  <c r="AR339" i="1"/>
  <c r="AT338" i="1"/>
  <c r="AS338" i="1"/>
  <c r="AR338" i="1"/>
  <c r="AT337" i="1"/>
  <c r="AS337" i="1"/>
  <c r="AR337" i="1"/>
  <c r="AT336" i="1"/>
  <c r="AS336" i="1"/>
  <c r="AT335" i="1"/>
  <c r="AS335" i="1"/>
  <c r="AR335" i="1"/>
  <c r="AT334" i="1"/>
  <c r="AS334" i="1"/>
  <c r="AR334" i="1"/>
  <c r="AT333" i="1"/>
  <c r="AS333" i="1"/>
  <c r="AR333" i="1"/>
  <c r="AT332" i="1"/>
  <c r="AS332" i="1"/>
  <c r="AR332" i="1"/>
  <c r="AT331" i="1"/>
  <c r="AS331" i="1"/>
  <c r="AR331" i="1"/>
  <c r="AT330" i="1"/>
  <c r="AS330" i="1"/>
  <c r="AR330" i="1"/>
  <c r="AT329" i="1"/>
  <c r="AS329" i="1"/>
  <c r="AT328" i="1"/>
  <c r="AS328" i="1"/>
  <c r="AR328" i="1"/>
  <c r="AT327" i="1"/>
  <c r="AS327" i="1"/>
  <c r="AR327" i="1"/>
  <c r="AT326" i="1"/>
  <c r="AS326" i="1"/>
  <c r="AR326" i="1"/>
  <c r="AT325" i="1"/>
  <c r="AS325" i="1"/>
  <c r="AT324" i="1"/>
  <c r="AS324" i="1"/>
  <c r="AR324" i="1"/>
  <c r="AT323" i="1"/>
  <c r="AS323" i="1"/>
  <c r="AT322" i="1"/>
  <c r="AS322" i="1"/>
  <c r="AT321" i="1"/>
  <c r="AS321" i="1"/>
  <c r="AT320" i="1"/>
  <c r="AS320" i="1"/>
  <c r="AR320" i="1"/>
  <c r="AT319" i="1"/>
  <c r="AS319" i="1"/>
  <c r="AR319" i="1"/>
  <c r="AT318" i="1"/>
  <c r="AS318" i="1"/>
  <c r="AT317" i="1"/>
  <c r="AS317" i="1"/>
  <c r="AR317" i="1"/>
  <c r="AT316" i="1"/>
  <c r="AS316" i="1"/>
  <c r="AR316" i="1"/>
  <c r="AT315" i="1"/>
  <c r="AS315" i="1"/>
  <c r="AR315" i="1"/>
  <c r="AT314" i="1"/>
  <c r="AS314" i="1"/>
  <c r="AT313" i="1"/>
  <c r="AS313" i="1"/>
  <c r="AT312" i="1"/>
  <c r="AS312" i="1"/>
  <c r="AT311" i="1"/>
  <c r="AS311" i="1"/>
  <c r="AT310" i="1"/>
  <c r="AS310" i="1"/>
  <c r="AR310" i="1"/>
  <c r="AT309" i="1"/>
  <c r="AS309" i="1"/>
  <c r="AT308" i="1"/>
  <c r="AS308" i="1"/>
  <c r="AR308" i="1"/>
  <c r="AT307" i="1"/>
  <c r="AS307" i="1"/>
  <c r="AT306" i="1"/>
  <c r="AS306" i="1"/>
  <c r="AR306" i="1"/>
  <c r="AT305" i="1"/>
  <c r="AS305" i="1"/>
  <c r="AT304" i="1"/>
  <c r="AS304" i="1"/>
  <c r="AT303" i="1"/>
  <c r="AS303" i="1"/>
  <c r="AT302" i="1"/>
  <c r="AS302" i="1"/>
  <c r="AT301" i="1"/>
  <c r="AS301" i="1"/>
  <c r="AR301" i="1"/>
  <c r="AT300" i="1"/>
  <c r="AS300" i="1"/>
  <c r="AR300" i="1"/>
  <c r="AT299" i="1"/>
  <c r="AS299" i="1"/>
  <c r="AR299" i="1"/>
  <c r="AT298" i="1"/>
  <c r="AS298" i="1"/>
  <c r="AR298" i="1"/>
  <c r="AT297" i="1"/>
  <c r="AS297" i="1"/>
  <c r="AT296" i="1"/>
  <c r="AS296" i="1"/>
  <c r="AT295" i="1"/>
  <c r="AS295" i="1"/>
  <c r="AT294" i="1"/>
  <c r="AS294" i="1"/>
  <c r="AR294" i="1"/>
  <c r="AT293" i="1"/>
  <c r="AS293" i="1"/>
  <c r="AR293" i="1"/>
  <c r="AT292" i="1"/>
  <c r="AS292" i="1"/>
  <c r="AT291" i="1"/>
  <c r="AS291" i="1"/>
  <c r="AR291" i="1"/>
  <c r="AT290" i="1"/>
  <c r="AS290" i="1"/>
  <c r="AR290" i="1"/>
  <c r="AT289" i="1"/>
  <c r="AS289" i="1"/>
  <c r="AT288" i="1"/>
  <c r="AS288" i="1"/>
  <c r="AT287" i="1"/>
  <c r="AS287" i="1"/>
  <c r="AR287" i="1"/>
  <c r="AT286" i="1"/>
  <c r="AS286" i="1"/>
  <c r="AT285" i="1"/>
  <c r="AS285" i="1"/>
  <c r="AR285" i="1"/>
  <c r="AT284" i="1"/>
  <c r="AS284" i="1"/>
  <c r="AR284" i="1"/>
  <c r="AT283" i="1"/>
  <c r="AS283" i="1"/>
  <c r="AT282" i="1"/>
  <c r="AS282" i="1"/>
  <c r="AT281" i="1"/>
  <c r="AS281" i="1"/>
  <c r="AR281" i="1"/>
  <c r="AT280" i="1"/>
  <c r="AS280" i="1"/>
  <c r="AR280" i="1"/>
  <c r="AT279" i="1"/>
  <c r="AS279" i="1"/>
  <c r="AR279" i="1"/>
  <c r="AT278" i="1"/>
  <c r="AS278" i="1"/>
  <c r="AR278" i="1"/>
  <c r="AT277" i="1"/>
  <c r="AS277" i="1"/>
  <c r="AT276" i="1"/>
  <c r="AS276" i="1"/>
  <c r="AT275" i="1"/>
  <c r="AS275" i="1"/>
  <c r="AT274" i="1"/>
  <c r="AS274" i="1"/>
  <c r="AR274" i="1"/>
  <c r="AT273" i="1"/>
  <c r="AS273" i="1"/>
  <c r="AR273" i="1"/>
  <c r="AT272" i="1"/>
  <c r="AS272" i="1"/>
  <c r="AR272" i="1"/>
  <c r="AT271" i="1"/>
  <c r="AS271" i="1"/>
  <c r="AR271" i="1"/>
  <c r="AT270" i="1"/>
  <c r="AS270" i="1"/>
  <c r="AR270" i="1"/>
  <c r="AT269" i="1"/>
  <c r="AS269" i="1"/>
  <c r="AT268" i="1"/>
  <c r="AS268" i="1"/>
  <c r="AT267" i="1"/>
  <c r="AS267" i="1"/>
  <c r="AT266" i="1"/>
  <c r="AS266" i="1"/>
  <c r="AT265" i="1"/>
  <c r="AS265" i="1"/>
  <c r="AT264" i="1"/>
  <c r="AS264" i="1"/>
  <c r="AR264" i="1"/>
  <c r="AT263" i="1"/>
  <c r="AS263" i="1"/>
  <c r="AR263" i="1"/>
  <c r="AT262" i="1"/>
  <c r="AS262" i="1"/>
  <c r="AR262" i="1"/>
  <c r="AT261" i="1"/>
  <c r="AS261" i="1"/>
  <c r="AR261" i="1"/>
  <c r="AT260" i="1"/>
  <c r="AS260" i="1"/>
  <c r="AR260" i="1"/>
  <c r="AT259" i="1"/>
  <c r="AS259" i="1"/>
  <c r="AR259" i="1"/>
  <c r="AT258" i="1"/>
  <c r="AS258" i="1"/>
  <c r="AR258" i="1"/>
  <c r="AT257" i="1"/>
  <c r="AS257" i="1"/>
  <c r="AR257" i="1"/>
  <c r="AT256" i="1"/>
  <c r="AS256" i="1"/>
  <c r="AT255" i="1"/>
  <c r="AS255" i="1"/>
  <c r="AT254" i="1"/>
  <c r="AS254" i="1"/>
  <c r="AR254" i="1"/>
  <c r="AT253" i="1"/>
  <c r="AS253" i="1"/>
  <c r="AR253" i="1"/>
  <c r="AT252" i="1"/>
  <c r="AS252" i="1"/>
  <c r="AR252" i="1"/>
  <c r="AT251" i="1"/>
  <c r="AS251" i="1"/>
  <c r="AR251" i="1"/>
  <c r="AT250" i="1"/>
  <c r="AS250" i="1"/>
  <c r="AR250" i="1"/>
  <c r="AT249" i="1"/>
  <c r="AS249" i="1"/>
  <c r="AR249" i="1"/>
  <c r="AT248" i="1"/>
  <c r="AS248" i="1"/>
  <c r="AT247" i="1"/>
  <c r="AS247" i="1"/>
  <c r="AT246" i="1"/>
  <c r="AS246" i="1"/>
  <c r="AT245" i="1"/>
  <c r="AS245" i="1"/>
  <c r="AR245" i="1"/>
  <c r="AT244" i="1"/>
  <c r="AS244" i="1"/>
  <c r="AT243" i="1"/>
  <c r="AS243" i="1"/>
  <c r="AT242" i="1"/>
  <c r="AS242" i="1"/>
  <c r="AT241" i="1"/>
  <c r="AS241" i="1"/>
  <c r="AR241" i="1"/>
  <c r="AT240" i="1"/>
  <c r="AS240" i="1"/>
  <c r="AT239" i="1"/>
  <c r="AS239" i="1"/>
  <c r="AR239" i="1"/>
  <c r="AT238" i="1"/>
  <c r="AS238" i="1"/>
  <c r="AR238" i="1"/>
  <c r="AT237" i="1"/>
  <c r="AS237" i="1"/>
  <c r="AR237" i="1"/>
  <c r="AT236" i="1"/>
  <c r="AS236" i="1"/>
  <c r="AR236" i="1"/>
  <c r="AT235" i="1"/>
  <c r="AS235" i="1"/>
  <c r="AR235" i="1"/>
  <c r="AT234" i="1"/>
  <c r="AS234" i="1"/>
  <c r="AT233" i="1"/>
  <c r="AS233" i="1"/>
  <c r="AR233" i="1"/>
  <c r="AT232" i="1"/>
  <c r="AS232" i="1"/>
  <c r="AR232" i="1"/>
  <c r="AT231" i="1"/>
  <c r="AS231" i="1"/>
  <c r="AT230" i="1"/>
  <c r="AS230" i="1"/>
  <c r="AT229" i="1"/>
  <c r="AS229" i="1"/>
  <c r="AR229" i="1"/>
  <c r="AT228" i="1"/>
  <c r="AS228" i="1"/>
  <c r="AR228" i="1"/>
  <c r="AT227" i="1"/>
  <c r="AS227" i="1"/>
  <c r="AT226" i="1"/>
  <c r="AS226" i="1"/>
  <c r="AR226" i="1"/>
  <c r="AT225" i="1"/>
  <c r="AS225" i="1"/>
  <c r="AR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R214" i="1"/>
  <c r="AT213" i="1"/>
  <c r="AS213" i="1"/>
  <c r="AR213" i="1"/>
  <c r="AT212" i="1"/>
  <c r="AS212" i="1"/>
  <c r="AT211" i="1"/>
  <c r="AS211" i="1"/>
  <c r="AR211" i="1"/>
  <c r="AT210" i="1"/>
  <c r="AS210" i="1"/>
  <c r="AT209" i="1"/>
  <c r="AS209" i="1"/>
  <c r="AT208" i="1"/>
  <c r="AS208" i="1"/>
  <c r="AR208" i="1"/>
  <c r="AT207" i="1"/>
  <c r="AS207" i="1"/>
  <c r="AT206" i="1"/>
  <c r="AS206" i="1"/>
  <c r="AR206" i="1"/>
  <c r="AT205" i="1"/>
  <c r="AS205" i="1"/>
  <c r="AR205" i="1"/>
  <c r="AT204" i="1"/>
  <c r="AS204" i="1"/>
  <c r="AT203" i="1"/>
  <c r="AS203" i="1"/>
  <c r="AT202" i="1"/>
  <c r="AS202" i="1"/>
  <c r="AT201" i="1"/>
  <c r="AS201" i="1"/>
  <c r="AT200" i="1"/>
  <c r="AS200" i="1"/>
  <c r="AR200" i="1"/>
  <c r="AT199" i="1"/>
  <c r="AS199" i="1"/>
  <c r="AT198" i="1"/>
  <c r="AS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T191" i="1"/>
  <c r="AS191" i="1"/>
  <c r="AT190" i="1"/>
  <c r="AS190" i="1"/>
  <c r="AR190" i="1"/>
  <c r="AT189" i="1"/>
  <c r="AS189" i="1"/>
  <c r="AT188" i="1"/>
  <c r="AS188" i="1"/>
  <c r="AR188" i="1"/>
  <c r="AT187" i="1"/>
  <c r="AS187" i="1"/>
  <c r="AR187" i="1"/>
  <c r="AT186" i="1"/>
  <c r="AS186" i="1"/>
  <c r="AT185" i="1"/>
  <c r="AS185" i="1"/>
  <c r="AR185" i="1"/>
  <c r="AT184" i="1"/>
  <c r="AS184" i="1"/>
  <c r="AT183" i="1"/>
  <c r="AS183" i="1"/>
  <c r="AR183" i="1"/>
  <c r="AT182" i="1"/>
  <c r="AS182" i="1"/>
  <c r="AR182" i="1"/>
  <c r="AT181" i="1"/>
  <c r="AS181" i="1"/>
  <c r="AT180" i="1"/>
  <c r="AS180" i="1"/>
  <c r="AR180" i="1"/>
  <c r="AT179" i="1"/>
  <c r="AS179" i="1"/>
  <c r="AR179" i="1"/>
  <c r="AT178" i="1"/>
  <c r="AS178" i="1"/>
  <c r="AR178" i="1"/>
  <c r="AT177" i="1"/>
  <c r="AS177" i="1"/>
  <c r="AT176" i="1"/>
  <c r="AS176" i="1"/>
  <c r="AR176" i="1"/>
  <c r="AT175" i="1"/>
  <c r="AS175" i="1"/>
  <c r="AR175" i="1"/>
  <c r="AT174" i="1"/>
  <c r="AS174" i="1"/>
  <c r="AT173" i="1"/>
  <c r="AS173" i="1"/>
  <c r="AT172" i="1"/>
  <c r="AS172" i="1"/>
  <c r="AT171" i="1"/>
  <c r="AS171" i="1"/>
  <c r="AR171" i="1"/>
  <c r="AT170" i="1"/>
  <c r="AS170" i="1"/>
  <c r="AT169" i="1"/>
  <c r="AS169" i="1"/>
  <c r="AT168" i="1"/>
  <c r="AS168" i="1"/>
  <c r="AR168" i="1"/>
  <c r="AT167" i="1"/>
  <c r="AS167" i="1"/>
  <c r="AR167" i="1"/>
  <c r="AT166" i="1"/>
  <c r="AS166" i="1"/>
  <c r="AT165" i="1"/>
  <c r="AS165" i="1"/>
  <c r="AR165" i="1"/>
  <c r="AT164" i="1"/>
  <c r="AS164" i="1"/>
  <c r="AR164" i="1"/>
  <c r="AT163" i="1"/>
  <c r="AS163" i="1"/>
  <c r="AR163" i="1"/>
  <c r="AT162" i="1"/>
  <c r="AS162" i="1"/>
  <c r="AR162" i="1"/>
  <c r="AT161" i="1"/>
  <c r="AS161" i="1"/>
  <c r="AR161" i="1"/>
  <c r="AT160" i="1"/>
  <c r="AS160" i="1"/>
  <c r="AR160" i="1"/>
  <c r="AT159" i="1"/>
  <c r="AS159" i="1"/>
  <c r="AT158" i="1"/>
  <c r="AS158" i="1"/>
  <c r="AT157" i="1"/>
  <c r="AS157" i="1"/>
  <c r="AR157" i="1"/>
  <c r="AT156" i="1"/>
  <c r="AS156" i="1"/>
  <c r="AR156" i="1"/>
  <c r="AT155" i="1"/>
  <c r="AS155" i="1"/>
  <c r="AT154" i="1"/>
  <c r="AS154" i="1"/>
  <c r="AR154" i="1"/>
  <c r="AT153" i="1"/>
  <c r="AS153" i="1"/>
  <c r="AT152" i="1"/>
  <c r="AS152" i="1"/>
  <c r="AT151" i="1"/>
  <c r="AS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R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T136" i="1"/>
  <c r="AS136" i="1"/>
  <c r="AR136" i="1"/>
  <c r="AT135" i="1"/>
  <c r="AS135" i="1"/>
  <c r="AR135" i="1"/>
  <c r="AT134" i="1"/>
  <c r="AS134" i="1"/>
  <c r="AR134" i="1"/>
  <c r="AT133" i="1"/>
  <c r="AS133" i="1"/>
  <c r="AT132" i="1"/>
  <c r="AS132" i="1"/>
  <c r="AT131" i="1"/>
  <c r="AS131" i="1"/>
  <c r="AT130" i="1"/>
  <c r="AS130" i="1"/>
  <c r="AT129" i="1"/>
  <c r="AS129" i="1"/>
  <c r="AR129" i="1"/>
  <c r="AT128" i="1"/>
  <c r="AS128" i="1"/>
  <c r="AT127" i="1"/>
  <c r="AS127" i="1"/>
  <c r="AT126" i="1"/>
  <c r="AS126" i="1"/>
  <c r="AT125" i="1"/>
  <c r="AS125" i="1"/>
  <c r="AR125" i="1"/>
  <c r="AT124" i="1"/>
  <c r="AS124" i="1"/>
  <c r="AR124" i="1"/>
  <c r="AT123" i="1"/>
  <c r="AS123" i="1"/>
  <c r="AR123" i="1"/>
  <c r="AT122" i="1"/>
  <c r="AS122" i="1"/>
  <c r="AT121" i="1"/>
  <c r="AS121" i="1"/>
  <c r="AT120" i="1"/>
  <c r="AS120" i="1"/>
  <c r="AR120" i="1"/>
  <c r="AT119" i="1"/>
  <c r="AS119" i="1"/>
  <c r="AT118" i="1"/>
  <c r="AS118" i="1"/>
  <c r="AR118" i="1"/>
  <c r="AT117" i="1"/>
  <c r="AS117" i="1"/>
  <c r="AR117" i="1"/>
  <c r="AT116" i="1"/>
  <c r="AS116" i="1"/>
  <c r="AT115" i="1"/>
  <c r="AS115" i="1"/>
  <c r="AR115" i="1"/>
  <c r="AT114" i="1"/>
  <c r="AS114" i="1"/>
  <c r="AR114" i="1"/>
  <c r="AT113" i="1"/>
  <c r="AS113" i="1"/>
  <c r="AR113" i="1"/>
  <c r="AT112" i="1"/>
  <c r="AS112" i="1"/>
  <c r="AR112" i="1"/>
  <c r="AT111" i="1"/>
  <c r="AS111" i="1"/>
  <c r="AR111" i="1"/>
  <c r="AT110" i="1"/>
  <c r="AS110" i="1"/>
  <c r="AT109" i="1"/>
  <c r="AS109" i="1"/>
  <c r="AT108" i="1"/>
  <c r="AS108" i="1"/>
  <c r="AR108" i="1"/>
  <c r="AT107" i="1"/>
  <c r="AS107" i="1"/>
  <c r="AT106" i="1"/>
  <c r="AS106" i="1"/>
  <c r="AR106" i="1"/>
  <c r="AT105" i="1"/>
  <c r="AS105" i="1"/>
  <c r="AR105" i="1"/>
  <c r="AT104" i="1"/>
  <c r="AS104" i="1"/>
  <c r="AT103" i="1"/>
  <c r="AS103" i="1"/>
  <c r="AR103" i="1"/>
  <c r="AT102" i="1"/>
  <c r="AS102" i="1"/>
  <c r="AR102" i="1"/>
  <c r="AT101" i="1"/>
  <c r="AS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R95" i="1"/>
  <c r="AT94" i="1"/>
  <c r="AS94" i="1"/>
  <c r="AR94" i="1"/>
  <c r="AT93" i="1"/>
  <c r="AS93" i="1"/>
  <c r="AT92" i="1"/>
  <c r="AS92" i="1"/>
  <c r="AR92" i="1"/>
  <c r="AT91" i="1"/>
  <c r="AS91" i="1"/>
  <c r="AT90" i="1"/>
  <c r="AS90" i="1"/>
  <c r="AR90" i="1"/>
  <c r="AT89" i="1"/>
  <c r="AS89" i="1"/>
  <c r="AT88" i="1"/>
  <c r="AS88" i="1"/>
  <c r="AT87" i="1"/>
  <c r="AS87" i="1"/>
  <c r="AT86" i="1"/>
  <c r="AS86" i="1"/>
  <c r="AT85" i="1"/>
  <c r="AS85" i="1"/>
  <c r="AR85" i="1"/>
  <c r="AT84" i="1"/>
  <c r="AS84" i="1"/>
  <c r="AT83" i="1"/>
  <c r="AS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R77" i="1"/>
  <c r="AT76" i="1"/>
  <c r="AS76" i="1"/>
  <c r="AR76" i="1"/>
  <c r="AT75" i="1"/>
  <c r="AS75" i="1"/>
  <c r="AR75" i="1"/>
  <c r="AT74" i="1"/>
  <c r="AS74" i="1"/>
  <c r="AT73" i="1"/>
  <c r="AS73" i="1"/>
  <c r="AR73" i="1"/>
  <c r="AT72" i="1"/>
  <c r="AS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T66" i="1"/>
  <c r="AS66" i="1"/>
  <c r="AR66" i="1"/>
  <c r="AT65" i="1"/>
  <c r="AS65" i="1"/>
  <c r="AR65" i="1"/>
  <c r="AT64" i="1"/>
  <c r="AS64" i="1"/>
  <c r="AT63" i="1"/>
  <c r="AS63" i="1"/>
  <c r="AR63" i="1"/>
  <c r="AT62" i="1"/>
  <c r="AS62" i="1"/>
  <c r="AR62" i="1"/>
  <c r="AT61" i="1"/>
  <c r="AS61" i="1"/>
  <c r="AR61" i="1"/>
  <c r="AT60" i="1"/>
  <c r="AS60" i="1"/>
  <c r="AR60" i="1"/>
  <c r="AT59" i="1"/>
  <c r="AS59" i="1"/>
  <c r="AR59" i="1"/>
  <c r="AT58" i="1"/>
  <c r="AS58" i="1"/>
  <c r="AR58" i="1"/>
  <c r="AT57" i="1"/>
  <c r="AS57" i="1"/>
  <c r="AR57" i="1"/>
  <c r="AT56" i="1"/>
  <c r="AS56" i="1"/>
  <c r="AR56" i="1"/>
  <c r="AT55" i="1"/>
  <c r="AS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T49" i="1"/>
  <c r="AS49" i="1"/>
  <c r="AR49" i="1"/>
  <c r="AT48" i="1"/>
  <c r="AS48" i="1"/>
  <c r="AR48" i="1"/>
  <c r="AT47" i="1"/>
  <c r="AS47" i="1"/>
  <c r="AT46" i="1"/>
  <c r="AS46" i="1"/>
  <c r="AR46" i="1"/>
  <c r="AT45" i="1"/>
  <c r="AS45" i="1"/>
  <c r="AR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R37" i="1"/>
  <c r="AT36" i="1"/>
  <c r="AS36" i="1"/>
  <c r="AT35" i="1"/>
  <c r="AS35" i="1"/>
  <c r="AR35" i="1"/>
  <c r="AT34" i="1"/>
  <c r="AS34" i="1"/>
  <c r="AR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R29" i="1"/>
  <c r="AT28" i="1"/>
  <c r="AS28" i="1"/>
  <c r="AT27" i="1"/>
  <c r="AS27" i="1"/>
  <c r="AR27" i="1"/>
  <c r="AT26" i="1"/>
  <c r="AS26" i="1"/>
  <c r="AT25" i="1"/>
  <c r="AS25" i="1"/>
  <c r="AR25" i="1"/>
  <c r="AT24" i="1"/>
  <c r="AS24" i="1"/>
  <c r="AR24" i="1"/>
  <c r="AT23" i="1"/>
  <c r="AS23" i="1"/>
  <c r="AR23" i="1"/>
  <c r="AT22" i="1"/>
  <c r="AS22" i="1"/>
  <c r="AR22" i="1"/>
  <c r="AT21" i="1"/>
  <c r="AS21" i="1"/>
  <c r="AR21" i="1"/>
  <c r="AT20" i="1"/>
  <c r="AS20" i="1"/>
  <c r="AT19" i="1"/>
  <c r="AS19" i="1"/>
  <c r="AT18" i="1"/>
  <c r="AS18" i="1"/>
  <c r="AR18" i="1"/>
  <c r="AT17" i="1"/>
  <c r="AS17" i="1"/>
  <c r="AR17" i="1"/>
  <c r="AT16" i="1"/>
  <c r="AS16" i="1"/>
  <c r="AT15" i="1"/>
  <c r="AS15" i="1"/>
  <c r="AR15" i="1"/>
  <c r="AT14" i="1"/>
  <c r="AS14" i="1"/>
  <c r="AR14" i="1"/>
  <c r="AT13" i="1"/>
  <c r="AS13" i="1"/>
  <c r="AT12" i="1"/>
  <c r="AS12" i="1"/>
  <c r="AT11" i="1"/>
  <c r="AS11" i="1"/>
  <c r="AR11" i="1"/>
  <c r="AT10" i="1"/>
  <c r="AS10" i="1"/>
  <c r="AR10" i="1"/>
  <c r="AT9" i="1"/>
  <c r="AS9" i="1"/>
  <c r="AR9" i="1"/>
  <c r="AT8" i="1"/>
  <c r="AS8" i="1"/>
  <c r="AR8" i="1"/>
  <c r="AT7" i="1"/>
  <c r="AS7" i="1"/>
  <c r="AR7" i="1"/>
  <c r="AT6" i="1"/>
  <c r="AS6" i="1"/>
  <c r="AR6" i="1"/>
  <c r="AT5" i="1"/>
  <c r="AS5" i="1"/>
  <c r="AR5" i="1"/>
  <c r="AT4" i="1"/>
  <c r="AS4" i="1"/>
  <c r="AR4" i="1"/>
  <c r="AT3" i="1"/>
  <c r="AS3" i="1"/>
  <c r="AR3" i="1"/>
  <c r="AT2" i="1"/>
  <c r="AS2" i="1"/>
  <c r="AR2" i="1"/>
</calcChain>
</file>

<file path=xl/sharedStrings.xml><?xml version="1.0" encoding="utf-8"?>
<sst xmlns="http://schemas.openxmlformats.org/spreadsheetml/2006/main" count="42442" uniqueCount="17130">
  <si>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</si>
  <si>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</si>
  <si>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</si>
  <si>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</si>
  <si>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</si>
  <si>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</si>
  <si>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</si>
  <si>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</si>
  <si>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</si>
  <si>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</si>
  <si>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</si>
  <si>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</si>
  <si>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</si>
  <si>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</si>
  <si>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</si>
  <si>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</si>
  <si>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</si>
  <si>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</si>
  <si>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</si>
  <si>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</si>
  <si>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</si>
  <si>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</si>
  <si>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</si>
  <si>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</si>
  <si>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</si>
  <si>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</si>
  <si>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</si>
  <si>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</si>
  <si>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</si>
  <si>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 xml:space="preserve">All Comparator Library Holdings 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</si>
  <si>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</si>
  <si>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</si>
  <si>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</si>
  <si>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</si>
  <si>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</si>
  <si>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</si>
  <si>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</si>
  <si>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</si>
  <si>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</si>
  <si>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</si>
  <si>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</si>
  <si>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</si>
  <si>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</si>
  <si>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</si>
  <si>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</si>
  <si>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</si>
  <si>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</si>
  <si>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</si>
  <si>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</si>
  <si>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</si>
  <si>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</si>
  <si>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</si>
  <si>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</si>
  <si>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</si>
  <si>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</si>
  <si>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BF1 .P79 no.12</t>
  </si>
  <si>
    <t>0                      BF 0001000P  79                                                      no.12</t>
  </si>
  <si>
    <t>The formation and transformation of the perceptual world.</t>
  </si>
  <si>
    <t>no.12*</t>
  </si>
  <si>
    <t>No</t>
  </si>
  <si>
    <t>1</t>
  </si>
  <si>
    <t>0</t>
  </si>
  <si>
    <t>Köhler, Ivo.</t>
  </si>
  <si>
    <t>New York : International Universities Press, 1964.</t>
  </si>
  <si>
    <t>1964</t>
  </si>
  <si>
    <t>eng</t>
  </si>
  <si>
    <t>nyu</t>
  </si>
  <si>
    <t>Psychological issues ; v. 3, no. 4, Monograph 12</t>
  </si>
  <si>
    <t xml:space="preserve">BF </t>
  </si>
  <si>
    <t>1994-02-15</t>
  </si>
  <si>
    <t>1992-04-08</t>
  </si>
  <si>
    <t>Yes</t>
  </si>
  <si>
    <t>233011563:eng</t>
  </si>
  <si>
    <t>874332070</t>
  </si>
  <si>
    <t>991002985579702656</t>
  </si>
  <si>
    <t>2261402890002656</t>
  </si>
  <si>
    <t>BOOK</t>
  </si>
  <si>
    <t>32285000845643</t>
  </si>
  <si>
    <t>893409789</t>
  </si>
  <si>
    <t>BF1 .P79 no.2</t>
  </si>
  <si>
    <t>0                      BF 0001000P  79                                                      no.2</t>
  </si>
  <si>
    <t>Studies in remembering : the reproduction of connected and extended verbal material.</t>
  </si>
  <si>
    <t>no.2*</t>
  </si>
  <si>
    <t>Paul, I. H. (Irving H.), 1928-</t>
  </si>
  <si>
    <t>New York : International Universities Press, 1959.</t>
  </si>
  <si>
    <t>1959</t>
  </si>
  <si>
    <t>Psychological issues ; v. 1, no. 2, Monograph 2</t>
  </si>
  <si>
    <t>1997-03-04</t>
  </si>
  <si>
    <t>287279989:eng</t>
  </si>
  <si>
    <t>700094</t>
  </si>
  <si>
    <t>991003160799702656</t>
  </si>
  <si>
    <t>2256592850002656</t>
  </si>
  <si>
    <t>32285000845569</t>
  </si>
  <si>
    <t>893352707</t>
  </si>
  <si>
    <t>BF1 .P79 no.25-26</t>
  </si>
  <si>
    <t>0                      BF 0001000P  79                                                      no.25-26</t>
  </si>
  <si>
    <t>Information, systems, and psychoanalysis : an evolutionary biological approach to psychoanalytic theory / by Emanuel Peterfreund, in collaboration with Jacob T. Schwartz.</t>
  </si>
  <si>
    <t>no.25-26*</t>
  </si>
  <si>
    <t>Peterfreund, Emanuel, 1924-</t>
  </si>
  <si>
    <t>New York : International Universities Press, [1971]</t>
  </si>
  <si>
    <t>1971</t>
  </si>
  <si>
    <t>Psychological issues ; v. 7, no. 1/2, Monograph 25/26</t>
  </si>
  <si>
    <t>1999-01-31</t>
  </si>
  <si>
    <t>1333101:eng</t>
  </si>
  <si>
    <t>148197</t>
  </si>
  <si>
    <t>991000832199702656</t>
  </si>
  <si>
    <t>2259927130002656</t>
  </si>
  <si>
    <t>32285000845676</t>
  </si>
  <si>
    <t>893891055</t>
  </si>
  <si>
    <t>BF1 .P79 no.28</t>
  </si>
  <si>
    <t>0                      BF 0001000P  79                                                      no.28</t>
  </si>
  <si>
    <t>Immediate effects on patients of psychoanalytic interpretations / by Edith Levitov Garduk and Ernest A. Haggard.</t>
  </si>
  <si>
    <t>no.28*</t>
  </si>
  <si>
    <t>Garduk, Edith Levitov.</t>
  </si>
  <si>
    <t>New York : International Universities Press, [1972]</t>
  </si>
  <si>
    <t>1972</t>
  </si>
  <si>
    <t>Psychological issues ; v. 7, no. 4. Monograph 28</t>
  </si>
  <si>
    <t>1994-11-12</t>
  </si>
  <si>
    <t>1410996:eng</t>
  </si>
  <si>
    <t>324461</t>
  </si>
  <si>
    <t>991002344769702656</t>
  </si>
  <si>
    <t>2255135440002656</t>
  </si>
  <si>
    <t>9780823625307</t>
  </si>
  <si>
    <t>32285000845692</t>
  </si>
  <si>
    <t>893427495</t>
  </si>
  <si>
    <t>BF1 .P79 no.32</t>
  </si>
  <si>
    <t>0                      BF 0001000P  79                                                      no.32</t>
  </si>
  <si>
    <t>Scientific thought and social reality : essays / edited by Fred Schwartz.</t>
  </si>
  <si>
    <t>no.32*</t>
  </si>
  <si>
    <t>Polanyi, Michael, 1891-1976.</t>
  </si>
  <si>
    <t>New York : International Universities Press, [1974]</t>
  </si>
  <si>
    <t>1974</t>
  </si>
  <si>
    <t>Psychological issues ; v. 8, no. 4, monograph 32</t>
  </si>
  <si>
    <t>2006-10-13</t>
  </si>
  <si>
    <t>2000-06-15</t>
  </si>
  <si>
    <t>864121461:eng</t>
  </si>
  <si>
    <t>866635</t>
  </si>
  <si>
    <t>991003092499702656</t>
  </si>
  <si>
    <t>2262714860002656</t>
  </si>
  <si>
    <t>9780823660056</t>
  </si>
  <si>
    <t>32285000845726</t>
  </si>
  <si>
    <t>893329952</t>
  </si>
  <si>
    <t>BF1 .P79 no.37</t>
  </si>
  <si>
    <t>0                      BF 0001000P  79                                                      no.37</t>
  </si>
  <si>
    <t>Emotional expression in infancy : a biobehavioral study / Robert N. Emde, Theodore J. Gaensbauer, and Robert J. Harmon.</t>
  </si>
  <si>
    <t>no.37*</t>
  </si>
  <si>
    <t>Emde, Robert N.</t>
  </si>
  <si>
    <t>New York : International Universities Press, c1976.</t>
  </si>
  <si>
    <t>1976</t>
  </si>
  <si>
    <t>Psychological issues ; v. 10, no. 1, monograph 37</t>
  </si>
  <si>
    <t>2004-04-20</t>
  </si>
  <si>
    <t>356304:eng</t>
  </si>
  <si>
    <t>2202416</t>
  </si>
  <si>
    <t>991003112349702656</t>
  </si>
  <si>
    <t>2258634460002656</t>
  </si>
  <si>
    <t>9780823616510</t>
  </si>
  <si>
    <t>32285000845767</t>
  </si>
  <si>
    <t>893880831</t>
  </si>
  <si>
    <t>BF1 .P79 no.49</t>
  </si>
  <si>
    <t>0                      BF 0001000P  79                                                      no.49</t>
  </si>
  <si>
    <t>The power of form : a psychoanalytic approach to aesthetic form / Gilbert J. Rose.</t>
  </si>
  <si>
    <t>no.49*</t>
  </si>
  <si>
    <t>Rose, Gilbert J., 1923-</t>
  </si>
  <si>
    <t>New York : International Universities Press, 1980.</t>
  </si>
  <si>
    <t>1980</t>
  </si>
  <si>
    <t>Psychological issues ; monograph 49</t>
  </si>
  <si>
    <t>2009-09-27</t>
  </si>
  <si>
    <t>489339:eng</t>
  </si>
  <si>
    <t>5990571</t>
  </si>
  <si>
    <t>991003142689702656</t>
  </si>
  <si>
    <t>2260712560002656</t>
  </si>
  <si>
    <t>9780823641703</t>
  </si>
  <si>
    <t>32285000845833</t>
  </si>
  <si>
    <t>893704950</t>
  </si>
  <si>
    <t>BF1 .P79 no.5</t>
  </si>
  <si>
    <t>0                      BF 0001000P  79                                                      no.5</t>
  </si>
  <si>
    <t>The developmental psychologies of Jean Piaget and psychoanalysis.</t>
  </si>
  <si>
    <t>no.5*</t>
  </si>
  <si>
    <t>Wolff, Peter H.</t>
  </si>
  <si>
    <t>New York : International Universities Press, 1960.</t>
  </si>
  <si>
    <t>1960</t>
  </si>
  <si>
    <t>Psychological issues ; v. 2, no. 1, monograph 5</t>
  </si>
  <si>
    <t>1996-09-30</t>
  </si>
  <si>
    <t>5750933:eng</t>
  </si>
  <si>
    <t>2672362</t>
  </si>
  <si>
    <t>991004207779702656</t>
  </si>
  <si>
    <t>2260643430002656</t>
  </si>
  <si>
    <t>32285000845593</t>
  </si>
  <si>
    <t>893519371</t>
  </si>
  <si>
    <t>BF1 .P79 no.52</t>
  </si>
  <si>
    <t>0                      BF 0001000P  79                                                      no.52</t>
  </si>
  <si>
    <t>Anxiety and defensive strategies in childhood and adolescence / Gudmund J.W. Smith and Anna Danielsson.</t>
  </si>
  <si>
    <t>no.52*</t>
  </si>
  <si>
    <t>Smith, Gudmund J. W.</t>
  </si>
  <si>
    <t>New York : International Universities Press, 1982.</t>
  </si>
  <si>
    <t>1982</t>
  </si>
  <si>
    <t>Psychological issues ; monograph 52</t>
  </si>
  <si>
    <t>2004-03-02</t>
  </si>
  <si>
    <t>30879914:eng</t>
  </si>
  <si>
    <t>8115050</t>
  </si>
  <si>
    <t>991003157249702656</t>
  </si>
  <si>
    <t>2257920840002656</t>
  </si>
  <si>
    <t>9780823603893</t>
  </si>
  <si>
    <t>32285000845841</t>
  </si>
  <si>
    <t>893874480</t>
  </si>
  <si>
    <t>BF1 .P79 no.8</t>
  </si>
  <si>
    <t>0                      BF 0001000P  79                                                      no.8</t>
  </si>
  <si>
    <t>Personality organization in cognitive controls and intellectual abilities / by Riley W. Gardner, Douglas N. Jackson [and] Samuel J. Messick.</t>
  </si>
  <si>
    <t>no.8*</t>
  </si>
  <si>
    <t>Gardner, Riley W. (Riley Wetherell), 1921-2007.</t>
  </si>
  <si>
    <t>New York : International Universities Press, c1960.</t>
  </si>
  <si>
    <t>Psychological issues, v. 2, no. 4. Monograph 8</t>
  </si>
  <si>
    <t>1995-10-30</t>
  </si>
  <si>
    <t>1379566:eng</t>
  </si>
  <si>
    <t>239401</t>
  </si>
  <si>
    <t>991001902919702656</t>
  </si>
  <si>
    <t>2256780280002656</t>
  </si>
  <si>
    <t>32285000845627</t>
  </si>
  <si>
    <t>893503785</t>
  </si>
  <si>
    <t>BF1023 .M8 1975</t>
  </si>
  <si>
    <t>0                      BF 1023000M  8           1975</t>
  </si>
  <si>
    <t>The case for and against psychical belief / edited by Carl Murchison.</t>
  </si>
  <si>
    <t>Murchison, Carl, 1887-1961 editor.</t>
  </si>
  <si>
    <t>New York : Arno Press, 1975 [c1927]</t>
  </si>
  <si>
    <t>1975</t>
  </si>
  <si>
    <t>Perspectives in psychical research</t>
  </si>
  <si>
    <t>2006-12-03</t>
  </si>
  <si>
    <t>1996-08-07</t>
  </si>
  <si>
    <t>1504350:eng</t>
  </si>
  <si>
    <t>1341365</t>
  </si>
  <si>
    <t>991003704499702656</t>
  </si>
  <si>
    <t>2262383340002656</t>
  </si>
  <si>
    <t>9780405070372</t>
  </si>
  <si>
    <t>32285002257755</t>
  </si>
  <si>
    <t>893627721</t>
  </si>
  <si>
    <t>BF103 .R62</t>
  </si>
  <si>
    <t>0                      BF 0103000R  62</t>
  </si>
  <si>
    <t>Toward a science of human nature : essays on the psychologies of Mill, Hegel, Wundt, and James / Daniel N. Robinson.</t>
  </si>
  <si>
    <t>Robinson, Daniel N., 1937-</t>
  </si>
  <si>
    <t>New York : Columbia University Press, 1982.</t>
  </si>
  <si>
    <t>1995-04-25</t>
  </si>
  <si>
    <t>1990-08-09</t>
  </si>
  <si>
    <t>800090318:eng</t>
  </si>
  <si>
    <t>7736047</t>
  </si>
  <si>
    <t>991005153339702656</t>
  </si>
  <si>
    <t>2255360870002656</t>
  </si>
  <si>
    <t>9780231051743</t>
  </si>
  <si>
    <t>32285000280544</t>
  </si>
  <si>
    <t>893412406</t>
  </si>
  <si>
    <t>BF1031 .B74 1969</t>
  </si>
  <si>
    <t>0                      BF 1031000B  74          1969</t>
  </si>
  <si>
    <t>Religion, philosophy, and psychical research; selected essays. By C. D. Broad.</t>
  </si>
  <si>
    <t>Broad, C. D. (Charlie Dunbar), 1887-1971.</t>
  </si>
  <si>
    <t>New York, Humanities Press, 1969 [1953]</t>
  </si>
  <si>
    <t>1969</t>
  </si>
  <si>
    <t>International library of psychology, philosophy, and scientific method</t>
  </si>
  <si>
    <t>2005-09-15</t>
  </si>
  <si>
    <t>1330353:eng</t>
  </si>
  <si>
    <t>785295</t>
  </si>
  <si>
    <t>991003259659702656</t>
  </si>
  <si>
    <t>2265656460002656</t>
  </si>
  <si>
    <t>32285002257789</t>
  </si>
  <si>
    <t>893799535</t>
  </si>
  <si>
    <t>BF1031 .B89 1975</t>
  </si>
  <si>
    <t>0                      BF 1031000B  89          1975</t>
  </si>
  <si>
    <t>ESP and psychology / Sir Cyril Burt ; edited by Anita Gregory.</t>
  </si>
  <si>
    <t>Burt, Cyril, 1883-1971.</t>
  </si>
  <si>
    <t>New York : Halsted Press, [1975]</t>
  </si>
  <si>
    <t>2000-10-09</t>
  </si>
  <si>
    <t>1990-10-01</t>
  </si>
  <si>
    <t>594678351:eng</t>
  </si>
  <si>
    <t>1418863</t>
  </si>
  <si>
    <t>991003746909702656</t>
  </si>
  <si>
    <t>2261107080002656</t>
  </si>
  <si>
    <t>9780470125311</t>
  </si>
  <si>
    <t>32285000323047</t>
  </si>
  <si>
    <t>893429155</t>
  </si>
  <si>
    <t>BF1031 .C38</t>
  </si>
  <si>
    <t>0                      BF 1031000C  38</t>
  </si>
  <si>
    <t>Spiritualism, a fake : (can we communicate with the dead?) / by James J. Walsh.</t>
  </si>
  <si>
    <t>Walsh, James J. (James Joseph), 1865-1942.</t>
  </si>
  <si>
    <t>Boston : Stratford Co., 1925.</t>
  </si>
  <si>
    <t>1925</t>
  </si>
  <si>
    <t>mau</t>
  </si>
  <si>
    <t>4542363226:eng</t>
  </si>
  <si>
    <t>2571572</t>
  </si>
  <si>
    <t>991004168209702656</t>
  </si>
  <si>
    <t>2263141640002656</t>
  </si>
  <si>
    <t>32285002257813</t>
  </si>
  <si>
    <t>893506489</t>
  </si>
  <si>
    <t>BF1031 .E42</t>
  </si>
  <si>
    <t>0                      BF 1031000E  42</t>
  </si>
  <si>
    <t>Miracles of the mind : an introduction to parapsychology.</t>
  </si>
  <si>
    <t>Edmunds, Simeon.</t>
  </si>
  <si>
    <t>Springfield, Ill. : C. C. Thomas, [c1965]</t>
  </si>
  <si>
    <t>1965</t>
  </si>
  <si>
    <t>ilu</t>
  </si>
  <si>
    <t>2002-07-10</t>
  </si>
  <si>
    <t>308815859:eng</t>
  </si>
  <si>
    <t>1942593</t>
  </si>
  <si>
    <t>991003944379702656</t>
  </si>
  <si>
    <t>2262545070002656</t>
  </si>
  <si>
    <t>32285000323054</t>
  </si>
  <si>
    <t>893234854</t>
  </si>
  <si>
    <t>BF1031 .E47</t>
  </si>
  <si>
    <t>0                      BF 1031000E  47</t>
  </si>
  <si>
    <t>The ESP experience : a psychiatric validation / Jan Ehrenwald. --</t>
  </si>
  <si>
    <t>Ehrenwald, Jan, 1900-1988.</t>
  </si>
  <si>
    <t>New York : Basic Books, c1978.</t>
  </si>
  <si>
    <t>1978</t>
  </si>
  <si>
    <t>2008-03-26</t>
  </si>
  <si>
    <t>1990-02-12</t>
  </si>
  <si>
    <t>11241338:eng</t>
  </si>
  <si>
    <t>3658376</t>
  </si>
  <si>
    <t>991004490549702656</t>
  </si>
  <si>
    <t>2255188320002656</t>
  </si>
  <si>
    <t>9780465020560</t>
  </si>
  <si>
    <t>32285000009778</t>
  </si>
  <si>
    <t>893904888</t>
  </si>
  <si>
    <t>BF1031 .E52 1982</t>
  </si>
  <si>
    <t>0                      BF 1031000E  52          1982</t>
  </si>
  <si>
    <t>Encounters with parapsychology / edited and published by R.A. McConnell.</t>
  </si>
  <si>
    <t>[Pittsburgh, Pa.?] : McConnell, c1982.</t>
  </si>
  <si>
    <t>pau</t>
  </si>
  <si>
    <t>1992-02-25</t>
  </si>
  <si>
    <t>54531993:eng</t>
  </si>
  <si>
    <t>8916419</t>
  </si>
  <si>
    <t>991000093129702656</t>
  </si>
  <si>
    <t>2268550850002656</t>
  </si>
  <si>
    <t>32285000976273</t>
  </si>
  <si>
    <t>893601443</t>
  </si>
  <si>
    <t>BF1031 .G54 1978b</t>
  </si>
  <si>
    <t>0                      BF 1031000G  54          1978b</t>
  </si>
  <si>
    <t>The paranormal / Stan Gooch.</t>
  </si>
  <si>
    <t>Gooch, Stan.</t>
  </si>
  <si>
    <t>New York : Harper &amp; Row, c1978.</t>
  </si>
  <si>
    <t>1st U.S. ed.</t>
  </si>
  <si>
    <t>1998-04-30</t>
  </si>
  <si>
    <t>1991-11-25</t>
  </si>
  <si>
    <t>12459986:eng</t>
  </si>
  <si>
    <t>4555662</t>
  </si>
  <si>
    <t>991004679819702656</t>
  </si>
  <si>
    <t>2256410430002656</t>
  </si>
  <si>
    <t>9780060115494</t>
  </si>
  <si>
    <t>32285000845262</t>
  </si>
  <si>
    <t>893229696</t>
  </si>
  <si>
    <t>BF1031 .H254</t>
  </si>
  <si>
    <t>0                      BF 1031000H  254</t>
  </si>
  <si>
    <t>Handbook of parapsychology / Benjamin B. Wolman, editor ; Laura A. Dale, Gertrude R. Schmeidler, Montague Ullman, associate editors.</t>
  </si>
  <si>
    <t>New York : Van Nostrand Reinhold, [1977]</t>
  </si>
  <si>
    <t>1977</t>
  </si>
  <si>
    <t>1998-03-25</t>
  </si>
  <si>
    <t>1990-02-16</t>
  </si>
  <si>
    <t>54169599:eng</t>
  </si>
  <si>
    <t>3003119</t>
  </si>
  <si>
    <t>991004314499702656</t>
  </si>
  <si>
    <t>2270978520002656</t>
  </si>
  <si>
    <t>9780442295769</t>
  </si>
  <si>
    <t>32285000052240</t>
  </si>
  <si>
    <t>893593536</t>
  </si>
  <si>
    <t>BF1031 .H256 1989</t>
  </si>
  <si>
    <t>0                      BF 1031000H  256         1989</t>
  </si>
  <si>
    <t>The search for psychic power : ESP &amp; parapsychology revisited / C.E.M. Hansel.</t>
  </si>
  <si>
    <t>Hansel, C. E. M. (Charles Edward Mark), 1917-2011.</t>
  </si>
  <si>
    <t>Buffalo, N.Y. : Prometheus Books, 1989.</t>
  </si>
  <si>
    <t>1989</t>
  </si>
  <si>
    <t>1992-02-13</t>
  </si>
  <si>
    <t>365383405:eng</t>
  </si>
  <si>
    <t>19269609</t>
  </si>
  <si>
    <t>991001445279702656</t>
  </si>
  <si>
    <t>2265343960002656</t>
  </si>
  <si>
    <t>9780879755331</t>
  </si>
  <si>
    <t>32285000869833</t>
  </si>
  <si>
    <t>893516200</t>
  </si>
  <si>
    <t>BF1031 .J23</t>
  </si>
  <si>
    <t>0                      BF 1031000J  23</t>
  </si>
  <si>
    <t>William James on psychical research / compiled and edited by Gardner Murphy and Robert O. Ballou. With an introd. and concluding remarks by Gardner Murphy.</t>
  </si>
  <si>
    <t>James, William, 1842-1910.</t>
  </si>
  <si>
    <t>New York : Viking Press, 1960.</t>
  </si>
  <si>
    <t>2003-05-05</t>
  </si>
  <si>
    <t>577025:eng</t>
  </si>
  <si>
    <t>224205</t>
  </si>
  <si>
    <t>991001373069702656</t>
  </si>
  <si>
    <t>2264165290002656</t>
  </si>
  <si>
    <t>32285000323062</t>
  </si>
  <si>
    <t>893334291</t>
  </si>
  <si>
    <t>BF1031 .L43 1974</t>
  </si>
  <si>
    <t>0                      BF 1031000L  43          1974</t>
  </si>
  <si>
    <t>The medium, the mystic, and the physicist : toward a general theory of the paranormal / by Lawrence LeShan.</t>
  </si>
  <si>
    <t>LeShan, Lawrence L., 1920-</t>
  </si>
  <si>
    <t>New York : Viking Press, [1974]</t>
  </si>
  <si>
    <t>An Esalen book</t>
  </si>
  <si>
    <t>2004-10-11</t>
  </si>
  <si>
    <t>1990-03-16</t>
  </si>
  <si>
    <t>790466:eng</t>
  </si>
  <si>
    <t>858234</t>
  </si>
  <si>
    <t>991003327959702656</t>
  </si>
  <si>
    <t>2267053990002656</t>
  </si>
  <si>
    <t>9780670465668</t>
  </si>
  <si>
    <t>32285000090430</t>
  </si>
  <si>
    <t>893698912</t>
  </si>
  <si>
    <t>BF1031 .M537 1987</t>
  </si>
  <si>
    <t>0                      BF 1031000M  537         1987</t>
  </si>
  <si>
    <t>Men and women of parapsychology : personal reflections / edited by Rosemarie Pilkington ; foreword by Stanley Krippner.</t>
  </si>
  <si>
    <t>Jefferson, N.C. : McFarland, c1987.</t>
  </si>
  <si>
    <t>1987</t>
  </si>
  <si>
    <t>ncu</t>
  </si>
  <si>
    <t>1990-04-17</t>
  </si>
  <si>
    <t>836662602:eng</t>
  </si>
  <si>
    <t>16405768</t>
  </si>
  <si>
    <t>991001106679702656</t>
  </si>
  <si>
    <t>2263534500002656</t>
  </si>
  <si>
    <t>9780899502601</t>
  </si>
  <si>
    <t>32285000122795</t>
  </si>
  <si>
    <t>893413960</t>
  </si>
  <si>
    <t>BF1031 .M72 1974</t>
  </si>
  <si>
    <t>0                      BF 1031000M  72          1974</t>
  </si>
  <si>
    <t>The probability of the impossible : scientific discoveries and explorations in the psychic world / by Thelma Moss.</t>
  </si>
  <si>
    <t>Moss, Thelma.</t>
  </si>
  <si>
    <t>Los Angeles : J. P. Tarcher ; New York : distributed by Hawthorn Books, [1974]</t>
  </si>
  <si>
    <t>cau</t>
  </si>
  <si>
    <t>1996-09-23</t>
  </si>
  <si>
    <t>2014979:eng</t>
  </si>
  <si>
    <t>1118434</t>
  </si>
  <si>
    <t>991003549939702656</t>
  </si>
  <si>
    <t>2257216960002656</t>
  </si>
  <si>
    <t>9780874770254</t>
  </si>
  <si>
    <t>32285000323070</t>
  </si>
  <si>
    <t>893262800</t>
  </si>
  <si>
    <t>BF1031 .M78</t>
  </si>
  <si>
    <t>0                      BF 1031000M  78</t>
  </si>
  <si>
    <t>Challenge of psychical research; a primer of parapsychology, by Gardner Murphy, with the collaboration of Laura A. Dale.</t>
  </si>
  <si>
    <t>Murphy, Gardner, 1895-1979.</t>
  </si>
  <si>
    <t>New York, Harper [1961]</t>
  </si>
  <si>
    <t>1961</t>
  </si>
  <si>
    <t>[1st ed.]</t>
  </si>
  <si>
    <t>World perspectives ; v. 26</t>
  </si>
  <si>
    <t>1997-03-15</t>
  </si>
  <si>
    <t>1089566377:eng</t>
  </si>
  <si>
    <t>223024</t>
  </si>
  <si>
    <t>991001369189702656</t>
  </si>
  <si>
    <t>2262279360002656</t>
  </si>
  <si>
    <t>32285002257821</t>
  </si>
  <si>
    <t>893615012</t>
  </si>
  <si>
    <t>BF1031 .N43</t>
  </si>
  <si>
    <t>0                      BF 1031000N  43</t>
  </si>
  <si>
    <t>The psychology of transcendence / Andrew Neher.</t>
  </si>
  <si>
    <t>Neher, Andrew.</t>
  </si>
  <si>
    <t>Englewood Cliffs, N.J. : Prentice-Hall, c1980.</t>
  </si>
  <si>
    <t>A Spectrum book ; S-644</t>
  </si>
  <si>
    <t>1995-07-10</t>
  </si>
  <si>
    <t>20452304:eng</t>
  </si>
  <si>
    <t>6603189</t>
  </si>
  <si>
    <t>991005011799702656</t>
  </si>
  <si>
    <t>2254812770002656</t>
  </si>
  <si>
    <t>9780137366453</t>
  </si>
  <si>
    <t>32285000009786</t>
  </si>
  <si>
    <t>893713318</t>
  </si>
  <si>
    <t>BF1031 .P24 1974</t>
  </si>
  <si>
    <t>0                      BF 1031000P  24          1974</t>
  </si>
  <si>
    <t>Supersenses : our potential for parasensory experience.</t>
  </si>
  <si>
    <t>Panati, Charles, 1943-</t>
  </si>
  <si>
    <t>[New York] : Quadrangle/New York Times Book Co., [1974]</t>
  </si>
  <si>
    <t>1992-01-29</t>
  </si>
  <si>
    <t>1942601:eng</t>
  </si>
  <si>
    <t>979430</t>
  </si>
  <si>
    <t>991003443669702656</t>
  </si>
  <si>
    <t>2259873700002656</t>
  </si>
  <si>
    <t>9780812904727</t>
  </si>
  <si>
    <t>32285000930247</t>
  </si>
  <si>
    <t>893240205</t>
  </si>
  <si>
    <t>BF1031 .P335 1983</t>
  </si>
  <si>
    <t>0                      BF 1031000P  335         1983</t>
  </si>
  <si>
    <t>Parapsychology and self-deception in science / edited and published by R.A. McConnell.</t>
  </si>
  <si>
    <t>[Pittsburgh, Pa.] : R.A. McConnell, c1983.</t>
  </si>
  <si>
    <t>1983</t>
  </si>
  <si>
    <t>2000-09-07</t>
  </si>
  <si>
    <t>1993-04-12</t>
  </si>
  <si>
    <t>54574887:eng</t>
  </si>
  <si>
    <t>9575295</t>
  </si>
  <si>
    <t>991000218459702656</t>
  </si>
  <si>
    <t>2270422550002656</t>
  </si>
  <si>
    <t>9780961023225</t>
  </si>
  <si>
    <t>32285001616431</t>
  </si>
  <si>
    <t>893237170</t>
  </si>
  <si>
    <t>BF1031 .P74</t>
  </si>
  <si>
    <t>0                      BF 1031000P  74</t>
  </si>
  <si>
    <t>Studies in psychical research, by Frank Podmore.</t>
  </si>
  <si>
    <t>Podmore, Frank, 1856-1910.</t>
  </si>
  <si>
    <t>New York, Putnam, 1897.</t>
  </si>
  <si>
    <t>1897</t>
  </si>
  <si>
    <t xml:space="preserve">xx </t>
  </si>
  <si>
    <t>2000-09-06</t>
  </si>
  <si>
    <t>2274204:eng</t>
  </si>
  <si>
    <t>3724216</t>
  </si>
  <si>
    <t>991004501859702656</t>
  </si>
  <si>
    <t>2260920890002656</t>
  </si>
  <si>
    <t>32285002257839</t>
  </si>
  <si>
    <t>893606109</t>
  </si>
  <si>
    <t>BF1031 .P775</t>
  </si>
  <si>
    <t>0                      BF 1031000P  775</t>
  </si>
  <si>
    <t>Progress in parapsychology, edited by J. B. Rhine.</t>
  </si>
  <si>
    <t>Durham, N.C., Parapsychology Press [1971]</t>
  </si>
  <si>
    <t>1090994327:eng</t>
  </si>
  <si>
    <t>144891</t>
  </si>
  <si>
    <t>991000821059702656</t>
  </si>
  <si>
    <t>2257421970002656</t>
  </si>
  <si>
    <t>32285002257847</t>
  </si>
  <si>
    <t>893620822</t>
  </si>
  <si>
    <t>BF1031 .R23</t>
  </si>
  <si>
    <t>0                      BF 1031000R  23</t>
  </si>
  <si>
    <t>Experimental parapsychology; a review and interpretation, by K. Ramakrishna Rao.</t>
  </si>
  <si>
    <t>Rao, K. Ramakrishna.</t>
  </si>
  <si>
    <t>Springfield, Ill., Thomas [1966]</t>
  </si>
  <si>
    <t>1966</t>
  </si>
  <si>
    <t>319425634:eng</t>
  </si>
  <si>
    <t>1017076</t>
  </si>
  <si>
    <t>991003473649702656</t>
  </si>
  <si>
    <t>2259477400002656</t>
  </si>
  <si>
    <t>32285002257854</t>
  </si>
  <si>
    <t>893258448</t>
  </si>
  <si>
    <t>BF1031 .R37 1964</t>
  </si>
  <si>
    <t>0                      BF 1031000R  37          1964</t>
  </si>
  <si>
    <t>Extra-sensory perception / by J. B. Rhine. With a foreword by William McDougall and an introd. by Walter Franklin Prince.</t>
  </si>
  <si>
    <t>Rhine, J. B. (Joseph Banks), 1895-1980.</t>
  </si>
  <si>
    <t>Boston : B. Humphries, [1964]</t>
  </si>
  <si>
    <t>2009-03-17</t>
  </si>
  <si>
    <t>1995-05-01</t>
  </si>
  <si>
    <t>580874:eng</t>
  </si>
  <si>
    <t>653398</t>
  </si>
  <si>
    <t>991003104599702656</t>
  </si>
  <si>
    <t>2264079820002656</t>
  </si>
  <si>
    <t>32285002021011</t>
  </si>
  <si>
    <t>893598273</t>
  </si>
  <si>
    <t>BF1031 .R376 1957</t>
  </si>
  <si>
    <t>0                      BF 1031000R  376         1957</t>
  </si>
  <si>
    <t>Parapsychology, frontier science of the mind : a survey of the field, the methods, and the facts of ESP and PK research / by J. B. Rhine and J. G. Pratt.</t>
  </si>
  <si>
    <t>Springfield, Ill. : Thomas, [1957]</t>
  </si>
  <si>
    <t>1957</t>
  </si>
  <si>
    <t>471203:eng</t>
  </si>
  <si>
    <t>179209</t>
  </si>
  <si>
    <t>991001073899702656</t>
  </si>
  <si>
    <t>2265151510002656</t>
  </si>
  <si>
    <t>32285000323104</t>
  </si>
  <si>
    <t>893602297</t>
  </si>
  <si>
    <t>BF1031 .S2 1986</t>
  </si>
  <si>
    <t>0                      BF 1031000S  2           1986</t>
  </si>
  <si>
    <t>Science confronts the paranormal / edited by Kendrick Frazier.</t>
  </si>
  <si>
    <t>Buffalo, NY : Prometheus Books, 1986.</t>
  </si>
  <si>
    <t>1986</t>
  </si>
  <si>
    <t>2003-02-04</t>
  </si>
  <si>
    <t>1990-04-12</t>
  </si>
  <si>
    <t>5771956:eng</t>
  </si>
  <si>
    <t>12791286</t>
  </si>
  <si>
    <t>991000736819702656</t>
  </si>
  <si>
    <t>2258853850002656</t>
  </si>
  <si>
    <t>9780879753146</t>
  </si>
  <si>
    <t>32285000121607</t>
  </si>
  <si>
    <t>893595830</t>
  </si>
  <si>
    <t>BF1033 .W512</t>
  </si>
  <si>
    <t>0                      BF 1033000W  512</t>
  </si>
  <si>
    <t>Occult phenomena in the light of theology.</t>
  </si>
  <si>
    <t>Wiesinger, Alois, 1885-</t>
  </si>
  <si>
    <t>Westminster, Md., Newman Press, 1957.</t>
  </si>
  <si>
    <t>2009-02-20</t>
  </si>
  <si>
    <t>5575830:eng</t>
  </si>
  <si>
    <t>2658620</t>
  </si>
  <si>
    <t>991005253849702656</t>
  </si>
  <si>
    <t>2255461910002656</t>
  </si>
  <si>
    <t>32285002257888</t>
  </si>
  <si>
    <t>893688845</t>
  </si>
  <si>
    <t>BF1038.D8 T4513</t>
  </si>
  <si>
    <t>0                      BF 1038000D  8                  T  4513</t>
  </si>
  <si>
    <t>Telepathy and clairvoyance : views of some little investigated capabilities of man / by W. H. C. Tenhaeff. With a foreword by Berthold Eric Schwarz.</t>
  </si>
  <si>
    <t>Tenhaeff, W. H. C. (Wilhelm Heinrich Carl), 1894-</t>
  </si>
  <si>
    <t>Springfield, Ill. : Thomas, [1972]</t>
  </si>
  <si>
    <t>1990-11-30</t>
  </si>
  <si>
    <t>471316:eng</t>
  </si>
  <si>
    <t>726591</t>
  </si>
  <si>
    <t>991003201539702656</t>
  </si>
  <si>
    <t>2264069530002656</t>
  </si>
  <si>
    <t>9780398024550</t>
  </si>
  <si>
    <t>32285000410034</t>
  </si>
  <si>
    <t>893880909</t>
  </si>
  <si>
    <t>BF1038.S7 J313 1974</t>
  </si>
  <si>
    <t>0                      BF 1038000S  7                  J  313         1974</t>
  </si>
  <si>
    <t>Life without death? / [by] Nils O. Jacobson.</t>
  </si>
  <si>
    <t>Jacobson, Nils-Olof, 1937-</t>
  </si>
  <si>
    <t>[New York : Dell Pub. Co., 1974]</t>
  </si>
  <si>
    <t>2002-09-16</t>
  </si>
  <si>
    <t>1993-04-26</t>
  </si>
  <si>
    <t>2246101:eng</t>
  </si>
  <si>
    <t>1348564</t>
  </si>
  <si>
    <t>991003709679702656</t>
  </si>
  <si>
    <t>2257422100002656</t>
  </si>
  <si>
    <t>32285001580934</t>
  </si>
  <si>
    <t>893781301</t>
  </si>
  <si>
    <t>BF1042 .H26</t>
  </si>
  <si>
    <t>0                      BF 1042000H  26</t>
  </si>
  <si>
    <t>Essays in occultism, spiritism, and demonology, by Dean W. R. Harris.</t>
  </si>
  <si>
    <t>Harris, William Richard, 1847-1923.</t>
  </si>
  <si>
    <t>St. Louis, Mo., B. Herder Book Co., 1919.</t>
  </si>
  <si>
    <t>1919</t>
  </si>
  <si>
    <t>mou</t>
  </si>
  <si>
    <t>2004-02-25</t>
  </si>
  <si>
    <t>11910723:eng</t>
  </si>
  <si>
    <t>5268119</t>
  </si>
  <si>
    <t>991004809829702656</t>
  </si>
  <si>
    <t>2258322880002656</t>
  </si>
  <si>
    <t>32285002257896</t>
  </si>
  <si>
    <t>893776471</t>
  </si>
  <si>
    <t>BF1042 .H55 1988</t>
  </si>
  <si>
    <t>0                      BF 1042000H  55          1988</t>
  </si>
  <si>
    <t>Pseudoscience and the paranormal : a critical examination of the evidence / Terence Hines.</t>
  </si>
  <si>
    <t>Hines, Terence.</t>
  </si>
  <si>
    <t>Buffalo, N.Y. : Prometheus Books, c1988.</t>
  </si>
  <si>
    <t>1988</t>
  </si>
  <si>
    <t>2005-10-23</t>
  </si>
  <si>
    <t>1991-12-09</t>
  </si>
  <si>
    <t>1035249:eng</t>
  </si>
  <si>
    <t>17462273</t>
  </si>
  <si>
    <t>991001220939702656</t>
  </si>
  <si>
    <t>2270454460002656</t>
  </si>
  <si>
    <t>9780879754198</t>
  </si>
  <si>
    <t>32285000890110</t>
  </si>
  <si>
    <t>893420180</t>
  </si>
  <si>
    <t>BF1042 .H6</t>
  </si>
  <si>
    <t>0                      BF 1042000H  6</t>
  </si>
  <si>
    <t>A magician among the spirits.</t>
  </si>
  <si>
    <t>Houdini, Harry, 1874-1926.</t>
  </si>
  <si>
    <t>New York, Harper, 1924.</t>
  </si>
  <si>
    <t>1924</t>
  </si>
  <si>
    <t>2002-10-30</t>
  </si>
  <si>
    <t>1379876:eng</t>
  </si>
  <si>
    <t>1940794</t>
  </si>
  <si>
    <t>991003943939702656</t>
  </si>
  <si>
    <t>2266820080002656</t>
  </si>
  <si>
    <t>32285002257920</t>
  </si>
  <si>
    <t>893228711</t>
  </si>
  <si>
    <t>BF1042 .H96 1989</t>
  </si>
  <si>
    <t>0                      BF 1042000H  96          1989</t>
  </si>
  <si>
    <t>The elusive quarry : a scientific appraisal of psychical research / Ray Hyman.</t>
  </si>
  <si>
    <t>Hyman, Ray.</t>
  </si>
  <si>
    <t>Buffalo, N.Y. : Prometheus Books, c1989.</t>
  </si>
  <si>
    <t>1996-03-12</t>
  </si>
  <si>
    <t>1992-02-21</t>
  </si>
  <si>
    <t>930264:eng</t>
  </si>
  <si>
    <t>19455101</t>
  </si>
  <si>
    <t>991001460799702656</t>
  </si>
  <si>
    <t>2270780540002656</t>
  </si>
  <si>
    <t>9780879755041</t>
  </si>
  <si>
    <t>32285000935303</t>
  </si>
  <si>
    <t>893509636</t>
  </si>
  <si>
    <t>BF105 .G87 1976</t>
  </si>
  <si>
    <t>0                      BF 0105000G  87          1976</t>
  </si>
  <si>
    <t>Even the rat was white : a historical view of psychology / Robert V. Guthrie.</t>
  </si>
  <si>
    <t>Guthrie, Robert V.</t>
  </si>
  <si>
    <t>New York : Harper &amp; Row, c1976.</t>
  </si>
  <si>
    <t>2004-04-12</t>
  </si>
  <si>
    <t>403575:eng</t>
  </si>
  <si>
    <t>1602138</t>
  </si>
  <si>
    <t>991003836599702656</t>
  </si>
  <si>
    <t>2266836840002656</t>
  </si>
  <si>
    <t>9780060425616</t>
  </si>
  <si>
    <t>32285000280569</t>
  </si>
  <si>
    <t>893525281</t>
  </si>
  <si>
    <t>BF105 .W6 1964</t>
  </si>
  <si>
    <t>0                      BF 0105000W  6           1964</t>
  </si>
  <si>
    <t>Contemporary schools of psychology / by Robert S. Woodworth in collaboration with Mary R. Sheehan.</t>
  </si>
  <si>
    <t>Woodworth, Robert Sessions, 1869-1962.</t>
  </si>
  <si>
    <t>New York : Ronald Press Co., [1964]</t>
  </si>
  <si>
    <t>3d ed.</t>
  </si>
  <si>
    <t>1993-02-11</t>
  </si>
  <si>
    <t>1349166:eng</t>
  </si>
  <si>
    <t>191706</t>
  </si>
  <si>
    <t>991001204659702656</t>
  </si>
  <si>
    <t>2258945290002656</t>
  </si>
  <si>
    <t>32285001500759</t>
  </si>
  <si>
    <t>893334150</t>
  </si>
  <si>
    <t>BF1071 .H34</t>
  </si>
  <si>
    <t>0                      BF 1071000H  34</t>
  </si>
  <si>
    <t>The complete book of sleep : how your nights affect your days / Dianne Hales.</t>
  </si>
  <si>
    <t>Hales, Dianne, 1950-</t>
  </si>
  <si>
    <t>Reading, Mass. : Addison-Wesley Pub. Co., 1981.</t>
  </si>
  <si>
    <t>1981</t>
  </si>
  <si>
    <t>2007-09-26</t>
  </si>
  <si>
    <t>1990-02-09</t>
  </si>
  <si>
    <t>416855:eng</t>
  </si>
  <si>
    <t>7203606</t>
  </si>
  <si>
    <t>991005088599702656</t>
  </si>
  <si>
    <t>2265438630002656</t>
  </si>
  <si>
    <t>9780201038453</t>
  </si>
  <si>
    <t>32285000034958</t>
  </si>
  <si>
    <t>893870490</t>
  </si>
  <si>
    <t>BF1073.S58 A74 1981</t>
  </si>
  <si>
    <t>0                      BF 1073000S  58                 A  74          1981</t>
  </si>
  <si>
    <t>Sleep-talking : psychology and psychophysiology / Arthur M. Arkin.</t>
  </si>
  <si>
    <t>Arkin, Arthur M.</t>
  </si>
  <si>
    <t>Hillsdale, N.J. : L. Erlbaum Associates, 1981.</t>
  </si>
  <si>
    <t>nju</t>
  </si>
  <si>
    <t>1999-10-01</t>
  </si>
  <si>
    <t>279717963:eng</t>
  </si>
  <si>
    <t>7459521</t>
  </si>
  <si>
    <t>991005112629702656</t>
  </si>
  <si>
    <t>2255330180002656</t>
  </si>
  <si>
    <t>9780898590319</t>
  </si>
  <si>
    <t>32285001616472</t>
  </si>
  <si>
    <t>893594487</t>
  </si>
  <si>
    <t>BF1075 .L48</t>
  </si>
  <si>
    <t>0                      BF 1075000L  48</t>
  </si>
  <si>
    <t>The interpretation of dreams and portents / Naphtali Lewis.</t>
  </si>
  <si>
    <t>Lewis, Naphtali.</t>
  </si>
  <si>
    <t>Toronto ; Sarasota : Samuel Stevens, Hakkert &amp; Company, 1976</t>
  </si>
  <si>
    <t>xxc</t>
  </si>
  <si>
    <t>Aspects of antiquity</t>
  </si>
  <si>
    <t>2006-11-21</t>
  </si>
  <si>
    <t>1990-02-26</t>
  </si>
  <si>
    <t>545808:eng</t>
  </si>
  <si>
    <t>7694060</t>
  </si>
  <si>
    <t>991004240879702656</t>
  </si>
  <si>
    <t>2269947760002656</t>
  </si>
  <si>
    <t>9780888665713</t>
  </si>
  <si>
    <t>32285000070044</t>
  </si>
  <si>
    <t>893349778</t>
  </si>
  <si>
    <t>BF1078 .F84 1951</t>
  </si>
  <si>
    <t>0                      BF 1078000F  84          1951</t>
  </si>
  <si>
    <t>The forgotten language; an introduction to the understanding of dreams, fairy tales, and myths.</t>
  </si>
  <si>
    <t>Fromm, Erich, 1900-1980.</t>
  </si>
  <si>
    <t>New York, Rinehart [1951]</t>
  </si>
  <si>
    <t>1951</t>
  </si>
  <si>
    <t>2002-09-29</t>
  </si>
  <si>
    <t>1991-12-18</t>
  </si>
  <si>
    <t>1150998095:eng</t>
  </si>
  <si>
    <t>221014</t>
  </si>
  <si>
    <t>991001326569702656</t>
  </si>
  <si>
    <t>2258270510002656</t>
  </si>
  <si>
    <t>32285000896406</t>
  </si>
  <si>
    <t>893315707</t>
  </si>
  <si>
    <t>BF1078 .G17 1975</t>
  </si>
  <si>
    <t>0                      BF 1078000G  17          1975</t>
  </si>
  <si>
    <t>Creative dreaming / [by] Patricia L. Garfield.</t>
  </si>
  <si>
    <t>Garfield, Patricia L.</t>
  </si>
  <si>
    <t>New York : Simon and Schuster, [1975, c1974]</t>
  </si>
  <si>
    <t>1995-12-21</t>
  </si>
  <si>
    <t>1929263:eng</t>
  </si>
  <si>
    <t>1009478</t>
  </si>
  <si>
    <t>991003468189702656</t>
  </si>
  <si>
    <t>2263767790002656</t>
  </si>
  <si>
    <t>9780671219031</t>
  </si>
  <si>
    <t>32285002120326</t>
  </si>
  <si>
    <t>893774745</t>
  </si>
  <si>
    <t>BF1078 .M6</t>
  </si>
  <si>
    <t>0                      BF 1078000M  6</t>
  </si>
  <si>
    <t>The hypnotic investigation of dreams / [by] C. Scott Moss.</t>
  </si>
  <si>
    <t>Moss, Claude Scott, 1924-</t>
  </si>
  <si>
    <t>New York : Wiley, [1967]</t>
  </si>
  <si>
    <t>1967</t>
  </si>
  <si>
    <t>1998-09-30</t>
  </si>
  <si>
    <t>1992-04-13</t>
  </si>
  <si>
    <t>1323457:eng</t>
  </si>
  <si>
    <t>221015</t>
  </si>
  <si>
    <t>991005253829702656</t>
  </si>
  <si>
    <t>2258270670002656</t>
  </si>
  <si>
    <t>32285001052371</t>
  </si>
  <si>
    <t>893625703</t>
  </si>
  <si>
    <t>BF1078 .P33 1986</t>
  </si>
  <si>
    <t>0                      BF 1078000P  33          1986</t>
  </si>
  <si>
    <t>The dream : 4,000 years of theory and practice : a critical, descriptive, and encyclopedic bibliography / by Nancy Parsifal-Charles.</t>
  </si>
  <si>
    <t>V.2</t>
  </si>
  <si>
    <t>Parsifal-Charles, Nancy.</t>
  </si>
  <si>
    <t>West Cornwall, CT : Locust Hill Press, c1986.</t>
  </si>
  <si>
    <t>ctu</t>
  </si>
  <si>
    <t>1995-09-26</t>
  </si>
  <si>
    <t>1990-07-17</t>
  </si>
  <si>
    <t>253818750:eng</t>
  </si>
  <si>
    <t>13903345</t>
  </si>
  <si>
    <t>991000889459702656</t>
  </si>
  <si>
    <t>2270150880002656</t>
  </si>
  <si>
    <t>9780933951068</t>
  </si>
  <si>
    <t>32285000238393</t>
  </si>
  <si>
    <t>893803145</t>
  </si>
  <si>
    <t>V.1</t>
  </si>
  <si>
    <t>32285000238401</t>
  </si>
  <si>
    <t>893803144</t>
  </si>
  <si>
    <t>BF1078 .P53</t>
  </si>
  <si>
    <t>0                      BF 1078000P  53</t>
  </si>
  <si>
    <t>Philosophical essays on dreaming / edited by Charles E. M. Dunlop.</t>
  </si>
  <si>
    <t>Ithaca, N.Y. : Cornell University Press, 1977.</t>
  </si>
  <si>
    <t>2006-04-18</t>
  </si>
  <si>
    <t>1992-11-05</t>
  </si>
  <si>
    <t>450241:eng</t>
  </si>
  <si>
    <t>2984499</t>
  </si>
  <si>
    <t>991004307709702656</t>
  </si>
  <si>
    <t>2258246360002656</t>
  </si>
  <si>
    <t>9780801410154</t>
  </si>
  <si>
    <t>32285001382869</t>
  </si>
  <si>
    <t>893800840</t>
  </si>
  <si>
    <t>BF1078 .P58 1986</t>
  </si>
  <si>
    <t>0                      BF 1078000P  58          1986</t>
  </si>
  <si>
    <t>Dreams : a key to self-knowledge / Zygmunt A. Piotrowski, with Albert M. Biele.</t>
  </si>
  <si>
    <t>Piotrowski, Zygmunt A., 1904-1985.</t>
  </si>
  <si>
    <t>Hillsdale, N.J. : L. Erlbaum Associates, 1986.</t>
  </si>
  <si>
    <t>2007-07-17</t>
  </si>
  <si>
    <t>5850904:eng</t>
  </si>
  <si>
    <t>13184839</t>
  </si>
  <si>
    <t>991000794719702656</t>
  </si>
  <si>
    <t>2255058780002656</t>
  </si>
  <si>
    <t>9780898596915</t>
  </si>
  <si>
    <t>32285005320600</t>
  </si>
  <si>
    <t>893502809</t>
  </si>
  <si>
    <t>BF1078 .S674 1988</t>
  </si>
  <si>
    <t>0                      BF 1078000S  674         1988</t>
  </si>
  <si>
    <t>The rhetoric of dreams / Bert O. States.</t>
  </si>
  <si>
    <t>States, Bert O., 1929-</t>
  </si>
  <si>
    <t>Ithaca : Cornell University Press, 1988.</t>
  </si>
  <si>
    <t>1997-10-08</t>
  </si>
  <si>
    <t>1991-03-14</t>
  </si>
  <si>
    <t>19049941:eng</t>
  </si>
  <si>
    <t>19082534</t>
  </si>
  <si>
    <t>991001429859702656</t>
  </si>
  <si>
    <t>2268567270002656</t>
  </si>
  <si>
    <t>9780801421983</t>
  </si>
  <si>
    <t>32285000511542</t>
  </si>
  <si>
    <t>893590364</t>
  </si>
  <si>
    <t>BF108.U5 H66 1989</t>
  </si>
  <si>
    <t>0                      BF 0108000U  5                  H  66          1989</t>
  </si>
  <si>
    <t>Consciousness in New England : from Puritanism and ideas to psychoanalysis and semiotic / James Hoopes.</t>
  </si>
  <si>
    <t>Hoopes, James, 1944-</t>
  </si>
  <si>
    <t>Baltimore : Johns Hopkins University Press, c1989.</t>
  </si>
  <si>
    <t>mdu</t>
  </si>
  <si>
    <t>New studies in American intellectual and cultural history</t>
  </si>
  <si>
    <t>2006-11-15</t>
  </si>
  <si>
    <t>1991-07-25</t>
  </si>
  <si>
    <t>21458068:eng</t>
  </si>
  <si>
    <t>19519923</t>
  </si>
  <si>
    <t>991001469599702656</t>
  </si>
  <si>
    <t>2263554560002656</t>
  </si>
  <si>
    <t>9780801838248</t>
  </si>
  <si>
    <t>32285000662808</t>
  </si>
  <si>
    <t>893866257</t>
  </si>
  <si>
    <t>BF108.U5 M4 1980</t>
  </si>
  <si>
    <t>0                      BF 0108000U  5                  M  4           1980</t>
  </si>
  <si>
    <t>The positive thinkers : religion as pop psychology, from Mary Baker Eddy to Oral Roberts / Donald Meyer.</t>
  </si>
  <si>
    <t>Meyer, Donald B.</t>
  </si>
  <si>
    <t>New York : Pantheon Books, c1965, 1980.</t>
  </si>
  <si>
    <t>Reissue, with a new preface and conclusion.</t>
  </si>
  <si>
    <t>2001-04-17</t>
  </si>
  <si>
    <t>3856229447:eng</t>
  </si>
  <si>
    <t>5830001</t>
  </si>
  <si>
    <t>991004883069702656</t>
  </si>
  <si>
    <t>2263855720002656</t>
  </si>
  <si>
    <t>9780394510293</t>
  </si>
  <si>
    <t>32285000280627</t>
  </si>
  <si>
    <t>893700782</t>
  </si>
  <si>
    <t>BF108.U5 R6 1964</t>
  </si>
  <si>
    <t>0                      BF 0108000U  5                  R  6           1964</t>
  </si>
  <si>
    <t>History of American psychology / [by] A.A. Roback.</t>
  </si>
  <si>
    <t>Roback, A. A. (Abraham Aaron), 1890-1965.</t>
  </si>
  <si>
    <t>New York : Collier Books, [1964]</t>
  </si>
  <si>
    <t>New, rev. ed.</t>
  </si>
  <si>
    <t>2009-03-13</t>
  </si>
  <si>
    <t>4917177165:eng</t>
  </si>
  <si>
    <t>191735</t>
  </si>
  <si>
    <t>991001204809702656</t>
  </si>
  <si>
    <t>2258948130002656</t>
  </si>
  <si>
    <t>32285001500726</t>
  </si>
  <si>
    <t>893509469</t>
  </si>
  <si>
    <t>BF109.A1 K7</t>
  </si>
  <si>
    <t>0                      BF 0109000A  1                  K  7</t>
  </si>
  <si>
    <t>The psychologists / Edited by T. S. Krawiec. --</t>
  </si>
  <si>
    <t>V.3</t>
  </si>
  <si>
    <t>Krawiec, T. S. (Theophile Stanley), 1913-1995.</t>
  </si>
  <si>
    <t>New York : Oxford University Press, 1972-</t>
  </si>
  <si>
    <t>1994-03-23</t>
  </si>
  <si>
    <t>5091106132:eng</t>
  </si>
  <si>
    <t>329649</t>
  </si>
  <si>
    <t>991002385109702656</t>
  </si>
  <si>
    <t>2267473950002656</t>
  </si>
  <si>
    <t>32285000280650</t>
  </si>
  <si>
    <t>893352302</t>
  </si>
  <si>
    <t>32285000280643</t>
  </si>
  <si>
    <t>893329000</t>
  </si>
  <si>
    <t>BF109.B78 A35 1983</t>
  </si>
  <si>
    <t>0                      BF 0109000B  78                 A  35          1983</t>
  </si>
  <si>
    <t>In search of mind : essays in autobiography / Jerome Bruner.</t>
  </si>
  <si>
    <t>Bruner, Jerome S. (Jerome Seymour)</t>
  </si>
  <si>
    <t>New York : Harper &amp; Row, c1983.</t>
  </si>
  <si>
    <t>1st ed.</t>
  </si>
  <si>
    <t>The Alfred P. Sloan Foundation series</t>
  </si>
  <si>
    <t>2003-12-19</t>
  </si>
  <si>
    <t>836689803:eng</t>
  </si>
  <si>
    <t>9325266</t>
  </si>
  <si>
    <t>991000173749702656</t>
  </si>
  <si>
    <t>2267567050002656</t>
  </si>
  <si>
    <t>9780060151911</t>
  </si>
  <si>
    <t>32285000280700</t>
  </si>
  <si>
    <t>893777764</t>
  </si>
  <si>
    <t>BF109.C37 A32</t>
  </si>
  <si>
    <t>0                      BF 0109000C  37                 A  32</t>
  </si>
  <si>
    <t>An education in psychology : James McKeen Cattell's journal and letters from Germany and England, 1880-1888 / selected and edited by Michael M. Sokal.</t>
  </si>
  <si>
    <t>Cattell, James McKeen, 1860-1944.</t>
  </si>
  <si>
    <t>Cambridge, Mass. : MIT Press, c1981.</t>
  </si>
  <si>
    <t>2009-03-12</t>
  </si>
  <si>
    <t>836665536:eng</t>
  </si>
  <si>
    <t>6914784</t>
  </si>
  <si>
    <t>991005058029702656</t>
  </si>
  <si>
    <t>2262723690002656</t>
  </si>
  <si>
    <t>9780262191852</t>
  </si>
  <si>
    <t>32285000280726</t>
  </si>
  <si>
    <t>893263579</t>
  </si>
  <si>
    <t>BF109.F74 G554 1993</t>
  </si>
  <si>
    <t>0                      BF 0109000F  74                 G  554         1993</t>
  </si>
  <si>
    <t>Freud, race, and gender / Sander L. Gilman.</t>
  </si>
  <si>
    <t>Gilman, Sander L.</t>
  </si>
  <si>
    <t>Princeton, N.J. : Princeton University Press, c1993.</t>
  </si>
  <si>
    <t>1993</t>
  </si>
  <si>
    <t>1995-11-26</t>
  </si>
  <si>
    <t>1994-12-13</t>
  </si>
  <si>
    <t>347808:eng</t>
  </si>
  <si>
    <t>27151303</t>
  </si>
  <si>
    <t>991002118959702656</t>
  </si>
  <si>
    <t>2267669330002656</t>
  </si>
  <si>
    <t>9780691032450</t>
  </si>
  <si>
    <t>32285001976389</t>
  </si>
  <si>
    <t>893322583</t>
  </si>
  <si>
    <t>BF109.F74 S38</t>
  </si>
  <si>
    <t>0                      BF 0109000F  74                 S  38</t>
  </si>
  <si>
    <t>Freud, living and dying.</t>
  </si>
  <si>
    <t>Schur, Max.</t>
  </si>
  <si>
    <t>2009-04-08</t>
  </si>
  <si>
    <t>1993-04-27</t>
  </si>
  <si>
    <t>489268:eng</t>
  </si>
  <si>
    <t>354104</t>
  </si>
  <si>
    <t>991002455309702656</t>
  </si>
  <si>
    <t>2266207130002656</t>
  </si>
  <si>
    <t>9780823620258</t>
  </si>
  <si>
    <t>32285001627974</t>
  </si>
  <si>
    <t>893421385</t>
  </si>
  <si>
    <t>BF109.F76 B87 1991</t>
  </si>
  <si>
    <t>0                      BF 0109000F  76                 B  87          1991</t>
  </si>
  <si>
    <t>The legacy of Erich Fromm / Daniel Burston.</t>
  </si>
  <si>
    <t>Burston, Daniel, 1954-</t>
  </si>
  <si>
    <t>Cambridge, Mass. : Harvard University Press, 1991.</t>
  </si>
  <si>
    <t>1991</t>
  </si>
  <si>
    <t>2010-02-26</t>
  </si>
  <si>
    <t>1992-02-10</t>
  </si>
  <si>
    <t>2681470:eng</t>
  </si>
  <si>
    <t>22421412</t>
  </si>
  <si>
    <t>991001775949702656</t>
  </si>
  <si>
    <t>2268875650002656</t>
  </si>
  <si>
    <t>9780674521681</t>
  </si>
  <si>
    <t>32285000868991</t>
  </si>
  <si>
    <t>893866472</t>
  </si>
  <si>
    <t>BF109.H3 R67</t>
  </si>
  <si>
    <t>0                      BF 0109000H  3                  R  67</t>
  </si>
  <si>
    <t>G. Stanley Hall : the psychologist as prophet.</t>
  </si>
  <si>
    <t>Ross, Dorothy, 1936-</t>
  </si>
  <si>
    <t>Chicago : University of Chicago Press, [1972]</t>
  </si>
  <si>
    <t>2009-02-27</t>
  </si>
  <si>
    <t>1992-05-07</t>
  </si>
  <si>
    <t>479382577:eng</t>
  </si>
  <si>
    <t>413971</t>
  </si>
  <si>
    <t>991002724699702656</t>
  </si>
  <si>
    <t>2268159240002656</t>
  </si>
  <si>
    <t>9780226728216</t>
  </si>
  <si>
    <t>32285001097111</t>
  </si>
  <si>
    <t>893892902</t>
  </si>
  <si>
    <t>BF109.K53 C47 1971</t>
  </si>
  <si>
    <t>0                      BF 0109000K  53                 C  47          1971</t>
  </si>
  <si>
    <t>Kinsey, a biography [by] Cornelia V. Christenson.</t>
  </si>
  <si>
    <t>Christenson, Cornelia V.</t>
  </si>
  <si>
    <t>Bloomington, Indiana University Press [1971]</t>
  </si>
  <si>
    <t>inu</t>
  </si>
  <si>
    <t>2008-10-27</t>
  </si>
  <si>
    <t>1996-07-23</t>
  </si>
  <si>
    <t>1195388:eng</t>
  </si>
  <si>
    <t>157881</t>
  </si>
  <si>
    <t>991000907179702656</t>
  </si>
  <si>
    <t>2256161980002656</t>
  </si>
  <si>
    <t>9780253146250</t>
  </si>
  <si>
    <t>32285002234168</t>
  </si>
  <si>
    <t>893339992</t>
  </si>
  <si>
    <t>BF109.R38 R34 1970b</t>
  </si>
  <si>
    <t>0                      BF 0109000R  38                 R  34          1970b</t>
  </si>
  <si>
    <t>Wilhelm Reich and orgonomy.</t>
  </si>
  <si>
    <t>Raknes, Ola, 1887-1975.</t>
  </si>
  <si>
    <t>New York, St. Martin's Press [1970]</t>
  </si>
  <si>
    <t>1970</t>
  </si>
  <si>
    <t>1996-09-29</t>
  </si>
  <si>
    <t>1299919:eng</t>
  </si>
  <si>
    <t>139805</t>
  </si>
  <si>
    <t>991000803249702656</t>
  </si>
  <si>
    <t>2261326190002656</t>
  </si>
  <si>
    <t>32285002234184</t>
  </si>
  <si>
    <t>893522031</t>
  </si>
  <si>
    <t>BF109.S55 A332 1979</t>
  </si>
  <si>
    <t>0                      BF 0109000S  55                 A  332         1979</t>
  </si>
  <si>
    <t>The shaping of a behaviorist : part two of an autobiography / B. F. Skinner.</t>
  </si>
  <si>
    <t>Skinner, B. F. (Burrhus Frederic), 1904-1990.</t>
  </si>
  <si>
    <t>New York : Knopf : distributed by Random House, 1979.</t>
  </si>
  <si>
    <t>1979</t>
  </si>
  <si>
    <t>2009-04-02</t>
  </si>
  <si>
    <t>1990-05-04</t>
  </si>
  <si>
    <t>49293107:eng</t>
  </si>
  <si>
    <t>4641872</t>
  </si>
  <si>
    <t>991004696229702656</t>
  </si>
  <si>
    <t>2257454450002656</t>
  </si>
  <si>
    <t>9780394505817</t>
  </si>
  <si>
    <t>32285000148998</t>
  </si>
  <si>
    <t>893325661</t>
  </si>
  <si>
    <t>BF109.S55 E9</t>
  </si>
  <si>
    <t>0                      BF 0109000S  55                 E  9</t>
  </si>
  <si>
    <t>B. F. Skinner; the man and his ideas [by] Richard I. Evans.</t>
  </si>
  <si>
    <t>Evans, Richard I. (Richard Isadore), 1922-2015.</t>
  </si>
  <si>
    <t>New York, Dutton, 1968.</t>
  </si>
  <si>
    <t>1968</t>
  </si>
  <si>
    <t>His Dialogues with notable contributors to personality theory, v. 4</t>
  </si>
  <si>
    <t>2007-04-23</t>
  </si>
  <si>
    <t>3943968012:eng</t>
  </si>
  <si>
    <t>449126</t>
  </si>
  <si>
    <t>991002804589702656</t>
  </si>
  <si>
    <t>2265193130002656</t>
  </si>
  <si>
    <t>32285000059971</t>
  </si>
  <si>
    <t>893610320</t>
  </si>
  <si>
    <t>BF109.T39 M56 1988</t>
  </si>
  <si>
    <t>0                      BF 0109000T  39                 M  56          1988</t>
  </si>
  <si>
    <t>Lewis M. Terman : pioneer in psychological testing / Henry L. Minton.</t>
  </si>
  <si>
    <t>Minton, Henry L.</t>
  </si>
  <si>
    <t>New York : New York University Press, 1988.</t>
  </si>
  <si>
    <t>The American social experience series ; 11</t>
  </si>
  <si>
    <t>2005-09-26</t>
  </si>
  <si>
    <t>836869575:eng</t>
  </si>
  <si>
    <t>17841453</t>
  </si>
  <si>
    <t>991001271429702656</t>
  </si>
  <si>
    <t>2268955220002656</t>
  </si>
  <si>
    <t>9780814754429</t>
  </si>
  <si>
    <t>32285000280825</t>
  </si>
  <si>
    <t>893872422</t>
  </si>
  <si>
    <t>BF109.T43 J6</t>
  </si>
  <si>
    <t>0                      BF 0109000T  43                 J  6</t>
  </si>
  <si>
    <t>The sane positivist : a biography of Edward L. Thorndike / by Geraldine Jonçich.</t>
  </si>
  <si>
    <t>Clifford, Geraldine Jonçich.</t>
  </si>
  <si>
    <t>Middletown, Conn. : Wesleyan University Press, [1968]</t>
  </si>
  <si>
    <t>1999-10-04</t>
  </si>
  <si>
    <t>1995-06-13</t>
  </si>
  <si>
    <t>308766691:eng</t>
  </si>
  <si>
    <t>191701</t>
  </si>
  <si>
    <t>991001204599702656</t>
  </si>
  <si>
    <t>2258941210002656</t>
  </si>
  <si>
    <t>32285002060571</t>
  </si>
  <si>
    <t>893772396</t>
  </si>
  <si>
    <t>BF1091 .C66 1977</t>
  </si>
  <si>
    <t>0                      BF 1091000C  66          1977</t>
  </si>
  <si>
    <t>The dream makers : discovering your breakthrough dreams / by Richard Corriere and Joseph Hart.</t>
  </si>
  <si>
    <t>Corriere, Richard.</t>
  </si>
  <si>
    <t>New York : Funk &amp; Wagnalls, c1977.</t>
  </si>
  <si>
    <t>1992-11-07</t>
  </si>
  <si>
    <t>1255045657:eng</t>
  </si>
  <si>
    <t>2523552</t>
  </si>
  <si>
    <t>991004150439702656</t>
  </si>
  <si>
    <t>2267600700002656</t>
  </si>
  <si>
    <t>9780308102767</t>
  </si>
  <si>
    <t>32285001383552</t>
  </si>
  <si>
    <t>893624404</t>
  </si>
  <si>
    <t>BF1091 .D38 1988</t>
  </si>
  <si>
    <t>0                      BF 1091000D  38          1988</t>
  </si>
  <si>
    <t>Living your dreams : using sleep to solve problems and enrich your life / Gayle M.V. Delaney.</t>
  </si>
  <si>
    <t>Delaney, Gayle M. V.</t>
  </si>
  <si>
    <t>San Francisco : Harper &amp; Row, c1988.</t>
  </si>
  <si>
    <t>Rev. and expanded ed.</t>
  </si>
  <si>
    <t>2008-11-20</t>
  </si>
  <si>
    <t>1999-01-25</t>
  </si>
  <si>
    <t>3856105896:eng</t>
  </si>
  <si>
    <t>18136837</t>
  </si>
  <si>
    <t>991001311039702656</t>
  </si>
  <si>
    <t>2267981710002656</t>
  </si>
  <si>
    <t>9780062502025</t>
  </si>
  <si>
    <t>32285003515797</t>
  </si>
  <si>
    <t>893328054</t>
  </si>
  <si>
    <t>BF1091 .F36 1976</t>
  </si>
  <si>
    <t>0                      BF 1091000F  36          1976</t>
  </si>
  <si>
    <t>The dream game / by Ann Faraday.</t>
  </si>
  <si>
    <t>Faraday, Ann.</t>
  </si>
  <si>
    <t>New York, Perennial Library, 1976.</t>
  </si>
  <si>
    <t>2004-09-20</t>
  </si>
  <si>
    <t>1990-04-10</t>
  </si>
  <si>
    <t>1928303:eng</t>
  </si>
  <si>
    <t>2757118</t>
  </si>
  <si>
    <t>991004233749702656</t>
  </si>
  <si>
    <t>2261168200002656</t>
  </si>
  <si>
    <t>9780060803711</t>
  </si>
  <si>
    <t>32285000120666</t>
  </si>
  <si>
    <t>893512990</t>
  </si>
  <si>
    <t>BF1091 .F37</t>
  </si>
  <si>
    <t>0                      BF 1091000F  37</t>
  </si>
  <si>
    <t>Dream power.</t>
  </si>
  <si>
    <t>New York : Coward, McCann &amp; Geoghegan, [1972]</t>
  </si>
  <si>
    <t>2003-02-06</t>
  </si>
  <si>
    <t>1991-05-20</t>
  </si>
  <si>
    <t>1421861:eng</t>
  </si>
  <si>
    <t>278946</t>
  </si>
  <si>
    <t>991002180469702656</t>
  </si>
  <si>
    <t>2258262900002656</t>
  </si>
  <si>
    <t>32285000597566</t>
  </si>
  <si>
    <t>893892247</t>
  </si>
  <si>
    <t>BF1091 .G9</t>
  </si>
  <si>
    <t>0                      BF 1091000G  9</t>
  </si>
  <si>
    <t>The handbook of dream analysis.</t>
  </si>
  <si>
    <t>Gutheil, Emil Arthur, 1899-1959.</t>
  </si>
  <si>
    <t>New York : Liveright, [c1951]</t>
  </si>
  <si>
    <t>1992-05-08</t>
  </si>
  <si>
    <t>517548:eng</t>
  </si>
  <si>
    <t>217753</t>
  </si>
  <si>
    <t>991001289929702656</t>
  </si>
  <si>
    <t>2258848920002656</t>
  </si>
  <si>
    <t>32285001106169</t>
  </si>
  <si>
    <t>893503293</t>
  </si>
  <si>
    <t>BF1121 .S5</t>
  </si>
  <si>
    <t>0                      BF 1121000S  5</t>
  </si>
  <si>
    <t>The nature of hypnosis : selected basic readings / edited by Ronald E. Shor and Martin T. Orne.</t>
  </si>
  <si>
    <t>Shor, Ronald E. editor.</t>
  </si>
  <si>
    <t>New York : Holt, Rinehart and Winston, [1965]</t>
  </si>
  <si>
    <t>1999-09-22</t>
  </si>
  <si>
    <t>1992-04-06</t>
  </si>
  <si>
    <t>836664370:eng</t>
  </si>
  <si>
    <t>711452</t>
  </si>
  <si>
    <t>991003179489702656</t>
  </si>
  <si>
    <t>2262042230002656</t>
  </si>
  <si>
    <t>32285001034924</t>
  </si>
  <si>
    <t>893409990</t>
  </si>
  <si>
    <t>BF1125 .S5</t>
  </si>
  <si>
    <t>0                      BF 1125000S  5</t>
  </si>
  <si>
    <t>Methodologies of hypnosis : a critical appraisal of contemporary paradigms of hypnosis / Peter W. Sheehan, Campbell W. Perry.</t>
  </si>
  <si>
    <t>Sheehan, Peter W.</t>
  </si>
  <si>
    <t>Hillsdale, N.J. : Lawrence Erlbaum Associates : distributed by Halsted Press Division, Wiley, 1976.</t>
  </si>
  <si>
    <t>1990-03-12</t>
  </si>
  <si>
    <t>286011188:eng</t>
  </si>
  <si>
    <t>2035166</t>
  </si>
  <si>
    <t>991003988109702656</t>
  </si>
  <si>
    <t>2268766970002656</t>
  </si>
  <si>
    <t>9780470150283</t>
  </si>
  <si>
    <t>32285000081447</t>
  </si>
  <si>
    <t>893888189</t>
  </si>
  <si>
    <t>BF1141 .B68 1976</t>
  </si>
  <si>
    <t>0                      BF 1141000B  68          1976</t>
  </si>
  <si>
    <t>Hypnosis for the seriously curious / Kenneth S. Bowers.</t>
  </si>
  <si>
    <t>Bowers, Kenneth S.</t>
  </si>
  <si>
    <t>Monterey, Calif. : Brooks/Cole Pub. Co., c1976.</t>
  </si>
  <si>
    <t>Contemporary psychology series</t>
  </si>
  <si>
    <t>2001-03-12</t>
  </si>
  <si>
    <t>1990-02-21</t>
  </si>
  <si>
    <t>2643319:eng</t>
  </si>
  <si>
    <t>2212825</t>
  </si>
  <si>
    <t>991004050859702656</t>
  </si>
  <si>
    <t>2255591900002656</t>
  </si>
  <si>
    <t>9780818501814</t>
  </si>
  <si>
    <t>32285000058122</t>
  </si>
  <si>
    <t>893800528</t>
  </si>
  <si>
    <t>BF1141 .E517 1986</t>
  </si>
  <si>
    <t>0                      BF 1141000E  517         1986</t>
  </si>
  <si>
    <t>The induction of hypnosis / William E. Edmonston, Jr.</t>
  </si>
  <si>
    <t>Edmonston, William E.</t>
  </si>
  <si>
    <t>New York : Wiley, c1986.</t>
  </si>
  <si>
    <t>1985</t>
  </si>
  <si>
    <t>Wiley series on personality processes</t>
  </si>
  <si>
    <t>2008-11-04</t>
  </si>
  <si>
    <t>5060785:eng</t>
  </si>
  <si>
    <t>12421929</t>
  </si>
  <si>
    <t>991000687729702656</t>
  </si>
  <si>
    <t>2255902350002656</t>
  </si>
  <si>
    <t>9780471831129</t>
  </si>
  <si>
    <t>32285000122183</t>
  </si>
  <si>
    <t>893696065</t>
  </si>
  <si>
    <t>BF1152 .E35</t>
  </si>
  <si>
    <t>0                      BF 1152000E  35</t>
  </si>
  <si>
    <t>Hypnosis and relaxation : modern verification of an old equation / William E. Edmonston, Jr.</t>
  </si>
  <si>
    <t>New York : Wiley, c1981.</t>
  </si>
  <si>
    <t>2002-02-11</t>
  </si>
  <si>
    <t>196504042:eng</t>
  </si>
  <si>
    <t>6761850</t>
  </si>
  <si>
    <t>991005036329702656</t>
  </si>
  <si>
    <t>2261202120002656</t>
  </si>
  <si>
    <t>9780471059035</t>
  </si>
  <si>
    <t>32285000058130</t>
  </si>
  <si>
    <t>893895775</t>
  </si>
  <si>
    <t>BF1152 .W27 1981</t>
  </si>
  <si>
    <t>0                      BF 1152000W  27          1981</t>
  </si>
  <si>
    <t>Hypnosis, compliance, and belief / Graham F. Wagstaff.</t>
  </si>
  <si>
    <t>Wagstaff, Graham F., 1948-</t>
  </si>
  <si>
    <t>New York : St. Martin's Press, 1981.</t>
  </si>
  <si>
    <t>2000-11-29</t>
  </si>
  <si>
    <t>442781:eng</t>
  </si>
  <si>
    <t>7738445</t>
  </si>
  <si>
    <t>991005155069702656</t>
  </si>
  <si>
    <t>2258050010002656</t>
  </si>
  <si>
    <t>9780312401573</t>
  </si>
  <si>
    <t>32285000058148</t>
  </si>
  <si>
    <t>893701103</t>
  </si>
  <si>
    <t>BF1171 .G85</t>
  </si>
  <si>
    <t>0                      BF 1171000G  85</t>
  </si>
  <si>
    <t>Extrasensory perception.</t>
  </si>
  <si>
    <t>Gudas, Fabian, editor.</t>
  </si>
  <si>
    <t>New York, Scribner [1961]</t>
  </si>
  <si>
    <t>A Scribner research anthology</t>
  </si>
  <si>
    <t>2000-01-25</t>
  </si>
  <si>
    <t>2000-03-07</t>
  </si>
  <si>
    <t>1401398:eng</t>
  </si>
  <si>
    <t>271859</t>
  </si>
  <si>
    <t>991002149649702656</t>
  </si>
  <si>
    <t>2264227800002656</t>
  </si>
  <si>
    <t>32285003667630</t>
  </si>
  <si>
    <t>893316448</t>
  </si>
  <si>
    <t>BF1171 .M23 1984</t>
  </si>
  <si>
    <t>0                      BF 1171000M  23          1984</t>
  </si>
  <si>
    <t>Escape into the psychic kingdom / Patrick Mahony.</t>
  </si>
  <si>
    <t>Mahony, Patrick.</t>
  </si>
  <si>
    <t>Washington, DC : Institute for the Study of Man, c1984.</t>
  </si>
  <si>
    <t>1984</t>
  </si>
  <si>
    <t>dcu</t>
  </si>
  <si>
    <t>1997-04-10</t>
  </si>
  <si>
    <t>1990-03-20</t>
  </si>
  <si>
    <t>394335874:eng</t>
  </si>
  <si>
    <t>10612165</t>
  </si>
  <si>
    <t>991000401619702656</t>
  </si>
  <si>
    <t>2259020660002656</t>
  </si>
  <si>
    <t>9780941694186</t>
  </si>
  <si>
    <t>32285000086883</t>
  </si>
  <si>
    <t>893802745</t>
  </si>
  <si>
    <t>BF1171 .S38 1973</t>
  </si>
  <si>
    <t>0                      BF 1171000S  38          1973</t>
  </si>
  <si>
    <t>ESP and personality patterns, by Gertrude Raffel Schmeidler and R. A. McConnell. With an introductory note by Gardner Murphy.</t>
  </si>
  <si>
    <t>Schmeidler, Gertrude Raffel.</t>
  </si>
  <si>
    <t>Westport, Conn., Greenwood Press [1973, c1958]</t>
  </si>
  <si>
    <t>1973</t>
  </si>
  <si>
    <t>1999-12-11</t>
  </si>
  <si>
    <t>1990-02-14</t>
  </si>
  <si>
    <t>500818:eng</t>
  </si>
  <si>
    <t>677326</t>
  </si>
  <si>
    <t>991003135569702656</t>
  </si>
  <si>
    <t>2272366380002656</t>
  </si>
  <si>
    <t>9780837169927</t>
  </si>
  <si>
    <t>32285000009794</t>
  </si>
  <si>
    <t>893799417</t>
  </si>
  <si>
    <t>BF1171 .S6 1975</t>
  </si>
  <si>
    <t>0                      BF 1171000S  6           1975</t>
  </si>
  <si>
    <t>Modern experiments in telepathy / by S. G. Soal and F. Bateman ; with an introductory note by G. E. Hutchinson.</t>
  </si>
  <si>
    <t>Soal, S. G. (Samuel George)</t>
  </si>
  <si>
    <t>Westport, Conn. : Greenwood Press, 1975.</t>
  </si>
  <si>
    <t>2007-02-25</t>
  </si>
  <si>
    <t>1997-09-25</t>
  </si>
  <si>
    <t>1814052:eng</t>
  </si>
  <si>
    <t>1980733</t>
  </si>
  <si>
    <t>991003964959702656</t>
  </si>
  <si>
    <t>2262333210002656</t>
  </si>
  <si>
    <t>9780837183367</t>
  </si>
  <si>
    <t>32285003179149</t>
  </si>
  <si>
    <t>893627914</t>
  </si>
  <si>
    <t>BF121 .B64 1973</t>
  </si>
  <si>
    <t>0                      BF 0121000B  64          1973</t>
  </si>
  <si>
    <t>Psychology from an empirical standpoint; edited by Oskar Kraus; translated [from the German] by Antos C. Rancurello, D. B. Terrell and Linda L. McAlister; English edition edited by Linda L. McAlister.</t>
  </si>
  <si>
    <t>Brentano, Franz, 1838-1917.</t>
  </si>
  <si>
    <t>London, Routledge and Kegan Paul; New York, Humanities Press, 1973.</t>
  </si>
  <si>
    <t>enk</t>
  </si>
  <si>
    <t>International library of philosophy and scientific method</t>
  </si>
  <si>
    <t>2005-09-22</t>
  </si>
  <si>
    <t>1807257:eng</t>
  </si>
  <si>
    <t>741481</t>
  </si>
  <si>
    <t>991003215599702656</t>
  </si>
  <si>
    <t>2270189330002656</t>
  </si>
  <si>
    <t>9780710074256</t>
  </si>
  <si>
    <t>32285002234218</t>
  </si>
  <si>
    <t>893874536</t>
  </si>
  <si>
    <t>BF121 .C37</t>
  </si>
  <si>
    <t>0                      BF 0121000C  37</t>
  </si>
  <si>
    <t>James McKeen Cattell, 1860-1944; man of science. A. T. Poffenberger, editor.</t>
  </si>
  <si>
    <t>New York, Arno Press, 1973 [c1947]</t>
  </si>
  <si>
    <t>Classics in psychology</t>
  </si>
  <si>
    <t>10792757740:eng</t>
  </si>
  <si>
    <t>632328</t>
  </si>
  <si>
    <t>991003080189702656</t>
  </si>
  <si>
    <t>2263853060002656</t>
  </si>
  <si>
    <t>9780405051555</t>
  </si>
  <si>
    <t>32285002234226</t>
  </si>
  <si>
    <t>893239862</t>
  </si>
  <si>
    <t>BF121 .C64 1973</t>
  </si>
  <si>
    <t>0                      BF 0121000C  64          1973</t>
  </si>
  <si>
    <t>Psychology [by] Frank Cox.</t>
  </si>
  <si>
    <t>Cox, Frank D.</t>
  </si>
  <si>
    <t>Dubuque, Iowa, W. C. Brown [1973]</t>
  </si>
  <si>
    <t>2d ed.</t>
  </si>
  <si>
    <t>iau</t>
  </si>
  <si>
    <t>2004-02-26</t>
  </si>
  <si>
    <t>1996-07-24</t>
  </si>
  <si>
    <t>1285870:eng</t>
  </si>
  <si>
    <t>605191</t>
  </si>
  <si>
    <t>991003044429702656</t>
  </si>
  <si>
    <t>2263354700002656</t>
  </si>
  <si>
    <t>9780697066152</t>
  </si>
  <si>
    <t>32285002234242</t>
  </si>
  <si>
    <t>893440873</t>
  </si>
  <si>
    <t>BF121 .F5</t>
  </si>
  <si>
    <t>0                      BF 0121000F  5</t>
  </si>
  <si>
    <t>Human performance [by] Paul M. Fitts [and] Michael I. Posner.</t>
  </si>
  <si>
    <t>Fitts, Paul Morris, 1912-1965.</t>
  </si>
  <si>
    <t>Belmont, Calif., Brooks/Cole Pub. Co. [1967]</t>
  </si>
  <si>
    <t>Basic concepts in psychology series</t>
  </si>
  <si>
    <t>2000-10-13</t>
  </si>
  <si>
    <t>445730:eng</t>
  </si>
  <si>
    <t>480476</t>
  </si>
  <si>
    <t>991002837039702656</t>
  </si>
  <si>
    <t>2268909730002656</t>
  </si>
  <si>
    <t>32285002234317</t>
  </si>
  <si>
    <t>893685842</t>
  </si>
  <si>
    <t>BF121 .H214 1986</t>
  </si>
  <si>
    <t>0                      BF 0121000H  214         1986</t>
  </si>
  <si>
    <t>Hans Eysenck : consensus and controversy / edited by Sohan Modgil and Celia Modgil ; concluding chapter by Hans Eysenck.</t>
  </si>
  <si>
    <t>Philadelphia : Falmer Press, 1986.</t>
  </si>
  <si>
    <t>Falmer international master-minds challenged ; 2</t>
  </si>
  <si>
    <t>793363175:eng</t>
  </si>
  <si>
    <t>13559007</t>
  </si>
  <si>
    <t>991000844889702656</t>
  </si>
  <si>
    <t>2270962310002656</t>
  </si>
  <si>
    <t>9781850000211</t>
  </si>
  <si>
    <t>32285000280866</t>
  </si>
  <si>
    <t>893231464</t>
  </si>
  <si>
    <t>BF121 .H86</t>
  </si>
  <si>
    <t>0                      BF 0121000H  86</t>
  </si>
  <si>
    <t>Psychology, the science of interpersonal behavior / [by] Max L. Hutt, Robert L. Isaacson, and Milton L. Blum. Under the editorship of Gardner Murphy and Wayne Holtzman.</t>
  </si>
  <si>
    <t>Hutt, Max L.</t>
  </si>
  <si>
    <t>New York : Harper &amp; Row, [1966]</t>
  </si>
  <si>
    <t>1999-09-01</t>
  </si>
  <si>
    <t>3855335629:eng</t>
  </si>
  <si>
    <t>711883</t>
  </si>
  <si>
    <t>991003181669702656</t>
  </si>
  <si>
    <t>2261927910002656</t>
  </si>
  <si>
    <t>32285002060563</t>
  </si>
  <si>
    <t>893793389</t>
  </si>
  <si>
    <t>BF121 .K55 1987</t>
  </si>
  <si>
    <t>0                      BF 0121000K  55          1987</t>
  </si>
  <si>
    <t>Child psychology and childhood education : a cognitive-developmental view / Lawrence Kohlberg with Rheta DeVries ... [et al.].</t>
  </si>
  <si>
    <t>Kohlberg, Lawrence, 1927-1987.</t>
  </si>
  <si>
    <t>New York : Longman, c1987.</t>
  </si>
  <si>
    <t>2005-01-18</t>
  </si>
  <si>
    <t>1990-04-20</t>
  </si>
  <si>
    <t>836657497:eng</t>
  </si>
  <si>
    <t>13820983</t>
  </si>
  <si>
    <t>991000877409702656</t>
  </si>
  <si>
    <t>2268265400002656</t>
  </si>
  <si>
    <t>9780582283022</t>
  </si>
  <si>
    <t>32285000124916</t>
  </si>
  <si>
    <t>893522091</t>
  </si>
  <si>
    <t>BF121 .K72 1973</t>
  </si>
  <si>
    <t>0                      BF 0121000K  72          1973</t>
  </si>
  <si>
    <t>Behavior influence and personality; the social matrix of human action [by] Leonard Krasner [and] Leonard P. Ullmann.</t>
  </si>
  <si>
    <t>Krasner, Leonard, 1924-2007.</t>
  </si>
  <si>
    <t>New York, Holt, Rinehart and Winston [1973]</t>
  </si>
  <si>
    <t>2000-10-23</t>
  </si>
  <si>
    <t>821338216:eng</t>
  </si>
  <si>
    <t>640229</t>
  </si>
  <si>
    <t>991003089809702656</t>
  </si>
  <si>
    <t>2263307800002656</t>
  </si>
  <si>
    <t>9780030561559</t>
  </si>
  <si>
    <t>32285002234440</t>
  </si>
  <si>
    <t>893505195</t>
  </si>
  <si>
    <t>BF121 .L42 1975</t>
  </si>
  <si>
    <t>0                      BF 0121000L  42          1975</t>
  </si>
  <si>
    <t>Psychology for teaching : a bear always usually faces the front / Guy R. Lefrancois.</t>
  </si>
  <si>
    <t>Lefrançois, Guy R.</t>
  </si>
  <si>
    <t>Belmont, Calif. : Wadsworth Pub. Co., [1975]</t>
  </si>
  <si>
    <t>3901052016:eng</t>
  </si>
  <si>
    <t>1318701</t>
  </si>
  <si>
    <t>991003689199702656</t>
  </si>
  <si>
    <t>2270848630002656</t>
  </si>
  <si>
    <t>9780534003685</t>
  </si>
  <si>
    <t>32285000280924</t>
  </si>
  <si>
    <t>893904470</t>
  </si>
  <si>
    <t>BF121 .M27</t>
  </si>
  <si>
    <t>0                      BF 0121000M  27</t>
  </si>
  <si>
    <t>Psychology [by] Wilbert James McKeachie [and] Charlotte Lackner Doyle.</t>
  </si>
  <si>
    <t>McKeachie, Wilbert James, 1921-</t>
  </si>
  <si>
    <t>Reading, Mass., Addison-Wesley Pub. Co. [1966]</t>
  </si>
  <si>
    <t>1997-02-27</t>
  </si>
  <si>
    <t>1352155:eng</t>
  </si>
  <si>
    <t>191740</t>
  </si>
  <si>
    <t>991001204849702656</t>
  </si>
  <si>
    <t>2258946800002656</t>
  </si>
  <si>
    <t>32285002234499</t>
  </si>
  <si>
    <t>893503191</t>
  </si>
  <si>
    <t>BF121 .M577</t>
  </si>
  <si>
    <t>0                      BF 0121000M  577</t>
  </si>
  <si>
    <t>Sense and symbol; a textbook of human behavioral science.</t>
  </si>
  <si>
    <t>Miller, Paul (Paul R.)</t>
  </si>
  <si>
    <t>New York, Hoeber Medical Division, Harper &amp; Row [1967]</t>
  </si>
  <si>
    <t>198493805:eng</t>
  </si>
  <si>
    <t>255423</t>
  </si>
  <si>
    <t>991001990549702656</t>
  </si>
  <si>
    <t>2268828770002656</t>
  </si>
  <si>
    <t>32285002234523</t>
  </si>
  <si>
    <t>893615559</t>
  </si>
  <si>
    <t>BF121 .M58</t>
  </si>
  <si>
    <t>0                      BF 0121000M  58</t>
  </si>
  <si>
    <t>The driving forces of human nature and their adjustment; an introduction to the psychology and psychopathology of emotional behavior and volitional control.</t>
  </si>
  <si>
    <t>Moore, Thomas Verner, 1877-1969.</t>
  </si>
  <si>
    <t>New York, Grune &amp; Stratton, 1948.</t>
  </si>
  <si>
    <t>1948</t>
  </si>
  <si>
    <t>1997-08-12</t>
  </si>
  <si>
    <t>1823664:eng</t>
  </si>
  <si>
    <t>697344</t>
  </si>
  <si>
    <t>991003157859702656</t>
  </si>
  <si>
    <t>2264503270002656</t>
  </si>
  <si>
    <t>32285002234531</t>
  </si>
  <si>
    <t>893416095</t>
  </si>
  <si>
    <t>BF121 .R595</t>
  </si>
  <si>
    <t>0                      BF 0121000R  595</t>
  </si>
  <si>
    <t>Psychology : a study of its origins and principles / [by] Daniel N. Robinson.</t>
  </si>
  <si>
    <t>Encino, Calif. : Dickenson Pub. Co., [1972]</t>
  </si>
  <si>
    <t>1996-09-15</t>
  </si>
  <si>
    <t>3943822409:eng</t>
  </si>
  <si>
    <t>314066</t>
  </si>
  <si>
    <t>991002293549702656</t>
  </si>
  <si>
    <t>2272243270002656</t>
  </si>
  <si>
    <t>9780822100096</t>
  </si>
  <si>
    <t>32285001500700</t>
  </si>
  <si>
    <t>893523429</t>
  </si>
  <si>
    <t>BF121 .S24</t>
  </si>
  <si>
    <t>0                      BF 0121000S  24</t>
  </si>
  <si>
    <t>Psychology: the science of behavior.</t>
  </si>
  <si>
    <t>Salzinger, Kurt.</t>
  </si>
  <si>
    <t>New York, Springer Pub. Co. [1969]</t>
  </si>
  <si>
    <t>Introductions to psychology</t>
  </si>
  <si>
    <t>1996-11-13</t>
  </si>
  <si>
    <t>2452717864:eng</t>
  </si>
  <si>
    <t>26109</t>
  </si>
  <si>
    <t>991000064129702656</t>
  </si>
  <si>
    <t>2265778770002656</t>
  </si>
  <si>
    <t>32285002234580</t>
  </si>
  <si>
    <t>893695558</t>
  </si>
  <si>
    <t>BF121 .S54 1965</t>
  </si>
  <si>
    <t>0                      BF 0121000S  54          1965</t>
  </si>
  <si>
    <t>Science and human behavior.</t>
  </si>
  <si>
    <t>New York : Free Press, [1965, c1953]</t>
  </si>
  <si>
    <t>1995-07-18</t>
  </si>
  <si>
    <t>1993-05-03</t>
  </si>
  <si>
    <t>4783801460:eng</t>
  </si>
  <si>
    <t>4041416</t>
  </si>
  <si>
    <t>991004576269702656</t>
  </si>
  <si>
    <t>2271533200002656</t>
  </si>
  <si>
    <t>32285001581460</t>
  </si>
  <si>
    <t>893411704</t>
  </si>
  <si>
    <t>BF121 .S62 1988</t>
  </si>
  <si>
    <t>0                      BF 0121000S  62          1988</t>
  </si>
  <si>
    <t>Sociobiological perspectives on human development / Kevin B. MacDonald, editor.</t>
  </si>
  <si>
    <t>New York : Springer-Verlag, 1988.</t>
  </si>
  <si>
    <t>1997-06-25</t>
  </si>
  <si>
    <t>1990-04-26</t>
  </si>
  <si>
    <t>13504776:eng</t>
  </si>
  <si>
    <t>16869076</t>
  </si>
  <si>
    <t>991001157369702656</t>
  </si>
  <si>
    <t>2255317850002656</t>
  </si>
  <si>
    <t>9780387965819</t>
  </si>
  <si>
    <t>32285000133602</t>
  </si>
  <si>
    <t>893891354</t>
  </si>
  <si>
    <t>BF121 .S82</t>
  </si>
  <si>
    <t>0                      BF 0121000S  82</t>
  </si>
  <si>
    <t>Complex human behavior; a systematic extension of learning principles [by] Arthur W. Staats and Carolyn K. Staats.</t>
  </si>
  <si>
    <t>Staats, Arthur W.</t>
  </si>
  <si>
    <t>New York, Holt, Rinehart and Winston [c1963]</t>
  </si>
  <si>
    <t>1963</t>
  </si>
  <si>
    <t>2004-02-16</t>
  </si>
  <si>
    <t>1654932:eng</t>
  </si>
  <si>
    <t>710938</t>
  </si>
  <si>
    <t>991003176759702656</t>
  </si>
  <si>
    <t>2262468080002656</t>
  </si>
  <si>
    <t>32285002234614</t>
  </si>
  <si>
    <t>893774478</t>
  </si>
  <si>
    <t>BF121.J3 W5 1968</t>
  </si>
  <si>
    <t>0                      BF 0121000J  3                  W  5           1968</t>
  </si>
  <si>
    <t>William James and phenomenology; a study of The principles of psychology.</t>
  </si>
  <si>
    <t>Wilshire, Bruce W., 1932-</t>
  </si>
  <si>
    <t>Bloomington, Indiana University Press [1968]</t>
  </si>
  <si>
    <t>2010-01-18</t>
  </si>
  <si>
    <t>475376:eng</t>
  </si>
  <si>
    <t>336620</t>
  </si>
  <si>
    <t>991002400689702656</t>
  </si>
  <si>
    <t>2254723050002656</t>
  </si>
  <si>
    <t>32285002234390</t>
  </si>
  <si>
    <t>893609816</t>
  </si>
  <si>
    <t>BF1211 .P93</t>
  </si>
  <si>
    <t>0                      BF 1211000P  93</t>
  </si>
  <si>
    <t>The dissociation of a personality; a biographical study in abnormal psychology, by Morton Prince ...</t>
  </si>
  <si>
    <t>Prince, Morton, 1854-1929.</t>
  </si>
  <si>
    <t>New York [etc.] Longmans, Green, and co., 1905.</t>
  </si>
  <si>
    <t>1905</t>
  </si>
  <si>
    <t>1999-09-26</t>
  </si>
  <si>
    <t>499520:eng</t>
  </si>
  <si>
    <t>8654432</t>
  </si>
  <si>
    <t>991000041309702656</t>
  </si>
  <si>
    <t>2269419940002656</t>
  </si>
  <si>
    <t>32285002257987</t>
  </si>
  <si>
    <t>893242923</t>
  </si>
  <si>
    <t>BF1261 .B47</t>
  </si>
  <si>
    <t>0                      BF 1261000B  47</t>
  </si>
  <si>
    <t>Spiritism, facts and frauds, by Simon Augustine Blackmore. With an introduction by the Right Rev. Joseph Schrembs.</t>
  </si>
  <si>
    <t>Blackmore, Simon Augustine, 1848-1926.</t>
  </si>
  <si>
    <t>New York, Benziger brothers, 1924.</t>
  </si>
  <si>
    <t>2009-11-23</t>
  </si>
  <si>
    <t>2058173:eng</t>
  </si>
  <si>
    <t>1138456</t>
  </si>
  <si>
    <t>991003565979702656</t>
  </si>
  <si>
    <t>2270467500002656</t>
  </si>
  <si>
    <t>32285002258027</t>
  </si>
  <si>
    <t>893623628</t>
  </si>
  <si>
    <t>BF1261 .M285 1984</t>
  </si>
  <si>
    <t>0                      BF 1261000M  285         1984</t>
  </si>
  <si>
    <t>Out of the silence : a book of factual fantasies / by Patrick Mahony ; with a foreword by Maurice Maeterlinck.</t>
  </si>
  <si>
    <t>Mahony, Patrick, 1911-</t>
  </si>
  <si>
    <t>2002-10-31</t>
  </si>
  <si>
    <t>425434747:eng</t>
  </si>
  <si>
    <t>10612161</t>
  </si>
  <si>
    <t>991000401589702656</t>
  </si>
  <si>
    <t>2259020350002656</t>
  </si>
  <si>
    <t>9780941694179</t>
  </si>
  <si>
    <t>32285001616506</t>
  </si>
  <si>
    <t>893407144</t>
  </si>
  <si>
    <t>BF1275.C3 T5</t>
  </si>
  <si>
    <t>0                      BF 1275000C  3                  T  5</t>
  </si>
  <si>
    <t>The church and spiritualism, by Herbert Thurston.</t>
  </si>
  <si>
    <t>Thurston, Herbert, 1856-1939.</t>
  </si>
  <si>
    <t>Milwaukee, Bruce Publishing Co. [c1933]</t>
  </si>
  <si>
    <t>1933</t>
  </si>
  <si>
    <t>wiu</t>
  </si>
  <si>
    <t>Science and culture series</t>
  </si>
  <si>
    <t>2001-08-26</t>
  </si>
  <si>
    <t>2309421:eng</t>
  </si>
  <si>
    <t>1429280</t>
  </si>
  <si>
    <t>991003751779702656</t>
  </si>
  <si>
    <t>2266355700002656</t>
  </si>
  <si>
    <t>32285002258084</t>
  </si>
  <si>
    <t>893422902</t>
  </si>
  <si>
    <t>BF1275.W65 B73 1989</t>
  </si>
  <si>
    <t>0                      BF 1275000W  65                 B  73          1989</t>
  </si>
  <si>
    <t>Radical spirits : spiritualism and women's rights in nineteenth-century America / Ann Braude.</t>
  </si>
  <si>
    <t>Braude, Ann.</t>
  </si>
  <si>
    <t>Boston, Mass. : Beacon Press, c1989.</t>
  </si>
  <si>
    <t>2010-02-04</t>
  </si>
  <si>
    <t>1991-12-02</t>
  </si>
  <si>
    <t>21924110:eng</t>
  </si>
  <si>
    <t>19846847</t>
  </si>
  <si>
    <t>991001507009702656</t>
  </si>
  <si>
    <t>2265597010002656</t>
  </si>
  <si>
    <t>9780807075005</t>
  </si>
  <si>
    <t>32285000818335</t>
  </si>
  <si>
    <t>893791489</t>
  </si>
  <si>
    <t>BF131 .A63</t>
  </si>
  <si>
    <t>0                      BF 0131000A  63</t>
  </si>
  <si>
    <t>Fundamentals of scientific method in psychology / [by] Malcolm D. Arnoult.</t>
  </si>
  <si>
    <t>Arnoult, Malcolm D.</t>
  </si>
  <si>
    <t>Dubuque, Iowa : W. C. Brown Co., [1972]</t>
  </si>
  <si>
    <t>Fundamentals of psychology series</t>
  </si>
  <si>
    <t>2005-08-31</t>
  </si>
  <si>
    <t>1994-02-03</t>
  </si>
  <si>
    <t>103260350:eng</t>
  </si>
  <si>
    <t>315422</t>
  </si>
  <si>
    <t>991002295959702656</t>
  </si>
  <si>
    <t>2268866640002656</t>
  </si>
  <si>
    <t>9780697066107</t>
  </si>
  <si>
    <t>32285001837128</t>
  </si>
  <si>
    <t>893603425</t>
  </si>
  <si>
    <t>BF131 .G646</t>
  </si>
  <si>
    <t>0                      BF 0131000G  646</t>
  </si>
  <si>
    <t>Psychology for law enforcement / Edward J. Green.</t>
  </si>
  <si>
    <t>Green, Edward J., 1924-</t>
  </si>
  <si>
    <t>New York : Wiley, [1976]</t>
  </si>
  <si>
    <t>1999-11-16</t>
  </si>
  <si>
    <t>2272120:eng</t>
  </si>
  <si>
    <t>1365236</t>
  </si>
  <si>
    <t>991003719639702656</t>
  </si>
  <si>
    <t>2256088030002656</t>
  </si>
  <si>
    <t>9780471324744</t>
  </si>
  <si>
    <t>32285002234796</t>
  </si>
  <si>
    <t>893330702</t>
  </si>
  <si>
    <t>BF131 .T47 1946</t>
  </si>
  <si>
    <t>0                      BF 0131000T  47          1946</t>
  </si>
  <si>
    <t>The psychology of normal people [by] Joseph Tiffin, Frederic B. Knight, and Eston Jackson Asher.</t>
  </si>
  <si>
    <t>Tiffin, Joseph, 1905-1989.</t>
  </si>
  <si>
    <t>Boston, D.C. Heath &amp; Co. [1946]</t>
  </si>
  <si>
    <t>1946</t>
  </si>
  <si>
    <t>Rev. ed.</t>
  </si>
  <si>
    <t>msu</t>
  </si>
  <si>
    <t>2000-11-28</t>
  </si>
  <si>
    <t>1707081:eng</t>
  </si>
  <si>
    <t>1090556</t>
  </si>
  <si>
    <t>991003526989702656</t>
  </si>
  <si>
    <t>2262806050002656</t>
  </si>
  <si>
    <t>32285002234960</t>
  </si>
  <si>
    <t>893705317</t>
  </si>
  <si>
    <t>BF131 .W24</t>
  </si>
  <si>
    <t>0                      BF 0131000W  24</t>
  </si>
  <si>
    <t>Persons and personality : an introduction to psychology / by Sister Annette Walters in collaboration with Sister Kevin O'Hara.</t>
  </si>
  <si>
    <t>Walters, Annette, 1910-</t>
  </si>
  <si>
    <t>New York : Appleton-Century-Crofts, [c1953]</t>
  </si>
  <si>
    <t>1953</t>
  </si>
  <si>
    <t>The Century psychology series</t>
  </si>
  <si>
    <t>1998-11-05</t>
  </si>
  <si>
    <t>1990-12-18</t>
  </si>
  <si>
    <t>396834:eng</t>
  </si>
  <si>
    <t>543233</t>
  </si>
  <si>
    <t>991002959089702656</t>
  </si>
  <si>
    <t>2265485970002656</t>
  </si>
  <si>
    <t>32285000425974</t>
  </si>
  <si>
    <t>893698497</t>
  </si>
  <si>
    <t>BF131 .W68</t>
  </si>
  <si>
    <t>0                      BF 0131000W  68</t>
  </si>
  <si>
    <t>Applied psychology for law enforcement and correction officers / [by] Robert J. Wicks.</t>
  </si>
  <si>
    <t>Wicks, Robert J.</t>
  </si>
  <si>
    <t>New York : McGraw-Hill, [1974]</t>
  </si>
  <si>
    <t>1994-12-02</t>
  </si>
  <si>
    <t>406771:eng</t>
  </si>
  <si>
    <t>579604</t>
  </si>
  <si>
    <t>991003013899702656</t>
  </si>
  <si>
    <t>2256169940002656</t>
  </si>
  <si>
    <t>9780070701038</t>
  </si>
  <si>
    <t>32285000425966</t>
  </si>
  <si>
    <t>893233729</t>
  </si>
  <si>
    <t>BF1321 .H3</t>
  </si>
  <si>
    <t>0                      BF 1321000H  3</t>
  </si>
  <si>
    <t>ESP; a scientific evaluation / by C. E. M. Hansel. Introd. by Edwin G. Boring.</t>
  </si>
  <si>
    <t>New York : Scribner, 1966.</t>
  </si>
  <si>
    <t>1661663:eng</t>
  </si>
  <si>
    <t>711949</t>
  </si>
  <si>
    <t>991003182079702656</t>
  </si>
  <si>
    <t>2261881240002656</t>
  </si>
  <si>
    <t>32285000009802</t>
  </si>
  <si>
    <t>893336221</t>
  </si>
  <si>
    <t>BF1321 .H33</t>
  </si>
  <si>
    <t>0                      BF 1321000H  33</t>
  </si>
  <si>
    <t>ESP and parapsychology : a critical reevaluation / C. E. M. Hansel.</t>
  </si>
  <si>
    <t>Buffalo, N.Y. : Prometheus Books, c1980.</t>
  </si>
  <si>
    <t>1991-12-13</t>
  </si>
  <si>
    <t>917593673:eng</t>
  </si>
  <si>
    <t>5914504</t>
  </si>
  <si>
    <t>991004899089702656</t>
  </si>
  <si>
    <t>2259104080002656</t>
  </si>
  <si>
    <t>9780879751203</t>
  </si>
  <si>
    <t>32285000895440</t>
  </si>
  <si>
    <t>893895610</t>
  </si>
  <si>
    <t>BF1321 .M25 1968</t>
  </si>
  <si>
    <t>0                      BF 1321000M  25          1968</t>
  </si>
  <si>
    <t>Science, philosophy, and ESP / with a foreword by H. H. Price.</t>
  </si>
  <si>
    <t>McCreery, Charles.</t>
  </si>
  <si>
    <t>Hamden, Conn. : Archon Books, [1968, c1967]</t>
  </si>
  <si>
    <t>[1st ed. in the United States]</t>
  </si>
  <si>
    <t>1997-11-03</t>
  </si>
  <si>
    <t>1991-12-17</t>
  </si>
  <si>
    <t>1533922:eng</t>
  </si>
  <si>
    <t>430589</t>
  </si>
  <si>
    <t>991002763319702656</t>
  </si>
  <si>
    <t>2269809420002656</t>
  </si>
  <si>
    <t>32285000879840</t>
  </si>
  <si>
    <t>893780189</t>
  </si>
  <si>
    <t>BF1321 .S3</t>
  </si>
  <si>
    <t>0                      BF 1321000S  3</t>
  </si>
  <si>
    <t>Extra-sensory perception / edited by Gertrude Schmeidler.</t>
  </si>
  <si>
    <t>Schmeidler, Gertrude Raffel compiler.</t>
  </si>
  <si>
    <t>New York : Atherton Press, 1969.</t>
  </si>
  <si>
    <t>1995-10-26</t>
  </si>
  <si>
    <t>1991-12-11</t>
  </si>
  <si>
    <t>1134107:eng</t>
  </si>
  <si>
    <t>11039</t>
  </si>
  <si>
    <t>991000002369702656</t>
  </si>
  <si>
    <t>2267676280002656</t>
  </si>
  <si>
    <t>32285000876002</t>
  </si>
  <si>
    <t>893695487</t>
  </si>
  <si>
    <t>BF1321 .S64</t>
  </si>
  <si>
    <t>0                      BF 1321000S  64</t>
  </si>
  <si>
    <t>Science and E.S.P. / edited by J. R. Smythies.</t>
  </si>
  <si>
    <t>Smythies, John R. (John Raymond), 1922- compiler.</t>
  </si>
  <si>
    <t>London : Routledge &amp; K. Paul ; New York : Humanities P., [1967]</t>
  </si>
  <si>
    <t>138095233:eng</t>
  </si>
  <si>
    <t>512808</t>
  </si>
  <si>
    <t>991002893709702656</t>
  </si>
  <si>
    <t>2263272440002656</t>
  </si>
  <si>
    <t>32285000879832</t>
  </si>
  <si>
    <t>893348061</t>
  </si>
  <si>
    <t>BF1321 .T38</t>
  </si>
  <si>
    <t>0                      BF 1321000T  38</t>
  </si>
  <si>
    <t>Learning to use extrasensory perception / Charles T. Tart.</t>
  </si>
  <si>
    <t>Tart, Charles T., 1937-</t>
  </si>
  <si>
    <t>Chicago : University of Chicago Press, 1976.</t>
  </si>
  <si>
    <t>419388:eng</t>
  </si>
  <si>
    <t>2090908</t>
  </si>
  <si>
    <t>991004010529702656</t>
  </si>
  <si>
    <t>2267046950002656</t>
  </si>
  <si>
    <t>9780226789910</t>
  </si>
  <si>
    <t>32285000976281</t>
  </si>
  <si>
    <t>893869175</t>
  </si>
  <si>
    <t>BF1325 .E37</t>
  </si>
  <si>
    <t>0                      BF 1325000E  37</t>
  </si>
  <si>
    <t>Paranormal foreknowledge : problems and perplexities / Jule Eisenbud.</t>
  </si>
  <si>
    <t>Eisenbud, Jule.</t>
  </si>
  <si>
    <t>New York, N.Y. : Human Sciences Press, c1982.</t>
  </si>
  <si>
    <t>1994-10-12</t>
  </si>
  <si>
    <t>1993-03-09</t>
  </si>
  <si>
    <t>197756979:eng</t>
  </si>
  <si>
    <t>7462653</t>
  </si>
  <si>
    <t>991005116209702656</t>
  </si>
  <si>
    <t>2262889420002656</t>
  </si>
  <si>
    <t>9780898850499</t>
  </si>
  <si>
    <t>32285001570836</t>
  </si>
  <si>
    <t>893263614</t>
  </si>
  <si>
    <t>BF1352 .G56</t>
  </si>
  <si>
    <t>0                      BF 1352000G  56</t>
  </si>
  <si>
    <t>Trance, art, and creativity : a psychological analysis of the relationship between the individual ego and the numinous element in three modes--prototaxic, parataxic, and syntaxic / John Curtis Gowan.</t>
  </si>
  <si>
    <t>Gowan, John Curtis.</t>
  </si>
  <si>
    <t>Buffalo : Creative Education Foundation, State University College, c1975.</t>
  </si>
  <si>
    <t>2010-11-29</t>
  </si>
  <si>
    <t>504103835:eng</t>
  </si>
  <si>
    <t>2385691</t>
  </si>
  <si>
    <t>991004106259702656</t>
  </si>
  <si>
    <t>2257030080002656</t>
  </si>
  <si>
    <t>32285001632503</t>
  </si>
  <si>
    <t>893531984</t>
  </si>
  <si>
    <t>BF1371 .R6</t>
  </si>
  <si>
    <t>0                      BF 1371000R  6</t>
  </si>
  <si>
    <t>To stretch a plank : a survey of psychokinesis / Diana Robinson.</t>
  </si>
  <si>
    <t>Robinson, Diana.</t>
  </si>
  <si>
    <t>Chicago : Nelson-Hall, c1981.</t>
  </si>
  <si>
    <t>1996-09-11</t>
  </si>
  <si>
    <t>196518690:eng</t>
  </si>
  <si>
    <t>6087774</t>
  </si>
  <si>
    <t>991004928169702656</t>
  </si>
  <si>
    <t>2259634910002656</t>
  </si>
  <si>
    <t>9780882294049</t>
  </si>
  <si>
    <t>32285001616522</t>
  </si>
  <si>
    <t>893700836</t>
  </si>
  <si>
    <t>BF1381 .G47 1978</t>
  </si>
  <si>
    <t>0                      BF 1381000G  47          1978</t>
  </si>
  <si>
    <t>Ghosts in photographs : the extraordinary story of spirit photography / by Fred Gettings.</t>
  </si>
  <si>
    <t>Gettings, Fred.</t>
  </si>
  <si>
    <t>New York : Harmony Book, c1978.</t>
  </si>
  <si>
    <t>2007-03-14</t>
  </si>
  <si>
    <t>499349:eng</t>
  </si>
  <si>
    <t>3650310</t>
  </si>
  <si>
    <t>991004488619702656</t>
  </si>
  <si>
    <t>2260959890002656</t>
  </si>
  <si>
    <t>9780517529300</t>
  </si>
  <si>
    <t>32285000124940</t>
  </si>
  <si>
    <t>893411608</t>
  </si>
  <si>
    <t>BF139 .P7813</t>
  </si>
  <si>
    <t>0                      BF 0139000P  7813</t>
  </si>
  <si>
    <t>Psychology; a brief introduction [by] Michael Wertheimer [and others]</t>
  </si>
  <si>
    <t>Glenview, Ill., Scott, Foresman [1971]</t>
  </si>
  <si>
    <t>2007-03-12</t>
  </si>
  <si>
    <t>889425930:eng</t>
  </si>
  <si>
    <t>141493</t>
  </si>
  <si>
    <t>991000813539702656</t>
  </si>
  <si>
    <t>2256028470002656</t>
  </si>
  <si>
    <t>32285002235017</t>
  </si>
  <si>
    <t>893714919</t>
  </si>
  <si>
    <t>BF1411 .C3 1967a</t>
  </si>
  <si>
    <t>0                      BF 1411000C  3           1967a</t>
  </si>
  <si>
    <t>The black arts / by Richard Cavendish.</t>
  </si>
  <si>
    <t>Cavendish, Richard.</t>
  </si>
  <si>
    <t>New York : Putnam, [1967]</t>
  </si>
  <si>
    <t>[1st American ed.]</t>
  </si>
  <si>
    <t>2007-12-06</t>
  </si>
  <si>
    <t>1995-03-07</t>
  </si>
  <si>
    <t>473680:eng</t>
  </si>
  <si>
    <t>683551</t>
  </si>
  <si>
    <t>991003142249702656</t>
  </si>
  <si>
    <t>2263077670002656</t>
  </si>
  <si>
    <t>32285002001377</t>
  </si>
  <si>
    <t>893434682</t>
  </si>
  <si>
    <t>BF1411 .C45</t>
  </si>
  <si>
    <t>0                      BF 1411000C  45</t>
  </si>
  <si>
    <t>ESP, seers &amp; psychics.</t>
  </si>
  <si>
    <t>Christopher, Milbourne.</t>
  </si>
  <si>
    <t>New York : Crowell, [1970]</t>
  </si>
  <si>
    <t>1998-03-03</t>
  </si>
  <si>
    <t>1324007:eng</t>
  </si>
  <si>
    <t>97063</t>
  </si>
  <si>
    <t>991000596179702656</t>
  </si>
  <si>
    <t>2269875230002656</t>
  </si>
  <si>
    <t>9780690268157</t>
  </si>
  <si>
    <t>32285000879824</t>
  </si>
  <si>
    <t>893407347</t>
  </si>
  <si>
    <t>BF1411 .F87</t>
  </si>
  <si>
    <t>0                      BF 1411000F  87</t>
  </si>
  <si>
    <t>Future science : life energies and the physics of paranormal phenomena / edited by John White and Stanley Krippner.</t>
  </si>
  <si>
    <t>Garden City, N.Y. : Anchor Books, 1977.</t>
  </si>
  <si>
    <t>1997-09-21</t>
  </si>
  <si>
    <t>1994-01-14</t>
  </si>
  <si>
    <t>6723597:eng</t>
  </si>
  <si>
    <t>3003737</t>
  </si>
  <si>
    <t>991004315759702656</t>
  </si>
  <si>
    <t>2272713060002656</t>
  </si>
  <si>
    <t>9780385112031</t>
  </si>
  <si>
    <t>32285001832939</t>
  </si>
  <si>
    <t>893506696</t>
  </si>
  <si>
    <t>BF1411 .S34</t>
  </si>
  <si>
    <t>0                      BF 1411000S  34</t>
  </si>
  <si>
    <t>The Satan trap : dangers of the occult / edited by Martin Ebon.</t>
  </si>
  <si>
    <t>Garden City, N.Y. : Doubleday, 1976.</t>
  </si>
  <si>
    <t>2007-04-15</t>
  </si>
  <si>
    <t>2467320:eng</t>
  </si>
  <si>
    <t>1659511</t>
  </si>
  <si>
    <t>991003858299702656</t>
  </si>
  <si>
    <t>2256771890002656</t>
  </si>
  <si>
    <t>9780385079419</t>
  </si>
  <si>
    <t>32285000410026</t>
  </si>
  <si>
    <t>893324622</t>
  </si>
  <si>
    <t>BF1421 .D6</t>
  </si>
  <si>
    <t>0                      BF 1421000D  6</t>
  </si>
  <si>
    <t>The Greeks and the irrational / E. R. Dodds.</t>
  </si>
  <si>
    <t>Dodds, E. R. (Eric Robertson), 1893-1979.</t>
  </si>
  <si>
    <t>Berkeley : University of California Press, c1951, 1973 printing.</t>
  </si>
  <si>
    <t>Sather classical lectures ; v. 25</t>
  </si>
  <si>
    <t>1992-05-12</t>
  </si>
  <si>
    <t>19970188:eng</t>
  </si>
  <si>
    <t>3410339</t>
  </si>
  <si>
    <t>991005371109702656</t>
  </si>
  <si>
    <t>2266601010002656</t>
  </si>
  <si>
    <t>9780520003279</t>
  </si>
  <si>
    <t>32285001097541</t>
  </si>
  <si>
    <t>893808311</t>
  </si>
  <si>
    <t>BF1429 .O26 1984</t>
  </si>
  <si>
    <t>0                      BF 1429000O  26          1984</t>
  </si>
  <si>
    <t>Occult and scientific mentalities in the Renaissance / edited by Brian Vickers.</t>
  </si>
  <si>
    <t>Cambridge [Cambridgeshire] ; New York : Cambridge University Press, 1984.</t>
  </si>
  <si>
    <t>2006-04-11</t>
  </si>
  <si>
    <t>917502890:eng</t>
  </si>
  <si>
    <t>9827617</t>
  </si>
  <si>
    <t>991000263509702656</t>
  </si>
  <si>
    <t>2269159480002656</t>
  </si>
  <si>
    <t>9780521258791</t>
  </si>
  <si>
    <t>32285001616555</t>
  </si>
  <si>
    <t>893877928</t>
  </si>
  <si>
    <t>BF1429 .S58</t>
  </si>
  <si>
    <t>0                      BF 1429000S  58</t>
  </si>
  <si>
    <t>The occult sciences in the Renaissance : a study in intellectual patterns.</t>
  </si>
  <si>
    <t>Shumaker, Wayne.</t>
  </si>
  <si>
    <t>Berkeley : University of California Press, [1972]</t>
  </si>
  <si>
    <t>1992-12-23</t>
  </si>
  <si>
    <t>501935:eng</t>
  </si>
  <si>
    <t>363136</t>
  </si>
  <si>
    <t>991002493319702656</t>
  </si>
  <si>
    <t>2263980890002656</t>
  </si>
  <si>
    <t>9780520020214</t>
  </si>
  <si>
    <t>32285001471092</t>
  </si>
  <si>
    <t>893226912</t>
  </si>
  <si>
    <t>BF1429 .W4 1976</t>
  </si>
  <si>
    <t>0                      BF 1429000W  4           1976</t>
  </si>
  <si>
    <t>The occult establishment / James Webb.</t>
  </si>
  <si>
    <t>Webb, James, 1946-1980.</t>
  </si>
  <si>
    <t>La Salle, Ill. : Open Court Pub. Co., 1976.</t>
  </si>
  <si>
    <t>2007-05-12</t>
  </si>
  <si>
    <t>40731854:eng</t>
  </si>
  <si>
    <t>1529534</t>
  </si>
  <si>
    <t>991003804519702656</t>
  </si>
  <si>
    <t>2256726510002656</t>
  </si>
  <si>
    <t>9780912050560</t>
  </si>
  <si>
    <t>32285001616563</t>
  </si>
  <si>
    <t>893445872</t>
  </si>
  <si>
    <t>BF1461 .L4 1956</t>
  </si>
  <si>
    <t>0                      BF 1461000L  4           1956</t>
  </si>
  <si>
    <t>Ghost book / Shane Leslie.</t>
  </si>
  <si>
    <t>Leslie, Shane, 1885-1971.</t>
  </si>
  <si>
    <t>London : Hollis &amp; Carter, 1956.</t>
  </si>
  <si>
    <t>1956</t>
  </si>
  <si>
    <t>2d. ed.</t>
  </si>
  <si>
    <t>2009-07-01</t>
  </si>
  <si>
    <t>1992-04-09</t>
  </si>
  <si>
    <t>2252473:eng</t>
  </si>
  <si>
    <t>5258201</t>
  </si>
  <si>
    <t>991004806969702656</t>
  </si>
  <si>
    <t>2261996470002656</t>
  </si>
  <si>
    <t>32285001066306</t>
  </si>
  <si>
    <t>893248003</t>
  </si>
  <si>
    <t>BF1475 .R4 1947b</t>
  </si>
  <si>
    <t>0                      BF 1475000R  4           1947b</t>
  </si>
  <si>
    <t>Ghosts in Irish houses / by James Reynolds.</t>
  </si>
  <si>
    <t>Reynolds, James, 1891-</t>
  </si>
  <si>
    <t>New York : Bonanza Books, c1947.</t>
  </si>
  <si>
    <t>1947</t>
  </si>
  <si>
    <t>2009-07-02</t>
  </si>
  <si>
    <t>1992-08-31</t>
  </si>
  <si>
    <t>1387127:eng</t>
  </si>
  <si>
    <t>351772</t>
  </si>
  <si>
    <t>991002446839702656</t>
  </si>
  <si>
    <t>2266790980002656</t>
  </si>
  <si>
    <t>32285001285021</t>
  </si>
  <si>
    <t>893409107</t>
  </si>
  <si>
    <t>BF149 .A4</t>
  </si>
  <si>
    <t>0                      BF 0149000A  4</t>
  </si>
  <si>
    <t>The person in psychology; selected essays.</t>
  </si>
  <si>
    <t>Allport, Gordon W. (Gordon Willard), 1897-1967.</t>
  </si>
  <si>
    <t>Boston, Beacon Press [1968]</t>
  </si>
  <si>
    <t>206234869:eng</t>
  </si>
  <si>
    <t>192155</t>
  </si>
  <si>
    <t>991001206149702656</t>
  </si>
  <si>
    <t>2258512960002656</t>
  </si>
  <si>
    <t>32285002235033</t>
  </si>
  <si>
    <t>893243943</t>
  </si>
  <si>
    <t>BF149 .C58</t>
  </si>
  <si>
    <t>0                      BF 0149000C  58</t>
  </si>
  <si>
    <t>Confrontation: psychology and the problems of today. General editor: Michael Wertheimer.</t>
  </si>
  <si>
    <t>[Glenview, Ill.] Scott, Foresman [1970]</t>
  </si>
  <si>
    <t>2001-02-20</t>
  </si>
  <si>
    <t>1287909:eng</t>
  </si>
  <si>
    <t>87945</t>
  </si>
  <si>
    <t>991000521319702656</t>
  </si>
  <si>
    <t>2270868410002656</t>
  </si>
  <si>
    <t>32285002235090</t>
  </si>
  <si>
    <t>893237385</t>
  </si>
  <si>
    <t>BF149 .G8 1971</t>
  </si>
  <si>
    <t>0                      BF 0149000G  8           1971</t>
  </si>
  <si>
    <t>Psychology in the world today; an interdisciplinary approach. Edited by Robert V. Guthrie.</t>
  </si>
  <si>
    <t>Guthrie, Robert V. compiler.</t>
  </si>
  <si>
    <t>Reading, Mass., Addison-Wesley Pub. Co. [1971]</t>
  </si>
  <si>
    <t>Addison-Wesley series in psychology</t>
  </si>
  <si>
    <t>1325292:eng</t>
  </si>
  <si>
    <t>146174</t>
  </si>
  <si>
    <t>991000825109702656</t>
  </si>
  <si>
    <t>2256215310002656</t>
  </si>
  <si>
    <t>32285002235116</t>
  </si>
  <si>
    <t>893333813</t>
  </si>
  <si>
    <t>BF149 .K53</t>
  </si>
  <si>
    <t>0                      BF 0149000K  53</t>
  </si>
  <si>
    <t>Research in psychology; readings for the introductory course. Edited by B. L. Kintz [and] James L. Bruning.</t>
  </si>
  <si>
    <t>Kintz, B. L., compiler.</t>
  </si>
  <si>
    <t>820949044:eng</t>
  </si>
  <si>
    <t>65417</t>
  </si>
  <si>
    <t>991000206719702656</t>
  </si>
  <si>
    <t>2259309320002656</t>
  </si>
  <si>
    <t>32285002235157</t>
  </si>
  <si>
    <t>893438098</t>
  </si>
  <si>
    <t>BF149 .M39</t>
  </si>
  <si>
    <t>0                      BF 0149000M  39</t>
  </si>
  <si>
    <t>Psychology and the human dilemma.</t>
  </si>
  <si>
    <t>May, Rollo.</t>
  </si>
  <si>
    <t>Princeton, N.J., Van Nostrand [c1967]</t>
  </si>
  <si>
    <t>1919710:eng</t>
  </si>
  <si>
    <t>965481</t>
  </si>
  <si>
    <t>991003430709702656</t>
  </si>
  <si>
    <t>2258233960002656</t>
  </si>
  <si>
    <t>32285002235223</t>
  </si>
  <si>
    <t>893252356</t>
  </si>
  <si>
    <t>BF149 .P84 1975</t>
  </si>
  <si>
    <t>0                      BF 0149000P  84          1975</t>
  </si>
  <si>
    <t>Psychology in today's world / edited by Stanley Milgram.</t>
  </si>
  <si>
    <t>Boston : Educational Associates, [1975]</t>
  </si>
  <si>
    <t>2009-10-03</t>
  </si>
  <si>
    <t>2383489:eng</t>
  </si>
  <si>
    <t>1601996</t>
  </si>
  <si>
    <t>991003836309702656</t>
  </si>
  <si>
    <t>2266647190002656</t>
  </si>
  <si>
    <t>32285002235249</t>
  </si>
  <si>
    <t>893512417</t>
  </si>
  <si>
    <t>BF149 .S4</t>
  </si>
  <si>
    <t>0                      BF 0149000S  4</t>
  </si>
  <si>
    <t>Humanistic viewpoints in psychology : a book of readings / [by] Frank T. Severin.</t>
  </si>
  <si>
    <t>Severin, Frank T., editor.</t>
  </si>
  <si>
    <t>New York : McGraw-Hill, [1965]</t>
  </si>
  <si>
    <t>1997-12-03</t>
  </si>
  <si>
    <t>1995-03-23</t>
  </si>
  <si>
    <t>199022359:eng</t>
  </si>
  <si>
    <t>192077</t>
  </si>
  <si>
    <t>991001205989702656</t>
  </si>
  <si>
    <t>2258494410002656</t>
  </si>
  <si>
    <t>32285002013901</t>
  </si>
  <si>
    <t>893903335</t>
  </si>
  <si>
    <t>BF149 .T34 1984</t>
  </si>
  <si>
    <t>0                      BF 0149000T  34          1984</t>
  </si>
  <si>
    <t>Taking sides : clashing views on controversial psychological issues / edited, selected, and with introductions by Joseph Rubinstein and Brent D. Slife.</t>
  </si>
  <si>
    <t>Guilford, Conn. : Dushkin Pub. Group, 1984.</t>
  </si>
  <si>
    <t>3rd ed.</t>
  </si>
  <si>
    <t>2008-04-14</t>
  </si>
  <si>
    <t>1990-08-14</t>
  </si>
  <si>
    <t>4451739344:eng</t>
  </si>
  <si>
    <t>10757602</t>
  </si>
  <si>
    <t>991000427509702656</t>
  </si>
  <si>
    <t>2260339790002656</t>
  </si>
  <si>
    <t>32285000281575</t>
  </si>
  <si>
    <t>893683402</t>
  </si>
  <si>
    <t>BF1517.F5 W34 1981</t>
  </si>
  <si>
    <t>0                      BF 1517000F  5                  W  34          1981</t>
  </si>
  <si>
    <t>Unclean spirits : possession and exorcism in France and England in the late sixteenth and early seventeenth centuries / D. P. Walker.</t>
  </si>
  <si>
    <t>Walker, D. P. (Daniel Pickering)</t>
  </si>
  <si>
    <t>Philadelphia, Pa. : University of Pennsylvania Press, 1981.</t>
  </si>
  <si>
    <t>2002-02-19</t>
  </si>
  <si>
    <t>1991-12-05</t>
  </si>
  <si>
    <t>836678137:eng</t>
  </si>
  <si>
    <t>6788880</t>
  </si>
  <si>
    <t>991005039739702656</t>
  </si>
  <si>
    <t>2263493360002656</t>
  </si>
  <si>
    <t>9780812277975</t>
  </si>
  <si>
    <t>32285000860634</t>
  </si>
  <si>
    <t>893332317</t>
  </si>
  <si>
    <t>BF1563 .W56</t>
  </si>
  <si>
    <t>0                      BF 1563000W  56</t>
  </si>
  <si>
    <t>Witchcraft confessions &amp; accusations / edited by Mary Douglas.</t>
  </si>
  <si>
    <t>London ; New York : Tavistock Publications, [1970]</t>
  </si>
  <si>
    <t>A.S.A. monographs ; 9</t>
  </si>
  <si>
    <t>2010-12-06</t>
  </si>
  <si>
    <t>1990-05-08</t>
  </si>
  <si>
    <t>346767780:eng</t>
  </si>
  <si>
    <t>94954</t>
  </si>
  <si>
    <t>991000576769702656</t>
  </si>
  <si>
    <t>2270872490002656</t>
  </si>
  <si>
    <t>9780422732000</t>
  </si>
  <si>
    <t>32285000129428</t>
  </si>
  <si>
    <t>893796796</t>
  </si>
  <si>
    <t>BF1566 .C313</t>
  </si>
  <si>
    <t>0                      BF 1566000C  313</t>
  </si>
  <si>
    <t>The world of the witches. Translated by O.N.V. Glendinning.</t>
  </si>
  <si>
    <t>Caro Baroja, Julio.</t>
  </si>
  <si>
    <t>Chicago, Ill., University of Chicago Press [1964]</t>
  </si>
  <si>
    <t>The Nature of human society series</t>
  </si>
  <si>
    <t>2004-11-08</t>
  </si>
  <si>
    <t>417865:eng</t>
  </si>
  <si>
    <t>223049</t>
  </si>
  <si>
    <t>991001369319702656</t>
  </si>
  <si>
    <t>2262274370002656</t>
  </si>
  <si>
    <t>32285002258191</t>
  </si>
  <si>
    <t>893615013</t>
  </si>
  <si>
    <t>BF1581 .B7 1977</t>
  </si>
  <si>
    <t>0                      BF 1581000B  7           1977</t>
  </si>
  <si>
    <t>Pale Hecate's team / Katharine Mary Briggs. --</t>
  </si>
  <si>
    <t>Briggs, Katharine Mary.</t>
  </si>
  <si>
    <t>New York : Arno Press, 1977, c1962.</t>
  </si>
  <si>
    <t>International folklore</t>
  </si>
  <si>
    <t>2000-02-17</t>
  </si>
  <si>
    <t>1993-04-13</t>
  </si>
  <si>
    <t>366020059:eng</t>
  </si>
  <si>
    <t>2876092</t>
  </si>
  <si>
    <t>991004271209702656</t>
  </si>
  <si>
    <t>2257844330002656</t>
  </si>
  <si>
    <t>9780405100833</t>
  </si>
  <si>
    <t>32285001618007</t>
  </si>
  <si>
    <t>893229137</t>
  </si>
  <si>
    <t>BF1581 .D3 1972</t>
  </si>
  <si>
    <t>0                      BF 1581000D  3           1972</t>
  </si>
  <si>
    <t>Four centuries of witch-beliefs : with special reference to the Great Rebellion / by R. Trevor Davies.</t>
  </si>
  <si>
    <t>Davies, R. Trevor (Reginald Trevor)</t>
  </si>
  <si>
    <t>New York : B. Blom, 1972.</t>
  </si>
  <si>
    <t>1999-09-14</t>
  </si>
  <si>
    <t>1422493:eng</t>
  </si>
  <si>
    <t>403000</t>
  </si>
  <si>
    <t>991002694489702656</t>
  </si>
  <si>
    <t>2265304500002656</t>
  </si>
  <si>
    <t>32285000323179</t>
  </si>
  <si>
    <t>893352470</t>
  </si>
  <si>
    <t>BF1581 .K58 1972</t>
  </si>
  <si>
    <t>0                      BF 1581000K  58          1972</t>
  </si>
  <si>
    <t>Witchcraft in Old and New England / by George Lyman Kittredge.</t>
  </si>
  <si>
    <t>Kittredge, George Lyman, 1860-1941.</t>
  </si>
  <si>
    <t>New York : Atheneum, 1972, c1957.</t>
  </si>
  <si>
    <t>College ed.</t>
  </si>
  <si>
    <t>Atheneum ; 186</t>
  </si>
  <si>
    <t>1994-03-08</t>
  </si>
  <si>
    <t>1992-03-13</t>
  </si>
  <si>
    <t>438910:eng</t>
  </si>
  <si>
    <t>1432768</t>
  </si>
  <si>
    <t>991003753689702656</t>
  </si>
  <si>
    <t>2268875290002656</t>
  </si>
  <si>
    <t>32285000999986</t>
  </si>
  <si>
    <t>893592856</t>
  </si>
  <si>
    <t>BF1581 .L275 1981b</t>
  </si>
  <si>
    <t>0                      BF 1581000L  275         1981b</t>
  </si>
  <si>
    <t>Enemies of God : the witch-hunt in Scotland / Christina Larner ; with a foreword by Norman Cohn.</t>
  </si>
  <si>
    <t>Larner, Christina.</t>
  </si>
  <si>
    <t>Baltimore, Md. : Johns Hopkins University Press, c1981.</t>
  </si>
  <si>
    <t>2004-09-28</t>
  </si>
  <si>
    <t>1992-04-01</t>
  </si>
  <si>
    <t>257414:eng</t>
  </si>
  <si>
    <t>7920792</t>
  </si>
  <si>
    <t>991005175589702656</t>
  </si>
  <si>
    <t>2257640170002656</t>
  </si>
  <si>
    <t>32285001047025</t>
  </si>
  <si>
    <t>893332538</t>
  </si>
  <si>
    <t>BF1583 .M5</t>
  </si>
  <si>
    <t>0                      BF 1583000M  5</t>
  </si>
  <si>
    <t>Witch hunting in southwestern Germany, 1562-1684 : the social and intellectual foundations / [by] H.C. Erik Midelfort.</t>
  </si>
  <si>
    <t>Midelfort, H. C. Erik.</t>
  </si>
  <si>
    <t>Stanford, Calif. : Stanford University Press, 1972.</t>
  </si>
  <si>
    <t>2002-06-14</t>
  </si>
  <si>
    <t>1992-03-23</t>
  </si>
  <si>
    <t>211776352:eng</t>
  </si>
  <si>
    <t>489429</t>
  </si>
  <si>
    <t>991002855239702656</t>
  </si>
  <si>
    <t>2255741740002656</t>
  </si>
  <si>
    <t>9780804708050</t>
  </si>
  <si>
    <t>32285001026524</t>
  </si>
  <si>
    <t>893893083</t>
  </si>
  <si>
    <t>BF1584.E9 C63</t>
  </si>
  <si>
    <t>0                      BF 1584000E  9                  C  63</t>
  </si>
  <si>
    <t>Europe's inner demons : an enquiry inspired by the great witch-hunt / Norman Cohn.</t>
  </si>
  <si>
    <t>Cohn, Norman, 1915-2007.</t>
  </si>
  <si>
    <t>New York : Basic Books, [1975]</t>
  </si>
  <si>
    <t>Columbus Centre series</t>
  </si>
  <si>
    <t>2007-08-29</t>
  </si>
  <si>
    <t>2288112125:eng</t>
  </si>
  <si>
    <t>1320704</t>
  </si>
  <si>
    <t>991003690229702656</t>
  </si>
  <si>
    <t>2256864800002656</t>
  </si>
  <si>
    <t>9780465021314</t>
  </si>
  <si>
    <t>32285000323187</t>
  </si>
  <si>
    <t>893258733</t>
  </si>
  <si>
    <t>BF1584.R5 R4</t>
  </si>
  <si>
    <t>0                      BF 1584000R  5                  R  4</t>
  </si>
  <si>
    <t>Magic, divination, and witchcraft among the Barotse of Northern Rhodesia.</t>
  </si>
  <si>
    <t>Reynolds, Barrie.</t>
  </si>
  <si>
    <t>Berkeley : University of California Press, 1963.</t>
  </si>
  <si>
    <t>Robins series ; no. 3</t>
  </si>
  <si>
    <t>2001-11-20</t>
  </si>
  <si>
    <t>10033093392:eng</t>
  </si>
  <si>
    <t>223042</t>
  </si>
  <si>
    <t>991001369279702656</t>
  </si>
  <si>
    <t>2262272770002656</t>
  </si>
  <si>
    <t>32285000323195</t>
  </si>
  <si>
    <t>893709205</t>
  </si>
  <si>
    <t>BF1589 .B8 1948b</t>
  </si>
  <si>
    <t>0                      BF 1589000B  8           1948b</t>
  </si>
  <si>
    <t>The myth of the magus / by E. M. Butler.</t>
  </si>
  <si>
    <t>Butler, E. M. (Eliza Marian), 1885-1959.</t>
  </si>
  <si>
    <t>Westport, Conn. : Hyperion Press, 1979, c1948.</t>
  </si>
  <si>
    <t>342732:eng</t>
  </si>
  <si>
    <t>4593137</t>
  </si>
  <si>
    <t>991004686399702656</t>
  </si>
  <si>
    <t>2271101640002656</t>
  </si>
  <si>
    <t>9780883557815</t>
  </si>
  <si>
    <t>32285001618015</t>
  </si>
  <si>
    <t>893618960</t>
  </si>
  <si>
    <t>BF1589 .L6</t>
  </si>
  <si>
    <t>0                      BF 1589000L  6</t>
  </si>
  <si>
    <t>White magic : an introduction to the folklore of Christian legend.</t>
  </si>
  <si>
    <t>Loomis, C. Grant (Charles Grant), 1901-</t>
  </si>
  <si>
    <t>Cambridge, Mass. : Mediaeval Academy of America, 1948.</t>
  </si>
  <si>
    <t>Mediaeval Academy of America. Publication, no. 52.</t>
  </si>
  <si>
    <t>2007-04-17</t>
  </si>
  <si>
    <t>1463815:eng</t>
  </si>
  <si>
    <t>728122</t>
  </si>
  <si>
    <t>991003203079702656</t>
  </si>
  <si>
    <t>2262259020002656</t>
  </si>
  <si>
    <t>32285001627941</t>
  </si>
  <si>
    <t>893342320</t>
  </si>
  <si>
    <t>BF161 .B2 1971</t>
  </si>
  <si>
    <t>0                      BF 0161000B  2           1971</t>
  </si>
  <si>
    <t>Mind and body; the theories of their relation.</t>
  </si>
  <si>
    <t>Bain, Alexander, 1818-1903.</t>
  </si>
  <si>
    <t>London, H. S. King &amp; Co., 1873] Farnborough, Eng., Gregg International, 1971]</t>
  </si>
  <si>
    <t>1996-12-01</t>
  </si>
  <si>
    <t>1831154:eng</t>
  </si>
  <si>
    <t>3207658</t>
  </si>
  <si>
    <t>991004378469702656</t>
  </si>
  <si>
    <t>2271943070002656</t>
  </si>
  <si>
    <t>9780576292191</t>
  </si>
  <si>
    <t>32285002235355</t>
  </si>
  <si>
    <t>893500480</t>
  </si>
  <si>
    <t>BF161 .B48 1980</t>
  </si>
  <si>
    <t>0                      BF 0161000B  48          1980</t>
  </si>
  <si>
    <t>Beyond ego : transpersonal dimensions in psychology / edited by Roger N. Walsh and Frances Vaughan.</t>
  </si>
  <si>
    <t>Los Angeles : J. P. Tarcher ; New York : distributed by St. Martin's Press, c1980.</t>
  </si>
  <si>
    <t>1999-09-15</t>
  </si>
  <si>
    <t>1990-04-04</t>
  </si>
  <si>
    <t>4495114545:eng</t>
  </si>
  <si>
    <t>6442853</t>
  </si>
  <si>
    <t>991004983539702656</t>
  </si>
  <si>
    <t>2258022970002656</t>
  </si>
  <si>
    <t>9780312904326</t>
  </si>
  <si>
    <t>32285000111327</t>
  </si>
  <si>
    <t>893520251</t>
  </si>
  <si>
    <t>BF161 .B56</t>
  </si>
  <si>
    <t>0                      BF 0161000B  56</t>
  </si>
  <si>
    <t>Body and mind : past, present, and future / edited by R. W. Rieber.</t>
  </si>
  <si>
    <t>New York : Academic Press, 1980.</t>
  </si>
  <si>
    <t>1991-07-16</t>
  </si>
  <si>
    <t>890329468:eng</t>
  </si>
  <si>
    <t>6223459</t>
  </si>
  <si>
    <t>991004948689702656</t>
  </si>
  <si>
    <t>2268579070002656</t>
  </si>
  <si>
    <t>9780125882606</t>
  </si>
  <si>
    <t>32285000675602</t>
  </si>
  <si>
    <t>893353609</t>
  </si>
  <si>
    <t>BF161 .B78 1980</t>
  </si>
  <si>
    <t>0                      BF 0161000B  78          1980</t>
  </si>
  <si>
    <t>The mind-body problem : a psychobiological approach / by Mario Bunge.</t>
  </si>
  <si>
    <t>Bunge, Mario, 1919-2020.</t>
  </si>
  <si>
    <t>Oxford ; New York : Pergamon Press, 1980.</t>
  </si>
  <si>
    <t>Foundations and philosophy of science and technology</t>
  </si>
  <si>
    <t>867248123:eng</t>
  </si>
  <si>
    <t>5264198</t>
  </si>
  <si>
    <t>991004807939702656</t>
  </si>
  <si>
    <t>2258551580002656</t>
  </si>
  <si>
    <t>9780080247199</t>
  </si>
  <si>
    <t>32285000281609</t>
  </si>
  <si>
    <t>893722621</t>
  </si>
  <si>
    <t>BF161 .H23</t>
  </si>
  <si>
    <t>0                      BF 0161000H  23</t>
  </si>
  <si>
    <t>Philosophy of mind.</t>
  </si>
  <si>
    <t>Hampshire, Stuart, 1914-2004 editor.</t>
  </si>
  <si>
    <t>New York, Harper &amp; Row [1966]</t>
  </si>
  <si>
    <t>Sources in contemporary philosophy</t>
  </si>
  <si>
    <t>2001-03-20</t>
  </si>
  <si>
    <t>1404983:eng</t>
  </si>
  <si>
    <t>273288</t>
  </si>
  <si>
    <t>991002158189702656</t>
  </si>
  <si>
    <t>2261999440002656</t>
  </si>
  <si>
    <t>32285002235413</t>
  </si>
  <si>
    <t>893697417</t>
  </si>
  <si>
    <t>BF161 .L28</t>
  </si>
  <si>
    <t>0                      BF 0161000L  28</t>
  </si>
  <si>
    <t>Mind : an essay on human feeling / [by] Susanne K. Langer.</t>
  </si>
  <si>
    <t>Langer, Susanne K. (Susanne Katherina Knauth), 1895-1985.</t>
  </si>
  <si>
    <t>Baltimore : Johns Hopkins Press, [1967]-c1982.</t>
  </si>
  <si>
    <t>2003-06-13</t>
  </si>
  <si>
    <t>3901123508:eng</t>
  </si>
  <si>
    <t>224928</t>
  </si>
  <si>
    <t>991001376109702656</t>
  </si>
  <si>
    <t>2263613900002656</t>
  </si>
  <si>
    <t>9780801803604</t>
  </si>
  <si>
    <t>32285000281633</t>
  </si>
  <si>
    <t>893715397</t>
  </si>
  <si>
    <t>1998-06-18</t>
  </si>
  <si>
    <t>32285000281625</t>
  </si>
  <si>
    <t>893715398</t>
  </si>
  <si>
    <t>32285000281617</t>
  </si>
  <si>
    <t>893721008</t>
  </si>
  <si>
    <t>BF161 .M67 1970</t>
  </si>
  <si>
    <t>0                      BF 0161000M  67          1970</t>
  </si>
  <si>
    <t>Introduction to the philosophy of mind; readings from Descartes to Strawson.</t>
  </si>
  <si>
    <t>Morick, Harold, compiler.</t>
  </si>
  <si>
    <t>2002-12-02</t>
  </si>
  <si>
    <t>1998-12-15</t>
  </si>
  <si>
    <t>836666620:eng</t>
  </si>
  <si>
    <t>71232</t>
  </si>
  <si>
    <t>991000368669702656</t>
  </si>
  <si>
    <t>2272700430002656</t>
  </si>
  <si>
    <t>32285003506788</t>
  </si>
  <si>
    <t>893249269</t>
  </si>
  <si>
    <t>BF161 .V4</t>
  </si>
  <si>
    <t>0                      BF 0161000V  4</t>
  </si>
  <si>
    <t>Body and mind; readings in philosophy. Edited by G. N. A. Vesey.</t>
  </si>
  <si>
    <t>Vesey, Godfrey Norman Agmondisham editor.</t>
  </si>
  <si>
    <t>London, Allen and Unwin [1964]</t>
  </si>
  <si>
    <t>477805209:eng</t>
  </si>
  <si>
    <t>193352</t>
  </si>
  <si>
    <t>991001213819702656</t>
  </si>
  <si>
    <t>2270838820002656</t>
  </si>
  <si>
    <t>32285002235504</t>
  </si>
  <si>
    <t>893778645</t>
  </si>
  <si>
    <t>BF161 .W46</t>
  </si>
  <si>
    <t>0                      BF 0161000W  46</t>
  </si>
  <si>
    <t>The philosophy of mind [by] Alan R. White.</t>
  </si>
  <si>
    <t>White, Alan R., 1922-1992.</t>
  </si>
  <si>
    <t>New York, Random House [1967]</t>
  </si>
  <si>
    <t>Studies in philosophy, SPH9</t>
  </si>
  <si>
    <t>2002-06-17</t>
  </si>
  <si>
    <t>143321074:eng</t>
  </si>
  <si>
    <t>193507</t>
  </si>
  <si>
    <t>991001214329702656</t>
  </si>
  <si>
    <t>2268918740002656</t>
  </si>
  <si>
    <t>32285002235512</t>
  </si>
  <si>
    <t>893866057</t>
  </si>
  <si>
    <t>BF1623.P9 G243 1985</t>
  </si>
  <si>
    <t>0                      BF 1623000P  9                  G  243         1985</t>
  </si>
  <si>
    <t>The magic numbers of Dr. Matrix / Martin Gardner.</t>
  </si>
  <si>
    <t>Gardner, Martin, 1914-2010.</t>
  </si>
  <si>
    <t>Buffalo, N.Y. : Prometheus, 1985.</t>
  </si>
  <si>
    <t>2004-09-10</t>
  </si>
  <si>
    <t>3855370456:eng</t>
  </si>
  <si>
    <t>12083784</t>
  </si>
  <si>
    <t>991000638019702656</t>
  </si>
  <si>
    <t>2262654870002656</t>
  </si>
  <si>
    <t>9780879752828</t>
  </si>
  <si>
    <t>32285001618098</t>
  </si>
  <si>
    <t>893714761</t>
  </si>
  <si>
    <t>BF1623.P9 H53 1969</t>
  </si>
  <si>
    <t>0                      BF 1623000P  9                  H  53          1969</t>
  </si>
  <si>
    <t>Medieval number symbolism: its sources, meaning, and influence on thought and expression.</t>
  </si>
  <si>
    <t>Hopper, Vincent F. (Vincent Foster), 1906-1976.</t>
  </si>
  <si>
    <t>New York, Cooper Square Publishers, 1969.</t>
  </si>
  <si>
    <t>Columbia University studies in English and comparative literature ; no. 132</t>
  </si>
  <si>
    <t>2006-10-06</t>
  </si>
  <si>
    <t>1990-03-06</t>
  </si>
  <si>
    <t>197461150:eng</t>
  </si>
  <si>
    <t>24468</t>
  </si>
  <si>
    <t>991000060469702656</t>
  </si>
  <si>
    <t>2266715940002656</t>
  </si>
  <si>
    <t>9780815403050</t>
  </si>
  <si>
    <t>32285000077809</t>
  </si>
  <si>
    <t>893802459</t>
  </si>
  <si>
    <t>BF1623.R7 Y38 1972</t>
  </si>
  <si>
    <t>0                      BF 1623000R  7                  Y  38          1972</t>
  </si>
  <si>
    <t>The Rosicrucian enlightenment, [by] Frances A. Yates.</t>
  </si>
  <si>
    <t>Yates, Frances A. (Frances Amelia), 1899-1981.</t>
  </si>
  <si>
    <t>London, Boston : Routledge and Kegan Paul, 1972.</t>
  </si>
  <si>
    <t>2003-02-11</t>
  </si>
  <si>
    <t>1990-09-28</t>
  </si>
  <si>
    <t>881968:eng</t>
  </si>
  <si>
    <t>577077</t>
  </si>
  <si>
    <t>991004414879702656</t>
  </si>
  <si>
    <t>2256007700002656</t>
  </si>
  <si>
    <t>9780710073808</t>
  </si>
  <si>
    <t>32285000323229</t>
  </si>
  <si>
    <t>893718870</t>
  </si>
  <si>
    <t>BF1679 .A4</t>
  </si>
  <si>
    <t>0                      BF 1679000A  4</t>
  </si>
  <si>
    <t>The star-crossed renaissance : the quarrel about astrology and its influence in England / [by] Don Cameron Allen.</t>
  </si>
  <si>
    <t>Allen, Don Cameron, 1903-1972.</t>
  </si>
  <si>
    <t>Durham, N.C., Duke University Press, 1941.</t>
  </si>
  <si>
    <t>1941</t>
  </si>
  <si>
    <t>Duke University publications</t>
  </si>
  <si>
    <t>1999-02-14</t>
  </si>
  <si>
    <t>4241266864:eng</t>
  </si>
  <si>
    <t>1544519</t>
  </si>
  <si>
    <t>991003814299702656</t>
  </si>
  <si>
    <t>2265695200002656</t>
  </si>
  <si>
    <t>32285003179321</t>
  </si>
  <si>
    <t>893787804</t>
  </si>
  <si>
    <t>BF1701 .L494 1971</t>
  </si>
  <si>
    <t>0                      BF 1701000L  494         1971</t>
  </si>
  <si>
    <t>Origins of astrology.</t>
  </si>
  <si>
    <t>Lindsay, Jack, 1900-1990.</t>
  </si>
  <si>
    <t>New York : Barnes &amp; Noble, [1971]</t>
  </si>
  <si>
    <t>2006-12-02</t>
  </si>
  <si>
    <t>1994-04-27</t>
  </si>
  <si>
    <t>102504685:eng</t>
  </si>
  <si>
    <t>160905</t>
  </si>
  <si>
    <t>991000918619702656</t>
  </si>
  <si>
    <t>2267188980002656</t>
  </si>
  <si>
    <t>9780389041184</t>
  </si>
  <si>
    <t>32285001894368</t>
  </si>
  <si>
    <t>893419891</t>
  </si>
  <si>
    <t>BF173 .A57 1968</t>
  </si>
  <si>
    <t>0                      BF 0173000A  57          1968</t>
  </si>
  <si>
    <t>Studies in analytical psychology.</t>
  </si>
  <si>
    <t>Adler, Gerhard, 1904-1988.</t>
  </si>
  <si>
    <t>New York : Greenwood Press, 1968 [c1948]</t>
  </si>
  <si>
    <t>2003-10-27</t>
  </si>
  <si>
    <t>45632:eng</t>
  </si>
  <si>
    <t>1807395</t>
  </si>
  <si>
    <t>991003895189702656</t>
  </si>
  <si>
    <t>2271703980002656</t>
  </si>
  <si>
    <t>32285001034957</t>
  </si>
  <si>
    <t>893429398</t>
  </si>
  <si>
    <t>BF173 .B6334</t>
  </si>
  <si>
    <t>0                      BF 0173000B  6334</t>
  </si>
  <si>
    <t>Psychodynamics: the science of unconscious mental forces [by] Gerald S. Blum.</t>
  </si>
  <si>
    <t>Blum, Gerald S., 1922-</t>
  </si>
  <si>
    <t>Belmont, Calif., Wadsworth Pub. Co. [1966]</t>
  </si>
  <si>
    <t>2002-10-16</t>
  </si>
  <si>
    <t>1744198:eng</t>
  </si>
  <si>
    <t>727880</t>
  </si>
  <si>
    <t>991003202869702656</t>
  </si>
  <si>
    <t>2262004760002656</t>
  </si>
  <si>
    <t>32285002235579</t>
  </si>
  <si>
    <t>893246117</t>
  </si>
  <si>
    <t>BF173 .B82 1976</t>
  </si>
  <si>
    <t>0                      BF 0173000B  82          1976</t>
  </si>
  <si>
    <t>Basic principles of psychoanalysis / by A. A. Brill ; with an introd. by Philip R. Lehrman.</t>
  </si>
  <si>
    <t>Brill, A. A. (Abraham Arden), 1874-1948.</t>
  </si>
  <si>
    <t>Westport, Conn. : Greenwood Press, 1976, c1949.</t>
  </si>
  <si>
    <t>1993-11-16</t>
  </si>
  <si>
    <t>1993-05-05</t>
  </si>
  <si>
    <t>1260389:eng</t>
  </si>
  <si>
    <t>2295023</t>
  </si>
  <si>
    <t>991004069409702656</t>
  </si>
  <si>
    <t>2264460060002656</t>
  </si>
  <si>
    <t>9780837185002</t>
  </si>
  <si>
    <t>32285001634558</t>
  </si>
  <si>
    <t>893429613</t>
  </si>
  <si>
    <t>BF173 .B85 1975</t>
  </si>
  <si>
    <t>0                      BF 0173000B  85          1975</t>
  </si>
  <si>
    <t>Generative man : psychoanalytic perspectives / by Don S. Browning.</t>
  </si>
  <si>
    <t>Browning, Don S.</t>
  </si>
  <si>
    <t>New York : Dell Pub. Co. 1975, c1973.</t>
  </si>
  <si>
    <t>1997-01-08</t>
  </si>
  <si>
    <t>1717760:eng</t>
  </si>
  <si>
    <t>2416526</t>
  </si>
  <si>
    <t>991004116929702656</t>
  </si>
  <si>
    <t>2265395210002656</t>
  </si>
  <si>
    <t>32285000281708</t>
  </si>
  <si>
    <t>893605644</t>
  </si>
  <si>
    <t>BF173 .E69</t>
  </si>
  <si>
    <t>0                      BF 0173000E  69</t>
  </si>
  <si>
    <t>Hypnosis: current problems [symposium, "Theory and research methodology in specific fields"]</t>
  </si>
  <si>
    <t>Estabrooks, G. H. (George Hoben), 1895-1973.</t>
  </si>
  <si>
    <t>New York, Harper &amp; Row [c1962]</t>
  </si>
  <si>
    <t>1962</t>
  </si>
  <si>
    <t>2004-02-21</t>
  </si>
  <si>
    <t>198599034:eng</t>
  </si>
  <si>
    <t>14619894</t>
  </si>
  <si>
    <t>991000949489702656</t>
  </si>
  <si>
    <t>2268811940002656</t>
  </si>
  <si>
    <t>32285002235611</t>
  </si>
  <si>
    <t>893690180</t>
  </si>
  <si>
    <t>BF173 .F494 1979</t>
  </si>
  <si>
    <t>0                      BF 0173000F  494         1979</t>
  </si>
  <si>
    <t>A history of psychoanalysis / Reuben Fine.</t>
  </si>
  <si>
    <t>Fine, Reuben, 1914-1993.</t>
  </si>
  <si>
    <t>New York : Columbia University Press, 1979.</t>
  </si>
  <si>
    <t>2009-01-12</t>
  </si>
  <si>
    <t>119487341:eng</t>
  </si>
  <si>
    <t>4549318</t>
  </si>
  <si>
    <t>991004677119702656</t>
  </si>
  <si>
    <t>2272718990002656</t>
  </si>
  <si>
    <t>9780231042086</t>
  </si>
  <si>
    <t>32285000281740</t>
  </si>
  <si>
    <t>893430357</t>
  </si>
  <si>
    <t>BF173 .F76 1965</t>
  </si>
  <si>
    <t>0                      BF 0173000F  76          1965</t>
  </si>
  <si>
    <t>New introductory lectures on psychoanalysis / newly translated and edited by James Strachey.</t>
  </si>
  <si>
    <t>Freud, Sigmund, 1856-1939.</t>
  </si>
  <si>
    <t>New York : Norton, [1965]</t>
  </si>
  <si>
    <t>2005-08-29</t>
  </si>
  <si>
    <t>1995-04-11</t>
  </si>
  <si>
    <t>4535726285:eng</t>
  </si>
  <si>
    <t>192144</t>
  </si>
  <si>
    <t>991001206129702656</t>
  </si>
  <si>
    <t>2258512500002656</t>
  </si>
  <si>
    <t>32285002026499</t>
  </si>
  <si>
    <t>893808989</t>
  </si>
  <si>
    <t>BF173 .G384</t>
  </si>
  <si>
    <t>0                      BF 0173000G  384</t>
  </si>
  <si>
    <t>Psychoanalysis today. [Translated by John S. Chapin and Salvador Attanasio]</t>
  </si>
  <si>
    <t>Gemelli, Agostino, 1878-1959.</t>
  </si>
  <si>
    <t>New York, Kenedy [1955]</t>
  </si>
  <si>
    <t>1955</t>
  </si>
  <si>
    <t>2010-10-25</t>
  </si>
  <si>
    <t>2287842:eng</t>
  </si>
  <si>
    <t>1373538</t>
  </si>
  <si>
    <t>991003726169702656</t>
  </si>
  <si>
    <t>2256465820002656</t>
  </si>
  <si>
    <t>32285002235710</t>
  </si>
  <si>
    <t>893318333</t>
  </si>
  <si>
    <t>BF173 .G8 1962</t>
  </si>
  <si>
    <t>0                      BF 0173000G  8           1962</t>
  </si>
  <si>
    <t>The psychology of human conflict ; the clash of motives within the individual / by Edwin R. Guthrie.</t>
  </si>
  <si>
    <t>Guthrie, Edwin R. (Edwin Ray), 1886-1959.</t>
  </si>
  <si>
    <t>Boston : Beacon Press, 1962, c1938.</t>
  </si>
  <si>
    <t>2002-10-24</t>
  </si>
  <si>
    <t>1993-04-21</t>
  </si>
  <si>
    <t>500290:eng</t>
  </si>
  <si>
    <t>224934</t>
  </si>
  <si>
    <t>991001376149702656</t>
  </si>
  <si>
    <t>2263601370002656</t>
  </si>
  <si>
    <t>32285001622892</t>
  </si>
  <si>
    <t>893621293</t>
  </si>
  <si>
    <t>BF173 .J67</t>
  </si>
  <si>
    <t>0                      BF 0173000J  67</t>
  </si>
  <si>
    <t>Basic writings / edited with an introd. by Violet Staub de Laszlo.</t>
  </si>
  <si>
    <t>Jung, C. G. (Carl Gustav), 1875-1961.</t>
  </si>
  <si>
    <t>New York : Modern Library, [1959]</t>
  </si>
  <si>
    <t>The Modern library of the world's best books [300]</t>
  </si>
  <si>
    <t>2002-06-21</t>
  </si>
  <si>
    <t>1994-01-24</t>
  </si>
  <si>
    <t>5454318146:eng</t>
  </si>
  <si>
    <t>964732</t>
  </si>
  <si>
    <t>991003426629702656</t>
  </si>
  <si>
    <t>2261686810002656</t>
  </si>
  <si>
    <t>32285001835833</t>
  </si>
  <si>
    <t>893524797</t>
  </si>
  <si>
    <t>BF173 .J8 1931</t>
  </si>
  <si>
    <t>0                      BF 0173000J  8           1931</t>
  </si>
  <si>
    <t>Psychology of the unconscious : a study of the transformations and symbolisms of the libido : a contribution to the history of the evolution of thought / by C.G. Jung ; authorized translation with introduction, by Beatrice M. Hinkle.</t>
  </si>
  <si>
    <t>New York : Dodd, Mead, 1931, c1916.</t>
  </si>
  <si>
    <t>1931</t>
  </si>
  <si>
    <t>2009-02-26</t>
  </si>
  <si>
    <t>3901047276:eng</t>
  </si>
  <si>
    <t>12224135</t>
  </si>
  <si>
    <t>991000658349702656</t>
  </si>
  <si>
    <t>2267837910002656</t>
  </si>
  <si>
    <t>32285002235744</t>
  </si>
  <si>
    <t>893261564</t>
  </si>
  <si>
    <t>BF173 .K44</t>
  </si>
  <si>
    <t>0                      BF 0173000K  44</t>
  </si>
  <si>
    <t>The disorganized personality [by] George W. Kisker.</t>
  </si>
  <si>
    <t>Kisker, George W.</t>
  </si>
  <si>
    <t>New York, McGraw-Hill [1964]</t>
  </si>
  <si>
    <t>2001-12-10</t>
  </si>
  <si>
    <t>405673:eng</t>
  </si>
  <si>
    <t>2360203</t>
  </si>
  <si>
    <t>991004096349702656</t>
  </si>
  <si>
    <t>2272818770002656</t>
  </si>
  <si>
    <t>32285002235801</t>
  </si>
  <si>
    <t>893343455</t>
  </si>
  <si>
    <t>BF173 .L566</t>
  </si>
  <si>
    <t>0                      BF 0173000L  566</t>
  </si>
  <si>
    <t>Papers on psychoanalysis / by Hans W. Loewald.</t>
  </si>
  <si>
    <t>Loewald, Hans W., 1906-1993.</t>
  </si>
  <si>
    <t>New Haven : Yale University Press, 1980.</t>
  </si>
  <si>
    <t>2008-12-18</t>
  </si>
  <si>
    <t>1990-08-15</t>
  </si>
  <si>
    <t>3901376977:eng</t>
  </si>
  <si>
    <t>6086794</t>
  </si>
  <si>
    <t>991004927189702656</t>
  </si>
  <si>
    <t>2257755420002656</t>
  </si>
  <si>
    <t>9780300024067</t>
  </si>
  <si>
    <t>32285000282870</t>
  </si>
  <si>
    <t>893418156</t>
  </si>
  <si>
    <t>BF173 .M5275 1988</t>
  </si>
  <si>
    <t>0                      BF 0173000M  5275        1988</t>
  </si>
  <si>
    <t>Mind, psychoanalysis, and science / edited by Peter Clark and Crispin Wright.</t>
  </si>
  <si>
    <t>Oxford, UK ; New York, NY, USA : B. Blackwell, 1988.</t>
  </si>
  <si>
    <t>1991-09-03</t>
  </si>
  <si>
    <t>363806299:eng</t>
  </si>
  <si>
    <t>16713298</t>
  </si>
  <si>
    <t>991001136069702656</t>
  </si>
  <si>
    <t>2263434950002656</t>
  </si>
  <si>
    <t>9780631145448</t>
  </si>
  <si>
    <t>32285000734292</t>
  </si>
  <si>
    <t>893778586</t>
  </si>
  <si>
    <t>BF173 .M825</t>
  </si>
  <si>
    <t>0                      BF 0173000M  825</t>
  </si>
  <si>
    <t>Schools of psychoanalytic thought : an exposition, critique, and attempt at integration.</t>
  </si>
  <si>
    <t>Munroe, Ruth Learned, 1903-1963.</t>
  </si>
  <si>
    <t>[New York] : Dryden, [c1955]</t>
  </si>
  <si>
    <t>The Dryden Press publications in interpersonal relations</t>
  </si>
  <si>
    <t>1995-10-17</t>
  </si>
  <si>
    <t>1901102:eng</t>
  </si>
  <si>
    <t>14669372</t>
  </si>
  <si>
    <t>991005265809702656</t>
  </si>
  <si>
    <t>2265567100002656</t>
  </si>
  <si>
    <t>32285001627966</t>
  </si>
  <si>
    <t>893260829</t>
  </si>
  <si>
    <t>BF173 .P78 1970</t>
  </si>
  <si>
    <t>0                      BF 0173000P  78          1970</t>
  </si>
  <si>
    <t>Psychoanalysis as science; the Hixon lectures on the scientific status of psychoanalysis, [by] Ernest R. Hilgard, Lawrence S. Kubie [and] E. Pumpian-Mindlin. Edited by E. Pumpian-Mindlin.</t>
  </si>
  <si>
    <t>Pumpian-Mindlin, Eugene, 1908-1976, editor.</t>
  </si>
  <si>
    <t>Westport, Conn., Greenwood Press [1970, c1952]</t>
  </si>
  <si>
    <t>1996-11-10</t>
  </si>
  <si>
    <t>138653583:eng</t>
  </si>
  <si>
    <t>108010</t>
  </si>
  <si>
    <t>991000636249702656</t>
  </si>
  <si>
    <t>2261911140002656</t>
  </si>
  <si>
    <t>9780837133652</t>
  </si>
  <si>
    <t>32285002235942</t>
  </si>
  <si>
    <t>893407379</t>
  </si>
  <si>
    <t>BF173 .R42</t>
  </si>
  <si>
    <t>0                      BF 0173000R  42</t>
  </si>
  <si>
    <t>Listening with the third ear : the inner experience of a psychoanalyst.</t>
  </si>
  <si>
    <t>Reik, Theodor, 1888-1969.</t>
  </si>
  <si>
    <t>New York : Farrar, Straus, 1948.</t>
  </si>
  <si>
    <t>2003-04-17</t>
  </si>
  <si>
    <t>1991-02-04</t>
  </si>
  <si>
    <t>1357809:eng</t>
  </si>
  <si>
    <t>193778</t>
  </si>
  <si>
    <t>991001215379702656</t>
  </si>
  <si>
    <t>2268803580002656</t>
  </si>
  <si>
    <t>32285000470749</t>
  </si>
  <si>
    <t>893503201</t>
  </si>
  <si>
    <t>BF173 .R423 1956b</t>
  </si>
  <si>
    <t>0                      BF 0173000R  423         1956b</t>
  </si>
  <si>
    <t>The search within : the inner experiences of a psychoanalyst; from the works of Theodor Reik / by Theodor Reik.</t>
  </si>
  <si>
    <t>New York : Funk &amp; Wagnalls, 1956.</t>
  </si>
  <si>
    <t>5624304249:eng</t>
  </si>
  <si>
    <t>5826707</t>
  </si>
  <si>
    <t>991004882099702656</t>
  </si>
  <si>
    <t>2260545050002656</t>
  </si>
  <si>
    <t>32285002235991</t>
  </si>
  <si>
    <t>893424297</t>
  </si>
  <si>
    <t>BF173 .S443 1989</t>
  </si>
  <si>
    <t>0                      BF 0173000S  443         1989</t>
  </si>
  <si>
    <t>The wisdom of the dream : the world of C.G. Jung / Stephen Segaller and Merrill Berger.</t>
  </si>
  <si>
    <t>Segaller, Stephen.</t>
  </si>
  <si>
    <t>Boston : Shambhala ; [New York] : Distributed in the United States by Random House, c1989.</t>
  </si>
  <si>
    <t>1st Shambhala ed.</t>
  </si>
  <si>
    <t>1999-03-24</t>
  </si>
  <si>
    <t>1992-01-07</t>
  </si>
  <si>
    <t>1028235554:eng</t>
  </si>
  <si>
    <t>19723788</t>
  </si>
  <si>
    <t>991001491559702656</t>
  </si>
  <si>
    <t>2260555870002656</t>
  </si>
  <si>
    <t>9780877735120</t>
  </si>
  <si>
    <t>32285000863265</t>
  </si>
  <si>
    <t>893709322</t>
  </si>
  <si>
    <t>BF173 .S68 1952</t>
  </si>
  <si>
    <t>0                      BF 0173000S  68          1952</t>
  </si>
  <si>
    <t>Sexual aberrations; the phenomena of fetishism in relation to sex. Authorized English version from the 1st German ed. by S. Parker. Introd. by Emil A. Gutheil.</t>
  </si>
  <si>
    <t>Stekel, Wilhelm, 1868-1940.</t>
  </si>
  <si>
    <t>New York, Liveright Pub. Corp. [1952]</t>
  </si>
  <si>
    <t>1952</t>
  </si>
  <si>
    <t>[Library ed.]</t>
  </si>
  <si>
    <t>His Disorders of the instincts and the emotions; the parapathiac disorders</t>
  </si>
  <si>
    <t>1998-03-24</t>
  </si>
  <si>
    <t>517612:eng</t>
  </si>
  <si>
    <t>795528</t>
  </si>
  <si>
    <t>991003269519702656</t>
  </si>
  <si>
    <t>2260059290002656</t>
  </si>
  <si>
    <t>32285002236049</t>
  </si>
  <si>
    <t>893240040</t>
  </si>
  <si>
    <t>32285002236056</t>
  </si>
  <si>
    <t>893233985</t>
  </si>
  <si>
    <t>BF173 .T48 1950</t>
  </si>
  <si>
    <t>0                      BF 0173000T  48          1950</t>
  </si>
  <si>
    <t>Psychoanalysis : evolution and development / by Clara Thompson, with an introduction by Patrick Mullahy. --</t>
  </si>
  <si>
    <t>Thompson, Clara, 1893-1958.</t>
  </si>
  <si>
    <t>New York : Hermitage House, [1950]</t>
  </si>
  <si>
    <t>1950</t>
  </si>
  <si>
    <t>2009-03-22</t>
  </si>
  <si>
    <t>1335163:eng</t>
  </si>
  <si>
    <t>542657</t>
  </si>
  <si>
    <t>991002942779702656</t>
  </si>
  <si>
    <t>2263393060002656</t>
  </si>
  <si>
    <t>32285000282961</t>
  </si>
  <si>
    <t>893227473</t>
  </si>
  <si>
    <t>BF173 .W23 1964</t>
  </si>
  <si>
    <t>0                      BF 0173000W  23          1964</t>
  </si>
  <si>
    <t>Basic theory of psychoanalysis.</t>
  </si>
  <si>
    <t>Waelder, Robert.</t>
  </si>
  <si>
    <t>New York, Schocken Books [1964, c1960]</t>
  </si>
  <si>
    <t>Schocken paperbacks</t>
  </si>
  <si>
    <t>2073687:eng</t>
  </si>
  <si>
    <t>1095881</t>
  </si>
  <si>
    <t>991003533359702656</t>
  </si>
  <si>
    <t>2267943430002656</t>
  </si>
  <si>
    <t>32285002236072</t>
  </si>
  <si>
    <t>893445710</t>
  </si>
  <si>
    <t>BF173 .W44 1964</t>
  </si>
  <si>
    <t>0                      BF 0173000W  44          1964</t>
  </si>
  <si>
    <t>The abnormal personality / [by] Robert W. White.</t>
  </si>
  <si>
    <t>White, Robert Winthrop.</t>
  </si>
  <si>
    <t>1996-06-24</t>
  </si>
  <si>
    <t>1992-12-16</t>
  </si>
  <si>
    <t>488702:eng</t>
  </si>
  <si>
    <t>191971</t>
  </si>
  <si>
    <t>991005264459702656</t>
  </si>
  <si>
    <t>2258975390002656</t>
  </si>
  <si>
    <t>32285001443208</t>
  </si>
  <si>
    <t>893902390</t>
  </si>
  <si>
    <t>BF173 .W542 1978</t>
  </si>
  <si>
    <t>0                      BF 0173000W  542         1978</t>
  </si>
  <si>
    <t>The symbolic quest : basic concepts of analytical psychology / Edward C. Whitmont.</t>
  </si>
  <si>
    <t>Whitmont, Edward C., 1912-1998.</t>
  </si>
  <si>
    <t>Princeton : Princeton University Press, c1969.</t>
  </si>
  <si>
    <t>Princeton paperbacks</t>
  </si>
  <si>
    <t>2001-10-21</t>
  </si>
  <si>
    <t>1990-07-30</t>
  </si>
  <si>
    <t>891623:eng</t>
  </si>
  <si>
    <t>4534479</t>
  </si>
  <si>
    <t>991004675279702656</t>
  </si>
  <si>
    <t>2271812680002656</t>
  </si>
  <si>
    <t>32285000228782</t>
  </si>
  <si>
    <t>893241712</t>
  </si>
  <si>
    <t>BF173 .W5448 1976</t>
  </si>
  <si>
    <t>0                      BF 0173000W  5448        1976</t>
  </si>
  <si>
    <t>The inner world of choice / Frances G. Wickes.</t>
  </si>
  <si>
    <t>Wickes, Frances G. (Frances Gillespy), 1875-1967.</t>
  </si>
  <si>
    <t>Englewood Cliffs, N. J. : Prentice-Hall, Inc., 1976, c1963.</t>
  </si>
  <si>
    <t>1993-07-26</t>
  </si>
  <si>
    <t>1991-03-11</t>
  </si>
  <si>
    <t>2076508:eng</t>
  </si>
  <si>
    <t>2685348</t>
  </si>
  <si>
    <t>991004212079702656</t>
  </si>
  <si>
    <t>2267791300002656</t>
  </si>
  <si>
    <t>9780134660110</t>
  </si>
  <si>
    <t>32285000535210</t>
  </si>
  <si>
    <t>893612079</t>
  </si>
  <si>
    <t>BF173.A5483 C7</t>
  </si>
  <si>
    <t>0                      BF 0173000A  5483               C  7</t>
  </si>
  <si>
    <t>Theory and measurement of social interest : empirical tests of Alfred Adler's concept / James E. Crandall.</t>
  </si>
  <si>
    <t>Crandall, James E., 1930-</t>
  </si>
  <si>
    <t>New York : Columbia University Press, 1981.</t>
  </si>
  <si>
    <t>2001-09-16</t>
  </si>
  <si>
    <t>427056782:eng</t>
  </si>
  <si>
    <t>7553706</t>
  </si>
  <si>
    <t>991005126139702656</t>
  </si>
  <si>
    <t>2265103940002656</t>
  </si>
  <si>
    <t>9780231052566</t>
  </si>
  <si>
    <t>32285000281690</t>
  </si>
  <si>
    <t>893533223</t>
  </si>
  <si>
    <t>BF173.F85 B45 1986</t>
  </si>
  <si>
    <t>0                      BF 0173000F  85                 B  45          1986</t>
  </si>
  <si>
    <t>The Freudian body : psychoanalysis and art / Leo Bersani.</t>
  </si>
  <si>
    <t>Bersani, Leo.</t>
  </si>
  <si>
    <t>New York : Columbia University Press, 1986.</t>
  </si>
  <si>
    <t>2004-04-13</t>
  </si>
  <si>
    <t>1991-06-11</t>
  </si>
  <si>
    <t>836666915:eng</t>
  </si>
  <si>
    <t>12549177</t>
  </si>
  <si>
    <t>991000700469702656</t>
  </si>
  <si>
    <t>2263596740002656</t>
  </si>
  <si>
    <t>9780231062190</t>
  </si>
  <si>
    <t>32285000594142</t>
  </si>
  <si>
    <t>893315161</t>
  </si>
  <si>
    <t>BF173.F85 D6 1988</t>
  </si>
  <si>
    <t>0                      BF 0173000F  85                 D  6           1988</t>
  </si>
  <si>
    <t>Freud and Jung : years of friendship, years of loss / Linda Donn.</t>
  </si>
  <si>
    <t>Donn, Linda.</t>
  </si>
  <si>
    <t>New York : Scribner, c1988.</t>
  </si>
  <si>
    <t>1999-03-23</t>
  </si>
  <si>
    <t>16507113:eng</t>
  </si>
  <si>
    <t>18162374</t>
  </si>
  <si>
    <t>991001312129702656</t>
  </si>
  <si>
    <t>2260023640002656</t>
  </si>
  <si>
    <t>9780684189628</t>
  </si>
  <si>
    <t>32285000675628</t>
  </si>
  <si>
    <t>893522490</t>
  </si>
  <si>
    <t>BF173.F85 D66 1982</t>
  </si>
  <si>
    <t>0                      BF 0173000F  85                 D  66          1982</t>
  </si>
  <si>
    <t>Freud's odyssey : psychoanalysis and the end of metaphysics / Stan Draenos.</t>
  </si>
  <si>
    <t>Draenos, Stan, 1945-</t>
  </si>
  <si>
    <t>New Haven : Yale University Press, c1982.</t>
  </si>
  <si>
    <t>2002-06-10</t>
  </si>
  <si>
    <t>365161902:eng</t>
  </si>
  <si>
    <t>8169995</t>
  </si>
  <si>
    <t>991005211989702656</t>
  </si>
  <si>
    <t>2269604760002656</t>
  </si>
  <si>
    <t>9780300027914</t>
  </si>
  <si>
    <t>32285000282037</t>
  </si>
  <si>
    <t>893713643</t>
  </si>
  <si>
    <t>BF173.F85 F55</t>
  </si>
  <si>
    <t>0                      BF 0173000F  85                 F  55</t>
  </si>
  <si>
    <t>The scientific credibility of Freud's theories and therapy / Seymour Fisher &amp; Roger P. Greenberg.</t>
  </si>
  <si>
    <t>Fisher, Seymour.</t>
  </si>
  <si>
    <t>New York : Basic Books, c1977.</t>
  </si>
  <si>
    <t>2006-11-27</t>
  </si>
  <si>
    <t>1061393:eng</t>
  </si>
  <si>
    <t>2645180</t>
  </si>
  <si>
    <t>991004197109702656</t>
  </si>
  <si>
    <t>2256739790002656</t>
  </si>
  <si>
    <t>9780465073856</t>
  </si>
  <si>
    <t>32285002235660</t>
  </si>
  <si>
    <t>893718610</t>
  </si>
  <si>
    <t>BF173.F85 F745</t>
  </si>
  <si>
    <t>0                      BF 0173000F  85                 F  745</t>
  </si>
  <si>
    <t>The Freudian paradigm : psychoanalysis and scientific thought / [compiled by] Mujeeb-ur-Rahman, Md. --</t>
  </si>
  <si>
    <t>Chicago : Nelson-Hall, 1977.</t>
  </si>
  <si>
    <t>2000-11-15</t>
  </si>
  <si>
    <t>1990-05-24</t>
  </si>
  <si>
    <t>556633:eng</t>
  </si>
  <si>
    <t>2709576</t>
  </si>
  <si>
    <t>991004220079702656</t>
  </si>
  <si>
    <t>2262072970002656</t>
  </si>
  <si>
    <t>9780911012897</t>
  </si>
  <si>
    <t>32285000165992</t>
  </si>
  <si>
    <t>893806810</t>
  </si>
  <si>
    <t>BF173.F85 F753 1980</t>
  </si>
  <si>
    <t>0                      BF 0173000F  85                 F  753         1980</t>
  </si>
  <si>
    <t>Greatness and limitations of Freud's thought / Erich Fromm.</t>
  </si>
  <si>
    <t>New York : Harper &amp; Row, c1980.</t>
  </si>
  <si>
    <t>1993-11-01</t>
  </si>
  <si>
    <t>1151717931:eng</t>
  </si>
  <si>
    <t>6014895</t>
  </si>
  <si>
    <t>991004914429702656</t>
  </si>
  <si>
    <t>2267093890002656</t>
  </si>
  <si>
    <t>9780060113896</t>
  </si>
  <si>
    <t>32285000675636</t>
  </si>
  <si>
    <t>893619209</t>
  </si>
  <si>
    <t>BF173.F85 K5913 1988</t>
  </si>
  <si>
    <t>0                      BF 0173000F  85                 K  5913        1988</t>
  </si>
  <si>
    <t>The childhood of art : an interpretation of Freud's aesthetics / Sarah Kofman ; translated by Winifred Woodhull.</t>
  </si>
  <si>
    <t>Kofman, Sarah.</t>
  </si>
  <si>
    <t>New York : Columbia University Press, 1988.</t>
  </si>
  <si>
    <t>European perspectives</t>
  </si>
  <si>
    <t>1991-01-25</t>
  </si>
  <si>
    <t>3901058173:eng</t>
  </si>
  <si>
    <t>16718686</t>
  </si>
  <si>
    <t>991001138189702656</t>
  </si>
  <si>
    <t>2254795370002656</t>
  </si>
  <si>
    <t>9780231063128</t>
  </si>
  <si>
    <t>32285000460872</t>
  </si>
  <si>
    <t>893791200</t>
  </si>
  <si>
    <t>BF173.F85 M226 1986</t>
  </si>
  <si>
    <t>0                      BF 0173000F  85                 M  226         1986</t>
  </si>
  <si>
    <t>Freud's discovery of psychoanalysis : the politics of hysteria / William J. McGrath.</t>
  </si>
  <si>
    <t>McGrath, William J., 1937-2008.</t>
  </si>
  <si>
    <t>Ithaca : Cornell University Press, c1986.</t>
  </si>
  <si>
    <t>5553715:eng</t>
  </si>
  <si>
    <t>12724799</t>
  </si>
  <si>
    <t>991000731699702656</t>
  </si>
  <si>
    <t>2266830060002656</t>
  </si>
  <si>
    <t>9780801417702</t>
  </si>
  <si>
    <t>32285000282573</t>
  </si>
  <si>
    <t>893339836</t>
  </si>
  <si>
    <t>BF173.F85 M293 1984</t>
  </si>
  <si>
    <t>0                      BF 0173000F  85                 M  293         1984</t>
  </si>
  <si>
    <t>Freud and the culture of psychoanalysis : studies in the transition from Victorian humanism to modernity / Steven Marcus.</t>
  </si>
  <si>
    <t>Marcus, Steven, 1928-2018.</t>
  </si>
  <si>
    <t>Boston : G. Allen &amp; Unwin, 1984.</t>
  </si>
  <si>
    <t>2005-04-22</t>
  </si>
  <si>
    <t>3773180:eng</t>
  </si>
  <si>
    <t>10299208</t>
  </si>
  <si>
    <t>991000347959702656</t>
  </si>
  <si>
    <t>2255245630002656</t>
  </si>
  <si>
    <t>9780048000187</t>
  </si>
  <si>
    <t>32285000282599</t>
  </si>
  <si>
    <t>893777864</t>
  </si>
  <si>
    <t>BF173.F85 M32 1984</t>
  </si>
  <si>
    <t>0                      BF 0173000F  85                 M  32          1984</t>
  </si>
  <si>
    <t>The assault on truth : Freud's suppression of the seduction theory / by Jeffrey Moussaieff Masson.</t>
  </si>
  <si>
    <t>Masson, J. Moussaieff (Jeffrey Moussaieff), 1941-</t>
  </si>
  <si>
    <t>New York : Farrar, Straus and Giroux, c1984.</t>
  </si>
  <si>
    <t>1995-11-21</t>
  </si>
  <si>
    <t>1990-04-30</t>
  </si>
  <si>
    <t>235085872:eng</t>
  </si>
  <si>
    <t>10185193</t>
  </si>
  <si>
    <t>991000328309702656</t>
  </si>
  <si>
    <t>2265508070002656</t>
  </si>
  <si>
    <t>9780374106423</t>
  </si>
  <si>
    <t>32285000127521</t>
  </si>
  <si>
    <t>893607817</t>
  </si>
  <si>
    <t>BF173.F85 N37 1974</t>
  </si>
  <si>
    <t>0                      BF 0173000F  85                 N  37          1974</t>
  </si>
  <si>
    <t>Freud and the 20th century / ed. and selected by Benjamin Nelson.</t>
  </si>
  <si>
    <t>Nelson, Benjamin, 1911-1977, editor.</t>
  </si>
  <si>
    <t>Gloucester, Mass. : Peter Smith, 1974, [c1957]</t>
  </si>
  <si>
    <t>2002-11-17</t>
  </si>
  <si>
    <t>38855740:eng</t>
  </si>
  <si>
    <t>1809428</t>
  </si>
  <si>
    <t>991003895829702656</t>
  </si>
  <si>
    <t>2265631320002656</t>
  </si>
  <si>
    <t>9780844620978</t>
  </si>
  <si>
    <t>32285000470632</t>
  </si>
  <si>
    <t>893512535</t>
  </si>
  <si>
    <t>BF173.F85 P45 1982</t>
  </si>
  <si>
    <t>0                      BF 0173000F  85                 P  45          1982</t>
  </si>
  <si>
    <t>Philosophical essays on Freud / edited by Richard Wollheim and James Hopkins.</t>
  </si>
  <si>
    <t>Cambridge [Cambridgeshire] ; New York : Cambridge University Press, 1982.</t>
  </si>
  <si>
    <t>2003-09-29</t>
  </si>
  <si>
    <t>917502167:eng</t>
  </si>
  <si>
    <t>8170519</t>
  </si>
  <si>
    <t>991004139509702656</t>
  </si>
  <si>
    <t>2256437390002656</t>
  </si>
  <si>
    <t>9780521240765</t>
  </si>
  <si>
    <t>32285004785688</t>
  </si>
  <si>
    <t>893500161</t>
  </si>
  <si>
    <t>BF173.F85 R72 1987</t>
  </si>
  <si>
    <t>0                      BF 0173000F  85                 R  72          1987</t>
  </si>
  <si>
    <t>Psycho-analysis as history : negation and freedom in Freud / Michael S. Roth.</t>
  </si>
  <si>
    <t>Roth, Michael S., 1957-</t>
  </si>
  <si>
    <t>Ithaca : Cornell University Press, 1987.</t>
  </si>
  <si>
    <t>836692452:eng</t>
  </si>
  <si>
    <t>14818480</t>
  </si>
  <si>
    <t>991000960629702656</t>
  </si>
  <si>
    <t>2263890980002656</t>
  </si>
  <si>
    <t>9780801419577</t>
  </si>
  <si>
    <t>32285000282615</t>
  </si>
  <si>
    <t>893407691</t>
  </si>
  <si>
    <t>BF173.F85 R84 1973</t>
  </si>
  <si>
    <t>0                      BF 0173000F  85                 R  84          1973</t>
  </si>
  <si>
    <t>Freud as we knew him / edited and introduced by Hendrik M. Ruitenbeek.</t>
  </si>
  <si>
    <t>Ruitenbeek, Hendrik Marinus, 1928- compiler.</t>
  </si>
  <si>
    <t>Detroit : Wayne State University Press, 1973.</t>
  </si>
  <si>
    <t>miu</t>
  </si>
  <si>
    <t>1998-10-31</t>
  </si>
  <si>
    <t>1990-02-08</t>
  </si>
  <si>
    <t>476055:eng</t>
  </si>
  <si>
    <t>388636</t>
  </si>
  <si>
    <t>991002655689702656</t>
  </si>
  <si>
    <t>2254983220002656</t>
  </si>
  <si>
    <t>9780814314883</t>
  </si>
  <si>
    <t>32285000007830</t>
  </si>
  <si>
    <t>893535115</t>
  </si>
  <si>
    <t>BF173.F85 S37</t>
  </si>
  <si>
    <t>0                      BF 0173000F  85                 S  37</t>
  </si>
  <si>
    <t>The Scientific evaluation of Freud's theories and therapy : a book of readings / edited by Seymour Fisher and Roger P. Greenberg.</t>
  </si>
  <si>
    <t>2004-09-21</t>
  </si>
  <si>
    <t>1990-03-05</t>
  </si>
  <si>
    <t>352017129:eng</t>
  </si>
  <si>
    <t>3869295</t>
  </si>
  <si>
    <t>991004535299702656</t>
  </si>
  <si>
    <t>2263022600002656</t>
  </si>
  <si>
    <t>9780465073887</t>
  </si>
  <si>
    <t>32285000076777</t>
  </si>
  <si>
    <t>893722486</t>
  </si>
  <si>
    <t>BF173.F85 S79</t>
  </si>
  <si>
    <t>0                      BF 0173000F  85                 S  79</t>
  </si>
  <si>
    <t>Freud, biologist of the mind : beyond the psychoanalytic legend / Frank J. Sulloway.</t>
  </si>
  <si>
    <t>Sulloway, Frank J.</t>
  </si>
  <si>
    <t>New York : Basic Books, c1979.</t>
  </si>
  <si>
    <t>1996-02-20</t>
  </si>
  <si>
    <t>487383:eng</t>
  </si>
  <si>
    <t>5051694</t>
  </si>
  <si>
    <t>991004769789702656</t>
  </si>
  <si>
    <t>2263786810002656</t>
  </si>
  <si>
    <t>9780465025596</t>
  </si>
  <si>
    <t>32285000282631</t>
  </si>
  <si>
    <t>893706824</t>
  </si>
  <si>
    <t>BF173.F85 T5413</t>
  </si>
  <si>
    <t>0                      BF 0173000F  85                 T  5413</t>
  </si>
  <si>
    <t>The Freudian slip : psychoanalysis and textual criticism / Sebastiano Timpanaro ; translated by Kate Soper.</t>
  </si>
  <si>
    <t>Timpanaro, Sebastiano.</t>
  </si>
  <si>
    <t>London : NLB, 1976.</t>
  </si>
  <si>
    <t>2003-10-09</t>
  </si>
  <si>
    <t>5151964:eng</t>
  </si>
  <si>
    <t>2505825</t>
  </si>
  <si>
    <t>991004143819702656</t>
  </si>
  <si>
    <t>2256084390002656</t>
  </si>
  <si>
    <t>9780902308763</t>
  </si>
  <si>
    <t>32285000470657</t>
  </si>
  <si>
    <t>893869341</t>
  </si>
  <si>
    <t>BF173.F85 T7</t>
  </si>
  <si>
    <t>0                      BF 0173000F  85                 T  7</t>
  </si>
  <si>
    <t>Freud and the crisis of our culture.</t>
  </si>
  <si>
    <t>Trilling, Lionel, 1905-1975.</t>
  </si>
  <si>
    <t>Boston : Beacon Press, [1955]</t>
  </si>
  <si>
    <t>Mid-century essays, no. 1</t>
  </si>
  <si>
    <t>2002-10-11</t>
  </si>
  <si>
    <t>1993-11-18</t>
  </si>
  <si>
    <t>19403253:eng</t>
  </si>
  <si>
    <t>5693028</t>
  </si>
  <si>
    <t>991004860179702656</t>
  </si>
  <si>
    <t>2269628740002656</t>
  </si>
  <si>
    <t>32285001799724</t>
  </si>
  <si>
    <t>893719493</t>
  </si>
  <si>
    <t>BF173.F85 T74 1985</t>
  </si>
  <si>
    <t>0                      BF 0173000F  85                 T  74          1985</t>
  </si>
  <si>
    <t>Freud and the imaginative world / Harry Trosman.</t>
  </si>
  <si>
    <t>Trosman, Harry.</t>
  </si>
  <si>
    <t>Hillsdale, N.J. : Analytic Press, c1985.</t>
  </si>
  <si>
    <t>1993-07-27</t>
  </si>
  <si>
    <t>4115747:eng</t>
  </si>
  <si>
    <t>11235193</t>
  </si>
  <si>
    <t>991000510429702656</t>
  </si>
  <si>
    <t>2259611610002656</t>
  </si>
  <si>
    <t>9780881630282</t>
  </si>
  <si>
    <t>32285000282649</t>
  </si>
  <si>
    <t>893225048</t>
  </si>
  <si>
    <t>BF173.F85 V6413</t>
  </si>
  <si>
    <t>0                      BF 0173000F  85                 V  6413</t>
  </si>
  <si>
    <t>Freudianism : a Marxist critique / V.N. Vološinov ; translated by I.R. Titunik ; and edited in collaboration with Neal H. Bruss.</t>
  </si>
  <si>
    <t>Voloshinov, V. N.</t>
  </si>
  <si>
    <t>New York : Academic Press, c1976.</t>
  </si>
  <si>
    <t>1996-02-17</t>
  </si>
  <si>
    <t>4915234242:eng</t>
  </si>
  <si>
    <t>2283898</t>
  </si>
  <si>
    <t>991004065669702656</t>
  </si>
  <si>
    <t>2266910970002656</t>
  </si>
  <si>
    <t>9780127232508</t>
  </si>
  <si>
    <t>32285000470665</t>
  </si>
  <si>
    <t>893599381</t>
  </si>
  <si>
    <t>BF173.F85 W56</t>
  </si>
  <si>
    <t>0                      BF 0173000F  85                 W  56</t>
  </si>
  <si>
    <t>The unconscious mind; the meaning of Freudian psychology [by] Benjamin B. Wolman.</t>
  </si>
  <si>
    <t>Wolman, Benjamin B.</t>
  </si>
  <si>
    <t>Englewood Cliffs, N.J., Prentice-Hall [1968]</t>
  </si>
  <si>
    <t>A Spectrum book</t>
  </si>
  <si>
    <t>118378494:eng</t>
  </si>
  <si>
    <t>193799</t>
  </si>
  <si>
    <t>991001215479702656</t>
  </si>
  <si>
    <t>2268876010002656</t>
  </si>
  <si>
    <t>32285002235702</t>
  </si>
  <si>
    <t>893534478</t>
  </si>
  <si>
    <t>BF173.F89 H38</t>
  </si>
  <si>
    <t>0                      BF 0173000F  89                 H  38</t>
  </si>
  <si>
    <t>Erich Fromm.</t>
  </si>
  <si>
    <t>Hausdorff, Don, 1927-</t>
  </si>
  <si>
    <t>New York : Twayne Publishers, [1972]</t>
  </si>
  <si>
    <t>Twayne's United States authors series ; TUSAS 203</t>
  </si>
  <si>
    <t>1997-04-07</t>
  </si>
  <si>
    <t>1994-03-04</t>
  </si>
  <si>
    <t>9438354799:eng</t>
  </si>
  <si>
    <t>525359</t>
  </si>
  <si>
    <t>991002918069702656</t>
  </si>
  <si>
    <t>2258279640002656</t>
  </si>
  <si>
    <t>9780805702927</t>
  </si>
  <si>
    <t>32285001851939</t>
  </si>
  <si>
    <t>893317430</t>
  </si>
  <si>
    <t>BF173.J85 B4 1967</t>
  </si>
  <si>
    <t>0                      BF 0173000J  85                 B  4           1967</t>
  </si>
  <si>
    <t>What Jung really said [by] E. A. Bennet.</t>
  </si>
  <si>
    <t>Bennet, E. A. (Edward Armstrong)</t>
  </si>
  <si>
    <t>New York, Schocken Books [1967,c1966]</t>
  </si>
  <si>
    <t>What they really said series</t>
  </si>
  <si>
    <t>1616933:eng</t>
  </si>
  <si>
    <t>755859</t>
  </si>
  <si>
    <t>991003231029702656</t>
  </si>
  <si>
    <t>2267050640002656</t>
  </si>
  <si>
    <t>32285002235751</t>
  </si>
  <si>
    <t>893793431</t>
  </si>
  <si>
    <t>BF173.J85 G62</t>
  </si>
  <si>
    <t>0                      BF 0173000J  85                 G  62</t>
  </si>
  <si>
    <t>Individuation : a study of the depth psychology of Carl Gustav Jung / by Josef Goldbrunner. Translated from the original German by Stanley Godman.</t>
  </si>
  <si>
    <t>Goldbrunner, Josef.</t>
  </si>
  <si>
    <t>New York : Pantheon, [1956]</t>
  </si>
  <si>
    <t>1999-04-08</t>
  </si>
  <si>
    <t>1995-08-21</t>
  </si>
  <si>
    <t>3943758783:eng</t>
  </si>
  <si>
    <t>2949919</t>
  </si>
  <si>
    <t>991004292019702656</t>
  </si>
  <si>
    <t>2268388630002656</t>
  </si>
  <si>
    <t>32285002065190</t>
  </si>
  <si>
    <t>893229172</t>
  </si>
  <si>
    <t>BF173.J85 H324</t>
  </si>
  <si>
    <t>0                      BF 0173000J  85                 H  324</t>
  </si>
  <si>
    <t>Encounters with the soul : active imagination as developed by C.G. Jung / Barbara Hannah.</t>
  </si>
  <si>
    <t>Hannah, Barbara.</t>
  </si>
  <si>
    <t>Santa Monica, CA : Sigo Press, c1981.</t>
  </si>
  <si>
    <t>1997-03-13</t>
  </si>
  <si>
    <t>565070:eng</t>
  </si>
  <si>
    <t>7462471</t>
  </si>
  <si>
    <t>991005115969702656</t>
  </si>
  <si>
    <t>2262891490002656</t>
  </si>
  <si>
    <t>9780938434023</t>
  </si>
  <si>
    <t>32285000282789</t>
  </si>
  <si>
    <t>893353704</t>
  </si>
  <si>
    <t>BF173.J85 H33 1976</t>
  </si>
  <si>
    <t>0                      BF 0173000J  85                 H  33          1976</t>
  </si>
  <si>
    <t>Jung, his life and work : a biographical memoir / by Barbara Hannah.</t>
  </si>
  <si>
    <t>New York : Putnam, c1976.</t>
  </si>
  <si>
    <t>54124206:eng</t>
  </si>
  <si>
    <t>2331265</t>
  </si>
  <si>
    <t>991004083089702656</t>
  </si>
  <si>
    <t>2263568580002656</t>
  </si>
  <si>
    <t>9780399114410</t>
  </si>
  <si>
    <t>32285000470707</t>
  </si>
  <si>
    <t>893775596</t>
  </si>
  <si>
    <t>BF173.J85 H63</t>
  </si>
  <si>
    <t>0                      BF 0173000J  85                 H  63</t>
  </si>
  <si>
    <t>Jung in context : modernity and the making of a psychology / Peter Homans.</t>
  </si>
  <si>
    <t>Homans, Peter.</t>
  </si>
  <si>
    <t>Chicago : University of Chicago Press, 1979.</t>
  </si>
  <si>
    <t>2008-11-01</t>
  </si>
  <si>
    <t>54271193:eng</t>
  </si>
  <si>
    <t>4593155</t>
  </si>
  <si>
    <t>991004686459702656</t>
  </si>
  <si>
    <t>2271086220002656</t>
  </si>
  <si>
    <t>9780226351087</t>
  </si>
  <si>
    <t>32285000282797</t>
  </si>
  <si>
    <t>893612644</t>
  </si>
  <si>
    <t>BF173.J85 P66</t>
  </si>
  <si>
    <t>0                      BF 0173000J  85                 P  66</t>
  </si>
  <si>
    <t>Jung, synchronicity, &amp; human destiny; noncausal dimensions of human experience.</t>
  </si>
  <si>
    <t>Progoff, Ira.</t>
  </si>
  <si>
    <t>New York, Julian Press, [1973]</t>
  </si>
  <si>
    <t>2002-10-08</t>
  </si>
  <si>
    <t>1990-09-14</t>
  </si>
  <si>
    <t>572744:eng</t>
  </si>
  <si>
    <t>763819</t>
  </si>
  <si>
    <t>991003241159702656</t>
  </si>
  <si>
    <t>2266623480002656</t>
  </si>
  <si>
    <t>9780870970566</t>
  </si>
  <si>
    <t>32285000304716</t>
  </si>
  <si>
    <t>893623293</t>
  </si>
  <si>
    <t>BF173.J85 S28 1985</t>
  </si>
  <si>
    <t>0                      BF 0173000J  85                 S  28          1985</t>
  </si>
  <si>
    <t>Jung and the post-Jungians / Andrew Samuels.</t>
  </si>
  <si>
    <t>Samuels, Andrew.</t>
  </si>
  <si>
    <t>London ; Boston : Routledge &amp; K. Paul, 1985.</t>
  </si>
  <si>
    <t>1999-04-26</t>
  </si>
  <si>
    <t>884837:eng</t>
  </si>
  <si>
    <t>10753158</t>
  </si>
  <si>
    <t>991000425569702656</t>
  </si>
  <si>
    <t>2265425330002656</t>
  </si>
  <si>
    <t>9780710099587</t>
  </si>
  <si>
    <t>32285000282821</t>
  </si>
  <si>
    <t>893796631</t>
  </si>
  <si>
    <t>BF173.J85 S413</t>
  </si>
  <si>
    <t>0                      BF 0173000J  85                 S  413</t>
  </si>
  <si>
    <t>C. G. Jung and Hermann Hesse : a record of two friendships / translated by Frank MacShane.</t>
  </si>
  <si>
    <t>Serrano, Miguel, 1917-2009.</t>
  </si>
  <si>
    <t>New York : Schocken Books, [1966]</t>
  </si>
  <si>
    <t>2009-07-22</t>
  </si>
  <si>
    <t>1996-04-22</t>
  </si>
  <si>
    <t>1955502:eng</t>
  </si>
  <si>
    <t>711876</t>
  </si>
  <si>
    <t>991003181649702656</t>
  </si>
  <si>
    <t>2261924990002656</t>
  </si>
  <si>
    <t>32285002155843</t>
  </si>
  <si>
    <t>893717388</t>
  </si>
  <si>
    <t>BF175 .E74 1975</t>
  </si>
  <si>
    <t>0                      BF 0175000E  74          1975</t>
  </si>
  <si>
    <t>Life history and the historical moment / Erik H. Erikson.</t>
  </si>
  <si>
    <t>Erikson, Erik H. (Erik Homburger), 1902-1994.</t>
  </si>
  <si>
    <t>New York : Norton, [1975]</t>
  </si>
  <si>
    <t>1998-11-03</t>
  </si>
  <si>
    <t>8907051577:eng</t>
  </si>
  <si>
    <t>1055523</t>
  </si>
  <si>
    <t>991003503699702656</t>
  </si>
  <si>
    <t>2269828170002656</t>
  </si>
  <si>
    <t>9780393011036</t>
  </si>
  <si>
    <t>32285002236122</t>
  </si>
  <si>
    <t>893252433</t>
  </si>
  <si>
    <t>BF175 .F1513</t>
  </si>
  <si>
    <t>0                      BF 0175000F  1513</t>
  </si>
  <si>
    <t>Psychology of religion / Heije Faber ; [translated by Margaret Kohl].</t>
  </si>
  <si>
    <t>Faber, Heije, 1907-2001.</t>
  </si>
  <si>
    <t>Philadelphia : Westminster Press, c1975.</t>
  </si>
  <si>
    <t>2001-11-28</t>
  </si>
  <si>
    <t>1997-09-24</t>
  </si>
  <si>
    <t>1778447:eng</t>
  </si>
  <si>
    <t>1975999</t>
  </si>
  <si>
    <t>991003962319702656</t>
  </si>
  <si>
    <t>2266746770002656</t>
  </si>
  <si>
    <t>9780664207489</t>
  </si>
  <si>
    <t>32285003250361</t>
  </si>
  <si>
    <t>893506206</t>
  </si>
  <si>
    <t>BF175 .H62 1983</t>
  </si>
  <si>
    <t>0                      BF 0175000H  62          1983</t>
  </si>
  <si>
    <t>Jung's struggle with Freud / George B. Hogenson.</t>
  </si>
  <si>
    <t>Hogenson, George B.</t>
  </si>
  <si>
    <t>Notre Dame : University of Notre Dame Press, c1983.</t>
  </si>
  <si>
    <t>1990-08-16</t>
  </si>
  <si>
    <t>430605:eng</t>
  </si>
  <si>
    <t>9083785</t>
  </si>
  <si>
    <t>991000126719702656</t>
  </si>
  <si>
    <t>2256594650002656</t>
  </si>
  <si>
    <t>9780268012038</t>
  </si>
  <si>
    <t>32285000283068</t>
  </si>
  <si>
    <t>893783993</t>
  </si>
  <si>
    <t>BF175 .J28 1983</t>
  </si>
  <si>
    <t>0                      BF 0175000J  28          1983</t>
  </si>
  <si>
    <t>The repression of psychoanalysis : Otto Fenichel and the political freudians / Russell Jacoby.</t>
  </si>
  <si>
    <t>Jacoby, Russell.</t>
  </si>
  <si>
    <t>New York : Basic Books, c1983.</t>
  </si>
  <si>
    <t>2000-10-10</t>
  </si>
  <si>
    <t>6852604:eng</t>
  </si>
  <si>
    <t>9784260</t>
  </si>
  <si>
    <t>991000257749702656</t>
  </si>
  <si>
    <t>2268680970002656</t>
  </si>
  <si>
    <t>9780465069163</t>
  </si>
  <si>
    <t>32285000283076</t>
  </si>
  <si>
    <t>893589304</t>
  </si>
  <si>
    <t>BF175 .L685 1983</t>
  </si>
  <si>
    <t>0                      BF 0175000L  685         1983</t>
  </si>
  <si>
    <t>Evil and the unconscious / Walter Lowe.</t>
  </si>
  <si>
    <t>Lowe, Walter James, 1940-</t>
  </si>
  <si>
    <t>Chico, Calif. : Scholars Press, c1983.</t>
  </si>
  <si>
    <t>Studies in religion / American Academy of Religion ; no. 30</t>
  </si>
  <si>
    <t>1998-11-08</t>
  </si>
  <si>
    <t>42756919:eng</t>
  </si>
  <si>
    <t>8866524</t>
  </si>
  <si>
    <t>991000087099702656</t>
  </si>
  <si>
    <t>2262411610002656</t>
  </si>
  <si>
    <t>9780891306009</t>
  </si>
  <si>
    <t>32285000283084</t>
  </si>
  <si>
    <t>893796395</t>
  </si>
  <si>
    <t>BF175 .P65</t>
  </si>
  <si>
    <t>0                      BF 0175000P  65</t>
  </si>
  <si>
    <t>Integrated ego psychology / by Norman A. Polansky.</t>
  </si>
  <si>
    <t>Polansky, Norman A., 1918-2002.</t>
  </si>
  <si>
    <t>New York : Aldine, 1982.</t>
  </si>
  <si>
    <t>2002-04-08</t>
  </si>
  <si>
    <t>24228858:eng</t>
  </si>
  <si>
    <t>8614491</t>
  </si>
  <si>
    <t>991000032009702656</t>
  </si>
  <si>
    <t>2255406180002656</t>
  </si>
  <si>
    <t>9780202260891</t>
  </si>
  <si>
    <t>32285000283100</t>
  </si>
  <si>
    <t>893771315</t>
  </si>
  <si>
    <t>BF175 .S386</t>
  </si>
  <si>
    <t>0                      BF 0175000S  386</t>
  </si>
  <si>
    <t>The id and the regulatory principles of mental functioning.</t>
  </si>
  <si>
    <t>New York, International Universities Press [1966]</t>
  </si>
  <si>
    <t>Journal of the American Psychoanalytic Association. Monograph series ; no. 4</t>
  </si>
  <si>
    <t>2002-11-24</t>
  </si>
  <si>
    <t>1365616:eng</t>
  </si>
  <si>
    <t>235086</t>
  </si>
  <si>
    <t>991005265839702656</t>
  </si>
  <si>
    <t>2259501900002656</t>
  </si>
  <si>
    <t>32285002236189</t>
  </si>
  <si>
    <t>893808100</t>
  </si>
  <si>
    <t>BF175 .S664 1983</t>
  </si>
  <si>
    <t>0                      BF 0175000S  664         1983</t>
  </si>
  <si>
    <t>In Freud's shadow : Adler in context / Paul E. Stepansky.</t>
  </si>
  <si>
    <t>Stepansky, Paul E.</t>
  </si>
  <si>
    <t>Hillside, N.J. : Analytic Press : Distributed by L. Erlbaum, c1983.</t>
  </si>
  <si>
    <t>2006-05-20</t>
  </si>
  <si>
    <t>42856935:eng</t>
  </si>
  <si>
    <t>9575501</t>
  </si>
  <si>
    <t>991000219119702656</t>
  </si>
  <si>
    <t>2267074140002656</t>
  </si>
  <si>
    <t>9780881630077</t>
  </si>
  <si>
    <t>32285000283142</t>
  </si>
  <si>
    <t>893626250</t>
  </si>
  <si>
    <t>BF175 .S668 1982</t>
  </si>
  <si>
    <t>0                      BF 0175000S  668         1982</t>
  </si>
  <si>
    <t>Archetypes, a natural history of the self / Anthony Stevens.</t>
  </si>
  <si>
    <t>Stevens, Anthony.</t>
  </si>
  <si>
    <t>New York : Morrow, 1982.</t>
  </si>
  <si>
    <t>2010-04-05</t>
  </si>
  <si>
    <t>5620995826:eng</t>
  </si>
  <si>
    <t>8220256</t>
  </si>
  <si>
    <t>991005219809702656</t>
  </si>
  <si>
    <t>2268114740002656</t>
  </si>
  <si>
    <t>9780688007850</t>
  </si>
  <si>
    <t>32285000283159</t>
  </si>
  <si>
    <t>893701221</t>
  </si>
  <si>
    <t>BF175 .S9 1968</t>
  </si>
  <si>
    <t>0                      BF 0175000S  9           1968</t>
  </si>
  <si>
    <t>The ego and the self.</t>
  </si>
  <si>
    <t>Symonds, Percival Mallon, 1893-1960.</t>
  </si>
  <si>
    <t>New York, Greenwood Press, 1968 [c1951]</t>
  </si>
  <si>
    <t>1465089:eng</t>
  </si>
  <si>
    <t>442923</t>
  </si>
  <si>
    <t>991002789929702656</t>
  </si>
  <si>
    <t>2266323820002656</t>
  </si>
  <si>
    <t>32285002236205</t>
  </si>
  <si>
    <t>893792917</t>
  </si>
  <si>
    <t>BF175 .W27 1985</t>
  </si>
  <si>
    <t>0                      BF 0175000W  27          1985</t>
  </si>
  <si>
    <t>Historiography and causation in psychoanalysis : an essay on psychoanalytic and historical epistemology / Edwin R. Wallace, IV.</t>
  </si>
  <si>
    <t>Wallace, Edwin R.</t>
  </si>
  <si>
    <t>Hillsdale, N.J. : Analytic Press : Distributed by L. Erlbaum Associates, 1985.</t>
  </si>
  <si>
    <t>1990-03-19</t>
  </si>
  <si>
    <t>3227647:eng</t>
  </si>
  <si>
    <t>10914562</t>
  </si>
  <si>
    <t>991000456969702656</t>
  </si>
  <si>
    <t>2255723530002656</t>
  </si>
  <si>
    <t>9780881630152</t>
  </si>
  <si>
    <t>32285000087782</t>
  </si>
  <si>
    <t>893425724</t>
  </si>
  <si>
    <t>BF175.4.S65 S25 1993</t>
  </si>
  <si>
    <t>0                      BF 0175400S  65                 S  25          1993</t>
  </si>
  <si>
    <t>The political psyche / Andrew Samuels.</t>
  </si>
  <si>
    <t>London ; New York : Routledge, 1993.</t>
  </si>
  <si>
    <t>2003-09-04</t>
  </si>
  <si>
    <t>1995-01-18</t>
  </si>
  <si>
    <t>337530:eng</t>
  </si>
  <si>
    <t>27010968</t>
  </si>
  <si>
    <t>991002104399702656</t>
  </si>
  <si>
    <t>2267134270002656</t>
  </si>
  <si>
    <t>9780415081016</t>
  </si>
  <si>
    <t>32285001993467</t>
  </si>
  <si>
    <t>893898389</t>
  </si>
  <si>
    <t>BF175.5.O24 B56 1987</t>
  </si>
  <si>
    <t>0                      BF 0175500O  24                 B  56          1987</t>
  </si>
  <si>
    <t>The shadow of the object : psychoanalysis of the unthought known / Christopher Bollas.</t>
  </si>
  <si>
    <t>Bollas, Christopher.</t>
  </si>
  <si>
    <t>New York : Columbia University Press, 1987.</t>
  </si>
  <si>
    <t>1995-01-15</t>
  </si>
  <si>
    <t>1992-01-21</t>
  </si>
  <si>
    <t>991340:eng</t>
  </si>
  <si>
    <t>15592449</t>
  </si>
  <si>
    <t>991001043179702656</t>
  </si>
  <si>
    <t>2262220210002656</t>
  </si>
  <si>
    <t>9780231066266</t>
  </si>
  <si>
    <t>32285000865211</t>
  </si>
  <si>
    <t>893696412</t>
  </si>
  <si>
    <t>BF176 .A495 1979</t>
  </si>
  <si>
    <t>0                      BF 0176000A  495         1979</t>
  </si>
  <si>
    <t>Introduction to measurement theory / Mary J. Allen, Wendy M. Yen.</t>
  </si>
  <si>
    <t>Allen, Mary J.</t>
  </si>
  <si>
    <t>Monterey, Calif. : Brooks/Cole Pub. Co., c1979.</t>
  </si>
  <si>
    <t>2003-06-04</t>
  </si>
  <si>
    <t>1997-01-17</t>
  </si>
  <si>
    <t>482704:eng</t>
  </si>
  <si>
    <t>4493046</t>
  </si>
  <si>
    <t>991004648789702656</t>
  </si>
  <si>
    <t>2263136060002656</t>
  </si>
  <si>
    <t>9780818502835</t>
  </si>
  <si>
    <t>32285002408952</t>
  </si>
  <si>
    <t>893694168</t>
  </si>
  <si>
    <t>BF176 .G76 1984</t>
  </si>
  <si>
    <t>0                      BF 0176000G  76          1984</t>
  </si>
  <si>
    <t>Handbook of psychological assessment / Gary Groth-Marnat.</t>
  </si>
  <si>
    <t>Groth-Marnat, Gary.</t>
  </si>
  <si>
    <t>New York : Van Nostrand Reinhold, c1984.</t>
  </si>
  <si>
    <t>1998-11-22</t>
  </si>
  <si>
    <t>1990-06-28</t>
  </si>
  <si>
    <t>3170159:eng</t>
  </si>
  <si>
    <t>10072396</t>
  </si>
  <si>
    <t>991000307619702656</t>
  </si>
  <si>
    <t>2264784070002656</t>
  </si>
  <si>
    <t>9780442229276</t>
  </si>
  <si>
    <t>32285000216951</t>
  </si>
  <si>
    <t>893255326</t>
  </si>
  <si>
    <t>BF176 .H35 1985</t>
  </si>
  <si>
    <t>0                      BF 0176000H  35          1985</t>
  </si>
  <si>
    <t>Item response theory : principles and applications / Ronald K. Hambleton, Hariharan Swaminathan.</t>
  </si>
  <si>
    <t>Hambleton, Ronald K.</t>
  </si>
  <si>
    <t>Boston : Kluwer-Nijhoff Pub. ; Hingham, MA, U.S.A. : Distributors for North America, Kluwer Boston, c1985.</t>
  </si>
  <si>
    <t>Evaluation in education and human services</t>
  </si>
  <si>
    <t>2006-04-25</t>
  </si>
  <si>
    <t>1995-08-04</t>
  </si>
  <si>
    <t>101476:eng</t>
  </si>
  <si>
    <t>9620421</t>
  </si>
  <si>
    <t>991000226669702656</t>
  </si>
  <si>
    <t>2270548510002656</t>
  </si>
  <si>
    <t>9780898380651</t>
  </si>
  <si>
    <t>32285002059359</t>
  </si>
  <si>
    <t>893224851</t>
  </si>
  <si>
    <t>BF176 .W43 1984</t>
  </si>
  <si>
    <t>0                      BF 0176000W  43          1984</t>
  </si>
  <si>
    <t>Assessing individuals : psychological and educational tests and measurements / Elliot A. Weiner, Barbara J. Stewart.</t>
  </si>
  <si>
    <t>Weiner, Elliot A.</t>
  </si>
  <si>
    <t>Boston : Little, Brown, c1984.</t>
  </si>
  <si>
    <t>1994-11-06</t>
  </si>
  <si>
    <t>889575491:eng</t>
  </si>
  <si>
    <t>10122023</t>
  </si>
  <si>
    <t>991000316189702656</t>
  </si>
  <si>
    <t>2267369840002656</t>
  </si>
  <si>
    <t>9780316928618</t>
  </si>
  <si>
    <t>32285000058031</t>
  </si>
  <si>
    <t>893589342</t>
  </si>
  <si>
    <t>BF1769 .C64</t>
  </si>
  <si>
    <t>0                      BF 1769000C  64</t>
  </si>
  <si>
    <t>The Sibylline oracles of Egyptian Judaism / John J. Collins.</t>
  </si>
  <si>
    <t>Collins, John J. (John Joseph), 1946-</t>
  </si>
  <si>
    <t>Missoula, Mont. : Published by Society of Biblical Literature for the Pseudepigrapha Group, 1974, c1972.</t>
  </si>
  <si>
    <t>mtu</t>
  </si>
  <si>
    <t>Dissertation series ; no. 13</t>
  </si>
  <si>
    <t>2002-04-07</t>
  </si>
  <si>
    <t>2169967:eng</t>
  </si>
  <si>
    <t>1254038</t>
  </si>
  <si>
    <t>991003650449702656</t>
  </si>
  <si>
    <t>2261506940002656</t>
  </si>
  <si>
    <t>9780884140399</t>
  </si>
  <si>
    <t>32285000324383</t>
  </si>
  <si>
    <t>893893957</t>
  </si>
  <si>
    <t>BF1793 .L473</t>
  </si>
  <si>
    <t>0                      BF 1793000L  473</t>
  </si>
  <si>
    <t>Science, prophecy, and prediction : man's efforts to foretell the future, from Babylon to Wall Street / translated by Arnold J. Pomerans.</t>
  </si>
  <si>
    <t>Lewinsohn, Richard, 1894-1968.</t>
  </si>
  <si>
    <t>New York : Harper, [1961]</t>
  </si>
  <si>
    <t>2006-03-25</t>
  </si>
  <si>
    <t>4160079505:eng</t>
  </si>
  <si>
    <t>1106311</t>
  </si>
  <si>
    <t>991003541789702656</t>
  </si>
  <si>
    <t>2257242550002656</t>
  </si>
  <si>
    <t>32285000324391</t>
  </si>
  <si>
    <t>893611154</t>
  </si>
  <si>
    <t>BF181 .C38</t>
  </si>
  <si>
    <t>0                      BF 0181000C  38</t>
  </si>
  <si>
    <t>Handbook of multivariate experimental psychology, edited by Raymond B. Cattell.</t>
  </si>
  <si>
    <t>Cattell, Raymond B. (Raymond Bernard), 1905-1998.</t>
  </si>
  <si>
    <t>Chicago, Rand McNally [1966]</t>
  </si>
  <si>
    <t>Rand McNally psychology series</t>
  </si>
  <si>
    <t>1999-04-11</t>
  </si>
  <si>
    <t>5610043142:eng</t>
  </si>
  <si>
    <t>224947</t>
  </si>
  <si>
    <t>991001376389702656</t>
  </si>
  <si>
    <t>2263618080002656</t>
  </si>
  <si>
    <t>32285002236270</t>
  </si>
  <si>
    <t>893426558</t>
  </si>
  <si>
    <t>BF181 .F5</t>
  </si>
  <si>
    <t>0                      BF 0181000F  5</t>
  </si>
  <si>
    <t>The First century of experimental psychology / edited by Eliot Hearst.</t>
  </si>
  <si>
    <t>Hillsdale, N.J. : L. Erlbaum Associates ; New York : distributed by Halsted Press Division, Wiley, 1979.</t>
  </si>
  <si>
    <t>1995-10-10</t>
  </si>
  <si>
    <t>54303878:eng</t>
  </si>
  <si>
    <t>5171027</t>
  </si>
  <si>
    <t>991004790709702656</t>
  </si>
  <si>
    <t>2258884940002656</t>
  </si>
  <si>
    <t>9780470268155</t>
  </si>
  <si>
    <t>32285000283258</t>
  </si>
  <si>
    <t>893532813</t>
  </si>
  <si>
    <t>BF181 .G3 1930</t>
  </si>
  <si>
    <t>0                      BF 0181000G  3           1930</t>
  </si>
  <si>
    <t>Great experiments in psychology.</t>
  </si>
  <si>
    <t>Garrett, Henry E. (Henry Edward), 1894-1973.</t>
  </si>
  <si>
    <t>New York, London, Appleton-Century Company, incorporated [c1941]</t>
  </si>
  <si>
    <t>Rev. and enl. ed. By Henry E. Garrett ...</t>
  </si>
  <si>
    <t>1996-10-21</t>
  </si>
  <si>
    <t>602127385:eng</t>
  </si>
  <si>
    <t>1375864</t>
  </si>
  <si>
    <t>991003727409702656</t>
  </si>
  <si>
    <t>2259773700002656</t>
  </si>
  <si>
    <t>32285002236304</t>
  </si>
  <si>
    <t>893318336</t>
  </si>
  <si>
    <t>BF181 .G3 1951</t>
  </si>
  <si>
    <t>0                      BF 0181000G  3           1951</t>
  </si>
  <si>
    <t>New York, Appleton-Century-Crofts [1951]</t>
  </si>
  <si>
    <t>2002-03-06</t>
  </si>
  <si>
    <t>742092</t>
  </si>
  <si>
    <t>991003216119702656</t>
  </si>
  <si>
    <t>2270276990002656</t>
  </si>
  <si>
    <t>32285002236312</t>
  </si>
  <si>
    <t>893410026</t>
  </si>
  <si>
    <t>BF181 .M33 1970</t>
  </si>
  <si>
    <t>0                      BF 0181000M  33          1970</t>
  </si>
  <si>
    <t>Introduction to experimental psychology [by] Douglas W. Matheson, Richard L. Bruce [and] Kenneth L. Beauchamp.</t>
  </si>
  <si>
    <t>Matheson, Douglas W., 1939-</t>
  </si>
  <si>
    <t>New York, Holt, Rinehart, and Winston [1970]</t>
  </si>
  <si>
    <t>1995-10-22</t>
  </si>
  <si>
    <t>3887442770:eng</t>
  </si>
  <si>
    <t>84987</t>
  </si>
  <si>
    <t>991000514769702656</t>
  </si>
  <si>
    <t>2271345770002656</t>
  </si>
  <si>
    <t>9780030770005</t>
  </si>
  <si>
    <t>32285000283274</t>
  </si>
  <si>
    <t>893790586</t>
  </si>
  <si>
    <t>BF181 .M33 1974</t>
  </si>
  <si>
    <t>0                      BF 0181000M  33          1974</t>
  </si>
  <si>
    <t>Introduction to experimental psychology / [by] Douglas W. Matheson, Richard L. Bruce [and] Kenneth L. Beauchamp.</t>
  </si>
  <si>
    <t>New York : Holt, Rinehart and Winston, 1974.</t>
  </si>
  <si>
    <t>1995-10-28</t>
  </si>
  <si>
    <t>704884</t>
  </si>
  <si>
    <t>991003167809702656</t>
  </si>
  <si>
    <t>2259282010002656</t>
  </si>
  <si>
    <t>9780030915413</t>
  </si>
  <si>
    <t>32285000283282</t>
  </si>
  <si>
    <t>893445558</t>
  </si>
  <si>
    <t>BF181 .R62 1981</t>
  </si>
  <si>
    <t>0                      BF 0181000R  62          1981</t>
  </si>
  <si>
    <t>Fundamentals of experimental psychology / Paul W. Robinson.</t>
  </si>
  <si>
    <t>Robinson, Paul W., 1942-</t>
  </si>
  <si>
    <t>Englewood Cliffs, N.J. : Prentice-Hall, c1981.</t>
  </si>
  <si>
    <t>146754045:eng</t>
  </si>
  <si>
    <t>6734318</t>
  </si>
  <si>
    <t>991005032289702656</t>
  </si>
  <si>
    <t>2268513690002656</t>
  </si>
  <si>
    <t>9780133391350</t>
  </si>
  <si>
    <t>32285000283316</t>
  </si>
  <si>
    <t>893353654</t>
  </si>
  <si>
    <t>BF181 .R67</t>
  </si>
  <si>
    <t>0                      BF 0181000R  67</t>
  </si>
  <si>
    <t>The volunteer subject / [by] Robert Rosenthal [and] Ralph L. Rosnow.</t>
  </si>
  <si>
    <t>Rosenthal, Robert, 1933-</t>
  </si>
  <si>
    <t>New York : Wiley, [1975]</t>
  </si>
  <si>
    <t>2002-04-02</t>
  </si>
  <si>
    <t>1993-10-26</t>
  </si>
  <si>
    <t>1975753:eng</t>
  </si>
  <si>
    <t>1031210</t>
  </si>
  <si>
    <t>991003483869702656</t>
  </si>
  <si>
    <t>2265548630002656</t>
  </si>
  <si>
    <t>9780471736707</t>
  </si>
  <si>
    <t>32285001795144</t>
  </si>
  <si>
    <t>893258462</t>
  </si>
  <si>
    <t>BF181 .S43</t>
  </si>
  <si>
    <t>0                      BF 0181000S  43</t>
  </si>
  <si>
    <t>Fundamentals of experimental psychology [by] Charles L. Sheridan.</t>
  </si>
  <si>
    <t>Sheridan, Charles L., 1937-</t>
  </si>
  <si>
    <t>New York, Holt, Rinehart and Winston [1971]</t>
  </si>
  <si>
    <t>1306566:eng</t>
  </si>
  <si>
    <t>141490</t>
  </si>
  <si>
    <t>991000813499702656</t>
  </si>
  <si>
    <t>2256028950002656</t>
  </si>
  <si>
    <t>9780030794957</t>
  </si>
  <si>
    <t>32285002236437</t>
  </si>
  <si>
    <t>893891044</t>
  </si>
  <si>
    <t>BF181 .S8 1988</t>
  </si>
  <si>
    <t>0                      BF 0181000S  8           1988</t>
  </si>
  <si>
    <t>Steven's handbook of experimental psychology.</t>
  </si>
  <si>
    <t>Handbook of experimental psychology.</t>
  </si>
  <si>
    <t>New York : Wiley, c1988.</t>
  </si>
  <si>
    <t>1900</t>
  </si>
  <si>
    <t>2nd ed. / edited by Richard C. Atkinson ... [et al.].</t>
  </si>
  <si>
    <t>2001-01-09</t>
  </si>
  <si>
    <t>5453914130:eng</t>
  </si>
  <si>
    <t>16984598</t>
  </si>
  <si>
    <t>991001174039702656</t>
  </si>
  <si>
    <t>2269869030002656</t>
  </si>
  <si>
    <t>9780471042037</t>
  </si>
  <si>
    <t>32285000283324</t>
  </si>
  <si>
    <t>893590078</t>
  </si>
  <si>
    <t>32285000283332</t>
  </si>
  <si>
    <t>893608615</t>
  </si>
  <si>
    <t>BF186 .B4413 1973</t>
  </si>
  <si>
    <t>0                      BF 0186000B  4413        1973</t>
  </si>
  <si>
    <t>General principles of human reflexology [by] Vladimir Michailovitch Bechterev. [Translated by Emma and William Murphy]</t>
  </si>
  <si>
    <t>Bekhterev, Vladimir Mikhaĭlovich, 1857-1927.</t>
  </si>
  <si>
    <t>New York, Arno Press, 1973.</t>
  </si>
  <si>
    <t>1728494:eng</t>
  </si>
  <si>
    <t>628251</t>
  </si>
  <si>
    <t>991003075119702656</t>
  </si>
  <si>
    <t>2269503080002656</t>
  </si>
  <si>
    <t>9780405051340</t>
  </si>
  <si>
    <t>32285002236502</t>
  </si>
  <si>
    <t>893880798</t>
  </si>
  <si>
    <t>BF191 .R6</t>
  </si>
  <si>
    <t>0                      BF 0191000R  6</t>
  </si>
  <si>
    <t>Behaviorism and psychology / by A. A. Roback.</t>
  </si>
  <si>
    <t>Cambridge : University bookstore, inc., 1923.</t>
  </si>
  <si>
    <t>1923</t>
  </si>
  <si>
    <t>2001-11-04</t>
  </si>
  <si>
    <t>1993-11-11</t>
  </si>
  <si>
    <t>3510949:eng</t>
  </si>
  <si>
    <t>1895814</t>
  </si>
  <si>
    <t>991003930669702656</t>
  </si>
  <si>
    <t>2261536440002656</t>
  </si>
  <si>
    <t>32285001798320</t>
  </si>
  <si>
    <t>893263019</t>
  </si>
  <si>
    <t>BF199 .B67</t>
  </si>
  <si>
    <t>0                      BF 0199000B  67</t>
  </si>
  <si>
    <t>The motivation of behavior.</t>
  </si>
  <si>
    <t>Brown, Judson Seise, 1910-2005.</t>
  </si>
  <si>
    <t>New York, McGraw-Hill, 1961.</t>
  </si>
  <si>
    <t>McGraw-Hill series in psychology</t>
  </si>
  <si>
    <t>786522448:eng</t>
  </si>
  <si>
    <t>224041</t>
  </si>
  <si>
    <t>991001372469702656</t>
  </si>
  <si>
    <t>2264127270002656</t>
  </si>
  <si>
    <t>32285002236593</t>
  </si>
  <si>
    <t>893702978</t>
  </si>
  <si>
    <t>BF199 .L5</t>
  </si>
  <si>
    <t>0                      BF 0199000L  5</t>
  </si>
  <si>
    <t>Assessment of human motives [by] Gordon W. Allport [and others]</t>
  </si>
  <si>
    <t>Lindzey, Gardner editor.</t>
  </si>
  <si>
    <t>New York, Rinehart [1958]</t>
  </si>
  <si>
    <t>1958</t>
  </si>
  <si>
    <t>Rinehart books in the assessment of personality</t>
  </si>
  <si>
    <t>2000-10-12</t>
  </si>
  <si>
    <t>212641:eng</t>
  </si>
  <si>
    <t>224237</t>
  </si>
  <si>
    <t>991001373309702656</t>
  </si>
  <si>
    <t>2264188420002656</t>
  </si>
  <si>
    <t>32285002236684</t>
  </si>
  <si>
    <t>893328083</t>
  </si>
  <si>
    <t>BF199 .S36 1982</t>
  </si>
  <si>
    <t>0                      BF 0199000S  36          1982</t>
  </si>
  <si>
    <t>Behaviorism, science, and human nature / Barry Schwartz, Hugh Lacey.</t>
  </si>
  <si>
    <t>Schwartz, Barry, 1946-</t>
  </si>
  <si>
    <t>New York : Norton, c1982.</t>
  </si>
  <si>
    <t>1990-06-19</t>
  </si>
  <si>
    <t>138436890:eng</t>
  </si>
  <si>
    <t>7976621</t>
  </si>
  <si>
    <t>991005186569702656</t>
  </si>
  <si>
    <t>2262157110002656</t>
  </si>
  <si>
    <t>9780393951974</t>
  </si>
  <si>
    <t>32285000198555</t>
  </si>
  <si>
    <t>893789580</t>
  </si>
  <si>
    <t>BF199 .S45 1988</t>
  </si>
  <si>
    <t>0                      BF 0199000S  45          1988</t>
  </si>
  <si>
    <t>The Selection of behavior : the operant behaviorism of B.F. Skinner : comments and consequences / edited by A. Charles Catania and Stevan Harnad.</t>
  </si>
  <si>
    <t>Cambridge ; New York : Cambridge University Press, 1988.</t>
  </si>
  <si>
    <t>1990-07-13</t>
  </si>
  <si>
    <t>836735342:eng</t>
  </si>
  <si>
    <t>17106105</t>
  </si>
  <si>
    <t>991001179099702656</t>
  </si>
  <si>
    <t>2270477910002656</t>
  </si>
  <si>
    <t>9780521348614</t>
  </si>
  <si>
    <t>32285000236504</t>
  </si>
  <si>
    <t>893346312</t>
  </si>
  <si>
    <t>BF200 .L3 1963</t>
  </si>
  <si>
    <t>0                      BF 0200000L  3           1963</t>
  </si>
  <si>
    <t>Brain mechanisms and intelligence; a quantitative study of injuries to the brain. With a new introduction by D.O. Hebb.</t>
  </si>
  <si>
    <t>Lashley, Karl S. (Karl Spencer), 1890-1958.</t>
  </si>
  <si>
    <t>New York, Dover Publications [c1963]</t>
  </si>
  <si>
    <t>2005-02-09</t>
  </si>
  <si>
    <t>1996-07-26</t>
  </si>
  <si>
    <t>1354216:eng</t>
  </si>
  <si>
    <t>697936</t>
  </si>
  <si>
    <t>991003158759702656</t>
  </si>
  <si>
    <t>2264427350002656</t>
  </si>
  <si>
    <t>32285002237369</t>
  </si>
  <si>
    <t>893899677</t>
  </si>
  <si>
    <t>BF202 .P47 1991</t>
  </si>
  <si>
    <t>0                      BF 0202000P  47          1991</t>
  </si>
  <si>
    <t>The Perception of structure : essays in honor of Wendell R. Garner / edited by Gregory R. Lockhead, James R. Pomerantz.</t>
  </si>
  <si>
    <t>Washington, DC : American Psychological Association, c1991.</t>
  </si>
  <si>
    <t>2001-03-31</t>
  </si>
  <si>
    <t>1992-09-23</t>
  </si>
  <si>
    <t>889381833:eng</t>
  </si>
  <si>
    <t>23769571</t>
  </si>
  <si>
    <t>991001888259702656</t>
  </si>
  <si>
    <t>2271934270002656</t>
  </si>
  <si>
    <t>9781557981257</t>
  </si>
  <si>
    <t>32285001288835</t>
  </si>
  <si>
    <t>893503774</t>
  </si>
  <si>
    <t>BF203 .H35</t>
  </si>
  <si>
    <t>0                      BF 0203000H  35</t>
  </si>
  <si>
    <t>Gestalt psychology; a survey of facts and principles, by George W. Hartmann.</t>
  </si>
  <si>
    <t>Hartmann, George W. (George Wilfried), 1904-1955.</t>
  </si>
  <si>
    <t>New York, The Ronald press company [c1935]</t>
  </si>
  <si>
    <t>1935</t>
  </si>
  <si>
    <t>Psychology series</t>
  </si>
  <si>
    <t>2009-03-15</t>
  </si>
  <si>
    <t>4095562393:eng</t>
  </si>
  <si>
    <t>289924</t>
  </si>
  <si>
    <t>991002220479702656</t>
  </si>
  <si>
    <t>2262148190002656</t>
  </si>
  <si>
    <t>32285002237062</t>
  </si>
  <si>
    <t>893262151</t>
  </si>
  <si>
    <t>BF203 .K6</t>
  </si>
  <si>
    <t>0                      BF 0203000K  6</t>
  </si>
  <si>
    <t>Gestalt psychology, by Dr. Wolfgang Köhler.</t>
  </si>
  <si>
    <t>Köhler, Wolfgang, 1887-1967.</t>
  </si>
  <si>
    <t>New York, H. Liveright, 1929.</t>
  </si>
  <si>
    <t>1929</t>
  </si>
  <si>
    <t>3943390878:eng</t>
  </si>
  <si>
    <t>289161</t>
  </si>
  <si>
    <t>991002217449702656</t>
  </si>
  <si>
    <t>2261911000002656</t>
  </si>
  <si>
    <t>32285002237096</t>
  </si>
  <si>
    <t>893347247</t>
  </si>
  <si>
    <t>BF204 .C48</t>
  </si>
  <si>
    <t>0                      BF 0204000C  48</t>
  </si>
  <si>
    <t>Humanistic psychology and the research tradition : their several virtues / [by] Irvin L. Child.</t>
  </si>
  <si>
    <t>Child, Irvin L. (Irvin Long), 1915-2000.</t>
  </si>
  <si>
    <t>New York : Wiley, [1973]</t>
  </si>
  <si>
    <t>1517743:eng</t>
  </si>
  <si>
    <t>388654</t>
  </si>
  <si>
    <t>991002655719702656</t>
  </si>
  <si>
    <t>2254951590002656</t>
  </si>
  <si>
    <t>9780471155706</t>
  </si>
  <si>
    <t>32285000009588</t>
  </si>
  <si>
    <t>893873797</t>
  </si>
  <si>
    <t>BF204 .H85 1976</t>
  </si>
  <si>
    <t>0                      BF 0204000H  85          1976</t>
  </si>
  <si>
    <t>Humanism and behaviorism : dialogue and growth / edited by Abraham Wandersman, Paul J. Poppen, David F. Ricks.</t>
  </si>
  <si>
    <t>Oxford ; New York : Pergamon Press, 1976.</t>
  </si>
  <si>
    <t>Pergamon general psychology series ; PGPS-62</t>
  </si>
  <si>
    <t>318864618:eng</t>
  </si>
  <si>
    <t>2591701</t>
  </si>
  <si>
    <t>991004173979702656</t>
  </si>
  <si>
    <t>2259809010002656</t>
  </si>
  <si>
    <t>9780080195896</t>
  </si>
  <si>
    <t>32285000062470</t>
  </si>
  <si>
    <t>893875769</t>
  </si>
  <si>
    <t>BF204 .T33 1982</t>
  </si>
  <si>
    <t>0                      BF 0204000T  33          1982</t>
  </si>
  <si>
    <t>Humanistic psychology : a synthesis / C. William Tageson.</t>
  </si>
  <si>
    <t>Tageson, C. William.</t>
  </si>
  <si>
    <t>Homewood, Ill. : Dorsey Press, 1982.</t>
  </si>
  <si>
    <t>1998-11-07</t>
  </si>
  <si>
    <t>890077996:eng</t>
  </si>
  <si>
    <t>8553122</t>
  </si>
  <si>
    <t>991000016719702656</t>
  </si>
  <si>
    <t>2258850590002656</t>
  </si>
  <si>
    <t>9780256027426</t>
  </si>
  <si>
    <t>32285000675693</t>
  </si>
  <si>
    <t>893871325</t>
  </si>
  <si>
    <t>BF204.5 .H8713</t>
  </si>
  <si>
    <t>0                      BF 0204500H  8713</t>
  </si>
  <si>
    <t>Phenomenological psychology : lectures, summer semester, 1925 / Edmund Husserl ; translated by John Scanlon. --</t>
  </si>
  <si>
    <t>Husserl, Edmund, 1859-1938.</t>
  </si>
  <si>
    <t>The Hague : Nijhoff, 1977.</t>
  </si>
  <si>
    <t xml:space="preserve">ne </t>
  </si>
  <si>
    <t>1997-12-19</t>
  </si>
  <si>
    <t>1991-05-01</t>
  </si>
  <si>
    <t>2900987433:eng</t>
  </si>
  <si>
    <t>3773479</t>
  </si>
  <si>
    <t>991004513479702656</t>
  </si>
  <si>
    <t>2261860380002656</t>
  </si>
  <si>
    <t>9789024719785</t>
  </si>
  <si>
    <t>32285000589647</t>
  </si>
  <si>
    <t>893706512</t>
  </si>
  <si>
    <t>BF204.5 .L4 1985</t>
  </si>
  <si>
    <t>0                      BF 0204500L  4           1985</t>
  </si>
  <si>
    <t>The body's recollection of being : phenomenological psychology and the deconstruction of nihilism / David Michael Levin.</t>
  </si>
  <si>
    <t>Kleinberg-Levin, David Michael, 1939-</t>
  </si>
  <si>
    <t>London ; Boston : Routledge &amp; Kegan Paul, 1985.</t>
  </si>
  <si>
    <t>2000-08-23</t>
  </si>
  <si>
    <t>1991-08-09</t>
  </si>
  <si>
    <t>836676091:eng</t>
  </si>
  <si>
    <t>11112590</t>
  </si>
  <si>
    <t>991000491159702656</t>
  </si>
  <si>
    <t>2257658270002656</t>
  </si>
  <si>
    <t>9780710204783</t>
  </si>
  <si>
    <t>32285000681006</t>
  </si>
  <si>
    <t>893784257</t>
  </si>
  <si>
    <t>BF204.5 .M247 1983</t>
  </si>
  <si>
    <t>0                      BF 0204500M  247         1983</t>
  </si>
  <si>
    <t>The discovery of being : writings in existential psychology / Rollo May.</t>
  </si>
  <si>
    <t>New York : Norton, c1983.</t>
  </si>
  <si>
    <t>1996-10-31</t>
  </si>
  <si>
    <t>1990-05-17</t>
  </si>
  <si>
    <t>13884542:eng</t>
  </si>
  <si>
    <t>9413047</t>
  </si>
  <si>
    <t>991000191359702656</t>
  </si>
  <si>
    <t>2263909320002656</t>
  </si>
  <si>
    <t>9780393017908</t>
  </si>
  <si>
    <t>32285000152230</t>
  </si>
  <si>
    <t>893351459</t>
  </si>
  <si>
    <t>BF204.5 .O84</t>
  </si>
  <si>
    <t>0                      BF 0204500O  84</t>
  </si>
  <si>
    <t>Phenomenology and intersubjectivity; contemporary interpretations of the interpersonal situation. By Thomas J. Owens.</t>
  </si>
  <si>
    <t>Owens, Thomas J.</t>
  </si>
  <si>
    <t>The Hague, Nijhoff, 1970 [1971]</t>
  </si>
  <si>
    <t>2004-09-22</t>
  </si>
  <si>
    <t>197540274:eng</t>
  </si>
  <si>
    <t>164735</t>
  </si>
  <si>
    <t>991000935859702656</t>
  </si>
  <si>
    <t>2269898610002656</t>
  </si>
  <si>
    <t>9789024750238</t>
  </si>
  <si>
    <t>32285002237187</t>
  </si>
  <si>
    <t>893225457</t>
  </si>
  <si>
    <t>BF204.5 .S7 1980</t>
  </si>
  <si>
    <t>0                      BF 0204500S  7           1980</t>
  </si>
  <si>
    <t>Phenomenological psychology / Erwin W. Straus.</t>
  </si>
  <si>
    <t>Straus, Erwin W. (Erwin Walter), 1891-1975.</t>
  </si>
  <si>
    <t>New York : Garland Pub., 1980.</t>
  </si>
  <si>
    <t>Phenomenology, background, foreground, &amp; influences ; 15</t>
  </si>
  <si>
    <t>9438030755:eng</t>
  </si>
  <si>
    <t>6251228</t>
  </si>
  <si>
    <t>991004952229702656</t>
  </si>
  <si>
    <t>2262839130002656</t>
  </si>
  <si>
    <t>9780824095550</t>
  </si>
  <si>
    <t>32285000589670</t>
  </si>
  <si>
    <t>893248145</t>
  </si>
  <si>
    <t>BF204.B4 T6</t>
  </si>
  <si>
    <t>0                      BF 0204000B  4                  T  6</t>
  </si>
  <si>
    <t>An evaluation of the Bender-gestalt test, by Alexander Tolor and Herbert C. Schulberg. With a foreword by Lauretta Bender.</t>
  </si>
  <si>
    <t>Tolor, Alexander.</t>
  </si>
  <si>
    <t>Springfield, Ill., Thomas [c1963]</t>
  </si>
  <si>
    <t>1997-12-08</t>
  </si>
  <si>
    <t>1813270:eng</t>
  </si>
  <si>
    <t>646328</t>
  </si>
  <si>
    <t>991003096699702656</t>
  </si>
  <si>
    <t>2260188510002656</t>
  </si>
  <si>
    <t>32285002237120</t>
  </si>
  <si>
    <t>893809831</t>
  </si>
  <si>
    <t>BF205.N6 G55 1972</t>
  </si>
  <si>
    <t>0                      BF 0205000N  6                  G  55          1972</t>
  </si>
  <si>
    <t>Urban stress : experiments on noise and social stressors / [by] David C. Glass [and] Jerome E. Singer.</t>
  </si>
  <si>
    <t>Glass, David C.</t>
  </si>
  <si>
    <t>New York : Academic Press, 1972.</t>
  </si>
  <si>
    <t>Social psychology</t>
  </si>
  <si>
    <t>2006-03-29</t>
  </si>
  <si>
    <t>1990-03-07</t>
  </si>
  <si>
    <t>6093560:eng</t>
  </si>
  <si>
    <t>2780297</t>
  </si>
  <si>
    <t>991004239269702656</t>
  </si>
  <si>
    <t>2262999770002656</t>
  </si>
  <si>
    <t>9780122860508</t>
  </si>
  <si>
    <t>32285000080266</t>
  </si>
  <si>
    <t>893229102</t>
  </si>
  <si>
    <t>BF207 .M4</t>
  </si>
  <si>
    <t>0                      BF 0207000M  4</t>
  </si>
  <si>
    <t>The ecstatic adventure / edited, with an introd. and notes, by Ralph Metzner. Foreword by Alan Watts.</t>
  </si>
  <si>
    <t>Metzner, Ralph.</t>
  </si>
  <si>
    <t>New York : Macmillan, [1968]</t>
  </si>
  <si>
    <t>1997-03-24</t>
  </si>
  <si>
    <t>1995-03-28</t>
  </si>
  <si>
    <t>1562271:eng</t>
  </si>
  <si>
    <t>438846</t>
  </si>
  <si>
    <t>991002776159702656</t>
  </si>
  <si>
    <t>2265305210002656</t>
  </si>
  <si>
    <t>32285002014370</t>
  </si>
  <si>
    <t>893341835</t>
  </si>
  <si>
    <t>BF21 .A54 775</t>
  </si>
  <si>
    <t>0                      BF 0021000A  54                                                      775</t>
  </si>
  <si>
    <t>A manual of self-control procedures for the overweight / Michael J. Mahoney, D. Balfour Jeffrey.</t>
  </si>
  <si>
    <t>Mahoney, Michael J.</t>
  </si>
  <si>
    <t>Washington, D.C. : American Psychological Association, [197-]</t>
  </si>
  <si>
    <t>JSAS document ; ms. no. 775</t>
  </si>
  <si>
    <t>1992-02-27</t>
  </si>
  <si>
    <t>14664063:eng</t>
  </si>
  <si>
    <t>4312898</t>
  </si>
  <si>
    <t>991004622889702656</t>
  </si>
  <si>
    <t>2266656230002656</t>
  </si>
  <si>
    <t>32285000978360</t>
  </si>
  <si>
    <t>893618879</t>
  </si>
  <si>
    <t>BF21 .B48 1982</t>
  </si>
  <si>
    <t>0                      BF 0021000B  48          1982</t>
  </si>
  <si>
    <t>Biographical sketches of eminent psychologists : a selected bibliography / Ludy T. Benjamin, Jr., Wendy Shlossman.</t>
  </si>
  <si>
    <t>Benjamin, Ludy T., 1945-</t>
  </si>
  <si>
    <t>[College Station, Tex. : Texas A&amp;M University, 1982]</t>
  </si>
  <si>
    <t>2001-10-08</t>
  </si>
  <si>
    <t>1996-12-20</t>
  </si>
  <si>
    <t>1806147986:eng</t>
  </si>
  <si>
    <t>11101769</t>
  </si>
  <si>
    <t>991000490449702656</t>
  </si>
  <si>
    <t>2269567220002656</t>
  </si>
  <si>
    <t>32285002400983</t>
  </si>
  <si>
    <t>893708411</t>
  </si>
  <si>
    <t>BF21 .K6</t>
  </si>
  <si>
    <t>0                      BF 0021000K  6</t>
  </si>
  <si>
    <t>Dynamics in Psychology, by Wolfgang Köhler ...</t>
  </si>
  <si>
    <t>New York, Liveright Publishing Corporation [c1940]</t>
  </si>
  <si>
    <t>1940</t>
  </si>
  <si>
    <t>2005-10-27</t>
  </si>
  <si>
    <t>1996-07-22</t>
  </si>
  <si>
    <t>1768560:eng</t>
  </si>
  <si>
    <t>845671</t>
  </si>
  <si>
    <t>991003318979702656</t>
  </si>
  <si>
    <t>2271547800002656</t>
  </si>
  <si>
    <t>32285002232766</t>
  </si>
  <si>
    <t>893887355</t>
  </si>
  <si>
    <t>BF21 .M45 1963</t>
  </si>
  <si>
    <t>0                      BF 0021000M  45          1963</t>
  </si>
  <si>
    <t>Theories in contemporary psychology.</t>
  </si>
  <si>
    <t>Marx, Melvin Herman.</t>
  </si>
  <si>
    <t>New York, Macmillan [1963]</t>
  </si>
  <si>
    <t>2005-10-10</t>
  </si>
  <si>
    <t>363995693:eng</t>
  </si>
  <si>
    <t>193383</t>
  </si>
  <si>
    <t>991005253559702656</t>
  </si>
  <si>
    <t>2270822700002656</t>
  </si>
  <si>
    <t>32285002232790</t>
  </si>
  <si>
    <t>893533453</t>
  </si>
  <si>
    <t>BF21 .W5</t>
  </si>
  <si>
    <t>0                      BF 0021000W  5</t>
  </si>
  <si>
    <t>The maturational processes and the facilitating environment; studies in the theory of emotional development, by D. W. Winnicott.</t>
  </si>
  <si>
    <t>Winnicott, D. W. (Donald Woods), 1896-1971.</t>
  </si>
  <si>
    <t>New York, International Universities Press [1965]</t>
  </si>
  <si>
    <t>377288907:eng</t>
  </si>
  <si>
    <t>193375</t>
  </si>
  <si>
    <t>991005265079702656</t>
  </si>
  <si>
    <t>2270820580002656</t>
  </si>
  <si>
    <t>32285002232832</t>
  </si>
  <si>
    <t>893695035</t>
  </si>
  <si>
    <t>BF233 .B6</t>
  </si>
  <si>
    <t>0                      BF 0233000B  6</t>
  </si>
  <si>
    <t>Sensation and perception in the history of experimental psychology, by Edwin G. Boring ...</t>
  </si>
  <si>
    <t>Boring, Edwin Garrigues, 1886-1968.</t>
  </si>
  <si>
    <t>New York, London, D. Appleton-Century Company, Incorporated [1942]</t>
  </si>
  <si>
    <t>1942</t>
  </si>
  <si>
    <t>Century psychology series</t>
  </si>
  <si>
    <t>1996-09-21</t>
  </si>
  <si>
    <t>3901306996:eng</t>
  </si>
  <si>
    <t>193304</t>
  </si>
  <si>
    <t>991001212449702656</t>
  </si>
  <si>
    <t>2270847400002656</t>
  </si>
  <si>
    <t>32285002237229</t>
  </si>
  <si>
    <t>893327962</t>
  </si>
  <si>
    <t>BF233 .C48 1979</t>
  </si>
  <si>
    <t>0                      BF 0233000C  48          1979</t>
  </si>
  <si>
    <t>Sensory experience / Raymond J. Christman.</t>
  </si>
  <si>
    <t>Christman, Raymond John, 1919-</t>
  </si>
  <si>
    <t>New York : Harper &amp; Row, c1979.</t>
  </si>
  <si>
    <t>1995-04-04</t>
  </si>
  <si>
    <t>1315777:eng</t>
  </si>
  <si>
    <t>4076665</t>
  </si>
  <si>
    <t>991004584249702656</t>
  </si>
  <si>
    <t>2262961720002656</t>
  </si>
  <si>
    <t>9780060412845</t>
  </si>
  <si>
    <t>32285000589712</t>
  </si>
  <si>
    <t>893337891</t>
  </si>
  <si>
    <t>BF233 .C57 1993</t>
  </si>
  <si>
    <t>0                      BF 0233000C  57          1993</t>
  </si>
  <si>
    <t>Worlds of sense : exploring the senses in history and across cultures / Constance Classen.</t>
  </si>
  <si>
    <t>Classen, Constance, 1957-</t>
  </si>
  <si>
    <t>2009-04-13</t>
  </si>
  <si>
    <t>1994-07-06</t>
  </si>
  <si>
    <t>836725695:eng</t>
  </si>
  <si>
    <t>27725664</t>
  </si>
  <si>
    <t>991002150569702656</t>
  </si>
  <si>
    <t>2267661730002656</t>
  </si>
  <si>
    <t>9780415095952</t>
  </si>
  <si>
    <t>32285001930741</t>
  </si>
  <si>
    <t>893497769</t>
  </si>
  <si>
    <t>BF241 .D4</t>
  </si>
  <si>
    <t>0                      BF 0241000D  4</t>
  </si>
  <si>
    <t>Visual perception: the nineteenth century [by] William N. Dember.</t>
  </si>
  <si>
    <t>Dember, William N. (William Norton), 1928-</t>
  </si>
  <si>
    <t>New York, Wiley [1964]</t>
  </si>
  <si>
    <t>Perspectives in psychology</t>
  </si>
  <si>
    <t>1996-09-22</t>
  </si>
  <si>
    <t>1332462:eng</t>
  </si>
  <si>
    <t>223893</t>
  </si>
  <si>
    <t>991001371859702656</t>
  </si>
  <si>
    <t>2264205140002656</t>
  </si>
  <si>
    <t>32285002237393</t>
  </si>
  <si>
    <t>893696691</t>
  </si>
  <si>
    <t>BF241 .D63</t>
  </si>
  <si>
    <t>0                      BF 0241000D  63</t>
  </si>
  <si>
    <t>Living in a world transformed : perceptual and performatory adaptation to visual distortion / Hubert Dolezal.</t>
  </si>
  <si>
    <t>Dolezal, Hubert.</t>
  </si>
  <si>
    <t>New York, NY : Academic Press, 1982.</t>
  </si>
  <si>
    <t>Academic Press series in cognition and perception</t>
  </si>
  <si>
    <t>1994-09-24</t>
  </si>
  <si>
    <t>408873:eng</t>
  </si>
  <si>
    <t>7795608</t>
  </si>
  <si>
    <t>991005161759702656</t>
  </si>
  <si>
    <t>2267985290002656</t>
  </si>
  <si>
    <t>9780122199509</t>
  </si>
  <si>
    <t>32285000589761</t>
  </si>
  <si>
    <t>893902220</t>
  </si>
  <si>
    <t>BF241 .F7 1980</t>
  </si>
  <si>
    <t>0                      BF 0241000F  7           1980</t>
  </si>
  <si>
    <t>Seeing : illusion, brain and mind / John P. Frisby.</t>
  </si>
  <si>
    <t>Frisby, John P.</t>
  </si>
  <si>
    <t>Oxford ; New York : Oxford Univ. Press, 1980, c1979.</t>
  </si>
  <si>
    <t>1999-02-11</t>
  </si>
  <si>
    <t>414271:eng</t>
  </si>
  <si>
    <t>5777919</t>
  </si>
  <si>
    <t>991004874619702656</t>
  </si>
  <si>
    <t>2258687750002656</t>
  </si>
  <si>
    <t>9780192176721</t>
  </si>
  <si>
    <t>32285000589795</t>
  </si>
  <si>
    <t>893810732</t>
  </si>
  <si>
    <t>BF241 .G7</t>
  </si>
  <si>
    <t>0                      BF 0241000G  7</t>
  </si>
  <si>
    <t>Eye and brain; the psychology of seeing [by] R. L. Gregory.</t>
  </si>
  <si>
    <t>Gregory, R. L. (Richard Langton)</t>
  </si>
  <si>
    <t>New York, McGraw-Hill [1966]</t>
  </si>
  <si>
    <t>World university library</t>
  </si>
  <si>
    <t>1995-02-19</t>
  </si>
  <si>
    <t>12748783:eng</t>
  </si>
  <si>
    <t>224601</t>
  </si>
  <si>
    <t>991001374659702656</t>
  </si>
  <si>
    <t>2263628610002656</t>
  </si>
  <si>
    <t>32285000948447</t>
  </si>
  <si>
    <t>893626661</t>
  </si>
  <si>
    <t>BF241 .H26</t>
  </si>
  <si>
    <t>0                      BF 0241000H  26</t>
  </si>
  <si>
    <t>Information-processing approaches to visual perception.</t>
  </si>
  <si>
    <t>Haber, Ralph Norman, compiler.</t>
  </si>
  <si>
    <t>New York : Holt, Rinehart and Winston, [1969]</t>
  </si>
  <si>
    <t>1997-12-29</t>
  </si>
  <si>
    <t>1992-04-15</t>
  </si>
  <si>
    <t>1145096:eng</t>
  </si>
  <si>
    <t>22918</t>
  </si>
  <si>
    <t>991000052479702656</t>
  </si>
  <si>
    <t>2268227280002656</t>
  </si>
  <si>
    <t>9780030745553</t>
  </si>
  <si>
    <t>32285001062354</t>
  </si>
  <si>
    <t>893521341</t>
  </si>
  <si>
    <t>BF241 .M56 1986</t>
  </si>
  <si>
    <t>0                      BF 0241000M  56          1986</t>
  </si>
  <si>
    <t>The Mind's eye : readings from Scientific American / with introductions by Jeremy M. Wolfe.</t>
  </si>
  <si>
    <t>New York : W.H. Freeman, c1986.</t>
  </si>
  <si>
    <t>5163817245:eng</t>
  </si>
  <si>
    <t>12344552</t>
  </si>
  <si>
    <t>991000675299702656</t>
  </si>
  <si>
    <t>2265262460002656</t>
  </si>
  <si>
    <t>9780716717546</t>
  </si>
  <si>
    <t>32285000589811</t>
  </si>
  <si>
    <t>893620693</t>
  </si>
  <si>
    <t>BF241 .P437 1998</t>
  </si>
  <si>
    <t>0                      BF 0241000P  437         1998</t>
  </si>
  <si>
    <t>Perceptual constancy : why things look as they do / edited by Vincent Walsh, Janusz Kulikowski.</t>
  </si>
  <si>
    <t>Cambridge, UK ; New York, NY, USA : Cambridge University Press, 1998.</t>
  </si>
  <si>
    <t>1998</t>
  </si>
  <si>
    <t>2005-02-23</t>
  </si>
  <si>
    <t>1999-11-04</t>
  </si>
  <si>
    <t>795072496:eng</t>
  </si>
  <si>
    <t>36573610</t>
  </si>
  <si>
    <t>991002784989702656</t>
  </si>
  <si>
    <t>2266316200002656</t>
  </si>
  <si>
    <t>9780521460613</t>
  </si>
  <si>
    <t>32285003618070</t>
  </si>
  <si>
    <t>893227276</t>
  </si>
  <si>
    <t>BF241 .R44 1988</t>
  </si>
  <si>
    <t>0                      BF 0241000R  44          1988</t>
  </si>
  <si>
    <t>James J. Gibson and the psychology of perception / Edward S. Reed.</t>
  </si>
  <si>
    <t>Reed, Edward (Edward S.)</t>
  </si>
  <si>
    <t>New Haven : Yale University Press, c1988.</t>
  </si>
  <si>
    <t>1999-04-19</t>
  </si>
  <si>
    <t>16524358:eng</t>
  </si>
  <si>
    <t>17767369</t>
  </si>
  <si>
    <t>991001260829702656</t>
  </si>
  <si>
    <t>2256949220002656</t>
  </si>
  <si>
    <t>9780300042894</t>
  </si>
  <si>
    <t>32285000135169</t>
  </si>
  <si>
    <t>893225744</t>
  </si>
  <si>
    <t>BF241 .W4</t>
  </si>
  <si>
    <t>0                      BF 0241000W  4</t>
  </si>
  <si>
    <t>Perception [by] Daniel J. Weintraub [and] Edward L. Walker.</t>
  </si>
  <si>
    <t>Weintraub, Daniel J.</t>
  </si>
  <si>
    <t>Belmont, Calif., Brooks/Cole Pub. Co. [1966]</t>
  </si>
  <si>
    <t>1996-04-09</t>
  </si>
  <si>
    <t>1992-04-16</t>
  </si>
  <si>
    <t>1962924:eng</t>
  </si>
  <si>
    <t>1027169</t>
  </si>
  <si>
    <t>991003480239702656</t>
  </si>
  <si>
    <t>2255800500002656</t>
  </si>
  <si>
    <t>32285001053536</t>
  </si>
  <si>
    <t>893592561</t>
  </si>
  <si>
    <t>BF251 .M66 1982</t>
  </si>
  <si>
    <t>0                      BF 0251000M  66          1982</t>
  </si>
  <si>
    <t>An introduction to the psychology of hearing / Brian C.J. Moore.</t>
  </si>
  <si>
    <t>Moore, Brian C. J.</t>
  </si>
  <si>
    <t>London ; New York : Academic Press, 1982.</t>
  </si>
  <si>
    <t>2nd ed.</t>
  </si>
  <si>
    <t>1995-11-14</t>
  </si>
  <si>
    <t>655816:eng</t>
  </si>
  <si>
    <t>8699261</t>
  </si>
  <si>
    <t>991000053789702656</t>
  </si>
  <si>
    <t>2271652410002656</t>
  </si>
  <si>
    <t>9780125056205</t>
  </si>
  <si>
    <t>32285000589852</t>
  </si>
  <si>
    <t>893708054</t>
  </si>
  <si>
    <t>BF292 .A4</t>
  </si>
  <si>
    <t>0                      BF 0292000A  4</t>
  </si>
  <si>
    <t>Sensory processes / [by] Mathew Alpern, Merle Lawrence [and] David Wolsk.</t>
  </si>
  <si>
    <t>Alpern, Mathew.</t>
  </si>
  <si>
    <t>Belmont, Calif. : Brooks/Cole Pub. Co., [1967]</t>
  </si>
  <si>
    <t>1996-11-18</t>
  </si>
  <si>
    <t>1993-10-07</t>
  </si>
  <si>
    <t>1306266:eng</t>
  </si>
  <si>
    <t>174625</t>
  </si>
  <si>
    <t>991001026509702656</t>
  </si>
  <si>
    <t>2266549260002656</t>
  </si>
  <si>
    <t>32285001790368</t>
  </si>
  <si>
    <t>893413890</t>
  </si>
  <si>
    <t>BF292 .B7</t>
  </si>
  <si>
    <t>0                      BF 0292000B  7</t>
  </si>
  <si>
    <t>Isolation; clinical and experimental approaches.</t>
  </si>
  <si>
    <t>Brownfield, Charles A., 1933-</t>
  </si>
  <si>
    <t>New York, Random House [c1965]</t>
  </si>
  <si>
    <t>Studies in psychology ; PP31</t>
  </si>
  <si>
    <t>2002-11-13</t>
  </si>
  <si>
    <t>1389081:eng</t>
  </si>
  <si>
    <t>242135</t>
  </si>
  <si>
    <t>991001910589702656</t>
  </si>
  <si>
    <t>2269066270002656</t>
  </si>
  <si>
    <t>32285002237526</t>
  </si>
  <si>
    <t>893621707</t>
  </si>
  <si>
    <t>BF295 .A76</t>
  </si>
  <si>
    <t>0                      BF 0295000A  76</t>
  </si>
  <si>
    <t>Meaning in movement, sport, and physical education / Peter J. Arnold ; with a foreword by Dick Jeeps.</t>
  </si>
  <si>
    <t>Arnold, Peter J. (Peter James)</t>
  </si>
  <si>
    <t>London : Heinemann, 1979.</t>
  </si>
  <si>
    <t>2002-04-16</t>
  </si>
  <si>
    <t>479567:eng</t>
  </si>
  <si>
    <t>6282911</t>
  </si>
  <si>
    <t>991004957539702656</t>
  </si>
  <si>
    <t>2263635040002656</t>
  </si>
  <si>
    <t>9780435800338</t>
  </si>
  <si>
    <t>32285000589910</t>
  </si>
  <si>
    <t>893776626</t>
  </si>
  <si>
    <t>BF295 .B37</t>
  </si>
  <si>
    <t>0                      BF 0295000B  37</t>
  </si>
  <si>
    <t>Body movement : coping with the environment / by Irmgard Bartenieff with Dori Lewis.</t>
  </si>
  <si>
    <t>Bartenieff, Irmgard.</t>
  </si>
  <si>
    <t>New York : Gordon and Breach Science Publishers, c1980, 1982 printing.</t>
  </si>
  <si>
    <t>1996-06-04</t>
  </si>
  <si>
    <t>431429:eng</t>
  </si>
  <si>
    <t>6887469</t>
  </si>
  <si>
    <t>991005053029702656</t>
  </si>
  <si>
    <t>2268063900002656</t>
  </si>
  <si>
    <t>9780677055008</t>
  </si>
  <si>
    <t>32285000589928</t>
  </si>
  <si>
    <t>893332327</t>
  </si>
  <si>
    <t>BF295 .C6 1973</t>
  </si>
  <si>
    <t>0                      BF 0295000C  6           1973</t>
  </si>
  <si>
    <t>Movement behavior and motor learning [by] Bryant J. Cratty.</t>
  </si>
  <si>
    <t>Cratty, Bryant J.</t>
  </si>
  <si>
    <t>Philadelphia, Lea &amp; Febiger, 1973.</t>
  </si>
  <si>
    <t>Health education, physical education, and recreation series</t>
  </si>
  <si>
    <t>1996-10-12</t>
  </si>
  <si>
    <t>1508860:eng</t>
  </si>
  <si>
    <t>578880</t>
  </si>
  <si>
    <t>991003012429702656</t>
  </si>
  <si>
    <t>2258542820002656</t>
  </si>
  <si>
    <t>9780812104257</t>
  </si>
  <si>
    <t>32285000589936</t>
  </si>
  <si>
    <t>893686095</t>
  </si>
  <si>
    <t>BF295 .M36 1989</t>
  </si>
  <si>
    <t>0                      BF 0295000M  36          1989</t>
  </si>
  <si>
    <t>Motor learning : concepts and applications / Richard A. Magill.</t>
  </si>
  <si>
    <t>Magill, Richard A.</t>
  </si>
  <si>
    <t>Dubuque, Iowa : Wm. C. Brown Publishers, c1989.</t>
  </si>
  <si>
    <t>2000-01-29</t>
  </si>
  <si>
    <t>2540575:eng</t>
  </si>
  <si>
    <t>18854270</t>
  </si>
  <si>
    <t>991001407159702656</t>
  </si>
  <si>
    <t>2270839240002656</t>
  </si>
  <si>
    <t>9780697013453</t>
  </si>
  <si>
    <t>32285000589985</t>
  </si>
  <si>
    <t>893225839</t>
  </si>
  <si>
    <t>BF295 .M44</t>
  </si>
  <si>
    <t>0                      BF 0295000M  44</t>
  </si>
  <si>
    <t>Movement and meaning.</t>
  </si>
  <si>
    <t>Metheny, Eleanor, 1908-1982.</t>
  </si>
  <si>
    <t>New York, McGraw-Hill [1968]</t>
  </si>
  <si>
    <t>1997-11-18</t>
  </si>
  <si>
    <t>1353941:eng</t>
  </si>
  <si>
    <t>192378</t>
  </si>
  <si>
    <t>991001207159702656</t>
  </si>
  <si>
    <t>2256494680002656</t>
  </si>
  <si>
    <t>32285002237633</t>
  </si>
  <si>
    <t>893709084</t>
  </si>
  <si>
    <t>BF295 .S173 1984</t>
  </si>
  <si>
    <t>0                      BF 0295000S  173         1984</t>
  </si>
  <si>
    <t>Motor learning and control : a neuropsychological approach / George H. Sage.</t>
  </si>
  <si>
    <t>Sage, George Harvey.</t>
  </si>
  <si>
    <t>Dubuque, Iowa : W.C. Brown, c1984.</t>
  </si>
  <si>
    <t>1992-02-08</t>
  </si>
  <si>
    <t>945391977:eng</t>
  </si>
  <si>
    <t>10789270</t>
  </si>
  <si>
    <t>991000435039702656</t>
  </si>
  <si>
    <t>2267540990002656</t>
  </si>
  <si>
    <t>9780697000781</t>
  </si>
  <si>
    <t>32285000590009</t>
  </si>
  <si>
    <t>893784207</t>
  </si>
  <si>
    <t>BF295 .S248 1988</t>
  </si>
  <si>
    <t>0                      BF 0295000S  248         1988</t>
  </si>
  <si>
    <t>Motor control and learning : a behavioral emphasis / Richard A. Schmidt.</t>
  </si>
  <si>
    <t>Schmidt, Richard A. (Richard Allen), 1941-2015.</t>
  </si>
  <si>
    <t>Champaign, Ill. : Human Kinetics, c1988.</t>
  </si>
  <si>
    <t>2002-03-14</t>
  </si>
  <si>
    <t>791997497:eng</t>
  </si>
  <si>
    <t>15487503</t>
  </si>
  <si>
    <t>991001027469702656</t>
  </si>
  <si>
    <t>2269764490002656</t>
  </si>
  <si>
    <t>9780873221153</t>
  </si>
  <si>
    <t>32285000137561</t>
  </si>
  <si>
    <t>893315452</t>
  </si>
  <si>
    <t>BF295 .S76</t>
  </si>
  <si>
    <t>0                      BF 0295000S  76</t>
  </si>
  <si>
    <t>Motor learning : from theory to practice / Loretta M. Stallings.</t>
  </si>
  <si>
    <t>Stallings, Loretta M.</t>
  </si>
  <si>
    <t>St. Louis, Mo. : C.V. Mosby, 1982.</t>
  </si>
  <si>
    <t>29866533:eng</t>
  </si>
  <si>
    <t>7795166</t>
  </si>
  <si>
    <t>991005161409702656</t>
  </si>
  <si>
    <t>2267923920002656</t>
  </si>
  <si>
    <t>9780801647680</t>
  </si>
  <si>
    <t>32285000600014</t>
  </si>
  <si>
    <t>893443506</t>
  </si>
  <si>
    <t>BF31 .W49</t>
  </si>
  <si>
    <t>0                      BF 0031000W  49</t>
  </si>
  <si>
    <t>The psychology almanac : a handbook for students / [by] Howard E. Wilkening, in collaboration with Gregory Wilkening and Peter Wilkening.</t>
  </si>
  <si>
    <t>Wilkening, Howard E.</t>
  </si>
  <si>
    <t>Monterey, Calif. : Brooks/Cole Pub. Co., [1973]</t>
  </si>
  <si>
    <t>2009-02-08</t>
  </si>
  <si>
    <t>1089556774:eng</t>
  </si>
  <si>
    <t>810116</t>
  </si>
  <si>
    <t>991003287919702656</t>
  </si>
  <si>
    <t>2268855930002656</t>
  </si>
  <si>
    <t>9780818500206</t>
  </si>
  <si>
    <t>32285001062362</t>
  </si>
  <si>
    <t>893787167</t>
  </si>
  <si>
    <t>BF311 .A5894 1983</t>
  </si>
  <si>
    <t>0                      BF 0311000A  5894        1983</t>
  </si>
  <si>
    <t>The architecture of cognition / John R. Anderson.</t>
  </si>
  <si>
    <t>Anderson, John R. (John Robert), 1947-</t>
  </si>
  <si>
    <t>Cambridge, Mass. : Harvard University Press, 1983.</t>
  </si>
  <si>
    <t>Cognitive science series ; 5</t>
  </si>
  <si>
    <t>1997-03-17</t>
  </si>
  <si>
    <t>5090443358:eng</t>
  </si>
  <si>
    <t>9066377</t>
  </si>
  <si>
    <t>991000120459702656</t>
  </si>
  <si>
    <t>2269827460002656</t>
  </si>
  <si>
    <t>9780674044258</t>
  </si>
  <si>
    <t>32285000675719</t>
  </si>
  <si>
    <t>893701854</t>
  </si>
  <si>
    <t>BF311 .A5895 1985</t>
  </si>
  <si>
    <t>0                      BF 0311000A  5895        1985</t>
  </si>
  <si>
    <t>Cognitive psychology and its implications / John R. Anderson.</t>
  </si>
  <si>
    <t>New York : W.H. Freeman, c1985.</t>
  </si>
  <si>
    <t>A Series of books in psychology</t>
  </si>
  <si>
    <t>2008-10-06</t>
  </si>
  <si>
    <t>1990-03-28</t>
  </si>
  <si>
    <t>4087951:eng</t>
  </si>
  <si>
    <t>11090808</t>
  </si>
  <si>
    <t>991000488549702656</t>
  </si>
  <si>
    <t>2270871540002656</t>
  </si>
  <si>
    <t>9780716716860</t>
  </si>
  <si>
    <t>32285000098987</t>
  </si>
  <si>
    <t>893502523</t>
  </si>
  <si>
    <t>BF311 .B226 1988</t>
  </si>
  <si>
    <t>0                      BF 0311000B  226         1988</t>
  </si>
  <si>
    <t>A cognitive theory of consciousness / Bernard J. Baars.</t>
  </si>
  <si>
    <t>Baars, Bernard J.</t>
  </si>
  <si>
    <t>Cambridge [England] ; New York : Cambridge University Press, 1988.</t>
  </si>
  <si>
    <t>2003-10-12</t>
  </si>
  <si>
    <t>1989-11-01</t>
  </si>
  <si>
    <t>101275:eng</t>
  </si>
  <si>
    <t>16354559</t>
  </si>
  <si>
    <t>991001101799702656</t>
  </si>
  <si>
    <t>2254708820002656</t>
  </si>
  <si>
    <t>9780521301336</t>
  </si>
  <si>
    <t>32285000011089</t>
  </si>
  <si>
    <t>893237866</t>
  </si>
  <si>
    <t>BF311 .B283 1988</t>
  </si>
  <si>
    <t>0                      BF 0311000B  283         1988</t>
  </si>
  <si>
    <t>Applied cognitive psychology : an information-processing framework / Paul Barber.</t>
  </si>
  <si>
    <t>Barber, Paul J.</t>
  </si>
  <si>
    <t>London ; New York : Methuen, 1988.</t>
  </si>
  <si>
    <t>2006-07-27</t>
  </si>
  <si>
    <t>1990-04-23</t>
  </si>
  <si>
    <t>371932795:eng</t>
  </si>
  <si>
    <t>16352854</t>
  </si>
  <si>
    <t>991001100869702656</t>
  </si>
  <si>
    <t>2270292810002656</t>
  </si>
  <si>
    <t>9780416087529</t>
  </si>
  <si>
    <t>32285000115534</t>
  </si>
  <si>
    <t>893340154</t>
  </si>
  <si>
    <t>BF311 .B29</t>
  </si>
  <si>
    <t>0                      BF 0311000B  29</t>
  </si>
  <si>
    <t>Perception in everyday life / [by] S. Howard Bartley.</t>
  </si>
  <si>
    <t>Bartley, S. Howard (Samuel Howard), 1901-1988.</t>
  </si>
  <si>
    <t>New York : Harper &amp; Row, [1972]</t>
  </si>
  <si>
    <t>1994-11-28</t>
  </si>
  <si>
    <t>776179238:eng</t>
  </si>
  <si>
    <t>340376</t>
  </si>
  <si>
    <t>991002412679702656</t>
  </si>
  <si>
    <t>2262529590002656</t>
  </si>
  <si>
    <t>9780060405120</t>
  </si>
  <si>
    <t>32285001062339</t>
  </si>
  <si>
    <t>893329044</t>
  </si>
  <si>
    <t>BF311 .B48</t>
  </si>
  <si>
    <t>0                      BF 0311000B  48</t>
  </si>
  <si>
    <t>Culture and cognition : readings in cross-cultural psychology / edited by J. W. Berry and P. R. Dasen.</t>
  </si>
  <si>
    <t>Berry, John W., compiler.</t>
  </si>
  <si>
    <t>London : Methuen, [1974]</t>
  </si>
  <si>
    <t>Methuen's manuals of modern psychology</t>
  </si>
  <si>
    <t>1992-10-16</t>
  </si>
  <si>
    <t>890186694:eng</t>
  </si>
  <si>
    <t>859154</t>
  </si>
  <si>
    <t>991003329309702656</t>
  </si>
  <si>
    <t>2267679370002656</t>
  </si>
  <si>
    <t>9780416751703</t>
  </si>
  <si>
    <t>32285000470871</t>
  </si>
  <si>
    <t>893410179</t>
  </si>
  <si>
    <t>BF311 .B64</t>
  </si>
  <si>
    <t>0                      BF 0311000B  64</t>
  </si>
  <si>
    <t>Cognitive processes / Lyle E. Bourne, Jr., Roger L. Dominowski, Elizabeth F. Loftus.</t>
  </si>
  <si>
    <t>Bourne, Lyle Eugene, 1932-</t>
  </si>
  <si>
    <t>Englewood Cliffs, N.J. : Prentice-Hall, c1979.</t>
  </si>
  <si>
    <t>Prentice-Hall series in experimental psychology</t>
  </si>
  <si>
    <t>2001-04-30</t>
  </si>
  <si>
    <t>3768485154:eng</t>
  </si>
  <si>
    <t>4004156</t>
  </si>
  <si>
    <t>991004564419702656</t>
  </si>
  <si>
    <t>2265229950002656</t>
  </si>
  <si>
    <t>9780131396340</t>
  </si>
  <si>
    <t>32285000600063</t>
  </si>
  <si>
    <t>893612510</t>
  </si>
  <si>
    <t>BF311 .B72313</t>
  </si>
  <si>
    <t>0                      BF 0311000B  72313</t>
  </si>
  <si>
    <t>Sensory and noetic consciousness : psychology from an empirical standpoint III / Franz Brentano ; edited by Oskar Kraus ; English ed. edited by Linda L. McAlister ; translated by Margarete Schättle and Linda L. McAlister.</t>
  </si>
  <si>
    <t>London : Routledge &amp; Kegan Paul ; New York : Humanities Press, 1981.</t>
  </si>
  <si>
    <t>2908671941:eng</t>
  </si>
  <si>
    <t>6278711</t>
  </si>
  <si>
    <t>991004956499702656</t>
  </si>
  <si>
    <t>2266807710002656</t>
  </si>
  <si>
    <t>9780710004048</t>
  </si>
  <si>
    <t>32285000600071</t>
  </si>
  <si>
    <t>893236102</t>
  </si>
  <si>
    <t>BF311 .C548</t>
  </si>
  <si>
    <t>0                      BF 0311000C  548</t>
  </si>
  <si>
    <t>Cognition and the symbolic processes / edited by Walter B. Weimer and David S. Palermo.</t>
  </si>
  <si>
    <t>Hillsdale, N.J. Lawrence Erlbaum Associates ; New York : distributed by Halsted Press, c1974-1982.</t>
  </si>
  <si>
    <t>2002-08-28</t>
  </si>
  <si>
    <t>353019313:eng</t>
  </si>
  <si>
    <t>8336950</t>
  </si>
  <si>
    <t>991005231559702656</t>
  </si>
  <si>
    <t>2262511230002656</t>
  </si>
  <si>
    <t>9780470925508</t>
  </si>
  <si>
    <t>32285000600105</t>
  </si>
  <si>
    <t>893713687</t>
  </si>
  <si>
    <t>32285000600097</t>
  </si>
  <si>
    <t>893694952</t>
  </si>
  <si>
    <t>BF311 .C54865 1991</t>
  </si>
  <si>
    <t>0                      BF 0311000C  54865       1991</t>
  </si>
  <si>
    <t>Cognition and the symbolic processes : applied and ecological perspectives / edited by Robert R. Hoffman, David S. Palermo.</t>
  </si>
  <si>
    <t>Hillsdale, N.J. : L. Erlbaum, 1991.</t>
  </si>
  <si>
    <t>2002-08-25</t>
  </si>
  <si>
    <t>1991-08-19</t>
  </si>
  <si>
    <t>4757924962:eng</t>
  </si>
  <si>
    <t>22766192</t>
  </si>
  <si>
    <t>991001812939702656</t>
  </si>
  <si>
    <t>2258475130002656</t>
  </si>
  <si>
    <t>9780805809046</t>
  </si>
  <si>
    <t>32285000701069</t>
  </si>
  <si>
    <t>893238355</t>
  </si>
  <si>
    <t>BF311 .C54873 1992</t>
  </si>
  <si>
    <t>0                      BF 0311000C  54873       1992</t>
  </si>
  <si>
    <t>Cognition : conceptual and methodological issues / Herbert L. Pick, Jr., Paulus van den Broek, and David C. Knill, editors.</t>
  </si>
  <si>
    <t>Washington, DC : American Psychological Association, c1992.</t>
  </si>
  <si>
    <t>1992</t>
  </si>
  <si>
    <t>2005-01-11</t>
  </si>
  <si>
    <t>1993-03-17</t>
  </si>
  <si>
    <t>1077195761:eng</t>
  </si>
  <si>
    <t>25025223</t>
  </si>
  <si>
    <t>991001972319702656</t>
  </si>
  <si>
    <t>2264035820002656</t>
  </si>
  <si>
    <t>9781557981653</t>
  </si>
  <si>
    <t>32285001498012</t>
  </si>
  <si>
    <t>893238500</t>
  </si>
  <si>
    <t>BF311 .C55185 1987</t>
  </si>
  <si>
    <t>0                      BF 0311000C  55185       1987</t>
  </si>
  <si>
    <t>Cognitive psychology in question / editors, Alan Costall, Arthur Still.</t>
  </si>
  <si>
    <t>New York : St. Martin's Press, 1987.</t>
  </si>
  <si>
    <t>1995-12-03</t>
  </si>
  <si>
    <t>351971681:eng</t>
  </si>
  <si>
    <t>14358977</t>
  </si>
  <si>
    <t>991000935289702656</t>
  </si>
  <si>
    <t>2258593090002656</t>
  </si>
  <si>
    <t>9780312003784</t>
  </si>
  <si>
    <t>32285000600113</t>
  </si>
  <si>
    <t>893333909</t>
  </si>
  <si>
    <t>BF311 .C59 1989</t>
  </si>
  <si>
    <t>0                      BF 0311000C  59          1989</t>
  </si>
  <si>
    <t>Computers, brains, and minds : essays in cognitive science / edited by Peter Slezak and W.R. Albury.</t>
  </si>
  <si>
    <t>Dordrecht ; Boston : Kluwer Academic Publishers, c1989.</t>
  </si>
  <si>
    <t>Australasian studies in history and philosophy of science ; v. 7</t>
  </si>
  <si>
    <t>1990-07-11</t>
  </si>
  <si>
    <t>808047694:eng</t>
  </si>
  <si>
    <t>17918394</t>
  </si>
  <si>
    <t>991001281609702656</t>
  </si>
  <si>
    <t>2270643910002656</t>
  </si>
  <si>
    <t>9789027727596</t>
  </si>
  <si>
    <t>32285000235803</t>
  </si>
  <si>
    <t>893797457</t>
  </si>
  <si>
    <t>BF311 .C641</t>
  </si>
  <si>
    <t>0                      BF 0311000C  641</t>
  </si>
  <si>
    <t>Cognition and memory / edited by F. Klix and J. Hoffmann.</t>
  </si>
  <si>
    <t>Amsterdam ; New York : North-Holland Pub. Co. ; New York : Sole distributors for the U.S.A. and Canada, Elsevier North-Holland, 1980.</t>
  </si>
  <si>
    <t>Advances in psychology (Amsterdam) ; 5</t>
  </si>
  <si>
    <t>1994-02-25</t>
  </si>
  <si>
    <t>1011503953:eng</t>
  </si>
  <si>
    <t>7469573</t>
  </si>
  <si>
    <t>991005118589702656</t>
  </si>
  <si>
    <t>2260346530002656</t>
  </si>
  <si>
    <t>9780444860415</t>
  </si>
  <si>
    <t>32285000600154</t>
  </si>
  <si>
    <t>893236310</t>
  </si>
  <si>
    <t>BF311 .C653 1988</t>
  </si>
  <si>
    <t>0                      BF 0311000C  653         1988</t>
  </si>
  <si>
    <t>Consciousness in contemporary science / edited by A.J. Marcel and E. Bisiach.</t>
  </si>
  <si>
    <t>Oxford : Clarendon Press ; New York : Oxford University Press, 1988.</t>
  </si>
  <si>
    <t>1999-04-09</t>
  </si>
  <si>
    <t>1991-02-22</t>
  </si>
  <si>
    <t>286472757:eng</t>
  </si>
  <si>
    <t>17548679</t>
  </si>
  <si>
    <t>991001232899702656</t>
  </si>
  <si>
    <t>2269264550002656</t>
  </si>
  <si>
    <t>9780198521686</t>
  </si>
  <si>
    <t>32285000492891</t>
  </si>
  <si>
    <t>893321761</t>
  </si>
  <si>
    <t>BF311 .C674 1983</t>
  </si>
  <si>
    <t>0                      BF 0311000C  674         1983</t>
  </si>
  <si>
    <t>The ambivalent mind : the neuropsychology of left and right / Michael C. Corballis and Ivan L. Beale.</t>
  </si>
  <si>
    <t>Corballis, Michael C.</t>
  </si>
  <si>
    <t>Chicago : Nelson-Hall, c1983, 1984 printing.</t>
  </si>
  <si>
    <t>1996-11-02</t>
  </si>
  <si>
    <t>73231:eng</t>
  </si>
  <si>
    <t>9325090</t>
  </si>
  <si>
    <t>991000172969702656</t>
  </si>
  <si>
    <t>2269960120002656</t>
  </si>
  <si>
    <t>9780882294759</t>
  </si>
  <si>
    <t>32285000600170</t>
  </si>
  <si>
    <t>893714387</t>
  </si>
  <si>
    <t>BF311 .C676</t>
  </si>
  <si>
    <t>0                      BF 0311000C  676</t>
  </si>
  <si>
    <t>The psychology of left and right / Michael C. Corballis, Ivan L. Beale.</t>
  </si>
  <si>
    <t>Hillsdale, N.J. : Lawrence Erlbaum Associates ; New York : distributed by the Halsted Press Division of John Wiley &amp; Sons, 1976.</t>
  </si>
  <si>
    <t>1995-11-24</t>
  </si>
  <si>
    <t>554417:eng</t>
  </si>
  <si>
    <t>2189030</t>
  </si>
  <si>
    <t>991004041609702656</t>
  </si>
  <si>
    <t>2265192010002656</t>
  </si>
  <si>
    <t>9780470151044</t>
  </si>
  <si>
    <t>32285000470897</t>
  </si>
  <si>
    <t>893687279</t>
  </si>
  <si>
    <t>BF311 .C7 1983</t>
  </si>
  <si>
    <t>0                      BF 0311000C  7           1983</t>
  </si>
  <si>
    <t>Rethinking cognitive theory / Jeff Coulter.</t>
  </si>
  <si>
    <t>Coulter, Jeff.</t>
  </si>
  <si>
    <t>New York : St. Martin's Press, 1983.</t>
  </si>
  <si>
    <t>3521267:eng</t>
  </si>
  <si>
    <t>9575662</t>
  </si>
  <si>
    <t>991000219799702656</t>
  </si>
  <si>
    <t>2266995660002656</t>
  </si>
  <si>
    <t>9780312678005</t>
  </si>
  <si>
    <t>32285000600188</t>
  </si>
  <si>
    <t>893255275</t>
  </si>
  <si>
    <t>BF311 .C74 1982</t>
  </si>
  <si>
    <t>0                      BF 0311000C  74          1982</t>
  </si>
  <si>
    <t>Culture, consciousness, and beyond : an introduction / Russell Crescimanno.</t>
  </si>
  <si>
    <t>Crescimanno, Russell.</t>
  </si>
  <si>
    <t>Washigton, D.C. : University Press of America, c1982.</t>
  </si>
  <si>
    <t>1998-10-04</t>
  </si>
  <si>
    <t>196179083:eng</t>
  </si>
  <si>
    <t>8826701</t>
  </si>
  <si>
    <t>991000079379702656</t>
  </si>
  <si>
    <t>2265236910002656</t>
  </si>
  <si>
    <t>9780819128126</t>
  </si>
  <si>
    <t>32285000600196</t>
  </si>
  <si>
    <t>893242961</t>
  </si>
  <si>
    <t>BF311 .D7613</t>
  </si>
  <si>
    <t>0                      BF 0311000D  7613</t>
  </si>
  <si>
    <t>Understanding Piaget / R. Droz and M. Rahmy ; translated by Joyce Diamanti.</t>
  </si>
  <si>
    <t>Droz, Remy.</t>
  </si>
  <si>
    <t>1995-10-09</t>
  </si>
  <si>
    <t>4020187976:eng</t>
  </si>
  <si>
    <t>1975019</t>
  </si>
  <si>
    <t>991003960579702656</t>
  </si>
  <si>
    <t>2262648110002656</t>
  </si>
  <si>
    <t>9780823666904</t>
  </si>
  <si>
    <t>32285000470905</t>
  </si>
  <si>
    <t>893904642</t>
  </si>
  <si>
    <t>BF311 .D82 1988</t>
  </si>
  <si>
    <t>0                      BF 0311000D  82          1988</t>
  </si>
  <si>
    <t>A Dual process model of impression formation / edited by Thomas K. Srull, Robert S. Wyer, Jr.</t>
  </si>
  <si>
    <t>Hillsdale, N.J. : L. Erlbaum Associates, 1988.</t>
  </si>
  <si>
    <t>Advances in social cognition ; v. 1</t>
  </si>
  <si>
    <t>1995-12-02</t>
  </si>
  <si>
    <t>1991-05-31</t>
  </si>
  <si>
    <t>617311098:eng</t>
  </si>
  <si>
    <t>18756610</t>
  </si>
  <si>
    <t>991001390789702656</t>
  </si>
  <si>
    <t>2271873980002656</t>
  </si>
  <si>
    <t>9780898598889</t>
  </si>
  <si>
    <t>32285000590991</t>
  </si>
  <si>
    <t>893321892</t>
  </si>
  <si>
    <t>BF311 .E48</t>
  </si>
  <si>
    <t>0                      BF 0311000E  48</t>
  </si>
  <si>
    <t>Human development and cognitive processes.</t>
  </si>
  <si>
    <t>Eliot, John, 1933- compiler.</t>
  </si>
  <si>
    <t>New York, Holt, Rinehart and Winston [1970, c1971]</t>
  </si>
  <si>
    <t>1231809:eng</t>
  </si>
  <si>
    <t>115098</t>
  </si>
  <si>
    <t>991000655589702656</t>
  </si>
  <si>
    <t>2260033040002656</t>
  </si>
  <si>
    <t>9780030773754</t>
  </si>
  <si>
    <t>32285002237815</t>
  </si>
  <si>
    <t>893714789</t>
  </si>
  <si>
    <t>BF311 .F43 1968</t>
  </si>
  <si>
    <t>0                      BF 0311000F  43          1968</t>
  </si>
  <si>
    <t>The discrimination process and development, by Brian J. Fellows.</t>
  </si>
  <si>
    <t>Fellows, Brian J.</t>
  </si>
  <si>
    <t>Oxford, New York, Pergamon Press [1968]</t>
  </si>
  <si>
    <t>International series of monographs in experimental psychology, v. 5</t>
  </si>
  <si>
    <t>2003-03-15</t>
  </si>
  <si>
    <t>1332874:eng</t>
  </si>
  <si>
    <t>224043</t>
  </si>
  <si>
    <t>991001372509702656</t>
  </si>
  <si>
    <t>2264127030002656</t>
  </si>
  <si>
    <t>32285000600279</t>
  </si>
  <si>
    <t>893509576</t>
  </si>
  <si>
    <t>BF311 .F56 1975</t>
  </si>
  <si>
    <t>0                      BF 0311000F  56          1975</t>
  </si>
  <si>
    <t>The language of thought / Jerry A. Fodor.</t>
  </si>
  <si>
    <t>Fodor, Jerry A.</t>
  </si>
  <si>
    <t>New York : Crowell, c1975.</t>
  </si>
  <si>
    <t>The Language &amp; thought series</t>
  </si>
  <si>
    <t>521597:eng</t>
  </si>
  <si>
    <t>1207407</t>
  </si>
  <si>
    <t>991003620799702656</t>
  </si>
  <si>
    <t>2269447290002656</t>
  </si>
  <si>
    <t>9780690008029</t>
  </si>
  <si>
    <t>32285000600287</t>
  </si>
  <si>
    <t>893422761</t>
  </si>
  <si>
    <t>BF311 .F562 1981</t>
  </si>
  <si>
    <t>0                      BF 0311000F  562         1981</t>
  </si>
  <si>
    <t>Representations : philosophical essays on the foundations of cognitive science / Jerry A. Fodor.</t>
  </si>
  <si>
    <t>Cambridge, Mass. : MIT Press, 1981.</t>
  </si>
  <si>
    <t>1st MIT Press ed.</t>
  </si>
  <si>
    <t>1997-02-28</t>
  </si>
  <si>
    <t>422105:eng</t>
  </si>
  <si>
    <t>7462473</t>
  </si>
  <si>
    <t>991005115989702656</t>
  </si>
  <si>
    <t>2262891520002656</t>
  </si>
  <si>
    <t>9780262060790</t>
  </si>
  <si>
    <t>32285000675727</t>
  </si>
  <si>
    <t>893713465</t>
  </si>
  <si>
    <t>BF311 .F58</t>
  </si>
  <si>
    <t>0                      BF 0311000F  58</t>
  </si>
  <si>
    <t>Perception; the basic process in cognitive development [by] Ronald H. Forgus.</t>
  </si>
  <si>
    <t>Forgus, Ronald H.</t>
  </si>
  <si>
    <t>1659501:eng</t>
  </si>
  <si>
    <t>711642</t>
  </si>
  <si>
    <t>991003180489702656</t>
  </si>
  <si>
    <t>2261875900002656</t>
  </si>
  <si>
    <t>32285002237831</t>
  </si>
  <si>
    <t>893704988</t>
  </si>
  <si>
    <t>BF311 .F64</t>
  </si>
  <si>
    <t>0                      BF 0311000F  64</t>
  </si>
  <si>
    <t>Cognitive development : a life-span view / George E. Forman, Irving E. Sigel ; [cover ill., Jim Pinckney ; interior ill., Ann Geiger].</t>
  </si>
  <si>
    <t>Forman, George E., 1942-</t>
  </si>
  <si>
    <t>Life-span human development series</t>
  </si>
  <si>
    <t>2002-07-17</t>
  </si>
  <si>
    <t>889739511:eng</t>
  </si>
  <si>
    <t>4549672</t>
  </si>
  <si>
    <t>991004678459702656</t>
  </si>
  <si>
    <t>2272696920002656</t>
  </si>
  <si>
    <t>9780818502750</t>
  </si>
  <si>
    <t>32285000600295</t>
  </si>
  <si>
    <t>893895331</t>
  </si>
  <si>
    <t>BF311 .F88</t>
  </si>
  <si>
    <t>0                      BF 0311000F  88</t>
  </si>
  <si>
    <t>Piaget and knowledge : theoretical foundations / [by] Hans G. Furth.</t>
  </si>
  <si>
    <t>Furth, Hans G.</t>
  </si>
  <si>
    <t>Englewood Cliffs, N.J. : Prentice-Hall, [1969]</t>
  </si>
  <si>
    <t>1995-03-25</t>
  </si>
  <si>
    <t>180337299:eng</t>
  </si>
  <si>
    <t>2194</t>
  </si>
  <si>
    <t>991005433939702656</t>
  </si>
  <si>
    <t>2262713930002656</t>
  </si>
  <si>
    <t>32285001968436</t>
  </si>
  <si>
    <t>893707924</t>
  </si>
  <si>
    <t>BF311 .G339 1987</t>
  </si>
  <si>
    <t>0                      BF 0311000G  339         1987</t>
  </si>
  <si>
    <t>The mind's new science : a history of the cognitive revolution / Howard Gardner ; with a new epilogue by the author : Cognitive science after 1984.</t>
  </si>
  <si>
    <t>Gardner, Howard, 1943-</t>
  </si>
  <si>
    <t>New York : Basic Books, 1987.</t>
  </si>
  <si>
    <t>Paperback ed.</t>
  </si>
  <si>
    <t>1999-10-24</t>
  </si>
  <si>
    <t>1989-11-27</t>
  </si>
  <si>
    <t>4867451:eng</t>
  </si>
  <si>
    <t>16529666</t>
  </si>
  <si>
    <t>991001117549702656</t>
  </si>
  <si>
    <t>2256414460002656</t>
  </si>
  <si>
    <t>9780465046355</t>
  </si>
  <si>
    <t>32285000015338</t>
  </si>
  <si>
    <t>893334063</t>
  </si>
  <si>
    <t>BF311 .G77 1988</t>
  </si>
  <si>
    <t>0                      BF 0311000G  77          1988</t>
  </si>
  <si>
    <t>Growth points in cognition / edited by Guy Claxton.</t>
  </si>
  <si>
    <t>London ; New York : Routledge, 1988.</t>
  </si>
  <si>
    <t>International library of psychology</t>
  </si>
  <si>
    <t>1991-02-11</t>
  </si>
  <si>
    <t>13176181:eng</t>
  </si>
  <si>
    <t>17105783</t>
  </si>
  <si>
    <t>991001178739702656</t>
  </si>
  <si>
    <t>2267330440002656</t>
  </si>
  <si>
    <t>9780415002615</t>
  </si>
  <si>
    <t>32285000463868</t>
  </si>
  <si>
    <t>893621129</t>
  </si>
  <si>
    <t>BF311 .H33 1961a</t>
  </si>
  <si>
    <t>0                      BF 0311000H  33          1961a</t>
  </si>
  <si>
    <t>Sensation and perception : a history of the philosophy of perception.</t>
  </si>
  <si>
    <t>Hamlyn, D. W., 1924-</t>
  </si>
  <si>
    <t>London : Routledge &amp; K. Paul ; New York : Humanities Press, [1961]</t>
  </si>
  <si>
    <t>1996-09-24</t>
  </si>
  <si>
    <t>1994-01-12</t>
  </si>
  <si>
    <t>1916309:eng</t>
  </si>
  <si>
    <t>1001595</t>
  </si>
  <si>
    <t>991003460409702656</t>
  </si>
  <si>
    <t>2259324870002656</t>
  </si>
  <si>
    <t>32285001829406</t>
  </si>
  <si>
    <t>893531196</t>
  </si>
  <si>
    <t>BF311 .H3345 1986</t>
  </si>
  <si>
    <t>0                      BF 0311000H  3345        1986</t>
  </si>
  <si>
    <t>Handbook of perception and human performance / editors, Kenneth R. Boff, Lloyd Kaufman, James P. Thomas.</t>
  </si>
  <si>
    <t>V. 2</t>
  </si>
  <si>
    <t>4790231225:eng</t>
  </si>
  <si>
    <t>12553973</t>
  </si>
  <si>
    <t>991000703549702656</t>
  </si>
  <si>
    <t>2257259290002656</t>
  </si>
  <si>
    <t>9780471829560</t>
  </si>
  <si>
    <t>32285000980440</t>
  </si>
  <si>
    <t>893231338</t>
  </si>
  <si>
    <t>V. 1</t>
  </si>
  <si>
    <t>32285000980432</t>
  </si>
  <si>
    <t>893261578</t>
  </si>
  <si>
    <t>BF311 .H37</t>
  </si>
  <si>
    <t>0                      BF 0311000H  37</t>
  </si>
  <si>
    <t>Motivation and social interaction, cognitive determinants.</t>
  </si>
  <si>
    <t>Harvey, O. J., editor.</t>
  </si>
  <si>
    <t>New York, Ronald Press Co. [1963]</t>
  </si>
  <si>
    <t>A Psychology series</t>
  </si>
  <si>
    <t>1997-02-21</t>
  </si>
  <si>
    <t>907997081:eng</t>
  </si>
  <si>
    <t>1100602</t>
  </si>
  <si>
    <t>991003535889702656</t>
  </si>
  <si>
    <t>2269048000002656</t>
  </si>
  <si>
    <t>32285002237906</t>
  </si>
  <si>
    <t>893246451</t>
  </si>
  <si>
    <t>BF311 .H388 1978</t>
  </si>
  <si>
    <t>0                      BF 0311000H  388         1978</t>
  </si>
  <si>
    <t>Cognitive psychology : thinking and creating / John R. Hayes.</t>
  </si>
  <si>
    <t>Hayes, John R., 1929-</t>
  </si>
  <si>
    <t>Homewood, Ill. : Dorsey Press, 1978.</t>
  </si>
  <si>
    <t>The Dorsey series in psychology</t>
  </si>
  <si>
    <t>1997-11-30</t>
  </si>
  <si>
    <t>1991-05-09</t>
  </si>
  <si>
    <t>889465197:eng</t>
  </si>
  <si>
    <t>4037303</t>
  </si>
  <si>
    <t>991004575429702656</t>
  </si>
  <si>
    <t>2269022610002656</t>
  </si>
  <si>
    <t>9780256020656</t>
  </si>
  <si>
    <t>32285000572478</t>
  </si>
  <si>
    <t>893888902</t>
  </si>
  <si>
    <t>BF311 .H82 1982</t>
  </si>
  <si>
    <t>0                      BF 0311000H  82          1982</t>
  </si>
  <si>
    <t>The universe within : a new science explores the human mind / by Morton Hunt.</t>
  </si>
  <si>
    <t>Hunt, Morton M., 1920-</t>
  </si>
  <si>
    <t>New York : Simon and Schuster, c1982.</t>
  </si>
  <si>
    <t>1994-03-01</t>
  </si>
  <si>
    <t>2862332:eng</t>
  </si>
  <si>
    <t>7773739</t>
  </si>
  <si>
    <t>991005159489702656</t>
  </si>
  <si>
    <t>2269306710002656</t>
  </si>
  <si>
    <t>9780671252588</t>
  </si>
  <si>
    <t>32285000675735</t>
  </si>
  <si>
    <t>893877036</t>
  </si>
  <si>
    <t>BF311 .H84</t>
  </si>
  <si>
    <t>0                      BF 0311000H  84</t>
  </si>
  <si>
    <t>The storming of the mind.</t>
  </si>
  <si>
    <t>Hunter, Robert Edwards, 1940-</t>
  </si>
  <si>
    <t>Garden City, N.Y. : Doubleday, 1972.</t>
  </si>
  <si>
    <t>An Anchor book, AO-37</t>
  </si>
  <si>
    <t>1996-07-17</t>
  </si>
  <si>
    <t>1994-09-19</t>
  </si>
  <si>
    <t>1423149:eng</t>
  </si>
  <si>
    <t>1297210</t>
  </si>
  <si>
    <t>991003676189702656</t>
  </si>
  <si>
    <t>2262063090002656</t>
  </si>
  <si>
    <t>32285001951150</t>
  </si>
  <si>
    <t>893693017</t>
  </si>
  <si>
    <t>BF311 .I5 1983, v...</t>
  </si>
  <si>
    <t>0                      BF 0311000I  5           1983                                        v...</t>
  </si>
  <si>
    <t>Individual differences in cognition / edited by Ronna F. Dillon, Ronald R. Schmeck ; with a foreword by Robert Glaser.</t>
  </si>
  <si>
    <t>New York : Academic Press, 1983-</t>
  </si>
  <si>
    <t>1999-03-20</t>
  </si>
  <si>
    <t>2000-09-15</t>
  </si>
  <si>
    <t>1991-05-02</t>
  </si>
  <si>
    <t>5454283088:eng</t>
  </si>
  <si>
    <t>9084022</t>
  </si>
  <si>
    <t>991000126939702656</t>
  </si>
  <si>
    <t>2255356480002656</t>
  </si>
  <si>
    <t>9780122164019</t>
  </si>
  <si>
    <t>32285000600444</t>
  </si>
  <si>
    <t>893320829</t>
  </si>
  <si>
    <t>32285000600436</t>
  </si>
  <si>
    <t>893333236</t>
  </si>
  <si>
    <t>BF311 .I59</t>
  </si>
  <si>
    <t>0                      BF 0311000I  59</t>
  </si>
  <si>
    <t>Intersensory perception and sensory integration / edited by Richard D. Walk and Herbert L. Pick, Jr.</t>
  </si>
  <si>
    <t>New York : Plenum Press, c1981.</t>
  </si>
  <si>
    <t>Perception and perceptual development ; v. 2</t>
  </si>
  <si>
    <t>2000-12-03</t>
  </si>
  <si>
    <t>351751684:eng</t>
  </si>
  <si>
    <t>7176133</t>
  </si>
  <si>
    <t>991005083369702656</t>
  </si>
  <si>
    <t>2272733400002656</t>
  </si>
  <si>
    <t>9780306406102</t>
  </si>
  <si>
    <t>32285000600469</t>
  </si>
  <si>
    <t>893437119</t>
  </si>
  <si>
    <t>BF311 .L29 1988</t>
  </si>
  <si>
    <t>0                      BF 0311000L  29          1988</t>
  </si>
  <si>
    <t>Cognition in practice : mind, mathematics, and culture in everyday life / Jean Lave.</t>
  </si>
  <si>
    <t>Lave, Jean.</t>
  </si>
  <si>
    <t>2005-04-19</t>
  </si>
  <si>
    <t>1991-06-04</t>
  </si>
  <si>
    <t>793465209:eng</t>
  </si>
  <si>
    <t>16645338</t>
  </si>
  <si>
    <t>991001123679702656</t>
  </si>
  <si>
    <t>2266887690002656</t>
  </si>
  <si>
    <t>9780521357340</t>
  </si>
  <si>
    <t>32285000591791</t>
  </si>
  <si>
    <t>893256034</t>
  </si>
  <si>
    <t>BF311 .L8713</t>
  </si>
  <si>
    <t>0                      BF 0311000L  8713</t>
  </si>
  <si>
    <t>Cognitive development, its cultural and social foundations / A. R. Luria ; translated by Martin Lopez-Morillas and Lynn Solotaroff ; edited by Michael Cole.</t>
  </si>
  <si>
    <t>Lurii︠a︡, A. R. (Aleksandr Romanovich), 1902-1977.</t>
  </si>
  <si>
    <t>Cambridge, Mass. : Harvard University Press, 1976.</t>
  </si>
  <si>
    <t>1997-11-05</t>
  </si>
  <si>
    <t>520969:eng</t>
  </si>
  <si>
    <t>2318478</t>
  </si>
  <si>
    <t>991004077809702656</t>
  </si>
  <si>
    <t>2266413490002656</t>
  </si>
  <si>
    <t>9780674137318</t>
  </si>
  <si>
    <t>32285002237971</t>
  </si>
  <si>
    <t>893337309</t>
  </si>
  <si>
    <t>BF311 .M433 1984</t>
  </si>
  <si>
    <t>0                      BF 0311000M  433         1984</t>
  </si>
  <si>
    <t>Mechanisms of cognitive development / Robert J. Sternberg, editor.</t>
  </si>
  <si>
    <t>New York : W.H. Freeman, c1984.</t>
  </si>
  <si>
    <t>2000-10-28</t>
  </si>
  <si>
    <t>54625828:eng</t>
  </si>
  <si>
    <t>10483388</t>
  </si>
  <si>
    <t>991000378569702656</t>
  </si>
  <si>
    <t>2263429430002656</t>
  </si>
  <si>
    <t>9780716715962</t>
  </si>
  <si>
    <t>32285000600535</t>
  </si>
  <si>
    <t>893884331</t>
  </si>
  <si>
    <t>BF311 .M446 1983</t>
  </si>
  <si>
    <t>0                      BF 0311000M  446         1983</t>
  </si>
  <si>
    <t>Mental models / edited by Dedre Gentner, Albert L. Stevens.</t>
  </si>
  <si>
    <t>Hillsdale, N.J. : L. Erlbaum Associates, 1983.</t>
  </si>
  <si>
    <t>Cognitive science</t>
  </si>
  <si>
    <t>2003-09-30</t>
  </si>
  <si>
    <t>3372208404:eng</t>
  </si>
  <si>
    <t>9081085</t>
  </si>
  <si>
    <t>991000122999702656</t>
  </si>
  <si>
    <t>2255911050002656</t>
  </si>
  <si>
    <t>9780898592429</t>
  </si>
  <si>
    <t>32285000149004</t>
  </si>
  <si>
    <t>893508529</t>
  </si>
  <si>
    <t>BF311 .M448</t>
  </si>
  <si>
    <t>0                      BF 0311000M  448</t>
  </si>
  <si>
    <t>The philosophy of consciousness without an object : reflections on the nature of transcendental consciousness / Franklin Merrel-Wolff.</t>
  </si>
  <si>
    <t>Merrell-Wolff, Franklin.</t>
  </si>
  <si>
    <t>New York, Julian Press [1973]</t>
  </si>
  <si>
    <t>2002-10-22</t>
  </si>
  <si>
    <t>575413:eng</t>
  </si>
  <si>
    <t>762755</t>
  </si>
  <si>
    <t>991003239349702656</t>
  </si>
  <si>
    <t>2265273600002656</t>
  </si>
  <si>
    <t>32285000600543</t>
  </si>
  <si>
    <t>893416190</t>
  </si>
  <si>
    <t>BF311 .N43</t>
  </si>
  <si>
    <t>0                      BF 0311000N  43</t>
  </si>
  <si>
    <t>Cognition and reality : principles and implications of cognitive psychology / Ulric Neisser.</t>
  </si>
  <si>
    <t>Neisser, Ulric.</t>
  </si>
  <si>
    <t>San Francisco : W. H. Freeman, c1976.</t>
  </si>
  <si>
    <t>1997-10-23</t>
  </si>
  <si>
    <t>1992-03-03</t>
  </si>
  <si>
    <t>447066:eng</t>
  </si>
  <si>
    <t>2318476</t>
  </si>
  <si>
    <t>991004077789702656</t>
  </si>
  <si>
    <t>2266413930002656</t>
  </si>
  <si>
    <t>9780716704782</t>
  </si>
  <si>
    <t>32285000990803</t>
  </si>
  <si>
    <t>893525631</t>
  </si>
  <si>
    <t>BF311 .N63 1984</t>
  </si>
  <si>
    <t>0                      BF 0311000N  63          1984</t>
  </si>
  <si>
    <t>Awakening the inner eye : intuition in education / Nel Noddings, Paul J. Shore.</t>
  </si>
  <si>
    <t>Noddings, Nel.</t>
  </si>
  <si>
    <t>New York : Teachers College, Columbia University, 1984.</t>
  </si>
  <si>
    <t>2001-06-15</t>
  </si>
  <si>
    <t>3182641:eng</t>
  </si>
  <si>
    <t>10121955</t>
  </si>
  <si>
    <t>991000316029702656</t>
  </si>
  <si>
    <t>2267146780002656</t>
  </si>
  <si>
    <t>9780807727515</t>
  </si>
  <si>
    <t>32285000123876</t>
  </si>
  <si>
    <t>893521567</t>
  </si>
  <si>
    <t>BF311 .N69 1986</t>
  </si>
  <si>
    <t>0                      BF 0311000N  69          1986</t>
  </si>
  <si>
    <t>Cognitive sciences : basic problems, new perspectives, and implications for artificial intelligence / Maria Nowakowska.</t>
  </si>
  <si>
    <t>Nowakowska, Maria.</t>
  </si>
  <si>
    <t>Orlando : Academic Press, 1986.</t>
  </si>
  <si>
    <t>flu</t>
  </si>
  <si>
    <t>1992-04-22</t>
  </si>
  <si>
    <t>19806646:eng</t>
  </si>
  <si>
    <t>9556591</t>
  </si>
  <si>
    <t>991000213519702656</t>
  </si>
  <si>
    <t>2265523880002656</t>
  </si>
  <si>
    <t>9780125226219</t>
  </si>
  <si>
    <t>32285000600634</t>
  </si>
  <si>
    <t>893802601</t>
  </si>
  <si>
    <t>BF311 .O57 1978</t>
  </si>
  <si>
    <t>0                      BF 0311000O  57          1978</t>
  </si>
  <si>
    <t>Social cognition : the Ontario Symposium, vol. 1 / edited by E. Tory Higgins, C. Peter Herman, Mark P. Zanna.</t>
  </si>
  <si>
    <t>Ontario Symposium on Personality and Social Psychology (1st : 1978 : University of Western Ontario)</t>
  </si>
  <si>
    <t>2004-06-30</t>
  </si>
  <si>
    <t>554358:eng</t>
  </si>
  <si>
    <t>7169337</t>
  </si>
  <si>
    <t>991005079269702656</t>
  </si>
  <si>
    <t>2268689980002656</t>
  </si>
  <si>
    <t>9780898590494</t>
  </si>
  <si>
    <t>32285000600659</t>
  </si>
  <si>
    <t>893526860</t>
  </si>
  <si>
    <t>BF311 .O75 1977</t>
  </si>
  <si>
    <t>0                      BF 0311000O  75          1977</t>
  </si>
  <si>
    <t>The psychology of consciousness / Robert E. Ornstein.</t>
  </si>
  <si>
    <t>Ornstein, Robert E. (Robert Evan), 1942-</t>
  </si>
  <si>
    <t>New York : Harcourt Brace Jovanovich, c1977.</t>
  </si>
  <si>
    <t>2004-11-30</t>
  </si>
  <si>
    <t>1992-03-18</t>
  </si>
  <si>
    <t>413877:eng</t>
  </si>
  <si>
    <t>3215061</t>
  </si>
  <si>
    <t>991004379639702656</t>
  </si>
  <si>
    <t>2257423480002656</t>
  </si>
  <si>
    <t>9780155730823</t>
  </si>
  <si>
    <t>32285000529148</t>
  </si>
  <si>
    <t>893718838</t>
  </si>
  <si>
    <t>BF311 .P3133 1989</t>
  </si>
  <si>
    <t>0                      BF 0311000P  3133        1989</t>
  </si>
  <si>
    <t>Parallel distributed processing : implications for psychology and neurobiology / edited by R.G.M. Morris.</t>
  </si>
  <si>
    <t>Oxford : Clarendon Press ; Oxford ; New York : Oxford University Press, 1989.</t>
  </si>
  <si>
    <t>Oxford science publications</t>
  </si>
  <si>
    <t>795527215:eng</t>
  </si>
  <si>
    <t>19850358</t>
  </si>
  <si>
    <t>991001508439702656</t>
  </si>
  <si>
    <t>2271750600002656</t>
  </si>
  <si>
    <t>9780198521785</t>
  </si>
  <si>
    <t>32285001199701</t>
  </si>
  <si>
    <t>893785147</t>
  </si>
  <si>
    <t>BF311 .P316 1986</t>
  </si>
  <si>
    <t>0                      BF 0311000P  316         1986</t>
  </si>
  <si>
    <t>Pattern recognition by humans and machines / edited by Eileen C. Schwab, Howard C. Nusbaum.</t>
  </si>
  <si>
    <t>Orlando, Fla. : Academic Press, 1986.</t>
  </si>
  <si>
    <t>1995-08-03</t>
  </si>
  <si>
    <t>10628096989:eng</t>
  </si>
  <si>
    <t>12613429</t>
  </si>
  <si>
    <t>991000713899702656</t>
  </si>
  <si>
    <t>2260509590002656</t>
  </si>
  <si>
    <t>9780126314038</t>
  </si>
  <si>
    <t>32285000600667</t>
  </si>
  <si>
    <t>893778170</t>
  </si>
  <si>
    <t>32285002061538</t>
  </si>
  <si>
    <t>893784457</t>
  </si>
  <si>
    <t>BF311 .P51813</t>
  </si>
  <si>
    <t>0                      BF 0311000P  51813</t>
  </si>
  <si>
    <t>Experiments in contradiction / Jean Piaget ; translated by Derek Coltman ; with a foreword by Terrance A. Brown.</t>
  </si>
  <si>
    <t>Piaget, Jean, 1896-1980.</t>
  </si>
  <si>
    <t>Chicago : University of Chicago Press, c1980.</t>
  </si>
  <si>
    <t>1994-11-09</t>
  </si>
  <si>
    <t>3373531346:eng</t>
  </si>
  <si>
    <t>6223597</t>
  </si>
  <si>
    <t>991004949039702656</t>
  </si>
  <si>
    <t>2268423980002656</t>
  </si>
  <si>
    <t>9780226667799</t>
  </si>
  <si>
    <t>32285000600683</t>
  </si>
  <si>
    <t>893332202</t>
  </si>
  <si>
    <t>BF311 .P51913</t>
  </si>
  <si>
    <t>0                      BF 0311000P  51913</t>
  </si>
  <si>
    <t>Success and understanding / Jean Piaget, collaborators M. Amann ... [et al.] ; translated by Arnold J. Pomerans. --</t>
  </si>
  <si>
    <t>Cambridge, Mass. : Harvard University Press, 1978.</t>
  </si>
  <si>
    <t>2002-01-23</t>
  </si>
  <si>
    <t>4535822988:eng</t>
  </si>
  <si>
    <t>4036773</t>
  </si>
  <si>
    <t>991004573359702656</t>
  </si>
  <si>
    <t>2269083230002656</t>
  </si>
  <si>
    <t>9780674853874</t>
  </si>
  <si>
    <t>32285000600691</t>
  </si>
  <si>
    <t>893526256</t>
  </si>
  <si>
    <t>BF311 .P5213</t>
  </si>
  <si>
    <t>0                      BF 0311000P  5213</t>
  </si>
  <si>
    <t>Six psychological studies / translated from the French by Anita Tenzer and David Elkind. Edited, with an introd. and notes, by David Elkind.</t>
  </si>
  <si>
    <t>New York : Random House, [1967]</t>
  </si>
  <si>
    <t>1994-02-23</t>
  </si>
  <si>
    <t>10177131642:eng</t>
  </si>
  <si>
    <t>192330</t>
  </si>
  <si>
    <t>991001206979702656</t>
  </si>
  <si>
    <t>2256456510002656</t>
  </si>
  <si>
    <t>32285001839975</t>
  </si>
  <si>
    <t>893231794</t>
  </si>
  <si>
    <t>BF311 .R353 1987</t>
  </si>
  <si>
    <t>0                      BF 0311000R  353         1987</t>
  </si>
  <si>
    <t>Life-span cognitive development / George W. Rebok.</t>
  </si>
  <si>
    <t>Rebok, George W.</t>
  </si>
  <si>
    <t>New York : Holt, Rinehart, and Winston, c1987.</t>
  </si>
  <si>
    <t>1990-01-23</t>
  </si>
  <si>
    <t>7534861:eng</t>
  </si>
  <si>
    <t>14130745</t>
  </si>
  <si>
    <t>991000909899702656</t>
  </si>
  <si>
    <t>2265172200002656</t>
  </si>
  <si>
    <t>9780030641824</t>
  </si>
  <si>
    <t>32285000029503</t>
  </si>
  <si>
    <t>893496671</t>
  </si>
  <si>
    <t>BF311 .R38 1968</t>
  </si>
  <si>
    <t>0                      BF 0311000R  38          1968</t>
  </si>
  <si>
    <t>The perception of stimulus relations; discrimination learning and transposition [by] Hayne W. Reese.</t>
  </si>
  <si>
    <t>Reese, Hayne Waring, 1931-</t>
  </si>
  <si>
    <t>New York, Academic Press, 1968.</t>
  </si>
  <si>
    <t>The Child psychology series</t>
  </si>
  <si>
    <t>820884810:eng</t>
  </si>
  <si>
    <t>224965</t>
  </si>
  <si>
    <t>991001376479702656</t>
  </si>
  <si>
    <t>2263603230002656</t>
  </si>
  <si>
    <t>32285002238086</t>
  </si>
  <si>
    <t>893626662</t>
  </si>
  <si>
    <t>BF311 .R86</t>
  </si>
  <si>
    <t>0                      BF 0311000R  86</t>
  </si>
  <si>
    <t>Perception, sensation and verification.</t>
  </si>
  <si>
    <t>Rundle, Bede.</t>
  </si>
  <si>
    <t>Oxford, Clarendon Press, 1972.</t>
  </si>
  <si>
    <t>416084:eng</t>
  </si>
  <si>
    <t>513265</t>
  </si>
  <si>
    <t>991002894389702656</t>
  </si>
  <si>
    <t>2260728590002656</t>
  </si>
  <si>
    <t>9780198243908</t>
  </si>
  <si>
    <t>32285002238094</t>
  </si>
  <si>
    <t>893233569</t>
  </si>
  <si>
    <t>BF311 .S38</t>
  </si>
  <si>
    <t>0                      BF 0311000S  38</t>
  </si>
  <si>
    <t>Mind: perception and thought in their constructive aspects, by Paul Schilder.</t>
  </si>
  <si>
    <t>Schilder, Paul, 1886-1940.</t>
  </si>
  <si>
    <t>New York, Columbia university press, 1942.</t>
  </si>
  <si>
    <t>1322773:eng</t>
  </si>
  <si>
    <t>9751695</t>
  </si>
  <si>
    <t>991000250169702656</t>
  </si>
  <si>
    <t>2258609380002656</t>
  </si>
  <si>
    <t>32285002238128</t>
  </si>
  <si>
    <t>893515139</t>
  </si>
  <si>
    <t>BF311 .S455</t>
  </si>
  <si>
    <t>0                      BF 0311000S  455</t>
  </si>
  <si>
    <t>Sex-related differences in cognitive functioning : developmental issues / edited by Michele Andrisin Wittig, Anne C. Petersen.</t>
  </si>
  <si>
    <t>New York : Academic Press, 1979.</t>
  </si>
  <si>
    <t>795184923:eng</t>
  </si>
  <si>
    <t>4775767</t>
  </si>
  <si>
    <t>991004715249702656</t>
  </si>
  <si>
    <t>2255437260002656</t>
  </si>
  <si>
    <t>9780127611501</t>
  </si>
  <si>
    <t>32285000600808</t>
  </si>
  <si>
    <t>893889181</t>
  </si>
  <si>
    <t>BF311 .S653</t>
  </si>
  <si>
    <t>0                      BF 0311000S  653</t>
  </si>
  <si>
    <t>Cognitive psychology / Robert L. Solso ; under the general editorship of Jerome Kagan.</t>
  </si>
  <si>
    <t>Solso, Robert L., 1933-</t>
  </si>
  <si>
    <t>New York : Harcourt, Brace, Jovanovich, c1979.</t>
  </si>
  <si>
    <t>2008-04-02</t>
  </si>
  <si>
    <t>666230:eng</t>
  </si>
  <si>
    <t>5384592</t>
  </si>
  <si>
    <t>991004828829702656</t>
  </si>
  <si>
    <t>2270788670002656</t>
  </si>
  <si>
    <t>9780155078703</t>
  </si>
  <si>
    <t>32285000600824</t>
  </si>
  <si>
    <t>893612819</t>
  </si>
  <si>
    <t>BF311 .S6778 1997</t>
  </si>
  <si>
    <t>0                      BF 0311000S  6778        1997</t>
  </si>
  <si>
    <t>Thinking styles / Robert J. Sternberg.</t>
  </si>
  <si>
    <t>Sternberg, Robert J.</t>
  </si>
  <si>
    <t>Cambridge, U.K. ; New York, NY, USA : Cambridge University Press, 1997.</t>
  </si>
  <si>
    <t>1997</t>
  </si>
  <si>
    <t>1998-08-05</t>
  </si>
  <si>
    <t>556130:eng</t>
  </si>
  <si>
    <t>36315844</t>
  </si>
  <si>
    <t>991002767309702656</t>
  </si>
  <si>
    <t>2265026200002656</t>
  </si>
  <si>
    <t>9780521553162</t>
  </si>
  <si>
    <t>32285003449328</t>
  </si>
  <si>
    <t>893886693</t>
  </si>
  <si>
    <t>BF311 .S733</t>
  </si>
  <si>
    <t>0                      BF 0311000S  733</t>
  </si>
  <si>
    <t>Studies in perception : interrelations in the history of philosophy and science / edited by Peter K. Machamer and Robert G. Turnbull.</t>
  </si>
  <si>
    <t>Columbus : Ohio State University Press, c1978.</t>
  </si>
  <si>
    <t>ohu</t>
  </si>
  <si>
    <t>890014801:eng</t>
  </si>
  <si>
    <t>3203713</t>
  </si>
  <si>
    <t>991004374419702656</t>
  </si>
  <si>
    <t>2270821030002656</t>
  </si>
  <si>
    <t>9780814202449</t>
  </si>
  <si>
    <t>32285002238151</t>
  </si>
  <si>
    <t>893259656</t>
  </si>
  <si>
    <t>BF311 .S83 1969</t>
  </si>
  <si>
    <t>0                      BF 0311000S  83          1969</t>
  </si>
  <si>
    <t>Cognition in learning and memory. Contributors for this volume: Gordon H. Bower [and others]</t>
  </si>
  <si>
    <t>Symposium on Cognition (5th : 1969 : Pittsburgh, Pa.)</t>
  </si>
  <si>
    <t>New York, Wiley [1972]</t>
  </si>
  <si>
    <t>180512165:eng</t>
  </si>
  <si>
    <t>379301</t>
  </si>
  <si>
    <t>991002615119702656</t>
  </si>
  <si>
    <t>2265076970002656</t>
  </si>
  <si>
    <t>9780471326588</t>
  </si>
  <si>
    <t>32285002238177</t>
  </si>
  <si>
    <t>893867454</t>
  </si>
  <si>
    <t>BF311 .T33 1982</t>
  </si>
  <si>
    <t>0                      BF 0311000T  33          1982</t>
  </si>
  <si>
    <t>Mind / David A. Taylor.</t>
  </si>
  <si>
    <t>Taylor, David A., 1943-</t>
  </si>
  <si>
    <t>3943317799:eng</t>
  </si>
  <si>
    <t>7978089</t>
  </si>
  <si>
    <t>991005188119702656</t>
  </si>
  <si>
    <t>2271534270002656</t>
  </si>
  <si>
    <t>9780671255411</t>
  </si>
  <si>
    <t>32285000600832</t>
  </si>
  <si>
    <t>893418515</t>
  </si>
  <si>
    <t>BF311 .T44</t>
  </si>
  <si>
    <t>0                      BF 0311000T  44</t>
  </si>
  <si>
    <t>Theories in cognitive psychology: the Loyola symposium. Edited by Robert L. Solso.</t>
  </si>
  <si>
    <t>Potomac, Md., Lawrence Erlbaum Associates; distributed by the Halsted Press Division of Wiley, New York, 1974.</t>
  </si>
  <si>
    <t>2007-05-22</t>
  </si>
  <si>
    <t>3855780539:eng</t>
  </si>
  <si>
    <t>828413</t>
  </si>
  <si>
    <t>991003305679702656</t>
  </si>
  <si>
    <t>2269240720002656</t>
  </si>
  <si>
    <t>9780470812280</t>
  </si>
  <si>
    <t>32285002238201</t>
  </si>
  <si>
    <t>893428658</t>
  </si>
  <si>
    <t>BF311 .V3</t>
  </si>
  <si>
    <t>0                      BF 0311000V  3</t>
  </si>
  <si>
    <t>The experimental psychology of beauty, by C. W. Valentine.</t>
  </si>
  <si>
    <t>Valentine, C. W. (Charles Wilfred), 1879-1964.</t>
  </si>
  <si>
    <t>London, Methuen, [c1962 ]</t>
  </si>
  <si>
    <t>Social science paperbacks, SSP34</t>
  </si>
  <si>
    <t>2009-05-02</t>
  </si>
  <si>
    <t>3901025161:eng</t>
  </si>
  <si>
    <t>1063543</t>
  </si>
  <si>
    <t>991005254789702656</t>
  </si>
  <si>
    <t>2258103190002656</t>
  </si>
  <si>
    <t>32285002238243</t>
  </si>
  <si>
    <t>893332670</t>
  </si>
  <si>
    <t>BF311 .V46</t>
  </si>
  <si>
    <t>0                      BF 0311000V  46</t>
  </si>
  <si>
    <t>The psychology of perception.</t>
  </si>
  <si>
    <t>Vernon, M. D. (Magdalen Dorothea), 1901-1991.</t>
  </si>
  <si>
    <t>Baltimore, Penguin Books [1963, c1962]</t>
  </si>
  <si>
    <t>Pelican books ; A530</t>
  </si>
  <si>
    <t>115297580:eng</t>
  </si>
  <si>
    <t>7981518</t>
  </si>
  <si>
    <t>991005188589702656</t>
  </si>
  <si>
    <t>2261035090002656</t>
  </si>
  <si>
    <t>32285002238250</t>
  </si>
  <si>
    <t>893789584</t>
  </si>
  <si>
    <t>BF311 .W44</t>
  </si>
  <si>
    <t>0                      BF 0311000W  44</t>
  </si>
  <si>
    <t>Toward a contemporary psychology of intuition : a historical, theoretical, and empirical inquiry / by Malcolm R. Westcott.</t>
  </si>
  <si>
    <t>Westcott, Malcolm R.</t>
  </si>
  <si>
    <t>New York : Holt, Rinehart and Winston, [1968]</t>
  </si>
  <si>
    <t>1998-01-18</t>
  </si>
  <si>
    <t>285272994:eng</t>
  </si>
  <si>
    <t>439455</t>
  </si>
  <si>
    <t>991002778429702656</t>
  </si>
  <si>
    <t>2266636950002656</t>
  </si>
  <si>
    <t>32285001106185</t>
  </si>
  <si>
    <t>893880398</t>
  </si>
  <si>
    <t>BF311.P523 B62</t>
  </si>
  <si>
    <t>0                      BF 0311000P  523                B  62</t>
  </si>
  <si>
    <t>Jean Piaget / Margaret A. Boden.</t>
  </si>
  <si>
    <t>Boden, Margaret A.</t>
  </si>
  <si>
    <t>New York : Viking Press, 1980.</t>
  </si>
  <si>
    <t>Modern masters</t>
  </si>
  <si>
    <t>2010-02-23</t>
  </si>
  <si>
    <t>412830:eng</t>
  </si>
  <si>
    <t>5706751</t>
  </si>
  <si>
    <t>991004861669702656</t>
  </si>
  <si>
    <t>2261295150002656</t>
  </si>
  <si>
    <t>9780670406326</t>
  </si>
  <si>
    <t>32285000675768</t>
  </si>
  <si>
    <t>893625179</t>
  </si>
  <si>
    <t>BF311.P523 V89</t>
  </si>
  <si>
    <t>0                      BF 0311000P  523                V  89</t>
  </si>
  <si>
    <t>Overview and critique of Piaget's genetic epistemology, 1965-1980 / Rita Vuyk.</t>
  </si>
  <si>
    <t>Vuyk, Rita.</t>
  </si>
  <si>
    <t>London ; New York : Academic Press, 1981.</t>
  </si>
  <si>
    <t>409936:eng</t>
  </si>
  <si>
    <t>7197234</t>
  </si>
  <si>
    <t>991005087149702656</t>
  </si>
  <si>
    <t>2255656130002656</t>
  </si>
  <si>
    <t>9780127285016</t>
  </si>
  <si>
    <t>32285000600717</t>
  </si>
  <si>
    <t>893236254</t>
  </si>
  <si>
    <t>32285000600725</t>
  </si>
  <si>
    <t>893230186</t>
  </si>
  <si>
    <t>BF315 .A67 1984</t>
  </si>
  <si>
    <t>0                      BF 0315000A  67          1984</t>
  </si>
  <si>
    <t>Consciousness and the unconscious / David Archard.</t>
  </si>
  <si>
    <t>Archard, David.</t>
  </si>
  <si>
    <t>La Salle, Ill. : Open Court Pub. Co., 1984.</t>
  </si>
  <si>
    <t>Problems of modern European thought</t>
  </si>
  <si>
    <t>2010-11-19</t>
  </si>
  <si>
    <t>1990-03-21</t>
  </si>
  <si>
    <t>2832751:eng</t>
  </si>
  <si>
    <t>10850386</t>
  </si>
  <si>
    <t>991000445569702656</t>
  </si>
  <si>
    <t>2268947650002656</t>
  </si>
  <si>
    <t>9780875484358</t>
  </si>
  <si>
    <t>32285000088764</t>
  </si>
  <si>
    <t>893508778</t>
  </si>
  <si>
    <t>BF315 .C27 1984</t>
  </si>
  <si>
    <t>0                      BF 0315000C  27          1984</t>
  </si>
  <si>
    <t>Guide to the unconscious / Natalino Caputi.</t>
  </si>
  <si>
    <t>Caputi, Natalino.</t>
  </si>
  <si>
    <t>Birmingham, Ala. : Religious Education Press, 1984.</t>
  </si>
  <si>
    <t>alu</t>
  </si>
  <si>
    <t>2000-11-21</t>
  </si>
  <si>
    <t>2763298022:eng</t>
  </si>
  <si>
    <t>10229993</t>
  </si>
  <si>
    <t>991000336409702656</t>
  </si>
  <si>
    <t>2262231270002656</t>
  </si>
  <si>
    <t>9780891350422</t>
  </si>
  <si>
    <t>32285000600931</t>
  </si>
  <si>
    <t>893249253</t>
  </si>
  <si>
    <t>BF315 .M23 1976</t>
  </si>
  <si>
    <t>0                      BF 0315000M  23          1976</t>
  </si>
  <si>
    <t>The unconscious : a conceptual analysis / by A. C. MacIntyre.</t>
  </si>
  <si>
    <t>MacIntyre, Alasdair C.</t>
  </si>
  <si>
    <t>London : Routledge and Kegan Paul ; Atlantic Highlands [N.J.] : Humanities Press, 1976, c1958.</t>
  </si>
  <si>
    <t>Studies in philosophical psychology</t>
  </si>
  <si>
    <t>2000-12-06</t>
  </si>
  <si>
    <t>693246:eng</t>
  </si>
  <si>
    <t>3650170</t>
  </si>
  <si>
    <t>991004488329702656</t>
  </si>
  <si>
    <t>2260958090002656</t>
  </si>
  <si>
    <t>9780710038340</t>
  </si>
  <si>
    <t>32285000086834</t>
  </si>
  <si>
    <t>893423869</t>
  </si>
  <si>
    <t>BF315 .M33 1955a</t>
  </si>
  <si>
    <t>0                      BF 0315000M  33          1955a</t>
  </si>
  <si>
    <t>Experiment in depth : a study of the work of Jung, Eliot and Toynbee / by P.W. Martin.</t>
  </si>
  <si>
    <t>Martin, P. W. (Percival William), 1893-1972.</t>
  </si>
  <si>
    <t>London : Routledge &amp; Kegan Paul, [1955, 1960]</t>
  </si>
  <si>
    <t>45636:eng</t>
  </si>
  <si>
    <t>25398036</t>
  </si>
  <si>
    <t>991001997689702656</t>
  </si>
  <si>
    <t>2256806910002656</t>
  </si>
  <si>
    <t>32285002246667</t>
  </si>
  <si>
    <t>893427096</t>
  </si>
  <si>
    <t>BF317 .R34</t>
  </si>
  <si>
    <t>0                      BF 0317000R  34</t>
  </si>
  <si>
    <t>Reaction times / edited by A.T. Welford ; with contributions by J.M.T. Brebner ... [et al.].</t>
  </si>
  <si>
    <t>London ; New York : Academic Press, 1980.</t>
  </si>
  <si>
    <t>1998-03-20</t>
  </si>
  <si>
    <t>375455817:eng</t>
  </si>
  <si>
    <t>6709138</t>
  </si>
  <si>
    <t>991005030149702656</t>
  </si>
  <si>
    <t>2256523820002656</t>
  </si>
  <si>
    <t>9780127428802</t>
  </si>
  <si>
    <t>32285000600956</t>
  </si>
  <si>
    <t>893876830</t>
  </si>
  <si>
    <t>BF318 .A47 1989</t>
  </si>
  <si>
    <t>0                      BF 0318000A  47          1989</t>
  </si>
  <si>
    <t>Behaviorism, neobehaviorism, and cognitivism in learning theory : historical and contemporary perspectives / Abram Amsel.</t>
  </si>
  <si>
    <t>Amsel, Abram.</t>
  </si>
  <si>
    <t>Hillsdale, N.J. : L. Erlbaum Associates, 1989.</t>
  </si>
  <si>
    <t>MacEachran memorial lecture series</t>
  </si>
  <si>
    <t>2009-03-05</t>
  </si>
  <si>
    <t>16509998:eng</t>
  </si>
  <si>
    <t>17917400</t>
  </si>
  <si>
    <t>991001280909702656</t>
  </si>
  <si>
    <t>2270057780002656</t>
  </si>
  <si>
    <t>9780805803327</t>
  </si>
  <si>
    <t>32285000034966</t>
  </si>
  <si>
    <t>893250118</t>
  </si>
  <si>
    <t>BF318 .B68 1989</t>
  </si>
  <si>
    <t>0                      BF 0318000B  68          1989</t>
  </si>
  <si>
    <t>The rational infant : learning in infancy / T.G.R. Bower.</t>
  </si>
  <si>
    <t>Bower, T. G. R., 1941-</t>
  </si>
  <si>
    <t>New York, N.Y. : W.H. Freeman, c1989.</t>
  </si>
  <si>
    <t>2002-11-19</t>
  </si>
  <si>
    <t>1989-10-20</t>
  </si>
  <si>
    <t>18362542:eng</t>
  </si>
  <si>
    <t>18716026</t>
  </si>
  <si>
    <t>991001386159702656</t>
  </si>
  <si>
    <t>2262647400002656</t>
  </si>
  <si>
    <t>9780716720072</t>
  </si>
  <si>
    <t>32285000001528</t>
  </si>
  <si>
    <t>893809051</t>
  </si>
  <si>
    <t>BF318 .G34</t>
  </si>
  <si>
    <t>0                      BF 0318000G  34</t>
  </si>
  <si>
    <t>The learning theory of Piaget and Inhelder / Jeanette McCarthy Gallagher, D. Kim Reid.</t>
  </si>
  <si>
    <t>Gallagher, Jeanette McCarthy, 1932-</t>
  </si>
  <si>
    <t>Monterey, Calif. : Brooks/Cole Pub. Co., c1981.</t>
  </si>
  <si>
    <t>1991-11-05</t>
  </si>
  <si>
    <t>3082123:eng</t>
  </si>
  <si>
    <t>6813090</t>
  </si>
  <si>
    <t>991005043039702656</t>
  </si>
  <si>
    <t>2268264480002656</t>
  </si>
  <si>
    <t>9780818503436</t>
  </si>
  <si>
    <t>32285000795798</t>
  </si>
  <si>
    <t>893260467</t>
  </si>
  <si>
    <t>BF318 .H56</t>
  </si>
  <si>
    <t>0                      BF 0318000H  56</t>
  </si>
  <si>
    <t>The psychology of learning and memory / Douglas L. Hintzman. --</t>
  </si>
  <si>
    <t>Hintzman, Douglas L.</t>
  </si>
  <si>
    <t>San Francisco : W. H. Freeman, c1978.</t>
  </si>
  <si>
    <t>2004-12-14</t>
  </si>
  <si>
    <t>1990-02-06</t>
  </si>
  <si>
    <t>446960:eng</t>
  </si>
  <si>
    <t>3380344</t>
  </si>
  <si>
    <t>991004420439702656</t>
  </si>
  <si>
    <t>2272779300002656</t>
  </si>
  <si>
    <t>9780716700357</t>
  </si>
  <si>
    <t>32285000032929</t>
  </si>
  <si>
    <t>893253671</t>
  </si>
  <si>
    <t>BF318 .H84 1980</t>
  </si>
  <si>
    <t>0                      BF 0318000H  84          1980</t>
  </si>
  <si>
    <t>The psychology of learning / Stewart H. Hulse, Howard Egeth, James Deese.</t>
  </si>
  <si>
    <t>Hulse, Stewart H.</t>
  </si>
  <si>
    <t>New York : McGraw-Hill, c1980.</t>
  </si>
  <si>
    <t>5th ed.</t>
  </si>
  <si>
    <t>1994-11-10</t>
  </si>
  <si>
    <t>1320898:eng</t>
  </si>
  <si>
    <t>5447694</t>
  </si>
  <si>
    <t>991005214719702656</t>
  </si>
  <si>
    <t>2259208990002656</t>
  </si>
  <si>
    <t>9780070311510</t>
  </si>
  <si>
    <t>32285000601012</t>
  </si>
  <si>
    <t>893520648</t>
  </si>
  <si>
    <t>BF318 .R67</t>
  </si>
  <si>
    <t>0                      BF 0318000R  67</t>
  </si>
  <si>
    <t>Social learning and cognition / Ted L. Rosenthal, Barry J. Zimmerman.</t>
  </si>
  <si>
    <t>Rosenthal, Ted L.</t>
  </si>
  <si>
    <t>New York : Academic Press, 1978.</t>
  </si>
  <si>
    <t>1995-09-05</t>
  </si>
  <si>
    <t>1992-02-20</t>
  </si>
  <si>
    <t>409684:eng</t>
  </si>
  <si>
    <t>3748361</t>
  </si>
  <si>
    <t>991004507879702656</t>
  </si>
  <si>
    <t>2269180730002656</t>
  </si>
  <si>
    <t>9780125967501</t>
  </si>
  <si>
    <t>32285000971753</t>
  </si>
  <si>
    <t>893888800</t>
  </si>
  <si>
    <t>BF318 .S93</t>
  </si>
  <si>
    <t>0                      BF 0318000S  93</t>
  </si>
  <si>
    <t>Theories of learning : traditional perspectives/contemporary developments / Leland C. Swenson.</t>
  </si>
  <si>
    <t>Swenson, Leland C.</t>
  </si>
  <si>
    <t>Belmont, Calif. : Wadsworth Pub. Co., c1980.</t>
  </si>
  <si>
    <t>2004-09-05</t>
  </si>
  <si>
    <t>894520647:eng</t>
  </si>
  <si>
    <t>5101685</t>
  </si>
  <si>
    <t>991004777759702656</t>
  </si>
  <si>
    <t>2258985170002656</t>
  </si>
  <si>
    <t>9780534006983</t>
  </si>
  <si>
    <t>32285000601095</t>
  </si>
  <si>
    <t>893513668</t>
  </si>
  <si>
    <t>BF318 .T37</t>
  </si>
  <si>
    <t>0                      BF 0318000T  37</t>
  </si>
  <si>
    <t>Foundations of learning and memory / Roger M. Tarpy, Richard E. Mayer.</t>
  </si>
  <si>
    <t>Tarpy, Roger M., 1941-</t>
  </si>
  <si>
    <t>Glenview, Ill. : Scott, Foresman, c1978.</t>
  </si>
  <si>
    <t>1995-11-15</t>
  </si>
  <si>
    <t>1993-10-18</t>
  </si>
  <si>
    <t>10282274:eng</t>
  </si>
  <si>
    <t>3397029</t>
  </si>
  <si>
    <t>991004425159702656</t>
  </si>
  <si>
    <t>2267172690002656</t>
  </si>
  <si>
    <t>9780673150745</t>
  </si>
  <si>
    <t>32285001793826</t>
  </si>
  <si>
    <t>893241413</t>
  </si>
  <si>
    <t>BF318 .T53 1982</t>
  </si>
  <si>
    <t>0                      BF 0318000T  53          1982</t>
  </si>
  <si>
    <t>Modern learning theory : foundations and fundamental issues / Thomas J. Tighe.</t>
  </si>
  <si>
    <t>Tighe, Thomas J.</t>
  </si>
  <si>
    <t>New York : Oxford University Press, 1982.</t>
  </si>
  <si>
    <t>1997-09-02</t>
  </si>
  <si>
    <t>197065076:eng</t>
  </si>
  <si>
    <t>7653255</t>
  </si>
  <si>
    <t>991005144369702656</t>
  </si>
  <si>
    <t>2258773880002656</t>
  </si>
  <si>
    <t>9780195030273</t>
  </si>
  <si>
    <t>32285000601111</t>
  </si>
  <si>
    <t>893520504</t>
  </si>
  <si>
    <t>BF318 .T59 1984</t>
  </si>
  <si>
    <t>0                      BF 0318000T  59          1984</t>
  </si>
  <si>
    <t>Young children learning / Barbara Tizard and Martin Hughes.</t>
  </si>
  <si>
    <t>Tizard, Barbara.</t>
  </si>
  <si>
    <t>Cambridge, Mass. : Harvard University Press, 1984.</t>
  </si>
  <si>
    <t>1994-10-08</t>
  </si>
  <si>
    <t>2863475477:eng</t>
  </si>
  <si>
    <t>11114218</t>
  </si>
  <si>
    <t>991000493079702656</t>
  </si>
  <si>
    <t>2258863310002656</t>
  </si>
  <si>
    <t>9780674965959</t>
  </si>
  <si>
    <t>32285000032937</t>
  </si>
  <si>
    <t>893438298</t>
  </si>
  <si>
    <t>BF319 .B32</t>
  </si>
  <si>
    <t>0                      BF 0319000B  32</t>
  </si>
  <si>
    <t>Stimulus and response [by] John A. Barlow.</t>
  </si>
  <si>
    <t>Barlow, John A.</t>
  </si>
  <si>
    <t>New York, Harper &amp; Row [1967, c1968]</t>
  </si>
  <si>
    <t>2001-02-19</t>
  </si>
  <si>
    <t>1992-06-11</t>
  </si>
  <si>
    <t>1334113:eng</t>
  </si>
  <si>
    <t>224516</t>
  </si>
  <si>
    <t>991001374489702656</t>
  </si>
  <si>
    <t>2264271710002656</t>
  </si>
  <si>
    <t>32285001099265</t>
  </si>
  <si>
    <t>893621290</t>
  </si>
  <si>
    <t>BF319 .F38</t>
  </si>
  <si>
    <t>0                      BF 0319000F  38</t>
  </si>
  <si>
    <t>Behavior principles / [by] C. B. Ferster [and] Mary Carol Perrott.</t>
  </si>
  <si>
    <t>Ferster, Charles B., 1922-</t>
  </si>
  <si>
    <t>New York : Appleton-Century-Crofts, [1968]</t>
  </si>
  <si>
    <t>1994-09-29</t>
  </si>
  <si>
    <t>1992-02-19</t>
  </si>
  <si>
    <t>410245:eng</t>
  </si>
  <si>
    <t>224498</t>
  </si>
  <si>
    <t>991001374389702656</t>
  </si>
  <si>
    <t>2264198250002656</t>
  </si>
  <si>
    <t>32285000971332</t>
  </si>
  <si>
    <t>893785065</t>
  </si>
  <si>
    <t>BF319 .F68</t>
  </si>
  <si>
    <t>0                      BF 0319000F  68</t>
  </si>
  <si>
    <t>Conditioning techniques in clinical practice and research / introduced and edited by Cyril M. Franks.</t>
  </si>
  <si>
    <t>Franks, Cyril M. editor.</t>
  </si>
  <si>
    <t>New York : Springer Pub. Co., [1964]</t>
  </si>
  <si>
    <t>5578315518:eng</t>
  </si>
  <si>
    <t>259473</t>
  </si>
  <si>
    <t>991002022869702656</t>
  </si>
  <si>
    <t>2272735970002656</t>
  </si>
  <si>
    <t>32285001839959</t>
  </si>
  <si>
    <t>893433401</t>
  </si>
  <si>
    <t>BF319 .I53 1981</t>
  </si>
  <si>
    <t>0                      BF 0319000I  53          1981</t>
  </si>
  <si>
    <t>Information processing in animals, memory mechanisms / edited by Norman E. Spear, Ralph R. Miller.</t>
  </si>
  <si>
    <t>1995-04-13</t>
  </si>
  <si>
    <t>1991-05-06</t>
  </si>
  <si>
    <t>365911617:eng</t>
  </si>
  <si>
    <t>7837609</t>
  </si>
  <si>
    <t>991005168709702656</t>
  </si>
  <si>
    <t>2256964230002656</t>
  </si>
  <si>
    <t>9780898591576</t>
  </si>
  <si>
    <t>32285000601137</t>
  </si>
  <si>
    <t>893536429</t>
  </si>
  <si>
    <t>BF319 .R327</t>
  </si>
  <si>
    <t>0                      BF 0319000R  327</t>
  </si>
  <si>
    <t>Behavior and learning / Howard Rachlin.</t>
  </si>
  <si>
    <t>Rachlin, Howard, 1935-</t>
  </si>
  <si>
    <t>1994-11-22</t>
  </si>
  <si>
    <t>2704484:eng</t>
  </si>
  <si>
    <t>2020606</t>
  </si>
  <si>
    <t>991003982069702656</t>
  </si>
  <si>
    <t>2271377660002656</t>
  </si>
  <si>
    <t>9780716705680</t>
  </si>
  <si>
    <t>32285000601145</t>
  </si>
  <si>
    <t>893705859</t>
  </si>
  <si>
    <t>BF319 .R33 1976</t>
  </si>
  <si>
    <t>0                      BF 0319000R  33          1976</t>
  </si>
  <si>
    <t>Introduction to modern behaviorism / Howard Rachlin.</t>
  </si>
  <si>
    <t>1998-09-29</t>
  </si>
  <si>
    <t>1237256:eng</t>
  </si>
  <si>
    <t>2020488</t>
  </si>
  <si>
    <t>991003981649702656</t>
  </si>
  <si>
    <t>2271530800002656</t>
  </si>
  <si>
    <t>9780716704935</t>
  </si>
  <si>
    <t>32285001098952</t>
  </si>
  <si>
    <t>893506233</t>
  </si>
  <si>
    <t>BF319 .S66</t>
  </si>
  <si>
    <t>0                      BF 0319000S  66</t>
  </si>
  <si>
    <t>Behavior theory and conditioning.</t>
  </si>
  <si>
    <t>Spence, Kenneth W. (Kenneth Wartenbee), 1907-1967.</t>
  </si>
  <si>
    <t>New Haven : Yale University Press, 1956.</t>
  </si>
  <si>
    <t>Yale University. Mrs. Hepsa Ely Silliman memorial lectures</t>
  </si>
  <si>
    <t>1993-03-25</t>
  </si>
  <si>
    <t>197232097:eng</t>
  </si>
  <si>
    <t>273629</t>
  </si>
  <si>
    <t>991002159699702656</t>
  </si>
  <si>
    <t>2263243810002656</t>
  </si>
  <si>
    <t>32285001591527</t>
  </si>
  <si>
    <t>893433555</t>
  </si>
  <si>
    <t>BF319.5.A8 A9 1971</t>
  </si>
  <si>
    <t>0                      BF 0319500A  8                  A  9           1971</t>
  </si>
  <si>
    <t>Aversive conditioning and learning, edited by F. Robert Brush. Contributors: A. H. Black [and others]</t>
  </si>
  <si>
    <t>New York, Academic Press, 1971.</t>
  </si>
  <si>
    <t>365345226:eng</t>
  </si>
  <si>
    <t>152315</t>
  </si>
  <si>
    <t>991000881009702656</t>
  </si>
  <si>
    <t>2271901070002656</t>
  </si>
  <si>
    <t>9780121379506</t>
  </si>
  <si>
    <t>32285002246758</t>
  </si>
  <si>
    <t>893595984</t>
  </si>
  <si>
    <t>BF319.5.B5 B58</t>
  </si>
  <si>
    <t>0                      BF 0319500B  5                  B  58</t>
  </si>
  <si>
    <t>A biofeedback primer / Edward B. Blanchard, Leonard H. Epstein.</t>
  </si>
  <si>
    <t>Blanchard, Edward B.</t>
  </si>
  <si>
    <t>Reading, Mass. : Addison-Wesley Pub. Co., c1978.</t>
  </si>
  <si>
    <t>Addison-Wesley series in clinical and professional psychology</t>
  </si>
  <si>
    <t>1992-03-02</t>
  </si>
  <si>
    <t>9349356079:eng</t>
  </si>
  <si>
    <t>3794403</t>
  </si>
  <si>
    <t>991004517579702656</t>
  </si>
  <si>
    <t>2259331240002656</t>
  </si>
  <si>
    <t>9780201003383</t>
  </si>
  <si>
    <t>32285000238278</t>
  </si>
  <si>
    <t>893618757</t>
  </si>
  <si>
    <t>BF319.5.B5 C3</t>
  </si>
  <si>
    <t>0                      BF 0319500B  5                  C  3</t>
  </si>
  <si>
    <t>The awakened mind : biofeedback and the development of higher states of awareness / C. Maxwell Cade &amp; Nona Coxhead.</t>
  </si>
  <si>
    <t>Cade, C. Maxwell (Cecil Maxwell)</t>
  </si>
  <si>
    <t>New York : Delacorte Press/Eleanor Friede, c1979.</t>
  </si>
  <si>
    <t>1997-04-18</t>
  </si>
  <si>
    <t>8568402:eng</t>
  </si>
  <si>
    <t>4194330</t>
  </si>
  <si>
    <t>991004605529702656</t>
  </si>
  <si>
    <t>2262403050002656</t>
  </si>
  <si>
    <t>9780440002444</t>
  </si>
  <si>
    <t>32285001060507</t>
  </si>
  <si>
    <t>893901424</t>
  </si>
  <si>
    <t>BF319.5.B5 J46</t>
  </si>
  <si>
    <t>0                      BF 0319500B  5                  J  46</t>
  </si>
  <si>
    <t>Your body--biofeedback at its best / Beata Jencks.</t>
  </si>
  <si>
    <t>Jencks, Beata.</t>
  </si>
  <si>
    <t>Chicago : Nelson-Hall, c1977.</t>
  </si>
  <si>
    <t>541359:eng</t>
  </si>
  <si>
    <t>3186534</t>
  </si>
  <si>
    <t>991004369909702656</t>
  </si>
  <si>
    <t>2259953700002656</t>
  </si>
  <si>
    <t>9780882293516</t>
  </si>
  <si>
    <t>32285000795806</t>
  </si>
  <si>
    <t>893800899</t>
  </si>
  <si>
    <t>BF319.5.B5 S73</t>
  </si>
  <si>
    <t>0                      BF 0319500B  5                  S  73</t>
  </si>
  <si>
    <t>Biofeedback : how to control your body, improve your health, and increase your effectiveness / Robert M. Stern, William J. Ray.</t>
  </si>
  <si>
    <t>Stern, Robert Morris, 1937-</t>
  </si>
  <si>
    <t>Homewood, Ill. : Dow Jones-Irwin, 1977.</t>
  </si>
  <si>
    <t>1997-02-13</t>
  </si>
  <si>
    <t>2261051822:eng</t>
  </si>
  <si>
    <t>3110452</t>
  </si>
  <si>
    <t>991004348859702656</t>
  </si>
  <si>
    <t>2265996370002656</t>
  </si>
  <si>
    <t>9780870941399</t>
  </si>
  <si>
    <t>32285000601236</t>
  </si>
  <si>
    <t>893519541</t>
  </si>
  <si>
    <t>BF319.5.F4 A5</t>
  </si>
  <si>
    <t>0                      BF 0319500F  4                  A  5</t>
  </si>
  <si>
    <t>Feedback and human behaviour; the effects of knowledge of results, incentives, and reinforcement on learning and performance.</t>
  </si>
  <si>
    <t>Annett, John.</t>
  </si>
  <si>
    <t>Baltimore, Penguin Books [1969]</t>
  </si>
  <si>
    <t>Penguin Education</t>
  </si>
  <si>
    <t>2004-12-05</t>
  </si>
  <si>
    <t>53929077:eng</t>
  </si>
  <si>
    <t>52668</t>
  </si>
  <si>
    <t>991000127699702656</t>
  </si>
  <si>
    <t>2259213880002656</t>
  </si>
  <si>
    <t>32285002246782</t>
  </si>
  <si>
    <t>893601485</t>
  </si>
  <si>
    <t>BF319.5.O6 G4</t>
  </si>
  <si>
    <t>0                      BF 0319500O  6                  G  4</t>
  </si>
  <si>
    <t>Behavior mod and the managed society / Robert L. Geiser. --</t>
  </si>
  <si>
    <t>Geiser, Robert L.</t>
  </si>
  <si>
    <t>Boston : Beacon Press, c1976.</t>
  </si>
  <si>
    <t>2005-10-19</t>
  </si>
  <si>
    <t>2733482:eng</t>
  </si>
  <si>
    <t>1975092</t>
  </si>
  <si>
    <t>991003960819702656</t>
  </si>
  <si>
    <t>2262545600002656</t>
  </si>
  <si>
    <t>9780807029602</t>
  </si>
  <si>
    <t>32285000601251</t>
  </si>
  <si>
    <t>893253069</t>
  </si>
  <si>
    <t>BF319.5.O6 W47</t>
  </si>
  <si>
    <t>0                      BF 0319500O  6                  W  47</t>
  </si>
  <si>
    <t>Beyond the punitive society; operant conditioning: social and political aspects. Edited by Harvey Wheeler.</t>
  </si>
  <si>
    <t>Wheeler, Harvey, 1918-2004.</t>
  </si>
  <si>
    <t>San Francisco, W. H. Freeman [1973]</t>
  </si>
  <si>
    <t>1999-04-18</t>
  </si>
  <si>
    <t>502855361:eng</t>
  </si>
  <si>
    <t>572872</t>
  </si>
  <si>
    <t>991003005769702656</t>
  </si>
  <si>
    <t>2272574580002656</t>
  </si>
  <si>
    <t>9780716707851</t>
  </si>
  <si>
    <t>32285002246857</t>
  </si>
  <si>
    <t>893774288</t>
  </si>
  <si>
    <t>BF319.5.P8 C63 1967</t>
  </si>
  <si>
    <t>0                      BF 0319500P  8                  C  63          1967</t>
  </si>
  <si>
    <t>Punishment and aversive behavior / edited by Byron A. Campbell [and] Russell M. Church.</t>
  </si>
  <si>
    <t>Conference on Punishment (1967 : Princeton, N.J.)</t>
  </si>
  <si>
    <t>New York : Appleton-Century-Crofts, [1969]</t>
  </si>
  <si>
    <t>1997-02-02</t>
  </si>
  <si>
    <t>1992-11-04</t>
  </si>
  <si>
    <t>1090984964:eng</t>
  </si>
  <si>
    <t>52376</t>
  </si>
  <si>
    <t>991000127029702656</t>
  </si>
  <si>
    <t>2259111270002656</t>
  </si>
  <si>
    <t>9780390168658</t>
  </si>
  <si>
    <t>32285001380798</t>
  </si>
  <si>
    <t>893771416</t>
  </si>
  <si>
    <t>BF319.5.P8 E34 1983</t>
  </si>
  <si>
    <t>0                      BF 0319500P  8                  E  34          1983</t>
  </si>
  <si>
    <t>The Effects of punishment on human behavior / edited by Saul Axelrod, Jack Apsche ; contributors, Saul Axelrod ... [et al.].</t>
  </si>
  <si>
    <t>New York : Academic Press, 1983.</t>
  </si>
  <si>
    <t>1997-03-07</t>
  </si>
  <si>
    <t>351179799:eng</t>
  </si>
  <si>
    <t>8708928</t>
  </si>
  <si>
    <t>991000055829702656</t>
  </si>
  <si>
    <t>2256925600002656</t>
  </si>
  <si>
    <t>9780120687404</t>
  </si>
  <si>
    <t>32285000601285</t>
  </si>
  <si>
    <t>893444178</t>
  </si>
  <si>
    <t>BF319.5.R4 C6</t>
  </si>
  <si>
    <t>0                      BF 0319500R  4                  C  6</t>
  </si>
  <si>
    <t>Conditioned reinforcement / edited by Derek P. Hendry.</t>
  </si>
  <si>
    <t>Homewood, Ill. : Dorsey Press, 1969.</t>
  </si>
  <si>
    <t>1999-04-14</t>
  </si>
  <si>
    <t>1990-09-06</t>
  </si>
  <si>
    <t>1091239092:eng</t>
  </si>
  <si>
    <t>34644</t>
  </si>
  <si>
    <t>991000088689702656</t>
  </si>
  <si>
    <t>2259740160002656</t>
  </si>
  <si>
    <t>32285000300896</t>
  </si>
  <si>
    <t>893771367</t>
  </si>
  <si>
    <t>BF319.5.R48 H5</t>
  </si>
  <si>
    <t>0                      BF 0319500R  48                 H  5</t>
  </si>
  <si>
    <t>The Hidden costs of reward : new perspectives on the psychology of human motivation / edited by Mark R. Lepper, David Greene.</t>
  </si>
  <si>
    <t>Hillsdale, N.J. : L. Erlbaum Associates ; New York : distributed by Halsted Press, 1978.</t>
  </si>
  <si>
    <t>2007-10-08</t>
  </si>
  <si>
    <t>909681532:eng</t>
  </si>
  <si>
    <t>4114382</t>
  </si>
  <si>
    <t>991004589609702656</t>
  </si>
  <si>
    <t>2271854060002656</t>
  </si>
  <si>
    <t>9780470264874</t>
  </si>
  <si>
    <t>32285000601293</t>
  </si>
  <si>
    <t>893869892</t>
  </si>
  <si>
    <t>BF320 .A4</t>
  </si>
  <si>
    <t>0                      BF 0320000A  4</t>
  </si>
  <si>
    <t>Altered states of awareness; readings from Scientific American. With introds. by Timothy J. Teyler.</t>
  </si>
  <si>
    <t>San Francisco, W. H. Freeman [1972]</t>
  </si>
  <si>
    <t>1998-10-08</t>
  </si>
  <si>
    <t>3769599249:eng</t>
  </si>
  <si>
    <t>348330</t>
  </si>
  <si>
    <t>991002434209702656</t>
  </si>
  <si>
    <t>2271197260002656</t>
  </si>
  <si>
    <t>9780716708568</t>
  </si>
  <si>
    <t>32285002246881</t>
  </si>
  <si>
    <t>893710288</t>
  </si>
  <si>
    <t>BF321 .B35 1958</t>
  </si>
  <si>
    <t>0                      BF 0321000B  35          1958</t>
  </si>
  <si>
    <t>The art of listening.</t>
  </si>
  <si>
    <t>Barbara, Dominick A.</t>
  </si>
  <si>
    <t>Springfield, Ill. : C. C. Thomas, [1958]</t>
  </si>
  <si>
    <t>1995-10-18</t>
  </si>
  <si>
    <t>1991-12-23</t>
  </si>
  <si>
    <t>1260486:eng</t>
  </si>
  <si>
    <t>203682</t>
  </si>
  <si>
    <t>991001231289702656</t>
  </si>
  <si>
    <t>2256007600002656</t>
  </si>
  <si>
    <t>32285000880368</t>
  </si>
  <si>
    <t>893709109</t>
  </si>
  <si>
    <t>BF321 .N5</t>
  </si>
  <si>
    <t>0                      BF 0321000N  5</t>
  </si>
  <si>
    <t>Are you listening? / [by] Ralph G. Nichols [and] Leonard A. Stevens.</t>
  </si>
  <si>
    <t>Nichols, Ralph G.</t>
  </si>
  <si>
    <t>New York : McGraw-Hill, [1957]</t>
  </si>
  <si>
    <t>2001-03-02</t>
  </si>
  <si>
    <t>1334058:eng</t>
  </si>
  <si>
    <t>224491</t>
  </si>
  <si>
    <t>991001762039702656</t>
  </si>
  <si>
    <t>2264199100002656</t>
  </si>
  <si>
    <t>32285000880350</t>
  </si>
  <si>
    <t>893238318</t>
  </si>
  <si>
    <t>BF323.C5 C63</t>
  </si>
  <si>
    <t>0                      BF 0323000C  5                  C  63</t>
  </si>
  <si>
    <t>Cognitive responses in persuasion / edited by Richard E. Petty, Thomas M. Ostrom, Timothy C. Brock.</t>
  </si>
  <si>
    <t>2000-04-20</t>
  </si>
  <si>
    <t>1991-12-06</t>
  </si>
  <si>
    <t>350328294:eng</t>
  </si>
  <si>
    <t>6917697</t>
  </si>
  <si>
    <t>991005386019702656</t>
  </si>
  <si>
    <t>2264700540002656</t>
  </si>
  <si>
    <t>9780898590258</t>
  </si>
  <si>
    <t>32285000838275</t>
  </si>
  <si>
    <t>893783597</t>
  </si>
  <si>
    <t>BF323.C5 F5</t>
  </si>
  <si>
    <t>0                      BF 0323000C  5                  F  5</t>
  </si>
  <si>
    <t>Readings in attitude theory and measurement.</t>
  </si>
  <si>
    <t>Fishbein, Martin compiler.</t>
  </si>
  <si>
    <t>2003-04-11</t>
  </si>
  <si>
    <t>148916:eng</t>
  </si>
  <si>
    <t>193771</t>
  </si>
  <si>
    <t>991001215309702656</t>
  </si>
  <si>
    <t>2268803010002656</t>
  </si>
  <si>
    <t>32285001968428</t>
  </si>
  <si>
    <t>893250061</t>
  </si>
  <si>
    <t>BF323.C5 G7 1968</t>
  </si>
  <si>
    <t>0                      BF 0323000C  5                  G  7           1968</t>
  </si>
  <si>
    <t>Psychological foundations of attitudes, edited by Anthony G. Greenwald, Timothy C. Brock [and] Thomas M. Ostrom.</t>
  </si>
  <si>
    <t>Greenwald, Anthony G.</t>
  </si>
  <si>
    <t>1998-02-25</t>
  </si>
  <si>
    <t>7425597:eng</t>
  </si>
  <si>
    <t>166263</t>
  </si>
  <si>
    <t>991000941499702656</t>
  </si>
  <si>
    <t>2271319000002656</t>
  </si>
  <si>
    <t>32285002247012</t>
  </si>
  <si>
    <t>893784665</t>
  </si>
  <si>
    <t>BF323.C5 H3 1976</t>
  </si>
  <si>
    <t>0                      BF 0323000C  5                  H  3           1976</t>
  </si>
  <si>
    <t>Attitude formation and change / by J. D. Halloran.</t>
  </si>
  <si>
    <t>Halloran, James D. (James Dermot)</t>
  </si>
  <si>
    <t>Westport, Conn. : Greenwood Press, 1976, c1967.</t>
  </si>
  <si>
    <t>501643:eng</t>
  </si>
  <si>
    <t>2149905</t>
  </si>
  <si>
    <t>991004029689702656</t>
  </si>
  <si>
    <t>2271803630002656</t>
  </si>
  <si>
    <t>9780837187006</t>
  </si>
  <si>
    <t>32285002247020</t>
  </si>
  <si>
    <t>893605548</t>
  </si>
  <si>
    <t>BF323.C5 I5</t>
  </si>
  <si>
    <t>0                      BF 0323000C  5                  I  5</t>
  </si>
  <si>
    <t>Theories of attitude change / [by] Chester A. Insko.</t>
  </si>
  <si>
    <t>Insko, Chester A.</t>
  </si>
  <si>
    <t>New York : Appleton-Century-Crofts, [1967]</t>
  </si>
  <si>
    <t>1990-09-21</t>
  </si>
  <si>
    <t>1358985:eng</t>
  </si>
  <si>
    <t>194210</t>
  </si>
  <si>
    <t>991001216289702656</t>
  </si>
  <si>
    <t>2269385990002656</t>
  </si>
  <si>
    <t>32285000307834</t>
  </si>
  <si>
    <t>893621163</t>
  </si>
  <si>
    <t>BF323.C5 K5</t>
  </si>
  <si>
    <t>0                      BF 0323000C  5                  K  5</t>
  </si>
  <si>
    <t>Attitude change : a critical analysis of theoretical approaches / [by] Charles A. Kiesler, Barry E. Collins [and] Norman Miller.</t>
  </si>
  <si>
    <t>Kiesler, Charles A., 1934-2002.</t>
  </si>
  <si>
    <t>New York : Wiley, [1969]</t>
  </si>
  <si>
    <t>Series in psychology</t>
  </si>
  <si>
    <t>2005-04-04</t>
  </si>
  <si>
    <t>1125815:eng</t>
  </si>
  <si>
    <t>2593</t>
  </si>
  <si>
    <t>991005434809702656</t>
  </si>
  <si>
    <t>2262638730002656</t>
  </si>
  <si>
    <t>32285000876051</t>
  </si>
  <si>
    <t>893620004</t>
  </si>
  <si>
    <t>BF323.C5 S5</t>
  </si>
  <si>
    <t>0                      BF 0323000C  5                  S  5</t>
  </si>
  <si>
    <t>Attitude and attitude change; the social judgment-involvement approach [by] Carolyn W. Sherif, Muzafer Sherif and Roger E. Nebergall.</t>
  </si>
  <si>
    <t>Sherif, Carolyn W.</t>
  </si>
  <si>
    <t>Philadelphia, Saunders, 1965.</t>
  </si>
  <si>
    <t>2005-09-20</t>
  </si>
  <si>
    <t>1962665:eng</t>
  </si>
  <si>
    <t>1101352</t>
  </si>
  <si>
    <t>991003536319702656</t>
  </si>
  <si>
    <t>2270769650002656</t>
  </si>
  <si>
    <t>32285002247046</t>
  </si>
  <si>
    <t>893717772</t>
  </si>
  <si>
    <t>BF323.C5 S85</t>
  </si>
  <si>
    <t>0                      BF 0323000C  5                  S  85</t>
  </si>
  <si>
    <t>Attitude measurement, edited by Gene F. Summers.</t>
  </si>
  <si>
    <t>Summers, Gene F., 1936-, compiler.</t>
  </si>
  <si>
    <t>Chicago, Rand McNally [1970]</t>
  </si>
  <si>
    <t>Rand McNally sociology series</t>
  </si>
  <si>
    <t>55128993:eng</t>
  </si>
  <si>
    <t>74601</t>
  </si>
  <si>
    <t>991000424589702656</t>
  </si>
  <si>
    <t>2272176970002656</t>
  </si>
  <si>
    <t>32285002247053</t>
  </si>
  <si>
    <t>893243230</t>
  </si>
  <si>
    <t>BF323.C5 T73</t>
  </si>
  <si>
    <t>0                      BF 0323000C  5                  T  73</t>
  </si>
  <si>
    <t>Attitude and attitude change / [by] Harry C. Triandis.</t>
  </si>
  <si>
    <t>Triandis, Harry Charalambos, 1926-</t>
  </si>
  <si>
    <t>New York : Wiley, [1971]</t>
  </si>
  <si>
    <t>Wiley foundations in social psychology</t>
  </si>
  <si>
    <t>1991-12-10</t>
  </si>
  <si>
    <t>1261409:eng</t>
  </si>
  <si>
    <t>129468</t>
  </si>
  <si>
    <t>991000741739702656</t>
  </si>
  <si>
    <t>2266632110002656</t>
  </si>
  <si>
    <t>9780471888307</t>
  </si>
  <si>
    <t>32285000875194</t>
  </si>
  <si>
    <t>893425995</t>
  </si>
  <si>
    <t>BF323.C5 Z5 1977a</t>
  </si>
  <si>
    <t>0                      BF 0323000C  5                  Z  5           1977a</t>
  </si>
  <si>
    <t>Influencing attitudes and changing behavior : an introduction to method, theory, and applications of social control and personal power / Philip G. Zimbardo, Ebbe B. Ebbesen, Christina Maslach.</t>
  </si>
  <si>
    <t>Zimbardo, Philip G.</t>
  </si>
  <si>
    <t>New York : Random House, c1977.</t>
  </si>
  <si>
    <t>Topics in social psychology</t>
  </si>
  <si>
    <t>2002-03-27</t>
  </si>
  <si>
    <t>1992-08-13</t>
  </si>
  <si>
    <t>4714421408:eng</t>
  </si>
  <si>
    <t>14388252</t>
  </si>
  <si>
    <t>991000939389702656</t>
  </si>
  <si>
    <t>2255759840002656</t>
  </si>
  <si>
    <t>9780394348292</t>
  </si>
  <si>
    <t>32285001254910</t>
  </si>
  <si>
    <t>893419906</t>
  </si>
  <si>
    <t>BF323.D6 K73 1977</t>
  </si>
  <si>
    <t>0                      BF 0323000D  6                  K  73          1977</t>
  </si>
  <si>
    <t>The anti-authoritarian personality / by William P. Kreml.</t>
  </si>
  <si>
    <t>Kreml, William P.</t>
  </si>
  <si>
    <t>Oxford ; New York : Pergamon Press, c1977.</t>
  </si>
  <si>
    <t>International series of monographs in experimental psychology ; v. 21</t>
  </si>
  <si>
    <t>1994-02-08</t>
  </si>
  <si>
    <t>6908748:eng</t>
  </si>
  <si>
    <t>2933517</t>
  </si>
  <si>
    <t>991004288519702656</t>
  </si>
  <si>
    <t>2268168550002656</t>
  </si>
  <si>
    <t>9780080210636</t>
  </si>
  <si>
    <t>32285001837607</t>
  </si>
  <si>
    <t>893700056</t>
  </si>
  <si>
    <t>BF323.D6 W54 1972</t>
  </si>
  <si>
    <t>0                      BF 0323000D  6                  W  54          1972</t>
  </si>
  <si>
    <t>The broken rebel; a study in culture, politics, and authoritarian character.</t>
  </si>
  <si>
    <t>Wilkinson, Rupert.</t>
  </si>
  <si>
    <t>New York, Harper &amp; Row [1972]</t>
  </si>
  <si>
    <t>1588755:eng</t>
  </si>
  <si>
    <t>494967</t>
  </si>
  <si>
    <t>991002863849702656</t>
  </si>
  <si>
    <t>2255782930002656</t>
  </si>
  <si>
    <t>9780060146603</t>
  </si>
  <si>
    <t>32285002247079</t>
  </si>
  <si>
    <t>893262516</t>
  </si>
  <si>
    <t>BF323.E8 J66</t>
  </si>
  <si>
    <t>0                      BF 0323000E  8                  J  66</t>
  </si>
  <si>
    <t>Self-fulfilling prophecies : social, psychological, and physiological effects of expectancies / Russell A. Jones.</t>
  </si>
  <si>
    <t>Jones, Russell A.</t>
  </si>
  <si>
    <t>Hillsdale, N.J. : L. Erlbaum Associates ; New York : distributed by Halsted Press, c1977.</t>
  </si>
  <si>
    <t>1994-10-26</t>
  </si>
  <si>
    <t>10313041:eng</t>
  </si>
  <si>
    <t>3426956</t>
  </si>
  <si>
    <t>991004431999702656</t>
  </si>
  <si>
    <t>2260088310002656</t>
  </si>
  <si>
    <t>9780470993019</t>
  </si>
  <si>
    <t>32285000875186</t>
  </si>
  <si>
    <t>893411533</t>
  </si>
  <si>
    <t>BF323.L5 B33</t>
  </si>
  <si>
    <t>0                      BF 0323000L  5                  B  33</t>
  </si>
  <si>
    <t>How to make people listen to you / by Dominick A. Barbara.</t>
  </si>
  <si>
    <t>Springfield, Ill. : Thomas, [1971]</t>
  </si>
  <si>
    <t>American lecture series ; publication no. 819</t>
  </si>
  <si>
    <t>1328684:eng</t>
  </si>
  <si>
    <t>222444</t>
  </si>
  <si>
    <t>991001365789702656</t>
  </si>
  <si>
    <t>2262165430002656</t>
  </si>
  <si>
    <t>32285000094697</t>
  </si>
  <si>
    <t>893715390</t>
  </si>
  <si>
    <t>BF323.S63 H56 1993</t>
  </si>
  <si>
    <t>0                      BF 0323000S  63                 H  56          1993</t>
  </si>
  <si>
    <t>The psychology of interpersonal perception / Perry R. Hinton.</t>
  </si>
  <si>
    <t>Hinton, Perry R. (Perry Roy), 1954-</t>
  </si>
  <si>
    <t>2007-11-19</t>
  </si>
  <si>
    <t>1995-02-02</t>
  </si>
  <si>
    <t>41394714:eng</t>
  </si>
  <si>
    <t>25746324</t>
  </si>
  <si>
    <t>991002022799702656</t>
  </si>
  <si>
    <t>2269576170002656</t>
  </si>
  <si>
    <t>9780415084512</t>
  </si>
  <si>
    <t>32285001974384</t>
  </si>
  <si>
    <t>893340947</t>
  </si>
  <si>
    <t>BF323.S63 J66 1990</t>
  </si>
  <si>
    <t>0                      BF 0323000S  63                 J  66          1990</t>
  </si>
  <si>
    <t>Interpersonal perception / Edward E. Jones.</t>
  </si>
  <si>
    <t>Jones, Edward E. (Edward Ellsworth), 1926-1993.</t>
  </si>
  <si>
    <t>New York : W.H. Freeman, c1990.</t>
  </si>
  <si>
    <t>1990</t>
  </si>
  <si>
    <t>1992-07-28</t>
  </si>
  <si>
    <t>3856416565:eng</t>
  </si>
  <si>
    <t>21950924</t>
  </si>
  <si>
    <t>991001733689702656</t>
  </si>
  <si>
    <t>2270925040002656</t>
  </si>
  <si>
    <t>9780716721383</t>
  </si>
  <si>
    <t>32285001195709</t>
  </si>
  <si>
    <t>893516444</t>
  </si>
  <si>
    <t>BF323.S63 P47 1991</t>
  </si>
  <si>
    <t>0                      BF 0323000S  63                 P  47          1991</t>
  </si>
  <si>
    <t>Perspectives on socially shared cognition / edited by Lauren B. Resnick, John M. Levine, and Stephanie D. Teasley.</t>
  </si>
  <si>
    <t>vau</t>
  </si>
  <si>
    <t>2009-10-08</t>
  </si>
  <si>
    <t>1992-03-06</t>
  </si>
  <si>
    <t>55463747:eng</t>
  </si>
  <si>
    <t>23768180</t>
  </si>
  <si>
    <t>991001886959702656</t>
  </si>
  <si>
    <t>2269848120002656</t>
  </si>
  <si>
    <t>9781557981219</t>
  </si>
  <si>
    <t>32285000937606</t>
  </si>
  <si>
    <t>893797895</t>
  </si>
  <si>
    <t>BF325 .S87 1976</t>
  </si>
  <si>
    <t>0                      BF 0325000S  87          1976</t>
  </si>
  <si>
    <t>Cognitive processes in comprehension / edited by Marcel Adam Just, Patricia A. Carpenter.</t>
  </si>
  <si>
    <t>Carnegie Symposium on Cognition (12th : 1976 : Carnegie-Mellon University)</t>
  </si>
  <si>
    <t>Hillsdale, N.J. : Lawrence Erlbaum Associates : distributed by the Halsted Press Division of Wiley, 1977.</t>
  </si>
  <si>
    <t>2005-02-22</t>
  </si>
  <si>
    <t>916923075:eng</t>
  </si>
  <si>
    <t>3361159</t>
  </si>
  <si>
    <t>991004415399702656</t>
  </si>
  <si>
    <t>2255766420002656</t>
  </si>
  <si>
    <t>9780470993460</t>
  </si>
  <si>
    <t>32285002247111</t>
  </si>
  <si>
    <t>893241402</t>
  </si>
  <si>
    <t>BF335 .S34 1965</t>
  </si>
  <si>
    <t>0                      BF 0335000S  34          1965</t>
  </si>
  <si>
    <t>Personality dynamics and mental health; principles of adjustment and mental hygiene [by] Alexander A. Schneiders.</t>
  </si>
  <si>
    <t>Schneiders, Alexander A. (Alexander Aloysius), 1909-1968.</t>
  </si>
  <si>
    <t>New York, Holt, Rinehart and Winston [1965]</t>
  </si>
  <si>
    <t>1996-12-03</t>
  </si>
  <si>
    <t>196160792:eng</t>
  </si>
  <si>
    <t>193345</t>
  </si>
  <si>
    <t>991001213789702656</t>
  </si>
  <si>
    <t>2270837160002656</t>
  </si>
  <si>
    <t>32285002247293</t>
  </si>
  <si>
    <t>893772404</t>
  </si>
  <si>
    <t>BF341 .B68</t>
  </si>
  <si>
    <t>0                      BF 0341000B  68</t>
  </si>
  <si>
    <t>Brain, environment, and social psychology / by J. K. Chadwick-Jones ... [et al.].</t>
  </si>
  <si>
    <t>Baltimore : University Park Press, c1979.</t>
  </si>
  <si>
    <t>1999-03-13</t>
  </si>
  <si>
    <t>504118:eng</t>
  </si>
  <si>
    <t>4515516</t>
  </si>
  <si>
    <t>991004671149702656</t>
  </si>
  <si>
    <t>2263047640002656</t>
  </si>
  <si>
    <t>9780839113232</t>
  </si>
  <si>
    <t>32285000838283</t>
  </si>
  <si>
    <t>893337986</t>
  </si>
  <si>
    <t>BF353 .B3</t>
  </si>
  <si>
    <t>0                      BF 0353000B  3</t>
  </si>
  <si>
    <t>Ecological psychology; concepts and methods for studying the environment of human behavior [by] Roger G. Barker.</t>
  </si>
  <si>
    <t>Barker, Roger G. (Roger Garlock), 1903-1990.</t>
  </si>
  <si>
    <t>Stanford, Calif., Stanford University Press, 1968.</t>
  </si>
  <si>
    <t>2003-04-10</t>
  </si>
  <si>
    <t>349264298:eng</t>
  </si>
  <si>
    <t>193336</t>
  </si>
  <si>
    <t>991001213679702656</t>
  </si>
  <si>
    <t>2270833310002656</t>
  </si>
  <si>
    <t>32285002247350</t>
  </si>
  <si>
    <t>893778644</t>
  </si>
  <si>
    <t>BF353 .B314</t>
  </si>
  <si>
    <t>0                      BF 0353000B  314</t>
  </si>
  <si>
    <t>Habitats, environments, and human behavior : [studies in ecological psychology and eco-behavioral science from the Midwest Psychological Field Station, 1947-1972] / Roger G. Barker and associates.</t>
  </si>
  <si>
    <t>San Francisco : Jossey-Bass, 1978.</t>
  </si>
  <si>
    <t>The Jossey-Bass social and behavioral science series</t>
  </si>
  <si>
    <t>1990-04-25</t>
  </si>
  <si>
    <t>350716575:eng</t>
  </si>
  <si>
    <t>3615007</t>
  </si>
  <si>
    <t>991004477979702656</t>
  </si>
  <si>
    <t>2266492180002656</t>
  </si>
  <si>
    <t>9780875893563</t>
  </si>
  <si>
    <t>32285000131572</t>
  </si>
  <si>
    <t>893700293</t>
  </si>
  <si>
    <t>BF353 .B44</t>
  </si>
  <si>
    <t>0                      BF 0353000B  44</t>
  </si>
  <si>
    <t>Environmental psychology / Paul A. Bell, Jeffrey D. Fisher, Ross J. Loomis.</t>
  </si>
  <si>
    <t>Bell, Paul A.</t>
  </si>
  <si>
    <t>Philadelphia : Saunders, 1978.</t>
  </si>
  <si>
    <t>1994-10-24</t>
  </si>
  <si>
    <t>747452:eng</t>
  </si>
  <si>
    <t>4060856</t>
  </si>
  <si>
    <t>991004581339702656</t>
  </si>
  <si>
    <t>2262768820002656</t>
  </si>
  <si>
    <t>9780721617060</t>
  </si>
  <si>
    <t>32285001962710</t>
  </si>
  <si>
    <t>893423971</t>
  </si>
  <si>
    <t>BF353 .C36 1976</t>
  </si>
  <si>
    <t>0                      BF 0353000C  36          1976</t>
  </si>
  <si>
    <t>Environmental interaction : psychological approaches to our physical surroundings / by David Canter, Peter Stringer, with Ian Griffiths ... [et al.].</t>
  </si>
  <si>
    <t>Canter, David V.</t>
  </si>
  <si>
    <t>New York : International Universities Press, 1976, c1975.</t>
  </si>
  <si>
    <t>1st American ed.</t>
  </si>
  <si>
    <t>2008-02-12</t>
  </si>
  <si>
    <t>489239:eng</t>
  </si>
  <si>
    <t>2362305</t>
  </si>
  <si>
    <t>991004097349702656</t>
  </si>
  <si>
    <t>2269753080002656</t>
  </si>
  <si>
    <t>9780823616855</t>
  </si>
  <si>
    <t>32285002247368</t>
  </si>
  <si>
    <t>893235055</t>
  </si>
  <si>
    <t>BF353 .C65 1991</t>
  </si>
  <si>
    <t>0                      BF 0353000C  65          1991</t>
  </si>
  <si>
    <t>Conceptualization and measurement of organism-environment interaction / edited by Theodore D. Wachs and Robert Plomin.</t>
  </si>
  <si>
    <t>1992-10-19</t>
  </si>
  <si>
    <t>351827882:eng</t>
  </si>
  <si>
    <t>23768863</t>
  </si>
  <si>
    <t>991001887609702656</t>
  </si>
  <si>
    <t>2272237230002656</t>
  </si>
  <si>
    <t>9781557981264</t>
  </si>
  <si>
    <t>32285001318699</t>
  </si>
  <si>
    <t>893433203</t>
  </si>
  <si>
    <t>BF353 .C67</t>
  </si>
  <si>
    <t>0                      BF 0353000C  67</t>
  </si>
  <si>
    <t>Environmental assessment and design : a new tool for the applied behavioral scientist / Robert K. Conyne, R. James Clack.</t>
  </si>
  <si>
    <t>Conyne, Robert K.</t>
  </si>
  <si>
    <t>New York, N.Y. : Praeger, 1981.</t>
  </si>
  <si>
    <t>2005-05-18</t>
  </si>
  <si>
    <t>198130543:eng</t>
  </si>
  <si>
    <t>6863294</t>
  </si>
  <si>
    <t>991005049379702656</t>
  </si>
  <si>
    <t>2271971720002656</t>
  </si>
  <si>
    <t>9780030579486</t>
  </si>
  <si>
    <t>32285001962728</t>
  </si>
  <si>
    <t>893870437</t>
  </si>
  <si>
    <t>BF353 .D37</t>
  </si>
  <si>
    <t>0                      BF 0353000D  37</t>
  </si>
  <si>
    <t>Learning environments / Thomas G. David, Benjamin D. Wright.</t>
  </si>
  <si>
    <t>David, Thomas G., 1949-</t>
  </si>
  <si>
    <t>Chicago : University of Chicago Press, 1975.</t>
  </si>
  <si>
    <t>2479574:eng</t>
  </si>
  <si>
    <t>1631424</t>
  </si>
  <si>
    <t>991003846369702656</t>
  </si>
  <si>
    <t>2257234030002656</t>
  </si>
  <si>
    <t>9780226137247</t>
  </si>
  <si>
    <t>32285002247376</t>
  </si>
  <si>
    <t>893445899</t>
  </si>
  <si>
    <t>BF353 .E56 1982</t>
  </si>
  <si>
    <t>0                      BF 0353000E  56          1982</t>
  </si>
  <si>
    <t>Environmental stress / edited by Gary W. Evans.</t>
  </si>
  <si>
    <t>2008-10-20</t>
  </si>
  <si>
    <t>1992-11-10</t>
  </si>
  <si>
    <t>573643332:eng</t>
  </si>
  <si>
    <t>8219908</t>
  </si>
  <si>
    <t>991005219709702656</t>
  </si>
  <si>
    <t>2255733250002656</t>
  </si>
  <si>
    <t>9780521246361</t>
  </si>
  <si>
    <t>32285001384469</t>
  </si>
  <si>
    <t>893320261</t>
  </si>
  <si>
    <t>BF353 .F7 1975</t>
  </si>
  <si>
    <t>0                      BF 0353000F  7           1975</t>
  </si>
  <si>
    <t>Crowding and behavior / Jonathan L. Freedman.</t>
  </si>
  <si>
    <t>Freedman, Jonathan L.</t>
  </si>
  <si>
    <t>New York : Viking Press, 1975.</t>
  </si>
  <si>
    <t>1995-02-09</t>
  </si>
  <si>
    <t>1994-10-25</t>
  </si>
  <si>
    <t>2204118:eng</t>
  </si>
  <si>
    <t>1323646</t>
  </si>
  <si>
    <t>991003692669702656</t>
  </si>
  <si>
    <t>2255357460002656</t>
  </si>
  <si>
    <t>9780670249824</t>
  </si>
  <si>
    <t>32285001963379</t>
  </si>
  <si>
    <t>893611329</t>
  </si>
  <si>
    <t>BF353 .H37 1978</t>
  </si>
  <si>
    <t>0                      BF 0353000H  37          1978</t>
  </si>
  <si>
    <t>Environmental psychology / Norman W. Heimstra, Leslie H. McFarling.</t>
  </si>
  <si>
    <t>Heimstra, Norman W., 1930-</t>
  </si>
  <si>
    <t>Monterey, Calif. : Brooks/Cole Pub. Co., c1978.</t>
  </si>
  <si>
    <t>2063332:eng</t>
  </si>
  <si>
    <t>3627298</t>
  </si>
  <si>
    <t>991004480569702656</t>
  </si>
  <si>
    <t>2269307580002656</t>
  </si>
  <si>
    <t>9780818502668</t>
  </si>
  <si>
    <t>32285000131580</t>
  </si>
  <si>
    <t>893904878</t>
  </si>
  <si>
    <t>BF353 .H85</t>
  </si>
  <si>
    <t>0                      BF 0353000H  85</t>
  </si>
  <si>
    <t>Human behavior and environment : advances in theory and research / edited by Irwin Altman and Joachim F. Wohlwill.</t>
  </si>
  <si>
    <t>V.5</t>
  </si>
  <si>
    <t>New York : Plenum Press, c1976-</t>
  </si>
  <si>
    <t>794339578:eng</t>
  </si>
  <si>
    <t>2617337</t>
  </si>
  <si>
    <t>991004187079702656</t>
  </si>
  <si>
    <t>2267698760002656</t>
  </si>
  <si>
    <t>9780306333019</t>
  </si>
  <si>
    <t>32285001962751</t>
  </si>
  <si>
    <t>893532095</t>
  </si>
  <si>
    <t>32285001962744</t>
  </si>
  <si>
    <t>893500239</t>
  </si>
  <si>
    <t>BF353 .H855</t>
  </si>
  <si>
    <t>0                      BF 0353000H  855</t>
  </si>
  <si>
    <t>Human response to crowding / edited by Andrew Baum, Yakov M. Epstein.</t>
  </si>
  <si>
    <t>356035257:eng</t>
  </si>
  <si>
    <t>3843755</t>
  </si>
  <si>
    <t>991004526779702656</t>
  </si>
  <si>
    <t>2264927210002656</t>
  </si>
  <si>
    <t>9780470263747</t>
  </si>
  <si>
    <t>32285001031524</t>
  </si>
  <si>
    <t>893247683</t>
  </si>
  <si>
    <t>BF353 .I5</t>
  </si>
  <si>
    <t>0                      BF 0353000I  5</t>
  </si>
  <si>
    <t>An Introduction to environmental psychology [by] William H. Ittelson [and others]</t>
  </si>
  <si>
    <t>New York, Holt, Rinehart and Winston [1974]</t>
  </si>
  <si>
    <t>2002-11-18</t>
  </si>
  <si>
    <t>3857020931:eng</t>
  </si>
  <si>
    <t>858329</t>
  </si>
  <si>
    <t>991003328219702656</t>
  </si>
  <si>
    <t>2267076470002656</t>
  </si>
  <si>
    <t>9780030013461</t>
  </si>
  <si>
    <t>32285002247392</t>
  </si>
  <si>
    <t>893623379</t>
  </si>
  <si>
    <t>BF353 .L4813 1982</t>
  </si>
  <si>
    <t>0                      BF 0353000L  4813        1982</t>
  </si>
  <si>
    <t>Psychology and environment / Claude Levy-Leboyer ; translated by David Canter and Ian Griffiths.</t>
  </si>
  <si>
    <t>Lévy-Leboyer, Claude.</t>
  </si>
  <si>
    <t>Beverly Hills : Sage Publications, c1982.</t>
  </si>
  <si>
    <t>2008-02-05</t>
  </si>
  <si>
    <t>1154415238:eng</t>
  </si>
  <si>
    <t>8034644</t>
  </si>
  <si>
    <t>991005195169702656</t>
  </si>
  <si>
    <t>2267579040002656</t>
  </si>
  <si>
    <t>9780803917897</t>
  </si>
  <si>
    <t>32285001963361</t>
  </si>
  <si>
    <t>893344814</t>
  </si>
  <si>
    <t>BF353 .M4</t>
  </si>
  <si>
    <t>0                      BF 0353000M  4</t>
  </si>
  <si>
    <t>Public places and private spaces : the psychology of work, play, and living environments / Albert Mehrabian.</t>
  </si>
  <si>
    <t>Mehrabian, Albert.</t>
  </si>
  <si>
    <t>New York : Basic Books, c1976.</t>
  </si>
  <si>
    <t>2001-09-25</t>
  </si>
  <si>
    <t>820104753:eng</t>
  </si>
  <si>
    <t>2073978</t>
  </si>
  <si>
    <t>991004001369702656</t>
  </si>
  <si>
    <t>2255264760002656</t>
  </si>
  <si>
    <t>9780465067763</t>
  </si>
  <si>
    <t>32285002247418</t>
  </si>
  <si>
    <t>893904659</t>
  </si>
  <si>
    <t>BF353 .S36 1989</t>
  </si>
  <si>
    <t>0                      BF 0353000S  36          1989</t>
  </si>
  <si>
    <t>Behavior settings : a revision and extension of Roger G. Barker's Ecological psychology / Phil Schoggen, with a chapter by Karl A. Fox.</t>
  </si>
  <si>
    <t>Schoggen, Phil.</t>
  </si>
  <si>
    <t>Stanford, Calif. : Stanford University Press, 1989.</t>
  </si>
  <si>
    <t>1989-12-18</t>
  </si>
  <si>
    <t>917018213:eng</t>
  </si>
  <si>
    <t>18832820</t>
  </si>
  <si>
    <t>991001401739702656</t>
  </si>
  <si>
    <t>2259188170002656</t>
  </si>
  <si>
    <t>9780804715430</t>
  </si>
  <si>
    <t>32285000018746</t>
  </si>
  <si>
    <t>893321903</t>
  </si>
  <si>
    <t>BF357 .M5 1968aa</t>
  </si>
  <si>
    <t>0                      BF 0357000M  5           1968aa</t>
  </si>
  <si>
    <t>Social facilitation and imitative behavior; outcome of the 1967 Miami University Symposium on Social Behavior. Edited by Edward C. Simmel, Ronald A. Hoppe, and G. Alexander Milton.</t>
  </si>
  <si>
    <t>Miami University Symposium on Social Behavior (1st : 1967)</t>
  </si>
  <si>
    <t>Boston, Allyn and Bacon [1968]</t>
  </si>
  <si>
    <t>1997-02-12</t>
  </si>
  <si>
    <t>1326182:eng</t>
  </si>
  <si>
    <t>182285</t>
  </si>
  <si>
    <t>991001093879702656</t>
  </si>
  <si>
    <t>2271505850002656</t>
  </si>
  <si>
    <t>32285002247426</t>
  </si>
  <si>
    <t>893315507</t>
  </si>
  <si>
    <t>BF365 .E5</t>
  </si>
  <si>
    <t>0                      BF 0365000E  5</t>
  </si>
  <si>
    <t>Word associations of young children, by Doris R. Entwisle.</t>
  </si>
  <si>
    <t>Entwisle, Doris R.</t>
  </si>
  <si>
    <t>Baltimore, Johns Hopkins Press [1966]</t>
  </si>
  <si>
    <t>1356553:eng</t>
  </si>
  <si>
    <t>193328</t>
  </si>
  <si>
    <t>991001213579702656</t>
  </si>
  <si>
    <t>2270832430002656</t>
  </si>
  <si>
    <t>32285002247442</t>
  </si>
  <si>
    <t>893503199</t>
  </si>
  <si>
    <t>BF367 .H67</t>
  </si>
  <si>
    <t>0                      BF 0367000H  67</t>
  </si>
  <si>
    <t>Image formation and cognition.</t>
  </si>
  <si>
    <t>Horowitz, Mardi Jon, 1934-</t>
  </si>
  <si>
    <t>New York, Appleton-Century-Crofts [1970]</t>
  </si>
  <si>
    <t>1995-02-28</t>
  </si>
  <si>
    <t>1193192:eng</t>
  </si>
  <si>
    <t>107429</t>
  </si>
  <si>
    <t>991000635299702656</t>
  </si>
  <si>
    <t>2261903930002656</t>
  </si>
  <si>
    <t>9780390459916</t>
  </si>
  <si>
    <t>32285001962777</t>
  </si>
  <si>
    <t>893784405</t>
  </si>
  <si>
    <t>BF367 .I462 1983</t>
  </si>
  <si>
    <t>0                      BF 0367000I  462         1983</t>
  </si>
  <si>
    <t>Imagery--current theory, research, and application / edited by Anees A. Sheikh.</t>
  </si>
  <si>
    <t>New York : Wiley, c1983.</t>
  </si>
  <si>
    <t>2001-02-14</t>
  </si>
  <si>
    <t>1990-03-27</t>
  </si>
  <si>
    <t>54532782:eng</t>
  </si>
  <si>
    <t>8907155</t>
  </si>
  <si>
    <t>991005398709702656</t>
  </si>
  <si>
    <t>2263007700002656</t>
  </si>
  <si>
    <t>9780471092254</t>
  </si>
  <si>
    <t>32285000096890</t>
  </si>
  <si>
    <t>893890168</t>
  </si>
  <si>
    <t>BF367 .K385 1979</t>
  </si>
  <si>
    <t>0                      BF 0367000K  385         1979</t>
  </si>
  <si>
    <t>Visual imagery and its relation to problem solving : A theoretical and experimental inquiry / Geir Kaufmann.</t>
  </si>
  <si>
    <t>Kaufmann, Geir.</t>
  </si>
  <si>
    <t>Bergen : Universitetsforlaget, 1979.</t>
  </si>
  <si>
    <t xml:space="preserve">no </t>
  </si>
  <si>
    <t>2009-01-28</t>
  </si>
  <si>
    <t>214158:eng</t>
  </si>
  <si>
    <t>6301625</t>
  </si>
  <si>
    <t>991004959189702656</t>
  </si>
  <si>
    <t>2270079060002656</t>
  </si>
  <si>
    <t>9788200017882</t>
  </si>
  <si>
    <t>32285001962793</t>
  </si>
  <si>
    <t>893776631</t>
  </si>
  <si>
    <t>BF370 .E23 1985</t>
  </si>
  <si>
    <t>0                      BF 0370000E  23          1985</t>
  </si>
  <si>
    <t>Memory and learning : the Ebbinghaus Centennial Conference / edited by David S. Gorfein [and] Robert R. Hoffman.</t>
  </si>
  <si>
    <t>Ebbinghaus Centennial Conference (1985 : Adelphi University)</t>
  </si>
  <si>
    <t>Hillsdale, N.J. : L. Erlbaum Associates, 1987.</t>
  </si>
  <si>
    <t>2005-05-12</t>
  </si>
  <si>
    <t>329505527:eng</t>
  </si>
  <si>
    <t>14413553</t>
  </si>
  <si>
    <t>991000942189702656</t>
  </si>
  <si>
    <t>2266425060002656</t>
  </si>
  <si>
    <t>9780898596533</t>
  </si>
  <si>
    <t>32285000165513</t>
  </si>
  <si>
    <t>893432455</t>
  </si>
  <si>
    <t>BF371 .C77</t>
  </si>
  <si>
    <t>0                      BF 0371000C  77</t>
  </si>
  <si>
    <t>Principles of learning and memory / Robert G. Crowder.</t>
  </si>
  <si>
    <t>Crowder, Robert G.</t>
  </si>
  <si>
    <t>Hillsdale, N.J. : Lawrence Erlbaum Associates ; New York : distributed by the Halsted Press, 1976.</t>
  </si>
  <si>
    <t>The Experimental psychology series</t>
  </si>
  <si>
    <t>2000-09-10</t>
  </si>
  <si>
    <t>1995-04-26</t>
  </si>
  <si>
    <t>4737829:eng</t>
  </si>
  <si>
    <t>2324621</t>
  </si>
  <si>
    <t>991004079719702656</t>
  </si>
  <si>
    <t>2260383100002656</t>
  </si>
  <si>
    <t>9780470150276</t>
  </si>
  <si>
    <t>32285002029618</t>
  </si>
  <si>
    <t>893894540</t>
  </si>
  <si>
    <t>BF371 .L6</t>
  </si>
  <si>
    <t>0                      BF 0371000L  6</t>
  </si>
  <si>
    <t>Memory.</t>
  </si>
  <si>
    <t>Locke, Don.</t>
  </si>
  <si>
    <t>Garden City, N.Y. : Anchor Books, 1971.</t>
  </si>
  <si>
    <t>Problems in philosophy</t>
  </si>
  <si>
    <t>2003-04-04</t>
  </si>
  <si>
    <t>1994-12-12</t>
  </si>
  <si>
    <t>1238424:eng</t>
  </si>
  <si>
    <t>118829</t>
  </si>
  <si>
    <t>991000670749702656</t>
  </si>
  <si>
    <t>2261619860002656</t>
  </si>
  <si>
    <t>32285001982098</t>
  </si>
  <si>
    <t>893521890</t>
  </si>
  <si>
    <t>BF371 .L64</t>
  </si>
  <si>
    <t>0                      BF 0371000L  64</t>
  </si>
  <si>
    <t>Human memory : the processing of information / Geoffrey R. Loftus, Elizabeth F. Loftus.</t>
  </si>
  <si>
    <t>Loftus, Geoffrey R.</t>
  </si>
  <si>
    <t>Hillsdale, N.J. : L. Erlbaum Associates ; New York : distributed by the Halsted Press Division of John Wiley, 1976.</t>
  </si>
  <si>
    <t>2002-04-13</t>
  </si>
  <si>
    <t>310019061:eng</t>
  </si>
  <si>
    <t>1530699</t>
  </si>
  <si>
    <t>991003806009702656</t>
  </si>
  <si>
    <t>2269694710002656</t>
  </si>
  <si>
    <t>9780470543368</t>
  </si>
  <si>
    <t>32285000307842</t>
  </si>
  <si>
    <t>893343042</t>
  </si>
  <si>
    <t>BF371 .M449 1989</t>
  </si>
  <si>
    <t>0                      BF 0371000M  449         1989</t>
  </si>
  <si>
    <t>Memory : history, culture and the mind / edited by Thomas Butler.</t>
  </si>
  <si>
    <t>Oxford, UK ; New York, NY, USA : B. Blackwell, 1989.</t>
  </si>
  <si>
    <t>Wolfson College lectures ; 1988</t>
  </si>
  <si>
    <t>2006-10-23</t>
  </si>
  <si>
    <t>836729188:eng</t>
  </si>
  <si>
    <t>18558532</t>
  </si>
  <si>
    <t>991001366079702656</t>
  </si>
  <si>
    <t>2262304710002656</t>
  </si>
  <si>
    <t>9780631164425</t>
  </si>
  <si>
    <t>32285000460930</t>
  </si>
  <si>
    <t>893346438</t>
  </si>
  <si>
    <t>BF371 .M46</t>
  </si>
  <si>
    <t>0                      BF 0371000M  46</t>
  </si>
  <si>
    <t>Memory organization and structure / edited by C. Richard Puff.</t>
  </si>
  <si>
    <t>New York : Academic Press, c1979.</t>
  </si>
  <si>
    <t>409616:eng</t>
  </si>
  <si>
    <t>5411202</t>
  </si>
  <si>
    <t>991004831439702656</t>
  </si>
  <si>
    <t>2256407840002656</t>
  </si>
  <si>
    <t>9780125667500</t>
  </si>
  <si>
    <t>32285001962850</t>
  </si>
  <si>
    <t>893706879</t>
  </si>
  <si>
    <t>BF371 .M77 1974</t>
  </si>
  <si>
    <t>0                      BF 0371000M  77          1974</t>
  </si>
  <si>
    <t>Human memory : theory and data / by Bennet B. Murdock, Jr.</t>
  </si>
  <si>
    <t>Murdock, Bennet B. (Bennet Bronson)</t>
  </si>
  <si>
    <t>Potomac, Md. : Lawrence Erlbaum Associates ; distributed by Halsted Press Division, Wiley, New York, 1974.</t>
  </si>
  <si>
    <t>1996-10-30</t>
  </si>
  <si>
    <t>1992-07-23</t>
  </si>
  <si>
    <t>1651862:eng</t>
  </si>
  <si>
    <t>810956</t>
  </si>
  <si>
    <t>991003289209702656</t>
  </si>
  <si>
    <t>2269045850002656</t>
  </si>
  <si>
    <t>9780470625255</t>
  </si>
  <si>
    <t>32285001211100</t>
  </si>
  <si>
    <t>893805625</t>
  </si>
  <si>
    <t>BF371 .P5513 1973b</t>
  </si>
  <si>
    <t>0                      BF 0371000P  5513        1973b</t>
  </si>
  <si>
    <t>Memory and intelligence [by] Jean Piaget and Bärbel Inhelder, in collaboration with Hermine Sinclair-De Zwart. Translated from the French by Arnold J. Pomerans.</t>
  </si>
  <si>
    <t>New York, Basic Books [1973]</t>
  </si>
  <si>
    <t>2007-04-25</t>
  </si>
  <si>
    <t>51746462:eng</t>
  </si>
  <si>
    <t>776172</t>
  </si>
  <si>
    <t>991003251449702656</t>
  </si>
  <si>
    <t>2268500770002656</t>
  </si>
  <si>
    <t>9780465044450</t>
  </si>
  <si>
    <t>32285002247509</t>
  </si>
  <si>
    <t>893323919</t>
  </si>
  <si>
    <t>BF371 .R34</t>
  </si>
  <si>
    <t>0                      BF 0371000R  34</t>
  </si>
  <si>
    <t>Human memory : contemporary readings / edited by John G. Seamon.</t>
  </si>
  <si>
    <t>New York : Oxford University Press, 1980.</t>
  </si>
  <si>
    <t>415100:eng</t>
  </si>
  <si>
    <t>5831680</t>
  </si>
  <si>
    <t>991004885519702656</t>
  </si>
  <si>
    <t>2263360300002656</t>
  </si>
  <si>
    <t>9780195027389</t>
  </si>
  <si>
    <t>32285001962876</t>
  </si>
  <si>
    <t>893694451</t>
  </si>
  <si>
    <t>BF371 .R53 1966a</t>
  </si>
  <si>
    <t>0                      BF 0371000R  53          1966a</t>
  </si>
  <si>
    <t>Aspects of learning and memory.</t>
  </si>
  <si>
    <t>Richter, Derek editor.</t>
  </si>
  <si>
    <t>New York, Basic Books [c1966]</t>
  </si>
  <si>
    <t>1997-03-16</t>
  </si>
  <si>
    <t>1864044:eng</t>
  </si>
  <si>
    <t>885438</t>
  </si>
  <si>
    <t>991003351759702656</t>
  </si>
  <si>
    <t>2257247830002656</t>
  </si>
  <si>
    <t>32285002247517</t>
  </si>
  <si>
    <t>893499222</t>
  </si>
  <si>
    <t>BF371 .S84</t>
  </si>
  <si>
    <t>0                      BF 0371000S  84</t>
  </si>
  <si>
    <t>The structure of human memory / edited by Charles N. Cofer.</t>
  </si>
  <si>
    <t>2005-11-20</t>
  </si>
  <si>
    <t>365499040:eng</t>
  </si>
  <si>
    <t>2020732</t>
  </si>
  <si>
    <t>991003982589702656</t>
  </si>
  <si>
    <t>2271496020002656</t>
  </si>
  <si>
    <t>9780716707059</t>
  </si>
  <si>
    <t>32285002247533</t>
  </si>
  <si>
    <t>893618073</t>
  </si>
  <si>
    <t>BF371 .S85</t>
  </si>
  <si>
    <t>0                      BF 0371000S  85</t>
  </si>
  <si>
    <t>Studies in long term memory. Edited by Alan Kennedy and Alan Wilkes.</t>
  </si>
  <si>
    <t>London, New York, Wiley [1975]</t>
  </si>
  <si>
    <t>1999-11-01</t>
  </si>
  <si>
    <t>422864895:eng</t>
  </si>
  <si>
    <t>980265</t>
  </si>
  <si>
    <t>991003444789702656</t>
  </si>
  <si>
    <t>2271331990002656</t>
  </si>
  <si>
    <t>9780471469056</t>
  </si>
  <si>
    <t>32285002247541</t>
  </si>
  <si>
    <t>893518481</t>
  </si>
  <si>
    <t>BF371 .T84 1983</t>
  </si>
  <si>
    <t>0                      BF 0371000T  84          1983</t>
  </si>
  <si>
    <t>Elements of episodic memory / Endel Tulving.</t>
  </si>
  <si>
    <t>Tulving, Endel, 1927-</t>
  </si>
  <si>
    <t>Oxford [Oxfordshire] : Clarendon Press ; New York : Oxford University Press, c1983, 1985 printing.</t>
  </si>
  <si>
    <t>Oxford psychology series ; no. 2</t>
  </si>
  <si>
    <t>2004-02-24</t>
  </si>
  <si>
    <t>1992-02-04</t>
  </si>
  <si>
    <t>7516077:eng</t>
  </si>
  <si>
    <t>8552850</t>
  </si>
  <si>
    <t>991000015769702656</t>
  </si>
  <si>
    <t>2257592550002656</t>
  </si>
  <si>
    <t>9780198521020</t>
  </si>
  <si>
    <t>32285000950203</t>
  </si>
  <si>
    <t>893783877</t>
  </si>
  <si>
    <t>BF378.A75 A8</t>
  </si>
  <si>
    <t>0                      BF 0378000A  75                 A  8</t>
  </si>
  <si>
    <t>Attitude organization and change : an analysis of consistency among attitude components / by Milton J. Rosenberg [and others]</t>
  </si>
  <si>
    <t>New Haven : Yale University Press, 1960.</t>
  </si>
  <si>
    <t>Yale studies in attitude and communication ; v. 3</t>
  </si>
  <si>
    <t>1992-01-08</t>
  </si>
  <si>
    <t>5610325797:eng</t>
  </si>
  <si>
    <t>224938</t>
  </si>
  <si>
    <t>991001376229702656</t>
  </si>
  <si>
    <t>2263600020002656</t>
  </si>
  <si>
    <t>32285000883701</t>
  </si>
  <si>
    <t>893351873</t>
  </si>
  <si>
    <t>BF378.A75 R57</t>
  </si>
  <si>
    <t>0                      BF 0378000A  75                 R  57</t>
  </si>
  <si>
    <t>The open and closed mind; investigations into the nature of belief systems and personality systems. In collaboration with Richard Bonier [and others]</t>
  </si>
  <si>
    <t>Rokeach, Milton.</t>
  </si>
  <si>
    <t>New York, Basic Books [1960]</t>
  </si>
  <si>
    <t>1996-07-29</t>
  </si>
  <si>
    <t>1354904:eng</t>
  </si>
  <si>
    <t>192738</t>
  </si>
  <si>
    <t>991001208559702656</t>
  </si>
  <si>
    <t>2256328450002656</t>
  </si>
  <si>
    <t>32285002247830</t>
  </si>
  <si>
    <t>893702839</t>
  </si>
  <si>
    <t>BF38 .B84 1989</t>
  </si>
  <si>
    <t>0                      BF 0038000B  84          1989</t>
  </si>
  <si>
    <t>Wittgenstein's philosophy of psychology / Malcolm Budd.</t>
  </si>
  <si>
    <t>Budd, Malcolm, 1941-</t>
  </si>
  <si>
    <t>London ; New York : Routledge, 1989.</t>
  </si>
  <si>
    <t>International library of philosophy</t>
  </si>
  <si>
    <t>1995-06-01</t>
  </si>
  <si>
    <t>1990-06-04</t>
  </si>
  <si>
    <t>17837969:eng</t>
  </si>
  <si>
    <t>18383468</t>
  </si>
  <si>
    <t>991001341839702656</t>
  </si>
  <si>
    <t>2259089580002656</t>
  </si>
  <si>
    <t>9780415034395</t>
  </si>
  <si>
    <t>32285000156876</t>
  </si>
  <si>
    <t>893715377</t>
  </si>
  <si>
    <t>BF38 .E87 1982</t>
  </si>
  <si>
    <t>0                      BF 0038000E  87          1982</t>
  </si>
  <si>
    <t>Explaining human behavior : consciousness, human action, and social structure / Paul F. Secord, editor.</t>
  </si>
  <si>
    <t>1999-02-24</t>
  </si>
  <si>
    <t>836686246:eng</t>
  </si>
  <si>
    <t>8219267</t>
  </si>
  <si>
    <t>991005219359702656</t>
  </si>
  <si>
    <t>2254933540002656</t>
  </si>
  <si>
    <t>9780803918221</t>
  </si>
  <si>
    <t>32285000235407</t>
  </si>
  <si>
    <t>893254665</t>
  </si>
  <si>
    <t>BF38 .G67</t>
  </si>
  <si>
    <t>0                      BF 0038000G  67</t>
  </si>
  <si>
    <t>Mind in science : a history of explanations in psychology and physics / Richard L. Gregory.</t>
  </si>
  <si>
    <t>Cambridge [Cambridgeshire] : Cambridge University Press, 1981.</t>
  </si>
  <si>
    <t>2003-12-20</t>
  </si>
  <si>
    <t>3728511:eng</t>
  </si>
  <si>
    <t>7576482</t>
  </si>
  <si>
    <t>991005135379702656</t>
  </si>
  <si>
    <t>2262539110002656</t>
  </si>
  <si>
    <t>9780521243070</t>
  </si>
  <si>
    <t>32285000235423</t>
  </si>
  <si>
    <t>893338567</t>
  </si>
  <si>
    <t>BF38 .I48 1984</t>
  </si>
  <si>
    <t>0                      BF 0038000I  48          1984</t>
  </si>
  <si>
    <t>In the shadow of the past : psychology portrays the sexes : a social and intellectual history / Miriam Lewin, editor.</t>
  </si>
  <si>
    <t>New York : Columbia University Press, 1984.</t>
  </si>
  <si>
    <t>Publications for the advancement of theory and history in psychology</t>
  </si>
  <si>
    <t>1997-09-30</t>
  </si>
  <si>
    <t>836619485:eng</t>
  </si>
  <si>
    <t>9557055</t>
  </si>
  <si>
    <t>991000214049702656</t>
  </si>
  <si>
    <t>2266696260002656</t>
  </si>
  <si>
    <t>9780231053037</t>
  </si>
  <si>
    <t>32285000235456</t>
  </si>
  <si>
    <t>893508624</t>
  </si>
  <si>
    <t>BF38 .L32</t>
  </si>
  <si>
    <t>0                      BF 0038000L  32</t>
  </si>
  <si>
    <t>The foundations of psychological theory / Robert E. Lana.</t>
  </si>
  <si>
    <t>Lana, Robert E., 1932-2006.</t>
  </si>
  <si>
    <t>Hillsdale, N.J. : L. Erlbaum Associates ; New York : distributed by the Halsted Press Division of Wiley, 1976.</t>
  </si>
  <si>
    <t>4281491:eng</t>
  </si>
  <si>
    <t>2189042</t>
  </si>
  <si>
    <t>991004041639702656</t>
  </si>
  <si>
    <t>2265192940002656</t>
  </si>
  <si>
    <t>9780470151228</t>
  </si>
  <si>
    <t>32285002233004</t>
  </si>
  <si>
    <t>893881981</t>
  </si>
  <si>
    <t>BF38 .M37 1984</t>
  </si>
  <si>
    <t>0                      BF 0038000M  37          1984</t>
  </si>
  <si>
    <t>Philosophy of psychology / Joseph Margolis.</t>
  </si>
  <si>
    <t>Margolis, Joseph, 1924-</t>
  </si>
  <si>
    <t>Englewood Cliffs, N.J. : Prentice-Hall, c1984.</t>
  </si>
  <si>
    <t>Prentice-Hall foundations of philosophy series</t>
  </si>
  <si>
    <t>1996-08-28</t>
  </si>
  <si>
    <t>43721349:eng</t>
  </si>
  <si>
    <t>9682581</t>
  </si>
  <si>
    <t>991000238989702656</t>
  </si>
  <si>
    <t>2263999300002656</t>
  </si>
  <si>
    <t>9780136643265</t>
  </si>
  <si>
    <t>32285002284809</t>
  </si>
  <si>
    <t>893508645</t>
  </si>
  <si>
    <t>BF38 .M38</t>
  </si>
  <si>
    <t>0                      BF 0038000M  38</t>
  </si>
  <si>
    <t>Systems and theories in psychology / by Melvin H. Marx and William A. Hillix.</t>
  </si>
  <si>
    <t>New York : McGraw-Hill, [1963]</t>
  </si>
  <si>
    <t>1993-02-01</t>
  </si>
  <si>
    <t>1992-01-28</t>
  </si>
  <si>
    <t>980491:eng</t>
  </si>
  <si>
    <t>191357</t>
  </si>
  <si>
    <t>991001198149702656</t>
  </si>
  <si>
    <t>2258824060002656</t>
  </si>
  <si>
    <t>32285000919125</t>
  </si>
  <si>
    <t>893528744</t>
  </si>
  <si>
    <t>BF38 .P47</t>
  </si>
  <si>
    <t>0                      BF 0038000P  47</t>
  </si>
  <si>
    <t>The Philosophy of mind / edited by Jonathan Glover.</t>
  </si>
  <si>
    <t>Oxford ; New York : Oxford University Press, 1976.</t>
  </si>
  <si>
    <t>Oxford readings in philosophy</t>
  </si>
  <si>
    <t>2008-12-08</t>
  </si>
  <si>
    <t>54179881:eng</t>
  </si>
  <si>
    <t>3224659</t>
  </si>
  <si>
    <t>991004382579702656</t>
  </si>
  <si>
    <t>2258554420002656</t>
  </si>
  <si>
    <t>9780198750383</t>
  </si>
  <si>
    <t>32285000235498</t>
  </si>
  <si>
    <t>893353374</t>
  </si>
  <si>
    <t>BF38 .R35</t>
  </si>
  <si>
    <t>0                      BF 0038000R  35</t>
  </si>
  <si>
    <t>Readings in philosophy of psychology / edited by Ned Block.</t>
  </si>
  <si>
    <t>Cambridge, Mass. : Harvard University Press, 1980-</t>
  </si>
  <si>
    <t>The Language and thought series</t>
  </si>
  <si>
    <t>1992-05-05</t>
  </si>
  <si>
    <t>2863471615:eng</t>
  </si>
  <si>
    <t>5830523</t>
  </si>
  <si>
    <t>991004883719702656</t>
  </si>
  <si>
    <t>2260684890002656</t>
  </si>
  <si>
    <t>9780674748750</t>
  </si>
  <si>
    <t>32285001094712</t>
  </si>
  <si>
    <t>893694449</t>
  </si>
  <si>
    <t>BF38 .S216</t>
  </si>
  <si>
    <t>0                      BF 0038000S  216</t>
  </si>
  <si>
    <t>Skinner's philosophy / by Paul T. Sagal.</t>
  </si>
  <si>
    <t>Sagal, Paul T.</t>
  </si>
  <si>
    <t>Washington, D.C. : University Press of America, c1981.</t>
  </si>
  <si>
    <t>1997-12-05</t>
  </si>
  <si>
    <t>483163:eng</t>
  </si>
  <si>
    <t>7196743</t>
  </si>
  <si>
    <t>991005086099702656</t>
  </si>
  <si>
    <t>2255776830002656</t>
  </si>
  <si>
    <t>9780819114327</t>
  </si>
  <si>
    <t>32285000235548</t>
  </si>
  <si>
    <t>893889646</t>
  </si>
  <si>
    <t>BF38 .S677 1988</t>
  </si>
  <si>
    <t>0                      BF 0038000S  677         1988</t>
  </si>
  <si>
    <t>A history of psychological theories / Ross Stagner.</t>
  </si>
  <si>
    <t>Stagner, Ross, 1909-1997.</t>
  </si>
  <si>
    <t>New York : Macmillan ; London : Collier Macmillan, c1988.</t>
  </si>
  <si>
    <t>2001-11-05</t>
  </si>
  <si>
    <t>1992-10-23</t>
  </si>
  <si>
    <t>356155520:eng</t>
  </si>
  <si>
    <t>16277573</t>
  </si>
  <si>
    <t>991001098079702656</t>
  </si>
  <si>
    <t>2260840210002656</t>
  </si>
  <si>
    <t>9780024153906</t>
  </si>
  <si>
    <t>32285001377604</t>
  </si>
  <si>
    <t>893702727</t>
  </si>
  <si>
    <t>BF38 .T38 1988</t>
  </si>
  <si>
    <t>0                      BF 0038000T  38          1988</t>
  </si>
  <si>
    <t>Philosophy and the mind / Jenny Teichman.</t>
  </si>
  <si>
    <t>Teichman, Jenny.</t>
  </si>
  <si>
    <t>Oxford, OX, UK ; New York, NY, USA : B. Blackwell, 1988.</t>
  </si>
  <si>
    <t>2006-01-06</t>
  </si>
  <si>
    <t>15408522:eng</t>
  </si>
  <si>
    <t>17551598</t>
  </si>
  <si>
    <t>991001236579702656</t>
  </si>
  <si>
    <t>2260848170002656</t>
  </si>
  <si>
    <t>9780631157533</t>
  </si>
  <si>
    <t>32285001377612</t>
  </si>
  <si>
    <t>893885157</t>
  </si>
  <si>
    <t>BF38 .W74</t>
  </si>
  <si>
    <t>0                      BF 0038000W  74</t>
  </si>
  <si>
    <t>Physicalism / by K. V. Wilkes.</t>
  </si>
  <si>
    <t>Wilkes, Kathleen V.</t>
  </si>
  <si>
    <t>Atlantic Highlands, N.J. : Humanities Press, 1978.</t>
  </si>
  <si>
    <t>1997-04-27</t>
  </si>
  <si>
    <t>1992-09-22</t>
  </si>
  <si>
    <t>11169668:eng</t>
  </si>
  <si>
    <t>3609528</t>
  </si>
  <si>
    <t>991004476599702656</t>
  </si>
  <si>
    <t>2271759250002656</t>
  </si>
  <si>
    <t>9780391007413</t>
  </si>
  <si>
    <t>32285001320943</t>
  </si>
  <si>
    <t>893337775</t>
  </si>
  <si>
    <t>BF38.5 .P48 1974b</t>
  </si>
  <si>
    <t>0                      BF 0038500P  48          1974b</t>
  </si>
  <si>
    <t>Philosophy of psychology / edited by S. C. Brown.</t>
  </si>
  <si>
    <t>New York : Barnes &amp; Noble, [1974]</t>
  </si>
  <si>
    <t>2006-12-04</t>
  </si>
  <si>
    <t>365294669:eng</t>
  </si>
  <si>
    <t>982652</t>
  </si>
  <si>
    <t>991003447019702656</t>
  </si>
  <si>
    <t>2271924540002656</t>
  </si>
  <si>
    <t>32285001835841</t>
  </si>
  <si>
    <t>893240207</t>
  </si>
  <si>
    <t>BF38.5 .W53</t>
  </si>
  <si>
    <t>0                      BF 0038500W  53</t>
  </si>
  <si>
    <t>New pathways in psychology : Maslow and the post-Freudian revolution / Colin Wilson.</t>
  </si>
  <si>
    <t>Wilson, Colin, 1931-2013.</t>
  </si>
  <si>
    <t>New York : Taplinger, 1972.</t>
  </si>
  <si>
    <t>1997-02-14</t>
  </si>
  <si>
    <t>1570926:eng</t>
  </si>
  <si>
    <t>2926973</t>
  </si>
  <si>
    <t>991004286339702656</t>
  </si>
  <si>
    <t>2266698680002656</t>
  </si>
  <si>
    <t>9780800855130</t>
  </si>
  <si>
    <t>32285002233178</t>
  </si>
  <si>
    <t>893875914</t>
  </si>
  <si>
    <t>BF39 .B3</t>
  </si>
  <si>
    <t>0                      BF 0039000B  3</t>
  </si>
  <si>
    <t>Intermediate correlational methods [by] Andrew R. Baggaley.</t>
  </si>
  <si>
    <t>Baggaley, Andrew R.</t>
  </si>
  <si>
    <t>New York, J. Wiley [1964]</t>
  </si>
  <si>
    <t>2001-04-21</t>
  </si>
  <si>
    <t>1355938:eng</t>
  </si>
  <si>
    <t>193120</t>
  </si>
  <si>
    <t>991001210129702656</t>
  </si>
  <si>
    <t>2270880320002656</t>
  </si>
  <si>
    <t>32285002233194</t>
  </si>
  <si>
    <t>893534474</t>
  </si>
  <si>
    <t>BF39 .B445</t>
  </si>
  <si>
    <t>0                      BF 0039000B  445</t>
  </si>
  <si>
    <t>Questionnaires : design and use / by Douglas R. Berdie and John F. Anderson.</t>
  </si>
  <si>
    <t>Berdie, Douglas R.</t>
  </si>
  <si>
    <t>Metuchen, N.J. : Scarecrow Press, 1974.</t>
  </si>
  <si>
    <t>1998-01-26</t>
  </si>
  <si>
    <t>1759829:eng</t>
  </si>
  <si>
    <t>835435</t>
  </si>
  <si>
    <t>991003312459702656</t>
  </si>
  <si>
    <t>2270421620002656</t>
  </si>
  <si>
    <t>9780810807198</t>
  </si>
  <si>
    <t>32285000900166</t>
  </si>
  <si>
    <t>893711252</t>
  </si>
  <si>
    <t>BF39 .B5</t>
  </si>
  <si>
    <t>0                      BF 0039000B  5</t>
  </si>
  <si>
    <t>Descriptive statistics.</t>
  </si>
  <si>
    <t>Blank, Stanley Solomon.</t>
  </si>
  <si>
    <t>New York, Appleton-Century-Crofts [c1968]</t>
  </si>
  <si>
    <t>146052517:eng</t>
  </si>
  <si>
    <t>365035</t>
  </si>
  <si>
    <t>991002509489702656</t>
  </si>
  <si>
    <t>2265989850002656</t>
  </si>
  <si>
    <t>32285002233210</t>
  </si>
  <si>
    <t>893352366</t>
  </si>
  <si>
    <t>BF39 .B673</t>
  </si>
  <si>
    <t>0                      BF 0039000B  673</t>
  </si>
  <si>
    <t>Multivariate statistical methods in behavioral research [by] R. Darrell Bock.</t>
  </si>
  <si>
    <t>Bock, R. Darrell.</t>
  </si>
  <si>
    <t>New York, McGraw-Hill [1975]</t>
  </si>
  <si>
    <t>2010-04-27</t>
  </si>
  <si>
    <t>9169222:eng</t>
  </si>
  <si>
    <t>902933</t>
  </si>
  <si>
    <t>991003367899702656</t>
  </si>
  <si>
    <t>2262655080002656</t>
  </si>
  <si>
    <t>9780070063051</t>
  </si>
  <si>
    <t>32285002233236</t>
  </si>
  <si>
    <t>893610976</t>
  </si>
  <si>
    <t>BF39 .C3</t>
  </si>
  <si>
    <t>0                      BF 0039000C  3</t>
  </si>
  <si>
    <t>Factor analysis; an introduction and manual for the psychologist and social scientist.</t>
  </si>
  <si>
    <t>New York, Harper [1952]</t>
  </si>
  <si>
    <t>Harper's psychological series</t>
  </si>
  <si>
    <t>1997-12-01</t>
  </si>
  <si>
    <t>216534627:eng</t>
  </si>
  <si>
    <t>882066</t>
  </si>
  <si>
    <t>991003349389702656</t>
  </si>
  <si>
    <t>2260243210002656</t>
  </si>
  <si>
    <t>32285002233244</t>
  </si>
  <si>
    <t>893893641</t>
  </si>
  <si>
    <t>BF39 .C33</t>
  </si>
  <si>
    <t>0                      BF 0039000C  33</t>
  </si>
  <si>
    <t>The scientific use of factor analysis in behavioral and life sciences / Raymond B. Cattell.</t>
  </si>
  <si>
    <t>New York : Plenum Press, c1978, 1979 printing.</t>
  </si>
  <si>
    <t>198284445:eng</t>
  </si>
  <si>
    <t>3204221</t>
  </si>
  <si>
    <t>991004374959702656</t>
  </si>
  <si>
    <t>2270750740002656</t>
  </si>
  <si>
    <t>9780306309397</t>
  </si>
  <si>
    <t>32285001377711</t>
  </si>
  <si>
    <t>893605943</t>
  </si>
  <si>
    <t>BF39 .C66</t>
  </si>
  <si>
    <t>0                      BF 0039000C  66</t>
  </si>
  <si>
    <t>Psychological statistics : an introduction / [by] Frederick A. Courts.</t>
  </si>
  <si>
    <t>Courts, Frederick A.</t>
  </si>
  <si>
    <t>Homewood, Ill. Dorsey Press, 1966.</t>
  </si>
  <si>
    <t>1996-11-22</t>
  </si>
  <si>
    <t>890545703:eng</t>
  </si>
  <si>
    <t>3083002</t>
  </si>
  <si>
    <t>991004338989702656</t>
  </si>
  <si>
    <t>2267960780002656</t>
  </si>
  <si>
    <t>32285002233285</t>
  </si>
  <si>
    <t>893411409</t>
  </si>
  <si>
    <t>BF39 .D44</t>
  </si>
  <si>
    <t>0                      BF 0039000D  44</t>
  </si>
  <si>
    <t>Statistics and experimental design for behavioral and biological researchers : an introduction / Victor H. Denenberg.</t>
  </si>
  <si>
    <t>Denenberg, Victor H., 1925-2008.</t>
  </si>
  <si>
    <t>Washington : Hemisphere Pub. Corp. ; New York : distributed solely by Halsted Press, c1976.</t>
  </si>
  <si>
    <t>903517112:eng</t>
  </si>
  <si>
    <t>2331439</t>
  </si>
  <si>
    <t>991004083709702656</t>
  </si>
  <si>
    <t>2264285020002656</t>
  </si>
  <si>
    <t>9780470152027</t>
  </si>
  <si>
    <t>32285002233301</t>
  </si>
  <si>
    <t>893800566</t>
  </si>
  <si>
    <t>BF39 .E3 1960</t>
  </si>
  <si>
    <t>0                      BF 0039000E  3           1960</t>
  </si>
  <si>
    <t>Experimental design in psychological research.</t>
  </si>
  <si>
    <t>Edwards, Allen Louis.</t>
  </si>
  <si>
    <t>New York, Rinehart [1960]</t>
  </si>
  <si>
    <t>1671066:eng</t>
  </si>
  <si>
    <t>949940</t>
  </si>
  <si>
    <t>991003411829702656</t>
  </si>
  <si>
    <t>2263037500002656</t>
  </si>
  <si>
    <t>32285002233327</t>
  </si>
  <si>
    <t>893511922</t>
  </si>
  <si>
    <t>BF39 .E32 1985</t>
  </si>
  <si>
    <t>0                      BF 0039000E  32          1985</t>
  </si>
  <si>
    <t>Multiple regression and the analysis of variance and covariance / Allen L. Edwards.</t>
  </si>
  <si>
    <t>1999-10-29</t>
  </si>
  <si>
    <t>3985127:eng</t>
  </si>
  <si>
    <t>11469821</t>
  </si>
  <si>
    <t>991000539599702656</t>
  </si>
  <si>
    <t>2266331150002656</t>
  </si>
  <si>
    <t>9780716717041</t>
  </si>
  <si>
    <t>32285001377752</t>
  </si>
  <si>
    <t>893608015</t>
  </si>
  <si>
    <t>BF39 .F78</t>
  </si>
  <si>
    <t>0                      BF 0039000F  78</t>
  </si>
  <si>
    <t>Introduction to factor analysis.</t>
  </si>
  <si>
    <t>Fruchter, Benjamin.</t>
  </si>
  <si>
    <t>New York, Van Nostrand [1954]</t>
  </si>
  <si>
    <t>1954</t>
  </si>
  <si>
    <t>The Van Nostrand series in psychology</t>
  </si>
  <si>
    <t>1351915:eng</t>
  </si>
  <si>
    <t>191648</t>
  </si>
  <si>
    <t>991001204439702656</t>
  </si>
  <si>
    <t>2258919230002656</t>
  </si>
  <si>
    <t>32285002233350</t>
  </si>
  <si>
    <t>893878722</t>
  </si>
  <si>
    <t>BF39 .M22</t>
  </si>
  <si>
    <t>0                      BF 0039000M  22</t>
  </si>
  <si>
    <t>Advances in psychological assessment.</t>
  </si>
  <si>
    <t>McReynolds, Paul, 1919-</t>
  </si>
  <si>
    <t>Palo Alto, Calif. : Science and Behavior Books, 1968-</t>
  </si>
  <si>
    <t>132883933:eng</t>
  </si>
  <si>
    <t>10373486</t>
  </si>
  <si>
    <t>991001180369702656</t>
  </si>
  <si>
    <t>2259689080002656</t>
  </si>
  <si>
    <t>9780831499266</t>
  </si>
  <si>
    <t>32285001377810</t>
  </si>
  <si>
    <t>893885108</t>
  </si>
  <si>
    <t>BF39 .M22 V.3</t>
  </si>
  <si>
    <t>0                      BF 0039000M  22                                                      V.3</t>
  </si>
  <si>
    <t>V.3*</t>
  </si>
  <si>
    <t>32285001377828</t>
  </si>
  <si>
    <t>893891375</t>
  </si>
  <si>
    <t>BF39 .M22 V.4</t>
  </si>
  <si>
    <t>0                      BF 0039000M  22                                                      V.4</t>
  </si>
  <si>
    <t>V.4*</t>
  </si>
  <si>
    <t>32285001377836</t>
  </si>
  <si>
    <t>893878697</t>
  </si>
  <si>
    <t>BF39 .M22 V.5</t>
  </si>
  <si>
    <t>0                      BF 0039000M  22                                                      V.5</t>
  </si>
  <si>
    <t>V.5*</t>
  </si>
  <si>
    <t>32285001377844</t>
  </si>
  <si>
    <t>893866029</t>
  </si>
  <si>
    <t>BF39 .P43 1968b</t>
  </si>
  <si>
    <t>0                      BF 0039000P  43          1968b</t>
  </si>
  <si>
    <t>Theory of measurement, by J. Pfanzagl, in cooperation with V. Baumann and H. Huber.</t>
  </si>
  <si>
    <t>Pfanzagl, J. (Johann)</t>
  </si>
  <si>
    <t>New York, Wiley, 1968.</t>
  </si>
  <si>
    <t>2006-10-22</t>
  </si>
  <si>
    <t>1123517:eng</t>
  </si>
  <si>
    <t>297</t>
  </si>
  <si>
    <t>991005431239702656</t>
  </si>
  <si>
    <t>2272560610002656</t>
  </si>
  <si>
    <t>32285002233582</t>
  </si>
  <si>
    <t>893446909</t>
  </si>
  <si>
    <t>BF39 .R33</t>
  </si>
  <si>
    <t>0                      BF 0039000R  33</t>
  </si>
  <si>
    <t>Statistics in psychological research.</t>
  </si>
  <si>
    <t>Ray, William S. (William Samuel), 1917-1990.</t>
  </si>
  <si>
    <t>New York, Macmillan [1962]</t>
  </si>
  <si>
    <t>1581413:eng</t>
  </si>
  <si>
    <t>547566</t>
  </si>
  <si>
    <t>991002969179702656</t>
  </si>
  <si>
    <t>2262841070002656</t>
  </si>
  <si>
    <t>32285002233590</t>
  </si>
  <si>
    <t>893793167</t>
  </si>
  <si>
    <t>BF39 .R545 1992</t>
  </si>
  <si>
    <t>0                      BF 0039000R  545         1992</t>
  </si>
  <si>
    <t>The structure of personal characteristics / David M. Romney and John M. Bynner.</t>
  </si>
  <si>
    <t>Romney, David M.</t>
  </si>
  <si>
    <t>Westport, Conn. : Praeger, 1992.</t>
  </si>
  <si>
    <t>1994-05-06</t>
  </si>
  <si>
    <t>2569817:eng</t>
  </si>
  <si>
    <t>25965136</t>
  </si>
  <si>
    <t>991002036909702656</t>
  </si>
  <si>
    <t>2261153950002656</t>
  </si>
  <si>
    <t>9780275939953</t>
  </si>
  <si>
    <t>32285001879286</t>
  </si>
  <si>
    <t>893879428</t>
  </si>
  <si>
    <t>BF39 .S8</t>
  </si>
  <si>
    <t>0                      BF 0039000S  8</t>
  </si>
  <si>
    <t>The study of behavior : Q-technique and its methodology.</t>
  </si>
  <si>
    <t>Stephenson, William.</t>
  </si>
  <si>
    <t>[Chicago] : University of Chicago Press [c1953]</t>
  </si>
  <si>
    <t>1999-06-18</t>
  </si>
  <si>
    <t>3855517251:eng</t>
  </si>
  <si>
    <t>1931594</t>
  </si>
  <si>
    <t>991003941339702656</t>
  </si>
  <si>
    <t>2268189950002656</t>
  </si>
  <si>
    <t>32285001062669</t>
  </si>
  <si>
    <t>893781664</t>
  </si>
  <si>
    <t>BF39 .T6</t>
  </si>
  <si>
    <t>0                      BF 0039000T  6</t>
  </si>
  <si>
    <t>Theory and methods of scaling.</t>
  </si>
  <si>
    <t>Torgerson, Warren S.</t>
  </si>
  <si>
    <t>New York, Wiley [1965, c1958]</t>
  </si>
  <si>
    <t>1349134:eng</t>
  </si>
  <si>
    <t>14478894</t>
  </si>
  <si>
    <t>991000943719702656</t>
  </si>
  <si>
    <t>2264661650002656</t>
  </si>
  <si>
    <t>32285002233665</t>
  </si>
  <si>
    <t>893261669</t>
  </si>
  <si>
    <t>BF39 .W63</t>
  </si>
  <si>
    <t>0                      BF 0039000W  63</t>
  </si>
  <si>
    <t>Basic concepts in testing / [by] Frank B. Womer.</t>
  </si>
  <si>
    <t>Womer, Frank B. (Frank Burton), 1921-</t>
  </si>
  <si>
    <t>Boston : Houghton Mifflin, [1968]</t>
  </si>
  <si>
    <t>Guidance monograph series. Series 3: Testing</t>
  </si>
  <si>
    <t>1994-10-21</t>
  </si>
  <si>
    <t>1348619:eng</t>
  </si>
  <si>
    <t>190527</t>
  </si>
  <si>
    <t>991001181509702656</t>
  </si>
  <si>
    <t>2259359070002656</t>
  </si>
  <si>
    <t>32285001377950</t>
  </si>
  <si>
    <t>893596265</t>
  </si>
  <si>
    <t>BF408 .M25</t>
  </si>
  <si>
    <t>0                      BF 0408000M  25</t>
  </si>
  <si>
    <t>Creative intuition in art and poetry.</t>
  </si>
  <si>
    <t>Maritain, Jacques, 1882-1973.</t>
  </si>
  <si>
    <t>[New York] : Pantheon Books, [1953]</t>
  </si>
  <si>
    <t>Bollingen series, 35. The A. W. Mellon lectures in the fine arts, 1</t>
  </si>
  <si>
    <t>2001-05-09</t>
  </si>
  <si>
    <t>1335200:eng</t>
  </si>
  <si>
    <t>224939</t>
  </si>
  <si>
    <t>991001376299702656</t>
  </si>
  <si>
    <t>2263600190002656</t>
  </si>
  <si>
    <t>32285002248010</t>
  </si>
  <si>
    <t>893509583</t>
  </si>
  <si>
    <t>BF408 .M9 1979</t>
  </si>
  <si>
    <t>0                      BF 0408000M  9           1979</t>
  </si>
  <si>
    <t>Myth, creativity, psychoanalysis : essays in honor of Harry Slochower / edited by Maynard Solomon, with the assistance of Sophie Wilkins and Donald M. Kaplan.</t>
  </si>
  <si>
    <t>Detroit : Wayne State University Press, 1978, c1979.</t>
  </si>
  <si>
    <t>2003-12-16</t>
  </si>
  <si>
    <t>908333961:eng</t>
  </si>
  <si>
    <t>4496248</t>
  </si>
  <si>
    <t>991004206879702656</t>
  </si>
  <si>
    <t>2268763830002656</t>
  </si>
  <si>
    <t>9780814315255</t>
  </si>
  <si>
    <t>32285004847678</t>
  </si>
  <si>
    <t>893519365</t>
  </si>
  <si>
    <t>BF408 .O775 1957</t>
  </si>
  <si>
    <t>0                      BF 0408000O  775         1957</t>
  </si>
  <si>
    <t>Applied imagination; principles and procedures of creative thinking.</t>
  </si>
  <si>
    <t>Osborn, Alex F. (Alex Faickney)</t>
  </si>
  <si>
    <t>New York, Scribner [1957]</t>
  </si>
  <si>
    <t>1997-04-19</t>
  </si>
  <si>
    <t>4535633721:eng</t>
  </si>
  <si>
    <t>1381383</t>
  </si>
  <si>
    <t>991003730399702656</t>
  </si>
  <si>
    <t>2258377850002656</t>
  </si>
  <si>
    <t>32285002248044</t>
  </si>
  <si>
    <t>893623830</t>
  </si>
  <si>
    <t>BF408.S37 I5 1965</t>
  </si>
  <si>
    <t>0                      BF 0408000S  37                 I  5           1965</t>
  </si>
  <si>
    <t>L'imagination.</t>
  </si>
  <si>
    <t>Sartre, Jean-Paul, 1905-1980.</t>
  </si>
  <si>
    <t>Paris, Presses universtaires de France, 1965 [c1936]</t>
  </si>
  <si>
    <t>[6. ed.]</t>
  </si>
  <si>
    <t>fre</t>
  </si>
  <si>
    <t xml:space="preserve">fr </t>
  </si>
  <si>
    <t>Nouvelle encyclopédie philosophique</t>
  </si>
  <si>
    <t>2010-10-06</t>
  </si>
  <si>
    <t>292574791:fre</t>
  </si>
  <si>
    <t>5954384</t>
  </si>
  <si>
    <t>991004906789702656</t>
  </si>
  <si>
    <t>2270792970002656</t>
  </si>
  <si>
    <t>32285002248085</t>
  </si>
  <si>
    <t>893532909</t>
  </si>
  <si>
    <t>BF41 .G65 1989</t>
  </si>
  <si>
    <t>0                      BF 0041000G  65          1989</t>
  </si>
  <si>
    <t>Nietzsche's enticing psychology of power / by Jacob Golomb.</t>
  </si>
  <si>
    <t>Golomb, Jacob.</t>
  </si>
  <si>
    <t>Ames, Iowa : Iowa State University Press, 1989.</t>
  </si>
  <si>
    <t>1st rev. English ed.</t>
  </si>
  <si>
    <t>1990-03-23</t>
  </si>
  <si>
    <t>15875961:eng</t>
  </si>
  <si>
    <t>17327920</t>
  </si>
  <si>
    <t>991001203559702656</t>
  </si>
  <si>
    <t>2263994780002656</t>
  </si>
  <si>
    <t>9780813811222</t>
  </si>
  <si>
    <t>32285000082122</t>
  </si>
  <si>
    <t>893608654</t>
  </si>
  <si>
    <t>BF411 .B35</t>
  </si>
  <si>
    <t>0                      BF 0411000B  35</t>
  </si>
  <si>
    <t>Creativity and psychological health : origins of personal vitality and creative freedom.</t>
  </si>
  <si>
    <t>Barron, Frank, 1922-2002.</t>
  </si>
  <si>
    <t>Princeton, N.J. : Van Nostrand, [1963]</t>
  </si>
  <si>
    <t>1999-02-25</t>
  </si>
  <si>
    <t>1991-09-10</t>
  </si>
  <si>
    <t>197911516:eng</t>
  </si>
  <si>
    <t>14612740</t>
  </si>
  <si>
    <t>991001289019702656</t>
  </si>
  <si>
    <t>2258892660002656</t>
  </si>
  <si>
    <t>32285000736073</t>
  </si>
  <si>
    <t>893809025</t>
  </si>
  <si>
    <t>BF411 .F7</t>
  </si>
  <si>
    <t>0                      BF 0411000F  7</t>
  </si>
  <si>
    <t>Artistic productivity and mental health, prepared under the auspices of the Postgraduate Center for Mental Health by Edrita Fried [and others] With a foreword by Chaim Gross.</t>
  </si>
  <si>
    <t>Fried, Edrita.</t>
  </si>
  <si>
    <t>Springfield, Ill, C. C. Thomas [1964]</t>
  </si>
  <si>
    <t>American lectures series, publication no. 592. A monograph in American lectures in psychology</t>
  </si>
  <si>
    <t>1999-11-30</t>
  </si>
  <si>
    <t>257212770:eng</t>
  </si>
  <si>
    <t>574166</t>
  </si>
  <si>
    <t>991003007319702656</t>
  </si>
  <si>
    <t>2271689410002656</t>
  </si>
  <si>
    <t>32285002248143</t>
  </si>
  <si>
    <t>893698571</t>
  </si>
  <si>
    <t>BF412 .G4</t>
  </si>
  <si>
    <t>0                      BF 0412000G  4</t>
  </si>
  <si>
    <t>Genetic studies of genius / edited by Lewis M. Terman.</t>
  </si>
  <si>
    <t>Stanford, Calif. : Stanford University Press, 1926-1959.</t>
  </si>
  <si>
    <t>1926</t>
  </si>
  <si>
    <t>2005-11-16</t>
  </si>
  <si>
    <t>1996-07-25</t>
  </si>
  <si>
    <t>4159885617:eng</t>
  </si>
  <si>
    <t>11364194</t>
  </si>
  <si>
    <t>991000524399702656</t>
  </si>
  <si>
    <t>2254736540002656</t>
  </si>
  <si>
    <t>32285002236973</t>
  </si>
  <si>
    <t>893714662</t>
  </si>
  <si>
    <t>V.4</t>
  </si>
  <si>
    <t>32285002236999</t>
  </si>
  <si>
    <t>893695906</t>
  </si>
  <si>
    <t>32285002236965</t>
  </si>
  <si>
    <t>893702203</t>
  </si>
  <si>
    <t>32285002237005</t>
  </si>
  <si>
    <t>893702202</t>
  </si>
  <si>
    <t>32285002236981</t>
  </si>
  <si>
    <t>893683503</t>
  </si>
  <si>
    <t>BF412 .G56 1985</t>
  </si>
  <si>
    <t>0                      BF 0412000G  56          1985</t>
  </si>
  <si>
    <t>The Gifted and talented : developmental perspectives / edited by Frances Degen Horowitz [and] Marion O'Brien.</t>
  </si>
  <si>
    <t>Washington, D.C. : American Psychological Association, c1985.</t>
  </si>
  <si>
    <t>1996-11-11</t>
  </si>
  <si>
    <t>1990-05-01</t>
  </si>
  <si>
    <t>1078024840:eng</t>
  </si>
  <si>
    <t>11972824</t>
  </si>
  <si>
    <t>991000622769702656</t>
  </si>
  <si>
    <t>2255864690002656</t>
  </si>
  <si>
    <t>9780912704944</t>
  </si>
  <si>
    <t>32285000146166</t>
  </si>
  <si>
    <t>893225158</t>
  </si>
  <si>
    <t>BF431 .D85</t>
  </si>
  <si>
    <t>0                      BF 0431000D  85</t>
  </si>
  <si>
    <t>A history of psychological testing [by] Philip H. DuBois.</t>
  </si>
  <si>
    <t>DuBois, Philip H. (Philip Hunter), 1903-1998.</t>
  </si>
  <si>
    <t>Boston, Allyn and Bacon [1970]</t>
  </si>
  <si>
    <t>903517135:eng</t>
  </si>
  <si>
    <t>114067</t>
  </si>
  <si>
    <t>991000652089702656</t>
  </si>
  <si>
    <t>2265392930002656</t>
  </si>
  <si>
    <t>32285002248341</t>
  </si>
  <si>
    <t>893601939</t>
  </si>
  <si>
    <t>BF431 .E43</t>
  </si>
  <si>
    <t>0                      BF 0431000E  43</t>
  </si>
  <si>
    <t>Intelligence and cultural differences : a study of cultural learning and problem-solving / by Kenneth Eells [and others] ; under the chairmanship of Allison Davis.</t>
  </si>
  <si>
    <t>Eells, Kenneth, 1913-1973.</t>
  </si>
  <si>
    <t>[Chicago] : University of Chicago Press, [1951]</t>
  </si>
  <si>
    <t>2005-02-10</t>
  </si>
  <si>
    <t>1994-12-22</t>
  </si>
  <si>
    <t>889566618:eng</t>
  </si>
  <si>
    <t>167297</t>
  </si>
  <si>
    <t>991000946799702656</t>
  </si>
  <si>
    <t>2272391340002656</t>
  </si>
  <si>
    <t>9780226188386</t>
  </si>
  <si>
    <t>32285001985539</t>
  </si>
  <si>
    <t>893407676</t>
  </si>
  <si>
    <t>BF431 .F435 1976</t>
  </si>
  <si>
    <t>0                      BF 0431000F  435         1976</t>
  </si>
  <si>
    <t>Human intelligence / by Jack Fincher.</t>
  </si>
  <si>
    <t>Fincher, Jack, 1930-</t>
  </si>
  <si>
    <t>2751305:eng</t>
  </si>
  <si>
    <t>1976721</t>
  </si>
  <si>
    <t>991003963589702656</t>
  </si>
  <si>
    <t>2268635180002656</t>
  </si>
  <si>
    <t>9780399114878</t>
  </si>
  <si>
    <t>32285002248374</t>
  </si>
  <si>
    <t>893611750</t>
  </si>
  <si>
    <t>BF431 .F47</t>
  </si>
  <si>
    <t>0                      BF 0431000F  47</t>
  </si>
  <si>
    <t>The developmental psychology of Jean Piaget. With a foreword by Jean Piaget.</t>
  </si>
  <si>
    <t>Flavell, John H.</t>
  </si>
  <si>
    <t>Princeton, N.J., Van Nostrand [1963]</t>
  </si>
  <si>
    <t>The University series in psychology</t>
  </si>
  <si>
    <t>3901252228:eng</t>
  </si>
  <si>
    <t>223624</t>
  </si>
  <si>
    <t>991005264959702656</t>
  </si>
  <si>
    <t>2264025350002656</t>
  </si>
  <si>
    <t>9780442024130</t>
  </si>
  <si>
    <t>32285002248390</t>
  </si>
  <si>
    <t>893344931</t>
  </si>
  <si>
    <t>BF431 .G25</t>
  </si>
  <si>
    <t>0                      BF 0431000G  25</t>
  </si>
  <si>
    <t>Psychological tests, methods, and results, by Henry E. Garrett and Matthew R. Schneck.</t>
  </si>
  <si>
    <t>New York and London, Harper &amp; Brothers [1933]</t>
  </si>
  <si>
    <t>1997-03-23</t>
  </si>
  <si>
    <t>5001043:eng</t>
  </si>
  <si>
    <t>1105169</t>
  </si>
  <si>
    <t>991003540979702656</t>
  </si>
  <si>
    <t>2258940380002656</t>
  </si>
  <si>
    <t>32285002248432</t>
  </si>
  <si>
    <t>893324172</t>
  </si>
  <si>
    <t>BF431 .G27</t>
  </si>
  <si>
    <t>0                      BF 0431000G  27</t>
  </si>
  <si>
    <t>The new assault on equality : IQ and social stratification / edited by Alan Gartner, Colin Greer [and] Frank Riessman.</t>
  </si>
  <si>
    <t>Gartner, Alan compiler.</t>
  </si>
  <si>
    <t>New York : Harper &amp; Row, [1974]</t>
  </si>
  <si>
    <t>A Social policy book</t>
  </si>
  <si>
    <t>2005-12-08</t>
  </si>
  <si>
    <t>1993-03-04</t>
  </si>
  <si>
    <t>821655621:eng</t>
  </si>
  <si>
    <t>902428</t>
  </si>
  <si>
    <t>991003366669702656</t>
  </si>
  <si>
    <t>2262541360002656</t>
  </si>
  <si>
    <t>9780061361463</t>
  </si>
  <si>
    <t>32285001542462</t>
  </si>
  <si>
    <t>893336429</t>
  </si>
  <si>
    <t>BF431 .G65</t>
  </si>
  <si>
    <t>0                      BF 0431000G  65</t>
  </si>
  <si>
    <t>The search for ability; standardized testing in social perspective.</t>
  </si>
  <si>
    <t>Goslin, David A.</t>
  </si>
  <si>
    <t>New York, Russell Sage Foundation, 1963.</t>
  </si>
  <si>
    <t>Social consequences of ability testing ; v. 1</t>
  </si>
  <si>
    <t>2001-04-06</t>
  </si>
  <si>
    <t>1919293:eng</t>
  </si>
  <si>
    <t>965224</t>
  </si>
  <si>
    <t>991003429359702656</t>
  </si>
  <si>
    <t>2258191920002656</t>
  </si>
  <si>
    <t>32285002248457</t>
  </si>
  <si>
    <t>893899963</t>
  </si>
  <si>
    <t>BF431 .H399</t>
  </si>
  <si>
    <t>0                      BF 0431000H  399</t>
  </si>
  <si>
    <t>I.Q. in the meritocracy [by] R. J. Herrnstein.</t>
  </si>
  <si>
    <t>Herrnstein, Richard J.</t>
  </si>
  <si>
    <t>Boston, Little, Brown [1973]</t>
  </si>
  <si>
    <t>1998-10-11</t>
  </si>
  <si>
    <t>348167215:eng</t>
  </si>
  <si>
    <t>554134</t>
  </si>
  <si>
    <t>991002979269702656</t>
  </si>
  <si>
    <t>2258571930002656</t>
  </si>
  <si>
    <t>9780316358644</t>
  </si>
  <si>
    <t>32285002248507</t>
  </si>
  <si>
    <t>893805290</t>
  </si>
  <si>
    <t>BF431 .H77</t>
  </si>
  <si>
    <t>0                      BF 0431000H  77</t>
  </si>
  <si>
    <t>Aptitude testing / by Clark L. Hull.</t>
  </si>
  <si>
    <t>Hull, Clark Leonard, 1884-1952.</t>
  </si>
  <si>
    <t>Yonkers-on-Hudson, N.Y. : World Book Company, c1928.</t>
  </si>
  <si>
    <t>1928</t>
  </si>
  <si>
    <t>Measurement and adjustment series</t>
  </si>
  <si>
    <t>1960880:eng</t>
  </si>
  <si>
    <t>1100854</t>
  </si>
  <si>
    <t>991003536079702656</t>
  </si>
  <si>
    <t>2269114640002656</t>
  </si>
  <si>
    <t>32285002248531</t>
  </si>
  <si>
    <t>893781107</t>
  </si>
  <si>
    <t>BF431 .K53</t>
  </si>
  <si>
    <t>0                      BF 0431000K  53</t>
  </si>
  <si>
    <t>The Rorschach technique; a manual for a projective method of personality diagnosis, by Bruno Klopfer...with clinical contributions by Douglas McGlashan Kelley...introduction by Nolan D. C. Lewis...</t>
  </si>
  <si>
    <t>Klopfer, Bruno.</t>
  </si>
  <si>
    <t>Yonkers-on-Hudson, N.Y., World Book Co. [1942]</t>
  </si>
  <si>
    <t>2002-04-14</t>
  </si>
  <si>
    <t>1934131:eng</t>
  </si>
  <si>
    <t>1105222</t>
  </si>
  <si>
    <t>991003541039702656</t>
  </si>
  <si>
    <t>2259037120002656</t>
  </si>
  <si>
    <t>32285002248564</t>
  </si>
  <si>
    <t>893868532</t>
  </si>
  <si>
    <t>BF431 .M53 1973</t>
  </si>
  <si>
    <t>0                      BF 0431000M  53          1973</t>
  </si>
  <si>
    <t>Intelligence in the United States; a survey with conclusions for manpower utilization in education and employment, by John B. Miner.</t>
  </si>
  <si>
    <t>Miner, John B.</t>
  </si>
  <si>
    <t>Westport, Conn., Greenwood Press [1973, c1956]</t>
  </si>
  <si>
    <t>1311409:eng</t>
  </si>
  <si>
    <t>520725</t>
  </si>
  <si>
    <t>991002908909702656</t>
  </si>
  <si>
    <t>2267949280002656</t>
  </si>
  <si>
    <t>9780837166674</t>
  </si>
  <si>
    <t>32285002248614</t>
  </si>
  <si>
    <t>893329706</t>
  </si>
  <si>
    <t>BF431 .M553 1986</t>
  </si>
  <si>
    <t>0                      BF 0431000M  553         1986</t>
  </si>
  <si>
    <t>The society of mind / Marvin Minsky.</t>
  </si>
  <si>
    <t>Minsky, Marvin, 1927-2016.</t>
  </si>
  <si>
    <t>New York, N.Y. : Simon and Schuster, c1986.</t>
  </si>
  <si>
    <t>2002-10-28</t>
  </si>
  <si>
    <t>1993-03-29</t>
  </si>
  <si>
    <t>4919661456:eng</t>
  </si>
  <si>
    <t>14097999</t>
  </si>
  <si>
    <t>991000905659702656</t>
  </si>
  <si>
    <t>2266191910002656</t>
  </si>
  <si>
    <t>9780671607401</t>
  </si>
  <si>
    <t>32285001592152</t>
  </si>
  <si>
    <t>893522117</t>
  </si>
  <si>
    <t>BF431 .N38</t>
  </si>
  <si>
    <t>0                      BF 0431000N  38</t>
  </si>
  <si>
    <t>The Nature of intelligence / edited by Lauren B. Resnick.</t>
  </si>
  <si>
    <t>Hillsdale, N.J. : Lawrence Erlbaum Associates ; New York : distributed by Halsted Press Division of J. Wiley, 1976.</t>
  </si>
  <si>
    <t>1998-10-06</t>
  </si>
  <si>
    <t>2004-10-14</t>
  </si>
  <si>
    <t>365344738:eng</t>
  </si>
  <si>
    <t>2310630</t>
  </si>
  <si>
    <t>991001653719702656</t>
  </si>
  <si>
    <t>2261461250002656</t>
  </si>
  <si>
    <t>9780470013847</t>
  </si>
  <si>
    <t>32285001380780</t>
  </si>
  <si>
    <t>893334458</t>
  </si>
  <si>
    <t>BF431 .P44 1969</t>
  </si>
  <si>
    <t>0                      BF 0431000P  44          1969</t>
  </si>
  <si>
    <t>Early conceptions and tests of intelligence.</t>
  </si>
  <si>
    <t>Peterson, Joseph, 1878-1935.</t>
  </si>
  <si>
    <t>Westport, Conn., Greenwood Press [1969]</t>
  </si>
  <si>
    <t>2003-10-05</t>
  </si>
  <si>
    <t>4919729667:eng</t>
  </si>
  <si>
    <t>128424</t>
  </si>
  <si>
    <t>991000730559702656</t>
  </si>
  <si>
    <t>2261698330002656</t>
  </si>
  <si>
    <t>9780837128368</t>
  </si>
  <si>
    <t>32285002248630</t>
  </si>
  <si>
    <t>893683703</t>
  </si>
  <si>
    <t>BF431 .P47</t>
  </si>
  <si>
    <t>0                      BF 0431000P  47</t>
  </si>
  <si>
    <t>The origins of intellect : Piaget's theory / [by] John L. Phillips, Jr.</t>
  </si>
  <si>
    <t>Phillips, John L., 1923-</t>
  </si>
  <si>
    <t>San Francisco : W.H. Freeman, [1969]</t>
  </si>
  <si>
    <t>2000-10-11</t>
  </si>
  <si>
    <t>199750073:eng</t>
  </si>
  <si>
    <t>22788</t>
  </si>
  <si>
    <t>991000050619702656</t>
  </si>
  <si>
    <t>2268307820002656</t>
  </si>
  <si>
    <t>32285002029592</t>
  </si>
  <si>
    <t>893720558</t>
  </si>
  <si>
    <t>BF431 .P48</t>
  </si>
  <si>
    <t>0                      BF 0431000P  48</t>
  </si>
  <si>
    <t>Changes in intelligence quotient, infancy to maturity; new insights from the Berkeley growth study, with implications for the Stanford-Binet scales, and application to professional practice.</t>
  </si>
  <si>
    <t>Pinneau, Samuel R., Sr., 1922-</t>
  </si>
  <si>
    <t>Boston, Houghton Mifflin [1961]</t>
  </si>
  <si>
    <t>Houghton Mifflin Company tests</t>
  </si>
  <si>
    <t>2001-11-24</t>
  </si>
  <si>
    <t>497711006:eng</t>
  </si>
  <si>
    <t>14621672</t>
  </si>
  <si>
    <t>991001370969702656</t>
  </si>
  <si>
    <t>2264072330002656</t>
  </si>
  <si>
    <t>32285002248648</t>
  </si>
  <si>
    <t>893866181</t>
  </si>
  <si>
    <t>BF431 .P49</t>
  </si>
  <si>
    <t>0                      BF 0431000P  49</t>
  </si>
  <si>
    <t>Intelligence testing; methods and results, by Rudolf Pintner.</t>
  </si>
  <si>
    <t>Pintner, Rudolf, 1884-1942.</t>
  </si>
  <si>
    <t>New York, H. Holt [c1923]</t>
  </si>
  <si>
    <t>1359015:eng</t>
  </si>
  <si>
    <t>194220</t>
  </si>
  <si>
    <t>991001216359702656</t>
  </si>
  <si>
    <t>2269385010002656</t>
  </si>
  <si>
    <t>32285002248655</t>
  </si>
  <si>
    <t>893503203</t>
  </si>
  <si>
    <t>BF431 .P49 1931</t>
  </si>
  <si>
    <t>0                      BF 0431000P  49          1931</t>
  </si>
  <si>
    <t>Intelligence testing; methods and results.</t>
  </si>
  <si>
    <t>New York, Holt [c1931]</t>
  </si>
  <si>
    <t>New ed.</t>
  </si>
  <si>
    <t>14737637</t>
  </si>
  <si>
    <t>991000958229702656</t>
  </si>
  <si>
    <t>2267710960002656</t>
  </si>
  <si>
    <t>32285002248663</t>
  </si>
  <si>
    <t>893897372</t>
  </si>
  <si>
    <t>BF431 .P67 1986</t>
  </si>
  <si>
    <t>0                      BF 0431000P  67          1986</t>
  </si>
  <si>
    <t>Practical intelligence : nature and origins of competence in the everyday world / edited by Robert J. Sternberg and Richard K. Wagner.</t>
  </si>
  <si>
    <t>Cambridge [Cambridgeshire] ; New York : Cambridge University Press, 1986.</t>
  </si>
  <si>
    <t>2000-08-22</t>
  </si>
  <si>
    <t>827482399:eng</t>
  </si>
  <si>
    <t>12974798</t>
  </si>
  <si>
    <t>991000762539702656</t>
  </si>
  <si>
    <t>2262499680002656</t>
  </si>
  <si>
    <t>9780521317979</t>
  </si>
  <si>
    <t>32285001592178</t>
  </si>
  <si>
    <t>893884735</t>
  </si>
  <si>
    <t>BF431 .R52</t>
  </si>
  <si>
    <t>0                      BF 0431000R  52</t>
  </si>
  <si>
    <t>Assessment of individual mental ability / [by] George P. Robb, L. C. Bernardoni [and] Ray W. Johnson.</t>
  </si>
  <si>
    <t>Robb, George Paul, 1922-</t>
  </si>
  <si>
    <t>Scranton : Intext Educational Publishers, [1972]</t>
  </si>
  <si>
    <t>Intext series in psychological assessment</t>
  </si>
  <si>
    <t>1994-12-14</t>
  </si>
  <si>
    <t>1399929:eng</t>
  </si>
  <si>
    <t>271296</t>
  </si>
  <si>
    <t>991002144649702656</t>
  </si>
  <si>
    <t>2261921680002656</t>
  </si>
  <si>
    <t>9780700223572</t>
  </si>
  <si>
    <t>32285001982775</t>
  </si>
  <si>
    <t>893609512</t>
  </si>
  <si>
    <t>BF431 .R675</t>
  </si>
  <si>
    <t>0                      BF 0431000R  675</t>
  </si>
  <si>
    <t>Understanding intellectual development : three approaches to theory and practice / William D. Rohwer, Jr., Paul R. Ammon, Phebe Cramer.</t>
  </si>
  <si>
    <t>Rohwer, William D.</t>
  </si>
  <si>
    <t>Hinsdale, Ill. : Dryden Press, c1974.</t>
  </si>
  <si>
    <t>1996-03-22</t>
  </si>
  <si>
    <t>1992-10-30</t>
  </si>
  <si>
    <t>821655569:eng</t>
  </si>
  <si>
    <t>1047986</t>
  </si>
  <si>
    <t>991003497229702656</t>
  </si>
  <si>
    <t>2267737990002656</t>
  </si>
  <si>
    <t>9780030890284</t>
  </si>
  <si>
    <t>32285001387348</t>
  </si>
  <si>
    <t>893512004</t>
  </si>
  <si>
    <t>BF431 .S715 1974</t>
  </si>
  <si>
    <t>0                      BF 0431000S  715         1974</t>
  </si>
  <si>
    <t>The evolution of intelligence; a general theory and some of its implications.</t>
  </si>
  <si>
    <t>Stenhouse, David.</t>
  </si>
  <si>
    <t>New York, Barnes &amp; Noble Books [1974]</t>
  </si>
  <si>
    <t>1995-03-20</t>
  </si>
  <si>
    <t>1992-11-06</t>
  </si>
  <si>
    <t>3922818109:eng</t>
  </si>
  <si>
    <t>1057540</t>
  </si>
  <si>
    <t>991003506189702656</t>
  </si>
  <si>
    <t>2270969130002656</t>
  </si>
  <si>
    <t>9780064965187</t>
  </si>
  <si>
    <t>32285001387355</t>
  </si>
  <si>
    <t>893330356</t>
  </si>
  <si>
    <t>BF431 .S745</t>
  </si>
  <si>
    <t>0                      BF 0431000S  745</t>
  </si>
  <si>
    <t>The meaning of intelligence / by George D. Stoddard.</t>
  </si>
  <si>
    <t>Stoddard, George D. (George Dinsmore), 1897-1981.</t>
  </si>
  <si>
    <t>New York : Macmillan, 1943.</t>
  </si>
  <si>
    <t>1943</t>
  </si>
  <si>
    <t>2000-10-05</t>
  </si>
  <si>
    <t>1993-02-10</t>
  </si>
  <si>
    <t>4925891162:eng</t>
  </si>
  <si>
    <t>1034648</t>
  </si>
  <si>
    <t>991003487099702656</t>
  </si>
  <si>
    <t>2266738590002656</t>
  </si>
  <si>
    <t>32285001509370</t>
  </si>
  <si>
    <t>893699037</t>
  </si>
  <si>
    <t>BF431 .T2523</t>
  </si>
  <si>
    <t>0                      BF 0431000T  2523</t>
  </si>
  <si>
    <t>The IQ game : a methodological inquiry into the heredity-environment controversy / Howard F. Taylor.</t>
  </si>
  <si>
    <t>Taylor, Howard Francis, 1939-</t>
  </si>
  <si>
    <t>New Brunswick, N.J. : Rutgers University Press, c1980.</t>
  </si>
  <si>
    <t>1998-10-03</t>
  </si>
  <si>
    <t>474577:eng</t>
  </si>
  <si>
    <t>6223048</t>
  </si>
  <si>
    <t>991004947989702656</t>
  </si>
  <si>
    <t>2268380370002656</t>
  </si>
  <si>
    <t>9780813509020</t>
  </si>
  <si>
    <t>32285001384428</t>
  </si>
  <si>
    <t>893263524</t>
  </si>
  <si>
    <t>BF431 .V513 1960</t>
  </si>
  <si>
    <t>0                      BF 0431000V  513         1960</t>
  </si>
  <si>
    <t>Intelligence, its evolution and forms / [translated by A. J. Pomerans]</t>
  </si>
  <si>
    <t>Viaud, Gaston, 1899-</t>
  </si>
  <si>
    <t>New York : Harper, [1960]</t>
  </si>
  <si>
    <t>Science today series ; ST1</t>
  </si>
  <si>
    <t>365803839:eng</t>
  </si>
  <si>
    <t>302536</t>
  </si>
  <si>
    <t>991002257879702656</t>
  </si>
  <si>
    <t>2271981780002656</t>
  </si>
  <si>
    <t>32285001779759</t>
  </si>
  <si>
    <t>893703873</t>
  </si>
  <si>
    <t>BF431 .W35 1972</t>
  </si>
  <si>
    <t>0                      BF 0431000W  35          1972</t>
  </si>
  <si>
    <t>Wechsler's Measurement and appraisal of adult intelligence [by] Joseph D. Matarazzo.</t>
  </si>
  <si>
    <t>Wechsler, David, 1896-1981.</t>
  </si>
  <si>
    <t>Baltimore, Williams &amp; Wilkins [1972]</t>
  </si>
  <si>
    <t>5th and enl. ed.</t>
  </si>
  <si>
    <t>2001-11-18</t>
  </si>
  <si>
    <t>1996-07-30</t>
  </si>
  <si>
    <t>3856364309:eng</t>
  </si>
  <si>
    <t>552727</t>
  </si>
  <si>
    <t>991002977209702656</t>
  </si>
  <si>
    <t>2259381190002656</t>
  </si>
  <si>
    <t>32285002248762</t>
  </si>
  <si>
    <t>893598129</t>
  </si>
  <si>
    <t>BF431 .W37 1952</t>
  </si>
  <si>
    <t>0                      BF 0431000W  37          1952</t>
  </si>
  <si>
    <t>The range of human capacities / by David Wechsler.</t>
  </si>
  <si>
    <t>Baltimore : Williams &amp; Wilkins, 1952.</t>
  </si>
  <si>
    <t>2002-10-02</t>
  </si>
  <si>
    <t>4926697069:eng</t>
  </si>
  <si>
    <t>2230860</t>
  </si>
  <si>
    <t>991004057779702656</t>
  </si>
  <si>
    <t>2262204320002656</t>
  </si>
  <si>
    <t>32285002065240</t>
  </si>
  <si>
    <t>893259282</t>
  </si>
  <si>
    <t>BF431 .W53 1975</t>
  </si>
  <si>
    <t>0                      BF 0431000W  53          1975</t>
  </si>
  <si>
    <t>Intelligence can be taught / Arthur Whimbey with Linda Shaw Whimbey.</t>
  </si>
  <si>
    <t>Whimbey, Arthur.</t>
  </si>
  <si>
    <t>New York : Dutton, 1975.</t>
  </si>
  <si>
    <t>2006-03-27</t>
  </si>
  <si>
    <t>1991-09-17</t>
  </si>
  <si>
    <t>1969417:eng</t>
  </si>
  <si>
    <t>1103253</t>
  </si>
  <si>
    <t>991003538179702656</t>
  </si>
  <si>
    <t>2267309010002656</t>
  </si>
  <si>
    <t>9780876901281</t>
  </si>
  <si>
    <t>32285000756485</t>
  </si>
  <si>
    <t>893535503</t>
  </si>
  <si>
    <t>BF431 .W58 1967b</t>
  </si>
  <si>
    <t>0                      BF 0431000W  58          1967b</t>
  </si>
  <si>
    <t>Intelligence and ability: selected readings.</t>
  </si>
  <si>
    <t>Wiseman, Stephen, -1971.</t>
  </si>
  <si>
    <t>Harmondsworth, Penguin, 1967.</t>
  </si>
  <si>
    <t>Penguin modern psychology ; UPS5</t>
  </si>
  <si>
    <t>821645314:eng</t>
  </si>
  <si>
    <t>385074</t>
  </si>
  <si>
    <t>991002643559702656</t>
  </si>
  <si>
    <t>2258989800002656</t>
  </si>
  <si>
    <t>32285002248788</t>
  </si>
  <si>
    <t>893347739</t>
  </si>
  <si>
    <t>BF431 .W585</t>
  </si>
  <si>
    <t>0                      BF 0431000W  585</t>
  </si>
  <si>
    <t>The discovery of talent / edited by Dael Wolfle.</t>
  </si>
  <si>
    <t>Wolfle, Dael, 1906-2002 compiler.</t>
  </si>
  <si>
    <t>Cambridge, Mass. : Harvard University Press, 1969.</t>
  </si>
  <si>
    <t>The Walter Van Dyke Bingham lectures on the development of exceptional abilities and capacities</t>
  </si>
  <si>
    <t>1997-03-18</t>
  </si>
  <si>
    <t>1994-06-29</t>
  </si>
  <si>
    <t>111621764:eng</t>
  </si>
  <si>
    <t>12907</t>
  </si>
  <si>
    <t>991000005039702656</t>
  </si>
  <si>
    <t>2264944840002656</t>
  </si>
  <si>
    <t>32285001935625</t>
  </si>
  <si>
    <t>893607537</t>
  </si>
  <si>
    <t>BF432.A1 Y36</t>
  </si>
  <si>
    <t>0                      BF 0432000A  1                  Y  36</t>
  </si>
  <si>
    <t>Intellectual and personality characteristics of children : social class and ethnic group differences / Regina Yando, Victoria Seitz, Edward Zigler.</t>
  </si>
  <si>
    <t>Yando, Regina.</t>
  </si>
  <si>
    <t>Hillsdale, N.J. : Lawrence Erlbaum Associates, 1979.</t>
  </si>
  <si>
    <t>1995-11-08</t>
  </si>
  <si>
    <t>12471341:eng</t>
  </si>
  <si>
    <t>4775525</t>
  </si>
  <si>
    <t>991004714569702656</t>
  </si>
  <si>
    <t>2255485840002656</t>
  </si>
  <si>
    <t>9780898590012</t>
  </si>
  <si>
    <t>32285001592236</t>
  </si>
  <si>
    <t>893325688</t>
  </si>
  <si>
    <t>BF432.C5 V47 1982</t>
  </si>
  <si>
    <t>0                      BF 0432000C  5                  V  47          1982</t>
  </si>
  <si>
    <t>The abilities and achievements of Orientals in North America / Philip E. Vernon.</t>
  </si>
  <si>
    <t>Vernon, Philip E., 1905-1987.</t>
  </si>
  <si>
    <t>New York : Academic Press, 1982.</t>
  </si>
  <si>
    <t>Personality and psychopathology</t>
  </si>
  <si>
    <t>1999-09-20</t>
  </si>
  <si>
    <t>30920509:eng</t>
  </si>
  <si>
    <t>8168936</t>
  </si>
  <si>
    <t>991005210979702656</t>
  </si>
  <si>
    <t>2271860090002656</t>
  </si>
  <si>
    <t>9780127186801</t>
  </si>
  <si>
    <t>32285001350940</t>
  </si>
  <si>
    <t>893801919</t>
  </si>
  <si>
    <t>BF432.N5 S39</t>
  </si>
  <si>
    <t>0                      BF 0432000N  5                  S  39</t>
  </si>
  <si>
    <t>The fallacy of I.Q., edited and with foreword by Carl Senna.</t>
  </si>
  <si>
    <t>Senna, Carl, 1944-</t>
  </si>
  <si>
    <t>New York, Third Press [1973]</t>
  </si>
  <si>
    <t>2001-03-27</t>
  </si>
  <si>
    <t>1768167:eng</t>
  </si>
  <si>
    <t>636457</t>
  </si>
  <si>
    <t>991003086189702656</t>
  </si>
  <si>
    <t>2255166170002656</t>
  </si>
  <si>
    <t>9780893880545</t>
  </si>
  <si>
    <t>32285002248796</t>
  </si>
  <si>
    <t>893623139</t>
  </si>
  <si>
    <t>BF433.A3 M6</t>
  </si>
  <si>
    <t>0                      BF 0433000A  3                  M  6</t>
  </si>
  <si>
    <t>Constancy and IQ change; a clinical view of relationships between tested intelligence and personality, by Alice E. Moriarty.</t>
  </si>
  <si>
    <t>Moriarty, Alice E. (Alice Ewell), 1917-2003.</t>
  </si>
  <si>
    <t>363970143:eng</t>
  </si>
  <si>
    <t>581973</t>
  </si>
  <si>
    <t>991003017239702656</t>
  </si>
  <si>
    <t>2271203810002656</t>
  </si>
  <si>
    <t>32285002248804</t>
  </si>
  <si>
    <t>893518068</t>
  </si>
  <si>
    <t>BF433.A6 T6</t>
  </si>
  <si>
    <t>0                      BF 0433000A  6                  T  6</t>
  </si>
  <si>
    <t>The thematic apperception test; the theory and technique of interpretation, by Silvan S. Tomkins with the collaboration of Elizabeth J. Tomkins.</t>
  </si>
  <si>
    <t>Tomkins, Silvan S. (Silvan Solomon), 1911-1991.</t>
  </si>
  <si>
    <t>New York, Grune &amp; Stratton, 1947.</t>
  </si>
  <si>
    <t>1008379723:eng</t>
  </si>
  <si>
    <t>204108</t>
  </si>
  <si>
    <t>991001232649702656</t>
  </si>
  <si>
    <t>2257007170002656</t>
  </si>
  <si>
    <t>32285002248812</t>
  </si>
  <si>
    <t>893878749</t>
  </si>
  <si>
    <t>BF441 .B73 1984</t>
  </si>
  <si>
    <t>0                      BF 0441000B  73          1984</t>
  </si>
  <si>
    <t>The ideal problem solver : a guide for improving thinking, learning, and creativity / John D. Bransford, Barry S. Stein.</t>
  </si>
  <si>
    <t>Bransford, John.</t>
  </si>
  <si>
    <t>New York, NY : W.H. Freeman, c1984.</t>
  </si>
  <si>
    <t>2007-09-29</t>
  </si>
  <si>
    <t>1992-03-20</t>
  </si>
  <si>
    <t>348754:eng</t>
  </si>
  <si>
    <t>10823510</t>
  </si>
  <si>
    <t>991000439969702656</t>
  </si>
  <si>
    <t>2262562080002656</t>
  </si>
  <si>
    <t>9780716716686</t>
  </si>
  <si>
    <t>32285001014454</t>
  </si>
  <si>
    <t>893777928</t>
  </si>
  <si>
    <t>BF441 .G73 1988</t>
  </si>
  <si>
    <t>0                      BF 0441000G  73          1988</t>
  </si>
  <si>
    <t>Teaching critical thinking / Grace E. Grant.</t>
  </si>
  <si>
    <t>Grant, Grace E.</t>
  </si>
  <si>
    <t>New York : Praeger, 1988.</t>
  </si>
  <si>
    <t>2001-11-07</t>
  </si>
  <si>
    <t>1992-07-16</t>
  </si>
  <si>
    <t>2563744:eng</t>
  </si>
  <si>
    <t>16983670</t>
  </si>
  <si>
    <t>991001173289702656</t>
  </si>
  <si>
    <t>2257135600002656</t>
  </si>
  <si>
    <t>9780275927493</t>
  </si>
  <si>
    <t>32285001154193</t>
  </si>
  <si>
    <t>893250032</t>
  </si>
  <si>
    <t>BF441 .H33</t>
  </si>
  <si>
    <t>0                      BF 0441000H  33</t>
  </si>
  <si>
    <t>The complete problem solver / John R. Hayes.</t>
  </si>
  <si>
    <t>Hayes, John R., 1940-</t>
  </si>
  <si>
    <t>Philadelphia, Pa. : Franklin Institute Press, c1981.</t>
  </si>
  <si>
    <t>1997-06-30</t>
  </si>
  <si>
    <t>15831524:eng</t>
  </si>
  <si>
    <t>7459453</t>
  </si>
  <si>
    <t>991005112549702656</t>
  </si>
  <si>
    <t>2255232950002656</t>
  </si>
  <si>
    <t>9780891680284</t>
  </si>
  <si>
    <t>32285001592335</t>
  </si>
  <si>
    <t>893443417</t>
  </si>
  <si>
    <t>BF441 .K27</t>
  </si>
  <si>
    <t>0                      BF 0441000K  27</t>
  </si>
  <si>
    <t>Identifying and solving problems : a system approach / Roger Kaufman.</t>
  </si>
  <si>
    <t>Kaufman, Roger A.</t>
  </si>
  <si>
    <t>La Jolla, Calif. : University Associates, c1976.</t>
  </si>
  <si>
    <t>2008-02-26</t>
  </si>
  <si>
    <t>1992-03-19</t>
  </si>
  <si>
    <t>544164:eng</t>
  </si>
  <si>
    <t>2424328</t>
  </si>
  <si>
    <t>991004119599702656</t>
  </si>
  <si>
    <t>2265030300002656</t>
  </si>
  <si>
    <t>9780883901175</t>
  </si>
  <si>
    <t>32285001024651</t>
  </si>
  <si>
    <t>893718494</t>
  </si>
  <si>
    <t>BF441 .M27 1987</t>
  </si>
  <si>
    <t>0                      BF 0441000M  27          1987</t>
  </si>
  <si>
    <t>Patterns, thinking, and cognition : a theory of judgment / Howard Margolis.</t>
  </si>
  <si>
    <t>Margolis, Howard.</t>
  </si>
  <si>
    <t>Chicago : University of Chicago Press, 1987.</t>
  </si>
  <si>
    <t>2007-02-14</t>
  </si>
  <si>
    <t>311992128:eng</t>
  </si>
  <si>
    <t>15792013</t>
  </si>
  <si>
    <t>991001063729702656</t>
  </si>
  <si>
    <t>2261695920002656</t>
  </si>
  <si>
    <t>9780226505275</t>
  </si>
  <si>
    <t>32285001592376</t>
  </si>
  <si>
    <t>893243825</t>
  </si>
  <si>
    <t>BF441 .P83 1985</t>
  </si>
  <si>
    <t>0                      BF 0441000P  83          1985</t>
  </si>
  <si>
    <t>The Psychology of questions / edited by Arthur C. Graesser, John B. Black.</t>
  </si>
  <si>
    <t>Hillsdale, N.J. : L. Erlbaum Associates, c1985.</t>
  </si>
  <si>
    <t>1993-08-03</t>
  </si>
  <si>
    <t>346006948:eng</t>
  </si>
  <si>
    <t>11783613</t>
  </si>
  <si>
    <t>991000589029702656</t>
  </si>
  <si>
    <t>2255255740002656</t>
  </si>
  <si>
    <t>9780898594447</t>
  </si>
  <si>
    <t>32285001592418</t>
  </si>
  <si>
    <t>893432092</t>
  </si>
  <si>
    <t>BF441 .V66 1986</t>
  </si>
  <si>
    <t>0                      BF 0441000V  66          1986</t>
  </si>
  <si>
    <t>Decision analysis and behavioral research / Detlof von Winterfeldt, Ward Edwards.</t>
  </si>
  <si>
    <t>Von Winterfeldt, Detlof.</t>
  </si>
  <si>
    <t>1997-04-21</t>
  </si>
  <si>
    <t>5467164:eng</t>
  </si>
  <si>
    <t>13008763</t>
  </si>
  <si>
    <t>991000768809702656</t>
  </si>
  <si>
    <t>2265460340002656</t>
  </si>
  <si>
    <t>9780521273046</t>
  </si>
  <si>
    <t>32285001618718</t>
  </si>
  <si>
    <t>893444452</t>
  </si>
  <si>
    <t>BF441 .W35 1974</t>
  </si>
  <si>
    <t>0                      BF 0441000W  35          1974</t>
  </si>
  <si>
    <t>Change; principles of problem formation and problem resolution [by] Paul Wátzlawick, John H. Weakland [and] Richard Fisch. Foreword by Milton H. Erickson.</t>
  </si>
  <si>
    <t>Watzlawick, Paul, 1921-2007.</t>
  </si>
  <si>
    <t>New York, Norton [1974]</t>
  </si>
  <si>
    <t>2002-05-02</t>
  </si>
  <si>
    <t>4495044332:eng</t>
  </si>
  <si>
    <t>730810</t>
  </si>
  <si>
    <t>991005253629702656</t>
  </si>
  <si>
    <t>2267050060002656</t>
  </si>
  <si>
    <t>9780393011043</t>
  </si>
  <si>
    <t>32285002249000</t>
  </si>
  <si>
    <t>893242445</t>
  </si>
  <si>
    <t>BF441 .W475 1986</t>
  </si>
  <si>
    <t>0                      BF 0441000W  475         1986</t>
  </si>
  <si>
    <t>Problem solving and comprehension / Arthur Whimbey, Jack Lochhead.</t>
  </si>
  <si>
    <t>Hillsdale, N.J. : L. Erlbaum Associates, c1986.</t>
  </si>
  <si>
    <t>4th ed.</t>
  </si>
  <si>
    <t>2004-09-02</t>
  </si>
  <si>
    <t>1002326:eng</t>
  </si>
  <si>
    <t>13914967</t>
  </si>
  <si>
    <t>991000891229702656</t>
  </si>
  <si>
    <t>2268284260002656</t>
  </si>
  <si>
    <t>9780898597851</t>
  </si>
  <si>
    <t>32285001592475</t>
  </si>
  <si>
    <t>893351698</t>
  </si>
  <si>
    <t>BF444 .C66 1989</t>
  </si>
  <si>
    <t>0                      BF 0444000C  66          1989</t>
  </si>
  <si>
    <t>Complex information processing : the impact of Herbert A. Simon / edited by David Klahr, Kenneth Kotovsky.</t>
  </si>
  <si>
    <t>Hillsdale, NJ : L.L. Erlbaum Associates, c1989.</t>
  </si>
  <si>
    <t>1997-03-14</t>
  </si>
  <si>
    <t>1990-01-09</t>
  </si>
  <si>
    <t>866632280:eng</t>
  </si>
  <si>
    <t>18629251</t>
  </si>
  <si>
    <t>991001378039702656</t>
  </si>
  <si>
    <t>2265235910002656</t>
  </si>
  <si>
    <t>9780805801798</t>
  </si>
  <si>
    <t>32285000026939</t>
  </si>
  <si>
    <t>893891532</t>
  </si>
  <si>
    <t>BF445 .C38 1987</t>
  </si>
  <si>
    <t>0                      BF 0445000C  38          1987</t>
  </si>
  <si>
    <t>Categorical perception : the groundwork of cognition / edited by Stevan Harnad.</t>
  </si>
  <si>
    <t>Cambridge ; New York : Cambridge University Press, 1987.</t>
  </si>
  <si>
    <t>1994-11-27</t>
  </si>
  <si>
    <t>807330677:eng</t>
  </si>
  <si>
    <t>15083148</t>
  </si>
  <si>
    <t>991000987309702656</t>
  </si>
  <si>
    <t>2258055490002656</t>
  </si>
  <si>
    <t>9780521267588</t>
  </si>
  <si>
    <t>32285001127835</t>
  </si>
  <si>
    <t>893407723</t>
  </si>
  <si>
    <t>BF445 .C66 1989</t>
  </si>
  <si>
    <t>0                      BF 0445000C  66          1989</t>
  </si>
  <si>
    <t>Concepts and conceptual development : ecological and intellectual factors in categorization / edited by Ulric Neisser.</t>
  </si>
  <si>
    <t>Cambridge ; New York : Cambridge University Press, 1989.</t>
  </si>
  <si>
    <t>1st paperback ed.</t>
  </si>
  <si>
    <t>Emory symposia in cognition ; 1</t>
  </si>
  <si>
    <t>1992-06-22</t>
  </si>
  <si>
    <t>808677475:eng</t>
  </si>
  <si>
    <t>22152542</t>
  </si>
  <si>
    <t>991001748829702656</t>
  </si>
  <si>
    <t>2254834170002656</t>
  </si>
  <si>
    <t>9780521378758</t>
  </si>
  <si>
    <t>32285001155208</t>
  </si>
  <si>
    <t>893503644</t>
  </si>
  <si>
    <t>BF448 .R33 1989</t>
  </si>
  <si>
    <t>0                      BF 0448000R  33          1989</t>
  </si>
  <si>
    <t>Judgment, decision, and choice : a cognitive/behavioral synthesis / Howard Rachlin.</t>
  </si>
  <si>
    <t>New York : W.H. Freeman, c1989.</t>
  </si>
  <si>
    <t>2003-11-08</t>
  </si>
  <si>
    <t>1989-11-13</t>
  </si>
  <si>
    <t>889689447:eng</t>
  </si>
  <si>
    <t>18052668</t>
  </si>
  <si>
    <t>991001299179702656</t>
  </si>
  <si>
    <t>2265410980002656</t>
  </si>
  <si>
    <t>9780716719908</t>
  </si>
  <si>
    <t>32285000012848</t>
  </si>
  <si>
    <t>893503302</t>
  </si>
  <si>
    <t>BF45.C45 S34</t>
  </si>
  <si>
    <t>0                      BF 0045000C  45                 S  34</t>
  </si>
  <si>
    <t>Body language and social order; communication as behavioral control [by] Albert E. Scheflen with Alice Scheflen.</t>
  </si>
  <si>
    <t>Scheflen, Albert E.</t>
  </si>
  <si>
    <t>Englewood Cliffs, N.J., Prentice-Hall [1973, c1972]</t>
  </si>
  <si>
    <t>A Spectrum book, S-265</t>
  </si>
  <si>
    <t>1997-03-02</t>
  </si>
  <si>
    <t>410287:eng</t>
  </si>
  <si>
    <t>388753</t>
  </si>
  <si>
    <t>991002655959702656</t>
  </si>
  <si>
    <t>2254790530002656</t>
  </si>
  <si>
    <t>9780130795908</t>
  </si>
  <si>
    <t>32285002233723</t>
  </si>
  <si>
    <t>893792729</t>
  </si>
  <si>
    <t>BF455 .A52</t>
  </si>
  <si>
    <t>0                      BF 0455000A  52</t>
  </si>
  <si>
    <t>Language, memory, and thought / John R. Anderson.</t>
  </si>
  <si>
    <t>1996-11-24</t>
  </si>
  <si>
    <t>554416:eng</t>
  </si>
  <si>
    <t>2331424</t>
  </si>
  <si>
    <t>991004083549702656</t>
  </si>
  <si>
    <t>2264212680002656</t>
  </si>
  <si>
    <t>9780470151877</t>
  </si>
  <si>
    <t>32285002249034</t>
  </si>
  <si>
    <t>893593251</t>
  </si>
  <si>
    <t>BF455 .H4213</t>
  </si>
  <si>
    <t>0                      BF 0455000H  4213</t>
  </si>
  <si>
    <t>What is called thinking? With an introd. by J. Glenn Gray.</t>
  </si>
  <si>
    <t>Heidegger, Martin, 1889-1976.</t>
  </si>
  <si>
    <t>New York, Harper &amp; Row [1968]</t>
  </si>
  <si>
    <t>Religious perspectives ; v. 21</t>
  </si>
  <si>
    <t>2009-04-16</t>
  </si>
  <si>
    <t>10596103797:eng</t>
  </si>
  <si>
    <t>273314</t>
  </si>
  <si>
    <t>991002158269702656</t>
  </si>
  <si>
    <t>2262015950002656</t>
  </si>
  <si>
    <t>32285002249224</t>
  </si>
  <si>
    <t>893603254</t>
  </si>
  <si>
    <t>BF455 .L8 1982</t>
  </si>
  <si>
    <t>0                      BF 0455000L  8           1982</t>
  </si>
  <si>
    <t>Language and cognition / Alexander R. Luria ; edited by James V. Wertsch.</t>
  </si>
  <si>
    <t>Washington, D.C. : V.H. Winston ; New York : John Wiley, 1981, c1982.</t>
  </si>
  <si>
    <t>1995-03-26</t>
  </si>
  <si>
    <t>1991-07-31</t>
  </si>
  <si>
    <t>144652433:eng</t>
  </si>
  <si>
    <t>8155099</t>
  </si>
  <si>
    <t>991001762209702656</t>
  </si>
  <si>
    <t>2272596590002656</t>
  </si>
  <si>
    <t>9780471093022</t>
  </si>
  <si>
    <t>32285000680370</t>
  </si>
  <si>
    <t>893879149</t>
  </si>
  <si>
    <t>BF455 .M23</t>
  </si>
  <si>
    <t>0                      BF 0455000M  23</t>
  </si>
  <si>
    <t>Experiences in visual thinking [by] Robert H. McKim.</t>
  </si>
  <si>
    <t>McKim, Robert H.</t>
  </si>
  <si>
    <t>Monterey, Calif., Brooks/Cole Pub. Co. [1972]</t>
  </si>
  <si>
    <t>2010-01-24</t>
  </si>
  <si>
    <t>482757:eng</t>
  </si>
  <si>
    <t>370358</t>
  </si>
  <si>
    <t>991002552519702656</t>
  </si>
  <si>
    <t>2260463240002656</t>
  </si>
  <si>
    <t>9780818500312</t>
  </si>
  <si>
    <t>32285002249299</t>
  </si>
  <si>
    <t>893898912</t>
  </si>
  <si>
    <t>BF455 .M3</t>
  </si>
  <si>
    <t>0                      BF 0455000M  3</t>
  </si>
  <si>
    <t>Thinking : from association to Gestalt / [by] Jean Matter Mandler and George Mandler.</t>
  </si>
  <si>
    <t>Mandler, Jean Matter, editor.</t>
  </si>
  <si>
    <t>New York : Wiley, [1964]</t>
  </si>
  <si>
    <t>4820549636:eng</t>
  </si>
  <si>
    <t>223864</t>
  </si>
  <si>
    <t>991001371669702656</t>
  </si>
  <si>
    <t>2264201530002656</t>
  </si>
  <si>
    <t>32285000597582</t>
  </si>
  <si>
    <t>893238072</t>
  </si>
  <si>
    <t>BF455 .N53 1985</t>
  </si>
  <si>
    <t>0                      BF 0455000N  53          1985</t>
  </si>
  <si>
    <t>The teaching of thinking / Raymond S. Nickerson, David N. Perkins, Edward E. Smith.</t>
  </si>
  <si>
    <t>Nickerson, Raymond S.</t>
  </si>
  <si>
    <t>Hillsdale, N.J. : L. Erlbaum Associates, 1985.</t>
  </si>
  <si>
    <t>1997-06-13</t>
  </si>
  <si>
    <t>1993-03-18</t>
  </si>
  <si>
    <t>63782:eng</t>
  </si>
  <si>
    <t>12285995</t>
  </si>
  <si>
    <t>991000667059702656</t>
  </si>
  <si>
    <t>2257208420002656</t>
  </si>
  <si>
    <t>9780898595390</t>
  </si>
  <si>
    <t>32285001575256</t>
  </si>
  <si>
    <t>893589650</t>
  </si>
  <si>
    <t>BF455 .O4 1938</t>
  </si>
  <si>
    <t>0                      BF 0455000O  4           1938</t>
  </si>
  <si>
    <t>The meaning of meaning : a study of the influence of language upon thought and of the science of symbolism / by C.K. Ogden and I.A. Richards, with supplementary essays by B. Malinowski and F.G. Crookshank.</t>
  </si>
  <si>
    <t>Ogden, C. K. (Charles Kay), 1889-1957.</t>
  </si>
  <si>
    <t>New York : Harcourt, Brace &amp; company, [1938]</t>
  </si>
  <si>
    <t>1938</t>
  </si>
  <si>
    <t>2003-09-28</t>
  </si>
  <si>
    <t>1996-04-24</t>
  </si>
  <si>
    <t>1649167:eng</t>
  </si>
  <si>
    <t>1452981</t>
  </si>
  <si>
    <t>991003762829702656</t>
  </si>
  <si>
    <t>2257842540002656</t>
  </si>
  <si>
    <t>32285002160025</t>
  </si>
  <si>
    <t>893531563</t>
  </si>
  <si>
    <t>BF455 .O45 1967</t>
  </si>
  <si>
    <t>0                      BF 0455000O  45          1967</t>
  </si>
  <si>
    <t>Opposition, a linguistic and psychological analysis [by] C. K. Ogden. With a new introd. by I. A. Richards.</t>
  </si>
  <si>
    <t>Bloomington, Indiana University Press [1967]</t>
  </si>
  <si>
    <t>[1st Midland book ed.]</t>
  </si>
  <si>
    <t>2004-11-22</t>
  </si>
  <si>
    <t>22392689:eng</t>
  </si>
  <si>
    <t>2073808</t>
  </si>
  <si>
    <t>991004001169702656</t>
  </si>
  <si>
    <t>2255386880002656</t>
  </si>
  <si>
    <t>32285002249372</t>
  </si>
  <si>
    <t>893429525</t>
  </si>
  <si>
    <t>BF455 .R853 1986</t>
  </si>
  <si>
    <t>0                      BF 0455000R  853         1986</t>
  </si>
  <si>
    <t>Parallel distributed processing : explorations in the microstructure of cognition / David E. Rumelhart, James L. McClelland, and the PDP Research Group.</t>
  </si>
  <si>
    <t>Rumelhart, David E.</t>
  </si>
  <si>
    <t>Cambridge, Mass. : MIT Press, c1986, 1988 printing.</t>
  </si>
  <si>
    <t>Computational models of cognition and perception</t>
  </si>
  <si>
    <t>1994-01-21</t>
  </si>
  <si>
    <t>2002-04-20</t>
  </si>
  <si>
    <t>1993-06-07</t>
  </si>
  <si>
    <t>2864462756:eng</t>
  </si>
  <si>
    <t>12837549</t>
  </si>
  <si>
    <t>991001762259702656</t>
  </si>
  <si>
    <t>2272126860002656</t>
  </si>
  <si>
    <t>9780262132183</t>
  </si>
  <si>
    <t>32285001719789</t>
  </si>
  <si>
    <t>893898036</t>
  </si>
  <si>
    <t>32285001592681</t>
  </si>
  <si>
    <t>893885520</t>
  </si>
  <si>
    <t>BF455 .T524 1983</t>
  </si>
  <si>
    <t>0                      BF 0455000T  524         1983</t>
  </si>
  <si>
    <t>Thinking and reasoning : psychological approaches / edited by Jonathan St. B.T. Evans.</t>
  </si>
  <si>
    <t>London ; Boston : Routledge &amp; Kegan Paul, 1983.</t>
  </si>
  <si>
    <t>889768323:eng</t>
  </si>
  <si>
    <t>9282855</t>
  </si>
  <si>
    <t>991000165209702656</t>
  </si>
  <si>
    <t>2259923810002656</t>
  </si>
  <si>
    <t>9780710094605</t>
  </si>
  <si>
    <t>32285001592715</t>
  </si>
  <si>
    <t>893502305</t>
  </si>
  <si>
    <t>BF455 .T535 1983</t>
  </si>
  <si>
    <t>0                      BF 0455000T  535         1983</t>
  </si>
  <si>
    <t>Thinking, the expanding frontier / edited by William Maxwell ; preface by Jerome Bruner .</t>
  </si>
  <si>
    <t>Philadelphia, Pa. : Franklin Institute Press, c1983.</t>
  </si>
  <si>
    <t>351005576:eng</t>
  </si>
  <si>
    <t>9280856</t>
  </si>
  <si>
    <t>991000162669702656</t>
  </si>
  <si>
    <t>2260683790002656</t>
  </si>
  <si>
    <t>9780891680475</t>
  </si>
  <si>
    <t>32285001592723</t>
  </si>
  <si>
    <t>893224792</t>
  </si>
  <si>
    <t>BF455 .W67 1986</t>
  </si>
  <si>
    <t>0                      BF 0455000W  67          1986</t>
  </si>
  <si>
    <t>A model for teaching thinking skills : the inclusion process / by Antoinette M. Worsham and Anita J. Stockton.</t>
  </si>
  <si>
    <t>Worsham, Antoinette Maria, 1943-</t>
  </si>
  <si>
    <t>Bloomington, Ind. : Phi Delta Kappa Educational Foundation, c1986.</t>
  </si>
  <si>
    <t>Fastback ; 236</t>
  </si>
  <si>
    <t>945126793:eng</t>
  </si>
  <si>
    <t>13556135</t>
  </si>
  <si>
    <t>991000844289702656</t>
  </si>
  <si>
    <t>2269837840002656</t>
  </si>
  <si>
    <t>9780873672368</t>
  </si>
  <si>
    <t>32285001592756</t>
  </si>
  <si>
    <t>893778291</t>
  </si>
  <si>
    <t>BF456.D7 H27</t>
  </si>
  <si>
    <t>0                      BF 0456000D  7                  H  27</t>
  </si>
  <si>
    <t>Draw : A visual approach to thinking, learning, and communicating / Kurt Hanks and Larry Belliston.</t>
  </si>
  <si>
    <t>Hanks, Kurt, 1947-</t>
  </si>
  <si>
    <t>Los Altos, Calif. : W. Kaufmann, 1977.</t>
  </si>
  <si>
    <t>1990-08-02</t>
  </si>
  <si>
    <t>1048496:eng</t>
  </si>
  <si>
    <t>2912069</t>
  </si>
  <si>
    <t>991004281579702656</t>
  </si>
  <si>
    <t>2267837280002656</t>
  </si>
  <si>
    <t>9780913232453</t>
  </si>
  <si>
    <t>32285000262880</t>
  </si>
  <si>
    <t>893810454</t>
  </si>
  <si>
    <t>BF456.D7 H3</t>
  </si>
  <si>
    <t>0                      BF 0456000D  7                  H  3</t>
  </si>
  <si>
    <t>Children's drawings as measures of intellectual maturity; a revision and extension of the Goodenough Draw-a-Man test.</t>
  </si>
  <si>
    <t>Harris, Dale B.</t>
  </si>
  <si>
    <t>New York, Harcourt, Brace &amp; World [c1963]</t>
  </si>
  <si>
    <t>2007-04-19</t>
  </si>
  <si>
    <t>1992-10-27</t>
  </si>
  <si>
    <t>413710:eng</t>
  </si>
  <si>
    <t>226026</t>
  </si>
  <si>
    <t>991001380139702656</t>
  </si>
  <si>
    <t>2263162460002656</t>
  </si>
  <si>
    <t>32285001385318</t>
  </si>
  <si>
    <t>893231953</t>
  </si>
  <si>
    <t>BF456.R2 E65 1969</t>
  </si>
  <si>
    <t>0                      BF 0456000R  2                  E  65          1969</t>
  </si>
  <si>
    <t>Emotional difficulties in reading; a psychological approach to study problems.</t>
  </si>
  <si>
    <t>Ephron, Beulah Kanter.</t>
  </si>
  <si>
    <t>New York, Julian Press [1953]</t>
  </si>
  <si>
    <t>2001-05-15</t>
  </si>
  <si>
    <t>1337391:eng</t>
  </si>
  <si>
    <t>225765</t>
  </si>
  <si>
    <t>991001378969702656</t>
  </si>
  <si>
    <t>2263727030002656</t>
  </si>
  <si>
    <t>32285002249570</t>
  </si>
  <si>
    <t>893340387</t>
  </si>
  <si>
    <t>BF456.R2 T37 1983</t>
  </si>
  <si>
    <t>0                      BF 0456000R  2                  T  37          1983</t>
  </si>
  <si>
    <t>The psychology of reading / Insup Taylor, M. Martin Taylor.</t>
  </si>
  <si>
    <t>Taylor, Insup.</t>
  </si>
  <si>
    <t>19821193:eng</t>
  </si>
  <si>
    <t>9576583</t>
  </si>
  <si>
    <t>991000221619702656</t>
  </si>
  <si>
    <t>2267584000002656</t>
  </si>
  <si>
    <t>9780126840803</t>
  </si>
  <si>
    <t>32285001592863</t>
  </si>
  <si>
    <t>893407032</t>
  </si>
  <si>
    <t>BF456.S8 C63 1980</t>
  </si>
  <si>
    <t>0                      BF 0456000S  8                  C  63          1980</t>
  </si>
  <si>
    <t>Cognitive processes in spelling / edited by Uta Frith.</t>
  </si>
  <si>
    <t>2001-02-04</t>
  </si>
  <si>
    <t>408994:eng</t>
  </si>
  <si>
    <t>5410493</t>
  </si>
  <si>
    <t>991004830829702656</t>
  </si>
  <si>
    <t>2260524500002656</t>
  </si>
  <si>
    <t>9780122686603</t>
  </si>
  <si>
    <t>32285001592871</t>
  </si>
  <si>
    <t>893338179</t>
  </si>
  <si>
    <t>BF458 .F6 1949</t>
  </si>
  <si>
    <t>0                      BF 0458000F  6           1949</t>
  </si>
  <si>
    <t>Symbol and metaphor in human experience.</t>
  </si>
  <si>
    <t>Foss, Martin, 1889-</t>
  </si>
  <si>
    <t>Princeton, Princeton University Press, 1949.</t>
  </si>
  <si>
    <t>1949</t>
  </si>
  <si>
    <t>1999-09-29</t>
  </si>
  <si>
    <t>1336823:eng</t>
  </si>
  <si>
    <t>250449</t>
  </si>
  <si>
    <t>991001935589702656</t>
  </si>
  <si>
    <t>2266844870002656</t>
  </si>
  <si>
    <t>32285002249695</t>
  </si>
  <si>
    <t>893885656</t>
  </si>
  <si>
    <t>BF458 .L29</t>
  </si>
  <si>
    <t>0                      BF 0458000L  29</t>
  </si>
  <si>
    <t>Feeling and form; a theory of art ....</t>
  </si>
  <si>
    <t>New York, Scribner, 1953.</t>
  </si>
  <si>
    <t>1999-10-25</t>
  </si>
  <si>
    <t>4417317079:eng</t>
  </si>
  <si>
    <t>3234538</t>
  </si>
  <si>
    <t>991004383629702656</t>
  </si>
  <si>
    <t>2260021370002656</t>
  </si>
  <si>
    <t>32285003259818</t>
  </si>
  <si>
    <t>893775956</t>
  </si>
  <si>
    <t>BF458 .L3 1957</t>
  </si>
  <si>
    <t>0                      BF 0458000L  3           1957</t>
  </si>
  <si>
    <t>Philosophy in a new key; a study in the symbolism of reason, rite, and art.</t>
  </si>
  <si>
    <t>Cambridge, Harvard University Press, 1967 [c1957]</t>
  </si>
  <si>
    <t>[3d ed.]</t>
  </si>
  <si>
    <t>1997-10-31</t>
  </si>
  <si>
    <t>196209750:eng</t>
  </si>
  <si>
    <t>2714142</t>
  </si>
  <si>
    <t>991004221549702656</t>
  </si>
  <si>
    <t>2269097940002656</t>
  </si>
  <si>
    <t>32285002249703</t>
  </si>
  <si>
    <t>893612090</t>
  </si>
  <si>
    <t>BF458 .S7213</t>
  </si>
  <si>
    <t>0                      BF 0458000S  7213</t>
  </si>
  <si>
    <t>Rethinking symbolism / Dan Sperber ; translated [from the French] by Alice L. Morton.</t>
  </si>
  <si>
    <t>Sperber, Dan.</t>
  </si>
  <si>
    <t>Cambridge ; New York : Cambridge University Press, 1975.</t>
  </si>
  <si>
    <t>Cambridge studies in social anthropology, 0068-6794</t>
  </si>
  <si>
    <t>2004-12-01</t>
  </si>
  <si>
    <t>4095861830:eng</t>
  </si>
  <si>
    <t>1853071</t>
  </si>
  <si>
    <t>991003911639702656</t>
  </si>
  <si>
    <t>2264834570002656</t>
  </si>
  <si>
    <t>9780521208345</t>
  </si>
  <si>
    <t>32285002249737</t>
  </si>
  <si>
    <t>893711937</t>
  </si>
  <si>
    <t>BF458 .W5 1959</t>
  </si>
  <si>
    <t>0                      BF 0458000W  5           1959</t>
  </si>
  <si>
    <t>Symbolism, its meaning and effect.</t>
  </si>
  <si>
    <t>Whitehead, Alfred North, 1861-1947.</t>
  </si>
  <si>
    <t>New York : Capricorn Books, [1959]</t>
  </si>
  <si>
    <t>A Putnam Capricorn book, Cap 13.</t>
  </si>
  <si>
    <t>1992-06-05</t>
  </si>
  <si>
    <t>1332621:eng</t>
  </si>
  <si>
    <t>224098</t>
  </si>
  <si>
    <t>991001372669702656</t>
  </si>
  <si>
    <t>2264108100002656</t>
  </si>
  <si>
    <t>32285001130714</t>
  </si>
  <si>
    <t>893590234</t>
  </si>
  <si>
    <t>BF463.M4 S55</t>
  </si>
  <si>
    <t>0                      BF 0463000M  4                  S  55</t>
  </si>
  <si>
    <t>Semantic differential technique; a sourcebook. Edited by James G. Snider and Charles E. Osgood.</t>
  </si>
  <si>
    <t>Snider, James G., 1928-, compiler.</t>
  </si>
  <si>
    <t>Chicago, Aldine Pub. Co. [1969]</t>
  </si>
  <si>
    <t>2004-10-28</t>
  </si>
  <si>
    <t>891313939:eng</t>
  </si>
  <si>
    <t>10379</t>
  </si>
  <si>
    <t>991000001429702656</t>
  </si>
  <si>
    <t>2268329550002656</t>
  </si>
  <si>
    <t>32285002249745</t>
  </si>
  <si>
    <t>893877701</t>
  </si>
  <si>
    <t>BF468 .C58</t>
  </si>
  <si>
    <t>0                      BF 0468000C  58</t>
  </si>
  <si>
    <t>Perceiving time : a psychological investigation with men and women / Thomas J. Cottle.</t>
  </si>
  <si>
    <t>Cottle, Thomas J.</t>
  </si>
  <si>
    <t>New York : Wiley, c1976.</t>
  </si>
  <si>
    <t>1993-08-30</t>
  </si>
  <si>
    <t>4649214:eng</t>
  </si>
  <si>
    <t>2318114</t>
  </si>
  <si>
    <t>991004076239702656</t>
  </si>
  <si>
    <t>2263935250002656</t>
  </si>
  <si>
    <t>9780471175308</t>
  </si>
  <si>
    <t>32285001761518</t>
  </si>
  <si>
    <t>893875650</t>
  </si>
  <si>
    <t>BF468 .F683</t>
  </si>
  <si>
    <t>0                      BF 0468000F  683</t>
  </si>
  <si>
    <t>The psychology of time / translated by Jennifer Leith.</t>
  </si>
  <si>
    <t>Fraisse, Paul.</t>
  </si>
  <si>
    <t>New York : Harper &amp; Row, [1963]</t>
  </si>
  <si>
    <t>1999-11-23</t>
  </si>
  <si>
    <t>479219:eng</t>
  </si>
  <si>
    <t>203764</t>
  </si>
  <si>
    <t>991001231739702656</t>
  </si>
  <si>
    <t>2255944040002656</t>
  </si>
  <si>
    <t>32285001761534</t>
  </si>
  <si>
    <t>893432711</t>
  </si>
  <si>
    <t>BF469 .D68</t>
  </si>
  <si>
    <t>0                      BF 0469000D  68</t>
  </si>
  <si>
    <t>Image and environment; cognitive mapping and spatial behavior. Edited by Roger M. Downs and David Stea. Foreword by Kenneth E. Boulding.</t>
  </si>
  <si>
    <t>Downs, Roger M.</t>
  </si>
  <si>
    <t>Chicago, Aldine Pub. Co. [1973]</t>
  </si>
  <si>
    <t>1999-11-22</t>
  </si>
  <si>
    <t>865349931:eng</t>
  </si>
  <si>
    <t>779458</t>
  </si>
  <si>
    <t>991003254629702656</t>
  </si>
  <si>
    <t>2265523570002656</t>
  </si>
  <si>
    <t>9780202100586</t>
  </si>
  <si>
    <t>32285002249760</t>
  </si>
  <si>
    <t>893352742</t>
  </si>
  <si>
    <t>BF469 .S68</t>
  </si>
  <si>
    <t>0                      BF 0469000S  68</t>
  </si>
  <si>
    <t>Spatial representation and behavior across the life span : theory and application / edited by Lynn S. Liben, Arthur H. Patterson, Nora Newcombe.</t>
  </si>
  <si>
    <t>New York : Academic Press, 1981.</t>
  </si>
  <si>
    <t>Developmental psychology</t>
  </si>
  <si>
    <t>1999-11-12</t>
  </si>
  <si>
    <t>1993-03-31</t>
  </si>
  <si>
    <t>903479463:eng</t>
  </si>
  <si>
    <t>6942901</t>
  </si>
  <si>
    <t>991005064049702656</t>
  </si>
  <si>
    <t>2257577080002656</t>
  </si>
  <si>
    <t>9780124479807</t>
  </si>
  <si>
    <t>32285001595858</t>
  </si>
  <si>
    <t>893722728</t>
  </si>
  <si>
    <t>BF471.C5 J6 1972</t>
  </si>
  <si>
    <t>0                      BF 0471000C  5                  J  6           1972</t>
  </si>
  <si>
    <t>Living with change: the semantics of coping. Observations by Wendell Johnson. Selected and synthesized by Dorothy Moeller.</t>
  </si>
  <si>
    <t>Johnson, Wendell, 1906-1965.</t>
  </si>
  <si>
    <t>283832416:eng</t>
  </si>
  <si>
    <t>410397</t>
  </si>
  <si>
    <t>991002712989702656</t>
  </si>
  <si>
    <t>2265612390002656</t>
  </si>
  <si>
    <t>9780060433482</t>
  </si>
  <si>
    <t>32285001595866</t>
  </si>
  <si>
    <t>893698157</t>
  </si>
  <si>
    <t>BF481 .N34 1985</t>
  </si>
  <si>
    <t>0                      BF 0481000N  34          1985</t>
  </si>
  <si>
    <t>Work and human behavior / Walter S. Neff.</t>
  </si>
  <si>
    <t>Neff, Walter S. (Walter Scott), 1910-1997.</t>
  </si>
  <si>
    <t>New York : Aldine Pub. Co., c1985.</t>
  </si>
  <si>
    <t>1996-10-20</t>
  </si>
  <si>
    <t>242235074:eng</t>
  </si>
  <si>
    <t>11622624</t>
  </si>
  <si>
    <t>991000566949702656</t>
  </si>
  <si>
    <t>2260870700002656</t>
  </si>
  <si>
    <t>9780202303208</t>
  </si>
  <si>
    <t>32285001595882</t>
  </si>
  <si>
    <t>893327402</t>
  </si>
  <si>
    <t>BF481 .S87 1983</t>
  </si>
  <si>
    <t>0                      BF 0481000S  87          1983</t>
  </si>
  <si>
    <t>Stress and fatigue in human performance / edited by Robert Hockey.</t>
  </si>
  <si>
    <t>Chichester ; New York : Wiley, c1983.</t>
  </si>
  <si>
    <t>Wiley series on studies in human performance</t>
  </si>
  <si>
    <t>1998-09-27</t>
  </si>
  <si>
    <t>489439:eng</t>
  </si>
  <si>
    <t>8708729</t>
  </si>
  <si>
    <t>991000055149702656</t>
  </si>
  <si>
    <t>2255467000002656</t>
  </si>
  <si>
    <t>9780471102656</t>
  </si>
  <si>
    <t>32285000215367</t>
  </si>
  <si>
    <t>893437960</t>
  </si>
  <si>
    <t>BF491 .R43 1988</t>
  </si>
  <si>
    <t>0                      BF 0491000R  43          1988</t>
  </si>
  <si>
    <t>The psychology of anomalous experience : a cognitive approach / Graham Reed.</t>
  </si>
  <si>
    <t>Reed, Graham F.</t>
  </si>
  <si>
    <t>1995-11-12</t>
  </si>
  <si>
    <t>1990-08-17</t>
  </si>
  <si>
    <t>1793019:eng</t>
  </si>
  <si>
    <t>19522154</t>
  </si>
  <si>
    <t>991001383609702656</t>
  </si>
  <si>
    <t>2262155520002656</t>
  </si>
  <si>
    <t>9780879754358</t>
  </si>
  <si>
    <t>32285000244078</t>
  </si>
  <si>
    <t>893315743</t>
  </si>
  <si>
    <t>BF503 .F74</t>
  </si>
  <si>
    <t>0                      BF 0503000F  74</t>
  </si>
  <si>
    <t>Human nature and predictability / Myles I. Friedman, Martha R. Willis.</t>
  </si>
  <si>
    <t>Friedman, Myles I., 1924-</t>
  </si>
  <si>
    <t>Lexington, Mass. : Lexington Books, c1981.</t>
  </si>
  <si>
    <t>12753814:eng</t>
  </si>
  <si>
    <t>7575632</t>
  </si>
  <si>
    <t>991005134589702656</t>
  </si>
  <si>
    <t>2265612510002656</t>
  </si>
  <si>
    <t>9780669046847</t>
  </si>
  <si>
    <t>32285001595890</t>
  </si>
  <si>
    <t>893870574</t>
  </si>
  <si>
    <t>BF503 .H35 1983</t>
  </si>
  <si>
    <t>0                      BF 0503000H  35          1983</t>
  </si>
  <si>
    <t>The cognitive structures and processes of human motivation and personality / Vernon Hamilton.</t>
  </si>
  <si>
    <t>Hamilton, Vernon.</t>
  </si>
  <si>
    <t>Chichester, Sussex, England ; New York : Wiley, c1983, 1984 printing.</t>
  </si>
  <si>
    <t>2005-11-09</t>
  </si>
  <si>
    <t>43148227:eng</t>
  </si>
  <si>
    <t>8727871</t>
  </si>
  <si>
    <t>991000059489702656</t>
  </si>
  <si>
    <t>2272572700002656</t>
  </si>
  <si>
    <t>9780471105268</t>
  </si>
  <si>
    <t>32285000111350</t>
  </si>
  <si>
    <t>893877759</t>
  </si>
  <si>
    <t>BF503 .M42 1987</t>
  </si>
  <si>
    <t>0                      BF 0503000M  42          1987</t>
  </si>
  <si>
    <t>Human motivation / David C. McClelland.</t>
  </si>
  <si>
    <t>McClelland, David C. (David Clarence)</t>
  </si>
  <si>
    <t>Cambridge [England] ; New York : Cambridge University Press, 1987.</t>
  </si>
  <si>
    <t>2009-05-04</t>
  </si>
  <si>
    <t>1997-07-31</t>
  </si>
  <si>
    <t>3993575:eng</t>
  </si>
  <si>
    <t>18530087</t>
  </si>
  <si>
    <t>991001363019702656</t>
  </si>
  <si>
    <t>2262530260002656</t>
  </si>
  <si>
    <t>9780521369510</t>
  </si>
  <si>
    <t>32285003000055</t>
  </si>
  <si>
    <t>893420265</t>
  </si>
  <si>
    <t>BF503 .P48 1990</t>
  </si>
  <si>
    <t>0                      BF 0503000P  48          1990</t>
  </si>
  <si>
    <t>The X factor / George Plimpton.</t>
  </si>
  <si>
    <t>Plimpton, George.</t>
  </si>
  <si>
    <t>[Knoxville, Tenn.] : Whittle Direct Books, c1990.</t>
  </si>
  <si>
    <t>tnu</t>
  </si>
  <si>
    <t>The Larger agenda series, 1046-364X</t>
  </si>
  <si>
    <t>2008-11-14</t>
  </si>
  <si>
    <t>1999-03-15</t>
  </si>
  <si>
    <t>909580539:eng</t>
  </si>
  <si>
    <t>22983105</t>
  </si>
  <si>
    <t>991001829259702656</t>
  </si>
  <si>
    <t>2255879300002656</t>
  </si>
  <si>
    <t>9780962474545</t>
  </si>
  <si>
    <t>32285003532081</t>
  </si>
  <si>
    <t>893779115</t>
  </si>
  <si>
    <t>BF515 .B73</t>
  </si>
  <si>
    <t>0                      BF 0515000B  73</t>
  </si>
  <si>
    <t>The structure of psychological well-being / by Norman M. Bradburn, with the assistance of C. Edward Noll.</t>
  </si>
  <si>
    <t>Bradburn, Norman M.</t>
  </si>
  <si>
    <t>Chicago : Aldine Pub. Co., [1969]</t>
  </si>
  <si>
    <t>National Opinion Research Center. Monographs in social research, 15</t>
  </si>
  <si>
    <t>2000-03-14</t>
  </si>
  <si>
    <t>1221574:eng</t>
  </si>
  <si>
    <t>60599</t>
  </si>
  <si>
    <t>991000158009702656</t>
  </si>
  <si>
    <t>2271725330002656</t>
  </si>
  <si>
    <t>32285000736099</t>
  </si>
  <si>
    <t>893714373</t>
  </si>
  <si>
    <t>BF515 .B83</t>
  </si>
  <si>
    <t>0                      BF 0515000B  83</t>
  </si>
  <si>
    <t>Pain / F. J. J. Buytendijk ; translated by Eda O'Shiel.</t>
  </si>
  <si>
    <t>Buytendijk, F. J. J. (Frederik Jacobus Johannes), 1887-1974.</t>
  </si>
  <si>
    <t>London : Hutchinson, [1961]</t>
  </si>
  <si>
    <t>2001-09-18</t>
  </si>
  <si>
    <t>1993-02-26</t>
  </si>
  <si>
    <t>500685:eng</t>
  </si>
  <si>
    <t>2990225</t>
  </si>
  <si>
    <t>991004310219702656</t>
  </si>
  <si>
    <t>2258973720002656</t>
  </si>
  <si>
    <t>32285001540250</t>
  </si>
  <si>
    <t>893235319</t>
  </si>
  <si>
    <t>BF515 .C74</t>
  </si>
  <si>
    <t>0                      BF 0515000C  74</t>
  </si>
  <si>
    <t>Beyond boredom and anxiety / Mihaly Csikszentmihalyi ; with contributions by Isabella Csikszentmihalyi ... [et al.].</t>
  </si>
  <si>
    <t>Csikszentmihalyi, Mihaly.</t>
  </si>
  <si>
    <t>San Francisco : Jossey-Bass Publishers, 1975.</t>
  </si>
  <si>
    <t>The Jossey-Bass behavioral science series</t>
  </si>
  <si>
    <t>2004-02-19</t>
  </si>
  <si>
    <t>532528:eng</t>
  </si>
  <si>
    <t>3017986</t>
  </si>
  <si>
    <t>991004321209702656</t>
  </si>
  <si>
    <t>2269968700002656</t>
  </si>
  <si>
    <t>9780875892610</t>
  </si>
  <si>
    <t>32285001540243</t>
  </si>
  <si>
    <t>893687603</t>
  </si>
  <si>
    <t>BF515 .P79</t>
  </si>
  <si>
    <t>0                      BF 0515000P  79</t>
  </si>
  <si>
    <t>The Psychology of pain / edited by Richard A. Sternbach.</t>
  </si>
  <si>
    <t>New York : Raven Press, c1978.</t>
  </si>
  <si>
    <t>1995-03-14</t>
  </si>
  <si>
    <t>1999-03-12</t>
  </si>
  <si>
    <t>54238559:eng</t>
  </si>
  <si>
    <t>4136788</t>
  </si>
  <si>
    <t>991001791419702656</t>
  </si>
  <si>
    <t>2258248960002656</t>
  </si>
  <si>
    <t>9780890042786</t>
  </si>
  <si>
    <t>32285000134642</t>
  </si>
  <si>
    <t>893898062</t>
  </si>
  <si>
    <t>BF531 .K39</t>
  </si>
  <si>
    <t>0                      BF 0531000K  39</t>
  </si>
  <si>
    <t>A social interactional theory of emotions / Theodore D. Kemper. --</t>
  </si>
  <si>
    <t>Kemper, Theodore D., 1926-</t>
  </si>
  <si>
    <t>New York : Wiley, c1978.</t>
  </si>
  <si>
    <t>2007-11-12</t>
  </si>
  <si>
    <t>12858794:eng</t>
  </si>
  <si>
    <t>3869712</t>
  </si>
  <si>
    <t>991004535829702656</t>
  </si>
  <si>
    <t>2262931880002656</t>
  </si>
  <si>
    <t>9780471014058</t>
  </si>
  <si>
    <t>32285001595940</t>
  </si>
  <si>
    <t>893869831</t>
  </si>
  <si>
    <t>BF531 .L28</t>
  </si>
  <si>
    <t>0                      BF 0531000L  28</t>
  </si>
  <si>
    <t>The voice of experience / R.D. Laing.</t>
  </si>
  <si>
    <t>Laing, R. D. (Ronald David), 1927-1989.</t>
  </si>
  <si>
    <t>New York : Pantheon Books, c1982.</t>
  </si>
  <si>
    <t>1994-01-20</t>
  </si>
  <si>
    <t>116826664:eng</t>
  </si>
  <si>
    <t>8109631</t>
  </si>
  <si>
    <t>991005203289702656</t>
  </si>
  <si>
    <t>2261454950002656</t>
  </si>
  <si>
    <t>9780394515526</t>
  </si>
  <si>
    <t>32285001540219</t>
  </si>
  <si>
    <t>893883499</t>
  </si>
  <si>
    <t>BF531 .O75 1988</t>
  </si>
  <si>
    <t>0                      BF 0531000O  75          1988</t>
  </si>
  <si>
    <t>The cognitive structure of emotions / Andrew Ortony, Gerald L. Clore, Allan Collins.</t>
  </si>
  <si>
    <t>Ortony, Andrew, 1942-</t>
  </si>
  <si>
    <t>1995-10-20</t>
  </si>
  <si>
    <t>1992-06-10</t>
  </si>
  <si>
    <t>13187971:eng</t>
  </si>
  <si>
    <t>17106202</t>
  </si>
  <si>
    <t>991001179239702656</t>
  </si>
  <si>
    <t>2270563520002656</t>
  </si>
  <si>
    <t>9780521353649</t>
  </si>
  <si>
    <t>32285001128064</t>
  </si>
  <si>
    <t>893621130</t>
  </si>
  <si>
    <t>BF531 .P59</t>
  </si>
  <si>
    <t>0                      BF 0531000P  59</t>
  </si>
  <si>
    <t>Emotion, a psychoevolutionary synthesis / Robert Plutchik.</t>
  </si>
  <si>
    <t>Plutchik, Robert.</t>
  </si>
  <si>
    <t>2002-11-11</t>
  </si>
  <si>
    <t>403631:eng</t>
  </si>
  <si>
    <t>5310120</t>
  </si>
  <si>
    <t>991004815799702656</t>
  </si>
  <si>
    <t>2264388820002656</t>
  </si>
  <si>
    <t>9780060452353</t>
  </si>
  <si>
    <t>32285001595957</t>
  </si>
  <si>
    <t>893795303</t>
  </si>
  <si>
    <t>BF531 .R3 1961</t>
  </si>
  <si>
    <t>0                      BF 0531000R  3           1961</t>
  </si>
  <si>
    <t>Emotions and memory / by David Rapaport.</t>
  </si>
  <si>
    <t>Rapaport, David.</t>
  </si>
  <si>
    <t>New York : Science Editions, 1961.</t>
  </si>
  <si>
    <t>2d unaltered ed.</t>
  </si>
  <si>
    <t>The Menninger Clinic monograph series, no. 2</t>
  </si>
  <si>
    <t>2002-03-02</t>
  </si>
  <si>
    <t>489238:eng</t>
  </si>
  <si>
    <t>5822214</t>
  </si>
  <si>
    <t>991004881679702656</t>
  </si>
  <si>
    <t>2268628750002656</t>
  </si>
  <si>
    <t>32285003250411</t>
  </si>
  <si>
    <t>893612872</t>
  </si>
  <si>
    <t>BF531 .S314</t>
  </si>
  <si>
    <t>0                      BF 0531000S  314</t>
  </si>
  <si>
    <t>The emotions : outline of a theory / tr. from the French by Bernard Frechtman.</t>
  </si>
  <si>
    <t>New York : Philosophical Library, [1948]</t>
  </si>
  <si>
    <t>2005-12-01</t>
  </si>
  <si>
    <t>48531216:eng</t>
  </si>
  <si>
    <t>295811</t>
  </si>
  <si>
    <t>991002235649702656</t>
  </si>
  <si>
    <t>2265675850002656</t>
  </si>
  <si>
    <t>32285000919083</t>
  </si>
  <si>
    <t>893597184</t>
  </si>
  <si>
    <t>BF531 .S54</t>
  </si>
  <si>
    <t>0                      BF 0531000S  54</t>
  </si>
  <si>
    <t>Emotion : the method of philosophical therapy / Warren Shibles.</t>
  </si>
  <si>
    <t>Shibles, Warren A.</t>
  </si>
  <si>
    <t>Whitewater, Wis. : Language Press, [1974]</t>
  </si>
  <si>
    <t>1998-12-04</t>
  </si>
  <si>
    <t>3372180274:eng</t>
  </si>
  <si>
    <t>1087087</t>
  </si>
  <si>
    <t>991003525039702656</t>
  </si>
  <si>
    <t>2266999130002656</t>
  </si>
  <si>
    <t>9780912386072</t>
  </si>
  <si>
    <t>32285001540193</t>
  </si>
  <si>
    <t>893868520</t>
  </si>
  <si>
    <t>BF561 .G39 1979</t>
  </si>
  <si>
    <t>0                      BF 0561000G  39          1979</t>
  </si>
  <si>
    <t>Feelings : our vital signs / Willard Gaylin.</t>
  </si>
  <si>
    <t>Gaylin, Willard.</t>
  </si>
  <si>
    <t>1990-07-03</t>
  </si>
  <si>
    <t>14158535:eng</t>
  </si>
  <si>
    <t>4076853</t>
  </si>
  <si>
    <t>991004584329702656</t>
  </si>
  <si>
    <t>2263028360002656</t>
  </si>
  <si>
    <t>9780060114596</t>
  </si>
  <si>
    <t>32285000219757</t>
  </si>
  <si>
    <t>893411714</t>
  </si>
  <si>
    <t>BF561 .H68</t>
  </si>
  <si>
    <t>0                      BF 0561000H  68</t>
  </si>
  <si>
    <t>How do you feel? : a guide to your emotions / [by] John Wood.</t>
  </si>
  <si>
    <t>Englewood Cliffs, N.J. : Prentice-Hall, [1974]</t>
  </si>
  <si>
    <t>2002-12-18</t>
  </si>
  <si>
    <t>326920918:eng</t>
  </si>
  <si>
    <t>799624</t>
  </si>
  <si>
    <t>991003275229702656</t>
  </si>
  <si>
    <t>2266921670002656</t>
  </si>
  <si>
    <t>9780133966305</t>
  </si>
  <si>
    <t>32285000756527</t>
  </si>
  <si>
    <t>893805605</t>
  </si>
  <si>
    <t>BF561 .J3</t>
  </si>
  <si>
    <t>0                      BF 0561000J  3</t>
  </si>
  <si>
    <t>Biology of emotions : new understanding derived from biological multidisciplinary investigation ; first electrophysiological measurements.</t>
  </si>
  <si>
    <t>Jacobson, Edmund, 1888-1983.</t>
  </si>
  <si>
    <t>Springfield, Ill. : Thomas, [1967]</t>
  </si>
  <si>
    <t>904310856:eng</t>
  </si>
  <si>
    <t>819518</t>
  </si>
  <si>
    <t>991003296859702656</t>
  </si>
  <si>
    <t>2264371330002656</t>
  </si>
  <si>
    <t>32285001540185</t>
  </si>
  <si>
    <t>893511794</t>
  </si>
  <si>
    <t>BF561 .P5</t>
  </si>
  <si>
    <t>0                      BF 0561000P  5</t>
  </si>
  <si>
    <t>The emotions : facts, theories, and a new model.</t>
  </si>
  <si>
    <t>New York : Random House, [1962]</t>
  </si>
  <si>
    <t>Studies in psychology ; PP24</t>
  </si>
  <si>
    <t>2001-10-23</t>
  </si>
  <si>
    <t>1992-11-02</t>
  </si>
  <si>
    <t>1150998138:eng</t>
  </si>
  <si>
    <t>222745</t>
  </si>
  <si>
    <t>991001366909702656</t>
  </si>
  <si>
    <t>2262305550002656</t>
  </si>
  <si>
    <t>32285001380459</t>
  </si>
  <si>
    <t>893334284</t>
  </si>
  <si>
    <t>BF575.A3 A513 1989</t>
  </si>
  <si>
    <t>0                      BF 0575000A  3                  A  513         1989</t>
  </si>
  <si>
    <t>Aggression and war : their biological and social bases / edited by Jo Groebel, Robert A. Hinde.</t>
  </si>
  <si>
    <t>Cambridge [England] ; New York : Cambridge University Press, 1989.</t>
  </si>
  <si>
    <t>1998-11-29</t>
  </si>
  <si>
    <t>836711124:eng</t>
  </si>
  <si>
    <t>18257235</t>
  </si>
  <si>
    <t>991001323739702656</t>
  </si>
  <si>
    <t>2257654060002656</t>
  </si>
  <si>
    <t>9780521358712</t>
  </si>
  <si>
    <t>32285000935907</t>
  </si>
  <si>
    <t>893614979</t>
  </si>
  <si>
    <t>BF575.A3 A525 1983</t>
  </si>
  <si>
    <t>0                      BF 0575000A  3                  A  525         1983</t>
  </si>
  <si>
    <t>Aggression, theoretical and empirical reviews / edited by Russell G. Geen, Edward I. Donnerstein.</t>
  </si>
  <si>
    <t>2000-10-27</t>
  </si>
  <si>
    <t>2001-11-11</t>
  </si>
  <si>
    <t>1992-06-03</t>
  </si>
  <si>
    <t>3860327509:eng</t>
  </si>
  <si>
    <t>9043347</t>
  </si>
  <si>
    <t>991000131879702656</t>
  </si>
  <si>
    <t>2266810800002656</t>
  </si>
  <si>
    <t>9780122788024</t>
  </si>
  <si>
    <t>32285001130128</t>
  </si>
  <si>
    <t>893314714</t>
  </si>
  <si>
    <t>32285001130136</t>
  </si>
  <si>
    <t>893314713</t>
  </si>
  <si>
    <t>BF575.A3 A58 1983</t>
  </si>
  <si>
    <t>0                      BF 0575000A  3                  A  58          1983</t>
  </si>
  <si>
    <t>Aggressive behavior : genetic and neural approaches / edited by Edward C. Simmel, Martin E. Hahn, James K. Walters.</t>
  </si>
  <si>
    <t>Hillsdale, N.J. : L. Erlbaum Associates, c1983.</t>
  </si>
  <si>
    <t>355389223:eng</t>
  </si>
  <si>
    <t>9323271</t>
  </si>
  <si>
    <t>991000169829702656</t>
  </si>
  <si>
    <t>2257793320002656</t>
  </si>
  <si>
    <t>9780898592535</t>
  </si>
  <si>
    <t>32285001595981</t>
  </si>
  <si>
    <t>893521469</t>
  </si>
  <si>
    <t>BF575.A3 B3 1974</t>
  </si>
  <si>
    <t>0                      BF 0575000A  3                  B  3           1974</t>
  </si>
  <si>
    <t>Creative aggression / [by] George R. Bach and Herb Goldberg.</t>
  </si>
  <si>
    <t>Bach, George R. (George Robert), 1914-1986.</t>
  </si>
  <si>
    <t>New York : Avon, 1974</t>
  </si>
  <si>
    <t>2003-05-22</t>
  </si>
  <si>
    <t>22595062:eng</t>
  </si>
  <si>
    <t>2232533</t>
  </si>
  <si>
    <t>991004867299702656</t>
  </si>
  <si>
    <t>2261101690002656</t>
  </si>
  <si>
    <t>32285002160041</t>
  </si>
  <si>
    <t>893536252</t>
  </si>
  <si>
    <t>BF575.A3 B4</t>
  </si>
  <si>
    <t>0                      BF 0575000A  3                  B  4</t>
  </si>
  <si>
    <t>Aggression : a social psychological analysis.</t>
  </si>
  <si>
    <t>Berkowitz, Leonard, 1926-</t>
  </si>
  <si>
    <t>New York : McGraw-Hill, [1962]</t>
  </si>
  <si>
    <t>2000-11-26</t>
  </si>
  <si>
    <t>1329523:eng</t>
  </si>
  <si>
    <t>222747</t>
  </si>
  <si>
    <t>991001366949702656</t>
  </si>
  <si>
    <t>2262305430002656</t>
  </si>
  <si>
    <t>32285001595999</t>
  </si>
  <si>
    <t>893715391</t>
  </si>
  <si>
    <t>BF575.A3 B44</t>
  </si>
  <si>
    <t>0                      BF 0575000A  3                  B  44</t>
  </si>
  <si>
    <t>Roots of aggression : a re-examination of the frustration-aggression hypothesis.</t>
  </si>
  <si>
    <t>Berkowitz, Leonard, 1926- compiler.</t>
  </si>
  <si>
    <t>1993-02-22</t>
  </si>
  <si>
    <t>363984280:eng</t>
  </si>
  <si>
    <t>21936</t>
  </si>
  <si>
    <t>991000041749702656</t>
  </si>
  <si>
    <t>2261395760002656</t>
  </si>
  <si>
    <t>32285001503340</t>
  </si>
  <si>
    <t>893437947</t>
  </si>
  <si>
    <t>BF575.A3 C57 1971</t>
  </si>
  <si>
    <t>0                      BF 0575000A  3                  C  57          1971</t>
  </si>
  <si>
    <t>The control of aggression : implications from basic research / edited by John F. Knutson.</t>
  </si>
  <si>
    <t>Conference on Current Concerns in Clinical Psychology (7th : 1971 : University of Iowa)</t>
  </si>
  <si>
    <t>Current concerns in clinical psychology ; 6</t>
  </si>
  <si>
    <t>372002609:eng</t>
  </si>
  <si>
    <t>834952</t>
  </si>
  <si>
    <t>991003311519702656</t>
  </si>
  <si>
    <t>2267468170002656</t>
  </si>
  <si>
    <t>9780202250779</t>
  </si>
  <si>
    <t>32285003250403</t>
  </si>
  <si>
    <t>893799591</t>
  </si>
  <si>
    <t>BF575.A3 H66 1983</t>
  </si>
  <si>
    <t>0                      BF 0575000A  3                  H  66          1983</t>
  </si>
  <si>
    <t>Hormones and aggressive behavior / edited by Bruce B. Svare.</t>
  </si>
  <si>
    <t>New York : Plenum Press, c1983.</t>
  </si>
  <si>
    <t>1993-03-03</t>
  </si>
  <si>
    <t>42920171:eng</t>
  </si>
  <si>
    <t>9325058</t>
  </si>
  <si>
    <t>991000172919702656</t>
  </si>
  <si>
    <t>2269973230002656</t>
  </si>
  <si>
    <t>9780306410550</t>
  </si>
  <si>
    <t>32285001542256</t>
  </si>
  <si>
    <t>893314741</t>
  </si>
  <si>
    <t>BF575.A3 H67</t>
  </si>
  <si>
    <t>0                      BF 0575000A  3                  H  67</t>
  </si>
  <si>
    <t>Cruelty and kindness : a new look at aggression and altruism / Harvey A. Hornstein.</t>
  </si>
  <si>
    <t>Hornstein, Harvey A., 1938-</t>
  </si>
  <si>
    <t>Englewood Cliffs, N.J. : Prentice-Hall, c1976.</t>
  </si>
  <si>
    <t>1997-11-02</t>
  </si>
  <si>
    <t>906410394:eng</t>
  </si>
  <si>
    <t>2089629</t>
  </si>
  <si>
    <t>991004009359702656</t>
  </si>
  <si>
    <t>2263411290002656</t>
  </si>
  <si>
    <t>9780131949287</t>
  </si>
  <si>
    <t>32285002249943</t>
  </si>
  <si>
    <t>893512682</t>
  </si>
  <si>
    <t>BF575.A3 M6</t>
  </si>
  <si>
    <t>0                      BF 0575000A  3                  M  6</t>
  </si>
  <si>
    <t>Man and aggression / edited by M. F. Ashley Montagu.</t>
  </si>
  <si>
    <t>Montagu, Ashley, 1905-1999, compiler.</t>
  </si>
  <si>
    <t>New York : Oxford University Press, 1968.</t>
  </si>
  <si>
    <t>1993-04-03</t>
  </si>
  <si>
    <t>763548948:eng</t>
  </si>
  <si>
    <t>204274</t>
  </si>
  <si>
    <t>991001233539702656</t>
  </si>
  <si>
    <t>2255535600002656</t>
  </si>
  <si>
    <t>32285001600013</t>
  </si>
  <si>
    <t>893327987</t>
  </si>
  <si>
    <t>BF575.A3 M62</t>
  </si>
  <si>
    <t>0                      BF 0575000A  3                  M  62</t>
  </si>
  <si>
    <t>The nature of human aggression / Ashley Montagu.</t>
  </si>
  <si>
    <t>Montagu, Ashley, 1905-1999.</t>
  </si>
  <si>
    <t>New York : Oxford University Press, 1976.</t>
  </si>
  <si>
    <t>57574639:eng</t>
  </si>
  <si>
    <t>2195117</t>
  </si>
  <si>
    <t>991004044059702656</t>
  </si>
  <si>
    <t>2263966970002656</t>
  </si>
  <si>
    <t>9780195018226</t>
  </si>
  <si>
    <t>32285002249968</t>
  </si>
  <si>
    <t>893605565</t>
  </si>
  <si>
    <t>BF575.A3 N48</t>
  </si>
  <si>
    <t>0                      BF 0575000A  3                  N  48</t>
  </si>
  <si>
    <t>The Neuropsychology of aggression / edited by Richard E. Whalen.</t>
  </si>
  <si>
    <t>New York : Plenum Press, [1974]</t>
  </si>
  <si>
    <t>Advances in behavioral biology ; v. 12</t>
  </si>
  <si>
    <t>54024977:eng</t>
  </si>
  <si>
    <t>1091757</t>
  </si>
  <si>
    <t>991003528149702656</t>
  </si>
  <si>
    <t>2265994650002656</t>
  </si>
  <si>
    <t>9780306379123</t>
  </si>
  <si>
    <t>32285002249976</t>
  </si>
  <si>
    <t>893799839</t>
  </si>
  <si>
    <t>BF575.A3 P47</t>
  </si>
  <si>
    <t>0                      BF 0575000A  3                  P  47</t>
  </si>
  <si>
    <t>Perspectives on aggression / edited by Russell G. Geen, Edgar C. O'Neal ; contributors, Robert Boice ... [et al.].</t>
  </si>
  <si>
    <t>New York : Academic Press, 1976.</t>
  </si>
  <si>
    <t>350632566:eng</t>
  </si>
  <si>
    <t>2290578</t>
  </si>
  <si>
    <t>991004067839702656</t>
  </si>
  <si>
    <t>2266435360002656</t>
  </si>
  <si>
    <t>9780122788505</t>
  </si>
  <si>
    <t>32285002249984</t>
  </si>
  <si>
    <t>893599389</t>
  </si>
  <si>
    <t>BF575.A3 S4313 1975b</t>
  </si>
  <si>
    <t>0                      BF 0575000A  3                  S  4313        1975b</t>
  </si>
  <si>
    <t>The making of human aggression : a psychological approach / edited by Herbert Selg ; with a foreword by Bob Green ; [translated from the German by Arnold Pomerans].</t>
  </si>
  <si>
    <t>Selg, Herbert, 1935-</t>
  </si>
  <si>
    <t>New York : St. Martin's Press, [1975]</t>
  </si>
  <si>
    <t>1993-06-08</t>
  </si>
  <si>
    <t>10628100594:eng</t>
  </si>
  <si>
    <t>2024697</t>
  </si>
  <si>
    <t>991003984209702656</t>
  </si>
  <si>
    <t>2264680660002656</t>
  </si>
  <si>
    <t>32285001719854</t>
  </si>
  <si>
    <t>893693385</t>
  </si>
  <si>
    <t>BF575.A3 Z54</t>
  </si>
  <si>
    <t>0                      BF 0575000A  3                  Z  54</t>
  </si>
  <si>
    <t>Hostility and aggression / Dolf Zillmann.</t>
  </si>
  <si>
    <t>Zillmann, Dolf.</t>
  </si>
  <si>
    <t>Hillsdale, N.J. : L. Erlbaum Associates ; New York : distributed by the Halsted Press, 1979.</t>
  </si>
  <si>
    <t>1993-02-19</t>
  </si>
  <si>
    <t>16959029:eng</t>
  </si>
  <si>
    <t>5196743</t>
  </si>
  <si>
    <t>991004798219702656</t>
  </si>
  <si>
    <t>2258603350002656</t>
  </si>
  <si>
    <t>9780470268322</t>
  </si>
  <si>
    <t>32285001503332</t>
  </si>
  <si>
    <t>893870128</t>
  </si>
  <si>
    <t>BF575.A6 A58</t>
  </si>
  <si>
    <t>0                      BF 0575000A  6                  A  58</t>
  </si>
  <si>
    <t>Anxiety : current trends in theory and research / edited by Charles D. Spielberger. Contributors: Ernest S. Barratt [and others]</t>
  </si>
  <si>
    <t>1997-11-04</t>
  </si>
  <si>
    <t>2001-04-10</t>
  </si>
  <si>
    <t>4820473623:eng</t>
  </si>
  <si>
    <t>494978</t>
  </si>
  <si>
    <t>991002863909702656</t>
  </si>
  <si>
    <t>2255806180002656</t>
  </si>
  <si>
    <t>9780126574012</t>
  </si>
  <si>
    <t>32285000756543</t>
  </si>
  <si>
    <t>893867795</t>
  </si>
  <si>
    <t>32285000756535</t>
  </si>
  <si>
    <t>893867796</t>
  </si>
  <si>
    <t>BF575.A6 C76</t>
  </si>
  <si>
    <t>0                      BF 0575000A  6                  C  76</t>
  </si>
  <si>
    <t>Cross-cultural anxiety / edited by Charles D. Spielberger, Rogelio Diaz-Guerrero.</t>
  </si>
  <si>
    <t>V. 3</t>
  </si>
  <si>
    <t>Washington : Hemisphere Pub. Co. ; New York : distributed by Halsted Press, c1976-</t>
  </si>
  <si>
    <t>The series in clinical and community psychology, 0146-0846</t>
  </si>
  <si>
    <t>363991725:eng</t>
  </si>
  <si>
    <t>2388304</t>
  </si>
  <si>
    <t>991004108259702656</t>
  </si>
  <si>
    <t>2259228090002656</t>
  </si>
  <si>
    <t>9780470989401</t>
  </si>
  <si>
    <t>32285001057875</t>
  </si>
  <si>
    <t>893599435</t>
  </si>
  <si>
    <t>BF575.A6 F5 1970</t>
  </si>
  <si>
    <t>0                      BF 0575000A  6                  F  5           1970</t>
  </si>
  <si>
    <t>Theories of anxiety / [by] William F. Fischer.</t>
  </si>
  <si>
    <t>Fischer, William F. (William Frank)</t>
  </si>
  <si>
    <t>New York : Harper &amp; Row, [1970]</t>
  </si>
  <si>
    <t>2008-08-14</t>
  </si>
  <si>
    <t>1224570:eng</t>
  </si>
  <si>
    <t>62254</t>
  </si>
  <si>
    <t>991000178209702656</t>
  </si>
  <si>
    <t>2255292250002656</t>
  </si>
  <si>
    <t>32285000756568</t>
  </si>
  <si>
    <t>893327099</t>
  </si>
  <si>
    <t>BF575.A6 G35 1971</t>
  </si>
  <si>
    <t>0                      BF 0575000A  6                  G  35          1971</t>
  </si>
  <si>
    <t>Anxiety and educational achievement / [by] Eric Gaudry [and] Charles D. Spielberger.</t>
  </si>
  <si>
    <t>Gaudry, Eric.</t>
  </si>
  <si>
    <t>Sydney ; New York : J. Wiley &amp; Sons Australasia, [1971]</t>
  </si>
  <si>
    <t xml:space="preserve">at </t>
  </si>
  <si>
    <t>2004-10-18</t>
  </si>
  <si>
    <t>1384270:eng</t>
  </si>
  <si>
    <t>315316</t>
  </si>
  <si>
    <t>991002295669702656</t>
  </si>
  <si>
    <t>2268867790002656</t>
  </si>
  <si>
    <t>9780471292890</t>
  </si>
  <si>
    <t>32285000845346</t>
  </si>
  <si>
    <t>893609698</t>
  </si>
  <si>
    <t>BF575.A6 I9</t>
  </si>
  <si>
    <t>0                      BF 0575000A  6                  I  9</t>
  </si>
  <si>
    <t>Patterns of emotions : a new analysis of anxiety and depression / [by] Carroll E. Izard. With chapters coauthored by Edmund S. Bartlett [and] Alan G. Marshall.</t>
  </si>
  <si>
    <t>Izard, Carroll E. (Carroll Ellis), 1923-2017.</t>
  </si>
  <si>
    <t>1998-12-14</t>
  </si>
  <si>
    <t>241343071:eng</t>
  </si>
  <si>
    <t>532427</t>
  </si>
  <si>
    <t>991002935609702656</t>
  </si>
  <si>
    <t>2266070470002656</t>
  </si>
  <si>
    <t>9780123777508</t>
  </si>
  <si>
    <t>32285000756550</t>
  </si>
  <si>
    <t>893251792</t>
  </si>
  <si>
    <t>BF575.A6 K8</t>
  </si>
  <si>
    <t>0                      BF 0575000A  6                  K  8</t>
  </si>
  <si>
    <t>Anxiety and education, by Z. E. Kurzweil.</t>
  </si>
  <si>
    <t>Kurzweil, Z. E. (Zvi E.)</t>
  </si>
  <si>
    <t>New York, T. Yoseloff [1968]</t>
  </si>
  <si>
    <t>217531:eng</t>
  </si>
  <si>
    <t>441335</t>
  </si>
  <si>
    <t>991002785139702656</t>
  </si>
  <si>
    <t>2256885320002656</t>
  </si>
  <si>
    <t>32285002250032</t>
  </si>
  <si>
    <t>893517742</t>
  </si>
  <si>
    <t>BF575.A6 L46</t>
  </si>
  <si>
    <t>0                      BF 0575000A  6                  L  46</t>
  </si>
  <si>
    <t>The psychology of anxiety [by] Eugene E. Levitt.</t>
  </si>
  <si>
    <t>Levitt, Eugene E.</t>
  </si>
  <si>
    <t>Indianapolis, Bobbs-Merrill [1967]</t>
  </si>
  <si>
    <t>554345:eng</t>
  </si>
  <si>
    <t>204234</t>
  </si>
  <si>
    <t>991001233429702656</t>
  </si>
  <si>
    <t>2255549840002656</t>
  </si>
  <si>
    <t>32285002250040</t>
  </si>
  <si>
    <t>893432714</t>
  </si>
  <si>
    <t>BF575.A6 M35 1977</t>
  </si>
  <si>
    <t>0                      BF 0575000A  6                  M  35          1977</t>
  </si>
  <si>
    <t>The meaning of anxiety / by Rollo May.</t>
  </si>
  <si>
    <t>New York : Norton, c1977.</t>
  </si>
  <si>
    <t>1991-06-18</t>
  </si>
  <si>
    <t>573023:eng</t>
  </si>
  <si>
    <t>2798797</t>
  </si>
  <si>
    <t>991004247009702656</t>
  </si>
  <si>
    <t>2270968830002656</t>
  </si>
  <si>
    <t>9780393011364</t>
  </si>
  <si>
    <t>32285000630987</t>
  </si>
  <si>
    <t>893513003</t>
  </si>
  <si>
    <t>BF575.A85 A43 1986</t>
  </si>
  <si>
    <t>0                      BF 0575000A  85                 A  43          1986</t>
  </si>
  <si>
    <t>Your perfect right : a guide to assertive living / Robert E. Alberti, Michael L. Emmons.</t>
  </si>
  <si>
    <t>Alberti, Robert E.</t>
  </si>
  <si>
    <t>San Luis Obispo, Calif. : Impact Publishers, 1986.</t>
  </si>
  <si>
    <t>5th rev. ed.</t>
  </si>
  <si>
    <t>2005-06-15</t>
  </si>
  <si>
    <t>1842502:eng</t>
  </si>
  <si>
    <t>13396864</t>
  </si>
  <si>
    <t>991000823219702656</t>
  </si>
  <si>
    <t>2260796410002656</t>
  </si>
  <si>
    <t>9780915166077</t>
  </si>
  <si>
    <t>32285000088772</t>
  </si>
  <si>
    <t>893683785</t>
  </si>
  <si>
    <t>BF575.A85 B68</t>
  </si>
  <si>
    <t>0                      BF 0575000A  85                 B  68</t>
  </si>
  <si>
    <t>Asserting yourself : a practical guide for positive change / Sharon Anthony Bower, Gordon H. Bower.</t>
  </si>
  <si>
    <t>Bower, Sharon Anthony, 1934-</t>
  </si>
  <si>
    <t>Reading, Mass. : Addison-Wesley Pub. Co., c1976.</t>
  </si>
  <si>
    <t>1994-09-27</t>
  </si>
  <si>
    <t>1992-07-08</t>
  </si>
  <si>
    <t>4600126:eng</t>
  </si>
  <si>
    <t>2283756</t>
  </si>
  <si>
    <t>991004064969702656</t>
  </si>
  <si>
    <t>2266976090002656</t>
  </si>
  <si>
    <t>9780201008371</t>
  </si>
  <si>
    <t>32285001187128</t>
  </si>
  <si>
    <t>893900757</t>
  </si>
  <si>
    <t>BF575.A85 D38</t>
  </si>
  <si>
    <t>0                      BF 0575000A  85                 D  38</t>
  </si>
  <si>
    <t>Achieving assertive behavior : a guide to assertive training / Harold H. Dawley, Jr., W. W. Wenrich.</t>
  </si>
  <si>
    <t>Dawley, Harold H., 1940-</t>
  </si>
  <si>
    <t>2010-11-04</t>
  </si>
  <si>
    <t>5963313:eng</t>
  </si>
  <si>
    <t>2694892</t>
  </si>
  <si>
    <t>991004214659702656</t>
  </si>
  <si>
    <t>2265033660002656</t>
  </si>
  <si>
    <t>9780818501852</t>
  </si>
  <si>
    <t>32285001187136</t>
  </si>
  <si>
    <t>893353289</t>
  </si>
  <si>
    <t>BF575.A85 J34</t>
  </si>
  <si>
    <t>0                      BF 0575000A  85                 J  34</t>
  </si>
  <si>
    <t>The assertive option : your rights &amp; responsibilities / Patricia Jakubowski, Arthur J. Lange.</t>
  </si>
  <si>
    <t>Jakubowski, Patricia.</t>
  </si>
  <si>
    <t>Champaign, Ill. : Research Press Co., c1978, 1979 printing.</t>
  </si>
  <si>
    <t>1994-10-18</t>
  </si>
  <si>
    <t>1992-05-06</t>
  </si>
  <si>
    <t>866237124:eng</t>
  </si>
  <si>
    <t>4820931</t>
  </si>
  <si>
    <t>991004727099702656</t>
  </si>
  <si>
    <t>2266470400002656</t>
  </si>
  <si>
    <t>9780878221929</t>
  </si>
  <si>
    <t>32285001120376</t>
  </si>
  <si>
    <t>893712950</t>
  </si>
  <si>
    <t>BF575.A86 P55 1982</t>
  </si>
  <si>
    <t>0                      BF 0575000A  86                 P  55          1982</t>
  </si>
  <si>
    <t>The Place of attachment in human behavior / edited by Colin Murray Parkes and Joan Stevenson-Hinde.</t>
  </si>
  <si>
    <t>New York : Basic Books, c1982.</t>
  </si>
  <si>
    <t>2001-10-19</t>
  </si>
  <si>
    <t>350408510:eng</t>
  </si>
  <si>
    <t>8111510</t>
  </si>
  <si>
    <t>991005204349702656</t>
  </si>
  <si>
    <t>2256959190002656</t>
  </si>
  <si>
    <t>9780465057719</t>
  </si>
  <si>
    <t>32285000097922</t>
  </si>
  <si>
    <t>893443580</t>
  </si>
  <si>
    <t>BF575.A88 D42</t>
  </si>
  <si>
    <t>0                      BF 0575000A  88                 D  42</t>
  </si>
  <si>
    <t>The psychology of self-determination / Edward L. Deci.</t>
  </si>
  <si>
    <t>Deci, Edward L.</t>
  </si>
  <si>
    <t>Lexington, Mass. : Lexington Books, c1980.</t>
  </si>
  <si>
    <t>1997-07-12</t>
  </si>
  <si>
    <t>1990-03-22</t>
  </si>
  <si>
    <t>181257:eng</t>
  </si>
  <si>
    <t>6602988</t>
  </si>
  <si>
    <t>991005011369702656</t>
  </si>
  <si>
    <t>2255697570002656</t>
  </si>
  <si>
    <t>9780669040456</t>
  </si>
  <si>
    <t>32285000089770</t>
  </si>
  <si>
    <t>893254322</t>
  </si>
  <si>
    <t>BF575.A88 H38 1986</t>
  </si>
  <si>
    <t>0                      BF 0575000A  88                 H  38          1986</t>
  </si>
  <si>
    <t>Autonomy : an essay in philosophical psychology and ethics / Lawrence Haworth.</t>
  </si>
  <si>
    <t>Haworth, Lawrence, 1926-</t>
  </si>
  <si>
    <t>New Haven : Yale University Press, c1986.</t>
  </si>
  <si>
    <t>2009-04-14</t>
  </si>
  <si>
    <t>836685094:eng</t>
  </si>
  <si>
    <t>12943444</t>
  </si>
  <si>
    <t>991000752859702656</t>
  </si>
  <si>
    <t>2271827620002656</t>
  </si>
  <si>
    <t>9780300035698</t>
  </si>
  <si>
    <t>32285000205905</t>
  </si>
  <si>
    <t>893432262</t>
  </si>
  <si>
    <t>BF575.A88 M39 1981</t>
  </si>
  <si>
    <t>0                      BF 0575000A  88                 M  39          1981</t>
  </si>
  <si>
    <t>Freedom and destiny / by Rollo May.</t>
  </si>
  <si>
    <t>New York : Norton, c1981.</t>
  </si>
  <si>
    <t>459818:eng</t>
  </si>
  <si>
    <t>7462627</t>
  </si>
  <si>
    <t>991005116169702656</t>
  </si>
  <si>
    <t>2262881300002656</t>
  </si>
  <si>
    <t>9780393014778</t>
  </si>
  <si>
    <t>32285000097930</t>
  </si>
  <si>
    <t>893443425</t>
  </si>
  <si>
    <t>BF575.D34 S33 1987</t>
  </si>
  <si>
    <t>0                      BF 0575000D  34                 S  33          1987</t>
  </si>
  <si>
    <t>When society becomes an addict / Anne Wilson Schaef.</t>
  </si>
  <si>
    <t>Schaef, Anne Wilson.</t>
  </si>
  <si>
    <t>San Francisco : Harper &amp; Row, c1987.</t>
  </si>
  <si>
    <t>1995-07-25</t>
  </si>
  <si>
    <t>1990-07-26</t>
  </si>
  <si>
    <t>2533924:eng</t>
  </si>
  <si>
    <t>14717592</t>
  </si>
  <si>
    <t>991000955589702656</t>
  </si>
  <si>
    <t>2256766560002656</t>
  </si>
  <si>
    <t>9780062548122</t>
  </si>
  <si>
    <t>32285000248293</t>
  </si>
  <si>
    <t>893803219</t>
  </si>
  <si>
    <t>BF575.E55 K3</t>
  </si>
  <si>
    <t>0                      BF 0575000E  55                 K  3</t>
  </si>
  <si>
    <t>Empathy, its nature and uses.</t>
  </si>
  <si>
    <t>Katz, Robert L.</t>
  </si>
  <si>
    <t>[New York] : Free Press of Glencoe, [1963]</t>
  </si>
  <si>
    <t>1990-07-06</t>
  </si>
  <si>
    <t>1261324:eng</t>
  </si>
  <si>
    <t>204031</t>
  </si>
  <si>
    <t>991001232389702656</t>
  </si>
  <si>
    <t>2256959290002656</t>
  </si>
  <si>
    <t>32285000204163</t>
  </si>
  <si>
    <t>893503224</t>
  </si>
  <si>
    <t>BF575.E55 S57</t>
  </si>
  <si>
    <t>0                      BF 0575000E  55                 S  57</t>
  </si>
  <si>
    <t>Sensitivity to people.</t>
  </si>
  <si>
    <t>Smith, Henry Clay, 1913-2005.</t>
  </si>
  <si>
    <t>117878412:eng</t>
  </si>
  <si>
    <t>204065</t>
  </si>
  <si>
    <t>991001232539702656</t>
  </si>
  <si>
    <t>2256942480002656</t>
  </si>
  <si>
    <t>32285001187151</t>
  </si>
  <si>
    <t>893250076</t>
  </si>
  <si>
    <t>BF575.E55 S73</t>
  </si>
  <si>
    <t>0                      BF 0575000E  55                 S  73</t>
  </si>
  <si>
    <t>On the problem of empathy. Translated by Waltraut Stein. With a foreword by Erwin W. Straus.</t>
  </si>
  <si>
    <t>Stein, Edith, Saint, 1891-1942.</t>
  </si>
  <si>
    <t>The Hague, M. Nijhoff, 1964.</t>
  </si>
  <si>
    <t>2829859248:eng</t>
  </si>
  <si>
    <t>1284994</t>
  </si>
  <si>
    <t>991003668879702656</t>
  </si>
  <si>
    <t>2264775800002656</t>
  </si>
  <si>
    <t>32285002250073</t>
  </si>
  <si>
    <t>893693008</t>
  </si>
  <si>
    <t>BF575.F16 H313 1983</t>
  </si>
  <si>
    <t>0                      BF 0575000F  16                 H  313         1983</t>
  </si>
  <si>
    <t>Fanaticism : a historical and psychoanalytical study / André Haynal, Miklós Molnár, Gérard de Puymège ; translated by Linda Butler Koseoglu.</t>
  </si>
  <si>
    <t>Haynal, André.</t>
  </si>
  <si>
    <t>New York : Schocken Books, 1983.</t>
  </si>
  <si>
    <t>2000-11-06</t>
  </si>
  <si>
    <t>1150976136:eng</t>
  </si>
  <si>
    <t>8411090</t>
  </si>
  <si>
    <t>991005240799702656</t>
  </si>
  <si>
    <t>2257288110002656</t>
  </si>
  <si>
    <t>9780805238174</t>
  </si>
  <si>
    <t>32285001596088</t>
  </si>
  <si>
    <t>893507831</t>
  </si>
  <si>
    <t>BF575.F2 F46 1977</t>
  </si>
  <si>
    <t>0                      BF 0575000F  2                  F  46          1977</t>
  </si>
  <si>
    <t>Stop running scared! : Fear control training : how to conquer your fears, phobias, and anxieties / by Herbert Fensterheim and Jean Baer. --</t>
  </si>
  <si>
    <t>Fensterheim, Herbert, 1921-2011.</t>
  </si>
  <si>
    <t>New York : Rawson Associates Publishers, c1977.</t>
  </si>
  <si>
    <t>2004-10-10</t>
  </si>
  <si>
    <t>3901437983:eng</t>
  </si>
  <si>
    <t>3239760</t>
  </si>
  <si>
    <t>991004384529702656</t>
  </si>
  <si>
    <t>2256447620002656</t>
  </si>
  <si>
    <t>9780892560349</t>
  </si>
  <si>
    <t>32285001596096</t>
  </si>
  <si>
    <t>893876034</t>
  </si>
  <si>
    <t>BF575.F2 F75</t>
  </si>
  <si>
    <t>0                      BF 0575000F  2                  F  75</t>
  </si>
  <si>
    <t>Fight against fears.</t>
  </si>
  <si>
    <t>Freeman, Lucy, 1916-2004.</t>
  </si>
  <si>
    <t>New York, Crown [c1951]</t>
  </si>
  <si>
    <t>2002-03-22</t>
  </si>
  <si>
    <t>19806166:eng</t>
  </si>
  <si>
    <t>14665493</t>
  </si>
  <si>
    <t>991000951079702656</t>
  </si>
  <si>
    <t>2265181080002656</t>
  </si>
  <si>
    <t>32285002250099</t>
  </si>
  <si>
    <t>893315385</t>
  </si>
  <si>
    <t>BF575.F2 G73 1987</t>
  </si>
  <si>
    <t>0                      BF 0575000F  2                  G  73          1987</t>
  </si>
  <si>
    <t>The psychology of fear and stress / Jeffrey Alan Gray.</t>
  </si>
  <si>
    <t>Gray, Jeffrey Alan.</t>
  </si>
  <si>
    <t>Problems in the behavioural sciences</t>
  </si>
  <si>
    <t>2005-04-21</t>
  </si>
  <si>
    <t>1990-04-09</t>
  </si>
  <si>
    <t>4783123087:eng</t>
  </si>
  <si>
    <t>15082674</t>
  </si>
  <si>
    <t>991000986759702656</t>
  </si>
  <si>
    <t>2259564100002656</t>
  </si>
  <si>
    <t>9780521270984</t>
  </si>
  <si>
    <t>32285000113588</t>
  </si>
  <si>
    <t>893231602</t>
  </si>
  <si>
    <t>BF575.F2 H3</t>
  </si>
  <si>
    <t>0                      BF 0575000F  2                  H  3</t>
  </si>
  <si>
    <t>Overcoming worry and fear / by Paul A. Hauck.</t>
  </si>
  <si>
    <t>Hauck, Paul A.</t>
  </si>
  <si>
    <t>Philadelphia : Westminster Press, [1975]</t>
  </si>
  <si>
    <t>513900:eng</t>
  </si>
  <si>
    <t>1055549</t>
  </si>
  <si>
    <t>991003503729702656</t>
  </si>
  <si>
    <t>2269815220002656</t>
  </si>
  <si>
    <t>9780664248116</t>
  </si>
  <si>
    <t>32285000057504</t>
  </si>
  <si>
    <t>893711424</t>
  </si>
  <si>
    <t>BF575.F2 M37 1978</t>
  </si>
  <si>
    <t>0                      BF 0575000F  2                  M  37          1978</t>
  </si>
  <si>
    <t>Living with fear : understanding and coping with anxiety / Isaac M. Marks.</t>
  </si>
  <si>
    <t>Marks, Isaac Meyer.</t>
  </si>
  <si>
    <t>New York : McGraw-Hill, c1978.</t>
  </si>
  <si>
    <t>405886:eng</t>
  </si>
  <si>
    <t>3447548</t>
  </si>
  <si>
    <t>991004438679702656</t>
  </si>
  <si>
    <t>2268735400002656</t>
  </si>
  <si>
    <t>9780070403956</t>
  </si>
  <si>
    <t>32285001596104</t>
  </si>
  <si>
    <t>893693957</t>
  </si>
  <si>
    <t>BF575.F2 M4 1974</t>
  </si>
  <si>
    <t>0                      BF 0575000F  2                  M  4           1974</t>
  </si>
  <si>
    <t>Patterns of panic / by Joost A. M. Meerloo.</t>
  </si>
  <si>
    <t>Meerloo, Joost Abraham Maurits, 1903-1976.</t>
  </si>
  <si>
    <t>Westport, Conn. : Greenwood Press, [1974, c1950]</t>
  </si>
  <si>
    <t>114397107:eng</t>
  </si>
  <si>
    <t>730718</t>
  </si>
  <si>
    <t>991003205789702656</t>
  </si>
  <si>
    <t>2267025210002656</t>
  </si>
  <si>
    <t>9780837170091</t>
  </si>
  <si>
    <t>32285002160058</t>
  </si>
  <si>
    <t>893717415</t>
  </si>
  <si>
    <t>BF575.F2 O6</t>
  </si>
  <si>
    <t>0                      BF 0575000F  2                  O  6</t>
  </si>
  <si>
    <t>Fear; the autobiography of James Edwards, by John Rathbone Oliver.</t>
  </si>
  <si>
    <t>Oliver, John Rathbone, 1872-1943.</t>
  </si>
  <si>
    <t>New York, Macmillan [1927]</t>
  </si>
  <si>
    <t>1927</t>
  </si>
  <si>
    <t>1611448:eng</t>
  </si>
  <si>
    <t>554422</t>
  </si>
  <si>
    <t>991002980129702656</t>
  </si>
  <si>
    <t>2256073670002656</t>
  </si>
  <si>
    <t>32285002250107</t>
  </si>
  <si>
    <t>893893239</t>
  </si>
  <si>
    <t>BF575.F2 O9 1962</t>
  </si>
  <si>
    <t>0                      BF 0575000F  2                  O  9           1962</t>
  </si>
  <si>
    <t>Understanding fear in ourselves and others / [by] Bonaro W. Overstreet.</t>
  </si>
  <si>
    <t>Overstreet, Bonaro W. (Bonaro Wilkinson), 1902-1985.</t>
  </si>
  <si>
    <t>New York ; London : Collier, 1962.</t>
  </si>
  <si>
    <t>2002-05-08</t>
  </si>
  <si>
    <t>320398002:eng</t>
  </si>
  <si>
    <t>2806941</t>
  </si>
  <si>
    <t>991004249789702656</t>
  </si>
  <si>
    <t>2265466440002656</t>
  </si>
  <si>
    <t>32285004468368</t>
  </si>
  <si>
    <t>893535876</t>
  </si>
  <si>
    <t>BF575.F7 L3</t>
  </si>
  <si>
    <t>0                      BF 0575000F  7                  L  3</t>
  </si>
  <si>
    <t>Frustration; the development of a scientific concept [by] Reed Lawson.</t>
  </si>
  <si>
    <t>Lawson, Reed, 1929-</t>
  </si>
  <si>
    <t>New York, Macmillan [1965]</t>
  </si>
  <si>
    <t>The Critical issues in psychology series</t>
  </si>
  <si>
    <t>2010-01-15</t>
  </si>
  <si>
    <t>1919530:eng</t>
  </si>
  <si>
    <t>965369</t>
  </si>
  <si>
    <t>991003430059702656</t>
  </si>
  <si>
    <t>2258326500002656</t>
  </si>
  <si>
    <t>32285002250131</t>
  </si>
  <si>
    <t>893336482</t>
  </si>
  <si>
    <t>BF575.G7 C34</t>
  </si>
  <si>
    <t>0                      BF 0575000G  7                  C  34</t>
  </si>
  <si>
    <t>Widow.</t>
  </si>
  <si>
    <t>Caine, Lynn.</t>
  </si>
  <si>
    <t>New York : Morrow, 1974.</t>
  </si>
  <si>
    <t>2005-12-14</t>
  </si>
  <si>
    <t>435483:eng</t>
  </si>
  <si>
    <t>799811</t>
  </si>
  <si>
    <t>991003275629702656</t>
  </si>
  <si>
    <t>2266838350002656</t>
  </si>
  <si>
    <t>9780688028503</t>
  </si>
  <si>
    <t>32285001540136</t>
  </si>
  <si>
    <t>893518323</t>
  </si>
  <si>
    <t>BF575.G7 C63 1987</t>
  </si>
  <si>
    <t>0                      BF 0575000G  7                  C  63          1987</t>
  </si>
  <si>
    <t>The meaning of grief : a dramaturgical approach to undestanding emotion / Larry Cochran and Emily Claspell.</t>
  </si>
  <si>
    <t>Cochran, Larry.</t>
  </si>
  <si>
    <t>New York : Greenwood Press, 1987.</t>
  </si>
  <si>
    <t>Contributions in psychology, 0736-2714 ; no. 8</t>
  </si>
  <si>
    <t>1992-02-06</t>
  </si>
  <si>
    <t>2613563:eng</t>
  </si>
  <si>
    <t>14719652</t>
  </si>
  <si>
    <t>991000957379702656</t>
  </si>
  <si>
    <t>2254887250002656</t>
  </si>
  <si>
    <t>9780313256073</t>
  </si>
  <si>
    <t>32285000943208</t>
  </si>
  <si>
    <t>893690189</t>
  </si>
  <si>
    <t>BF575.G7 E33 1984</t>
  </si>
  <si>
    <t>0                      BF 0575000G  7                  E  33          1984</t>
  </si>
  <si>
    <t>Maternal bereavement : coping with the unexpected death of a child / Linda Edelstein.</t>
  </si>
  <si>
    <t>Edelstein, Linda.</t>
  </si>
  <si>
    <t>New York : Praeger, 1984.</t>
  </si>
  <si>
    <t>2002-04-24</t>
  </si>
  <si>
    <t>1993-04-16</t>
  </si>
  <si>
    <t>227780959:eng</t>
  </si>
  <si>
    <t>10023366</t>
  </si>
  <si>
    <t>991000302069702656</t>
  </si>
  <si>
    <t>2268692770002656</t>
  </si>
  <si>
    <t>9780030639081</t>
  </si>
  <si>
    <t>32285001621472</t>
  </si>
  <si>
    <t>893890569</t>
  </si>
  <si>
    <t>BF575.G7 F73</t>
  </si>
  <si>
    <t>0                      BF 0575000G  7                  F  73</t>
  </si>
  <si>
    <t>Help for your grief : Arthur Freese.</t>
  </si>
  <si>
    <t>Freese, Arthur S.</t>
  </si>
  <si>
    <t>New York : Schocken Books, 1977.</t>
  </si>
  <si>
    <t>2002-07-08</t>
  </si>
  <si>
    <t>4981753:eng</t>
  </si>
  <si>
    <t>2463668</t>
  </si>
  <si>
    <t>991004129219702656</t>
  </si>
  <si>
    <t>2269495160002656</t>
  </si>
  <si>
    <t>9780805236408</t>
  </si>
  <si>
    <t>32285000097963</t>
  </si>
  <si>
    <t>893712191</t>
  </si>
  <si>
    <t>BF575.G7 G63</t>
  </si>
  <si>
    <t>0                      BF 0575000G  7                  G  63</t>
  </si>
  <si>
    <t>The first year of bereavement / [by] Ira O. Glick, Robert S. Weiss [and] C. Murray Parkes.</t>
  </si>
  <si>
    <t>Glick, Ira O. (Ira Oscar), 1927-</t>
  </si>
  <si>
    <t>New York : Wiley, [1974]</t>
  </si>
  <si>
    <t>1926694:eng</t>
  </si>
  <si>
    <t>969757</t>
  </si>
  <si>
    <t>991003434949702656</t>
  </si>
  <si>
    <t>2260831390002656</t>
  </si>
  <si>
    <t>9780471304210</t>
  </si>
  <si>
    <t>32285000307883</t>
  </si>
  <si>
    <t>893611035</t>
  </si>
  <si>
    <t>BF575.G7 G73 1988</t>
  </si>
  <si>
    <t>0                      BF 0575000G  7                  G  73          1988</t>
  </si>
  <si>
    <t>Grief and the loss of an adult child / edited by Otto S. Margolis ... [et al.] ; with the editorial assistance of Lillian G. Kutscher.</t>
  </si>
  <si>
    <t>The Foundation of Thanatology series ; v. 8</t>
  </si>
  <si>
    <t>1999-09-13</t>
  </si>
  <si>
    <t>1990-04-03</t>
  </si>
  <si>
    <t>374064325:eng</t>
  </si>
  <si>
    <t>16227631</t>
  </si>
  <si>
    <t>991001094349702656</t>
  </si>
  <si>
    <t>2264844760002656</t>
  </si>
  <si>
    <t>9780275913045</t>
  </si>
  <si>
    <t>32285000108653</t>
  </si>
  <si>
    <t>893797289</t>
  </si>
  <si>
    <t>BF575.G7 R36 1983</t>
  </si>
  <si>
    <t>0                      BF 0575000G  7                  R  36          1983</t>
  </si>
  <si>
    <t>The anatomy of bereavement / Beverley Raphael.</t>
  </si>
  <si>
    <t>Raphael, Beverley.</t>
  </si>
  <si>
    <t>1990-03-02</t>
  </si>
  <si>
    <t>5163335134:eng</t>
  </si>
  <si>
    <t>9557712</t>
  </si>
  <si>
    <t>991000216089702656</t>
  </si>
  <si>
    <t>2266797760002656</t>
  </si>
  <si>
    <t>9780465002894</t>
  </si>
  <si>
    <t>32285000075712</t>
  </si>
  <si>
    <t>893683250</t>
  </si>
  <si>
    <t>BF575.L3 H45</t>
  </si>
  <si>
    <t>0                      BF 0575000L  3                  H  45</t>
  </si>
  <si>
    <t>Laughter : a socio-scientific analysis / [by] Joyce O. Hertzler.</t>
  </si>
  <si>
    <t>Hertzler, Joyce Oramel, 1895-1975.</t>
  </si>
  <si>
    <t>New York : Exposition Press, [1970]</t>
  </si>
  <si>
    <t>An Exposition-university book</t>
  </si>
  <si>
    <t>2006-09-24</t>
  </si>
  <si>
    <t>1992-09-30</t>
  </si>
  <si>
    <t>765994922:eng</t>
  </si>
  <si>
    <t>91607</t>
  </si>
  <si>
    <t>991000546879702656</t>
  </si>
  <si>
    <t>2264683420002656</t>
  </si>
  <si>
    <t>9780682471183</t>
  </si>
  <si>
    <t>32285001323053</t>
  </si>
  <si>
    <t>893261514</t>
  </si>
  <si>
    <t>BF575.L3 J6513 1980</t>
  </si>
  <si>
    <t>0                      BF 0575000L  3                  J  6513        1980</t>
  </si>
  <si>
    <t>Treatise on laughter / Laurent Joubert ; translated and annotated by Gregory David de Rocher.</t>
  </si>
  <si>
    <t>Joubert, Laurent, 1529-1583.</t>
  </si>
  <si>
    <t>University : University of Alabama Press, c1980.</t>
  </si>
  <si>
    <t>1992-12-10</t>
  </si>
  <si>
    <t>5342780408:eng</t>
  </si>
  <si>
    <t>5171239</t>
  </si>
  <si>
    <t>991004791279702656</t>
  </si>
  <si>
    <t>2258760590002656</t>
  </si>
  <si>
    <t>9780817300296</t>
  </si>
  <si>
    <t>32285001441145</t>
  </si>
  <si>
    <t>893260175</t>
  </si>
  <si>
    <t>BF575.L3 P5713</t>
  </si>
  <si>
    <t>0                      BF 0575000L  3                  P  5713</t>
  </si>
  <si>
    <t>Laughing and crying : a study of the limits of human behavior / translated by James Spencer Churchill and Marjorie Grene. With a foreword by Marjorie Grene.</t>
  </si>
  <si>
    <t>Plessner, Helmuth, 1892-1985.</t>
  </si>
  <si>
    <t>Evanston : Northwestern University Press, 1970.</t>
  </si>
  <si>
    <t>Northwestern University studies in phenomenology &amp; existential philosophy</t>
  </si>
  <si>
    <t>4924210551:eng</t>
  </si>
  <si>
    <t>108063</t>
  </si>
  <si>
    <t>991000636719702656</t>
  </si>
  <si>
    <t>2261947930002656</t>
  </si>
  <si>
    <t>32285001540110</t>
  </si>
  <si>
    <t>893878222</t>
  </si>
  <si>
    <t>BF575.L7 B87 1985</t>
  </si>
  <si>
    <t>0                      BF 0575000L  7                  B  87          1985</t>
  </si>
  <si>
    <t>Intimate connections : the new and clinically tested program for overcoming loneliness developed at the Presbyterian-University of Pennsylvania Medical Center / David D. Burns.</t>
  </si>
  <si>
    <t>Burns, David D.</t>
  </si>
  <si>
    <t>New York : Morrow, c1985.</t>
  </si>
  <si>
    <t>2000-06-19</t>
  </si>
  <si>
    <t>884853:eng</t>
  </si>
  <si>
    <t>11375731</t>
  </si>
  <si>
    <t>991000528349702656</t>
  </si>
  <si>
    <t>2256611580002656</t>
  </si>
  <si>
    <t>9780688017460</t>
  </si>
  <si>
    <t>32285001596146</t>
  </si>
  <si>
    <t>893620555</t>
  </si>
  <si>
    <t>BF575.L7 L66 1982</t>
  </si>
  <si>
    <t>0                      BF 0575000L  7                  L  66          1982</t>
  </si>
  <si>
    <t>Loneliness : a sourcebook of current theory, research, and therapy / edited by Letitia Anne Peplau, Daniel Perlman.</t>
  </si>
  <si>
    <t>New York : Wiley, c1982.</t>
  </si>
  <si>
    <t>Wiley series on personality processes, 0195-4008</t>
  </si>
  <si>
    <t>2002-06-24</t>
  </si>
  <si>
    <t>890098539:eng</t>
  </si>
  <si>
    <t>7947089</t>
  </si>
  <si>
    <t>991005182379702656</t>
  </si>
  <si>
    <t>2270068080002656</t>
  </si>
  <si>
    <t>9780471080282</t>
  </si>
  <si>
    <t>32285001025153</t>
  </si>
  <si>
    <t>893230333</t>
  </si>
  <si>
    <t>BF575.L7 M63 1961</t>
  </si>
  <si>
    <t>0                      BF 0575000L  7                  M  63          1961</t>
  </si>
  <si>
    <t>Loneliness / Clark E. Moustakas.</t>
  </si>
  <si>
    <t>Moustakas, Clark E.</t>
  </si>
  <si>
    <t>[Englewood Cliffs, N.J.] : Prentice-Hall, [1961]</t>
  </si>
  <si>
    <t>A Spectrum Book ; S-15</t>
  </si>
  <si>
    <t>2003-11-04</t>
  </si>
  <si>
    <t>1151008790:eng</t>
  </si>
  <si>
    <t>735896</t>
  </si>
  <si>
    <t>991003209799702656</t>
  </si>
  <si>
    <t>2257681770002656</t>
  </si>
  <si>
    <t>32285001068716</t>
  </si>
  <si>
    <t>893410016</t>
  </si>
  <si>
    <t>BF575.L7 R57</t>
  </si>
  <si>
    <t>0                      BF 0575000L  7                  R  57</t>
  </si>
  <si>
    <t>Walking with loneliness / Paula Ripple.</t>
  </si>
  <si>
    <t>Comin, Paula Ripple.</t>
  </si>
  <si>
    <t>Notre Dame, Ind. : Ave Maria Press, 1982.</t>
  </si>
  <si>
    <t>2001-04-04</t>
  </si>
  <si>
    <t>3580303:eng</t>
  </si>
  <si>
    <t>9031753</t>
  </si>
  <si>
    <t>991000114919702656</t>
  </si>
  <si>
    <t>2266638520002656</t>
  </si>
  <si>
    <t>9780877932598</t>
  </si>
  <si>
    <t>32285000223999</t>
  </si>
  <si>
    <t>893783983</t>
  </si>
  <si>
    <t>BF575.L7 W44</t>
  </si>
  <si>
    <t>0                      BF 0575000L  7                  W  44</t>
  </si>
  <si>
    <t>Loneliness: the experience of emotional and social isolation [by] Robert S. Weiss, with contributions by John Bowlby [and others] Foreword by David Riesman.</t>
  </si>
  <si>
    <t>Weiss, Robert Stuart, 1925-</t>
  </si>
  <si>
    <t>Cambridge, Mass., MIT Press [1974, c1973]</t>
  </si>
  <si>
    <t>1634770:eng</t>
  </si>
  <si>
    <t>659037</t>
  </si>
  <si>
    <t>991003114129702656</t>
  </si>
  <si>
    <t>2260702050002656</t>
  </si>
  <si>
    <t>9780262230674</t>
  </si>
  <si>
    <t>32285002250149</t>
  </si>
  <si>
    <t>893721792</t>
  </si>
  <si>
    <t>BF575.L8 D3 1947</t>
  </si>
  <si>
    <t>0                      BF 0575000L  8                  D  3           1947</t>
  </si>
  <si>
    <t>The mind and heart of love, lion and unicorn; a study in Eros and agape, by M.C. D'Arcy.</t>
  </si>
  <si>
    <t>D'Arcy, Martin Cyril, 1888-1976.</t>
  </si>
  <si>
    <t>New York, H. Holt and Co. [1947]</t>
  </si>
  <si>
    <t>2000-12-10</t>
  </si>
  <si>
    <t>1628878:eng</t>
  </si>
  <si>
    <t>1263585</t>
  </si>
  <si>
    <t>991003657559702656</t>
  </si>
  <si>
    <t>2262450050002656</t>
  </si>
  <si>
    <t>32285002250156</t>
  </si>
  <si>
    <t>893617568</t>
  </si>
  <si>
    <t>BF575.L8 J63 1983</t>
  </si>
  <si>
    <t>0                      BF 0575000L  8                  J  63          1983</t>
  </si>
  <si>
    <t>We, understanding the psychology of romantic love / Robert A. Johnson.</t>
  </si>
  <si>
    <t>Johnson, Robert A., 1921-2018.</t>
  </si>
  <si>
    <t>San Francisco : Harper &amp; Row, c1983.</t>
  </si>
  <si>
    <t>2003-07-10</t>
  </si>
  <si>
    <t>17942181:eng</t>
  </si>
  <si>
    <t>9919807</t>
  </si>
  <si>
    <t>991000283189702656</t>
  </si>
  <si>
    <t>2268129820002656</t>
  </si>
  <si>
    <t>9780062504357</t>
  </si>
  <si>
    <t>32285000930270</t>
  </si>
  <si>
    <t>893695726</t>
  </si>
  <si>
    <t>BF575.L8 M37</t>
  </si>
  <si>
    <t>0                      BF 0575000L  8                  M  37</t>
  </si>
  <si>
    <t>The evolution of love / Sydney L. W. Mellen.</t>
  </si>
  <si>
    <t>Mellen, Sydney L. W., 1907-</t>
  </si>
  <si>
    <t>Oxford, [Eng.] ; San Francisco : W. H. Freeman, c1981.</t>
  </si>
  <si>
    <t>2005-06-24</t>
  </si>
  <si>
    <t>22615616:eng</t>
  </si>
  <si>
    <t>6447150</t>
  </si>
  <si>
    <t>991004984979702656</t>
  </si>
  <si>
    <t>2255496320002656</t>
  </si>
  <si>
    <t>9780716712718</t>
  </si>
  <si>
    <t>32285001596195</t>
  </si>
  <si>
    <t>893507452</t>
  </si>
  <si>
    <t>BF575.L8 P43 1988</t>
  </si>
  <si>
    <t>0                      BF 0575000L  8                  P  43          1988</t>
  </si>
  <si>
    <t>Dreams of love and fateful encounters : the power of romantic passion / Ethel Spector Person.</t>
  </si>
  <si>
    <t>Person, Ethel Spector.</t>
  </si>
  <si>
    <t>New York : Norton, c1988.</t>
  </si>
  <si>
    <t>2002-02-06</t>
  </si>
  <si>
    <t>1991-10-16</t>
  </si>
  <si>
    <t>12247882:eng</t>
  </si>
  <si>
    <t>16226152</t>
  </si>
  <si>
    <t>991001092539702656</t>
  </si>
  <si>
    <t>2266380820002656</t>
  </si>
  <si>
    <t>9780393025279</t>
  </si>
  <si>
    <t>32285000774926</t>
  </si>
  <si>
    <t>893438870</t>
  </si>
  <si>
    <t>BF575.P69 W4 1972</t>
  </si>
  <si>
    <t>0                      BF 0575000P  69                 W  4           1972</t>
  </si>
  <si>
    <t>Why am I afraid to love?</t>
  </si>
  <si>
    <t>Powell, John, 1925-2009.</t>
  </si>
  <si>
    <t>Niles, Ill. : Argus Communications, 1972, c1967]</t>
  </si>
  <si>
    <t>[Rev.</t>
  </si>
  <si>
    <t>2008-03-10</t>
  </si>
  <si>
    <t>1992-12-15</t>
  </si>
  <si>
    <t>1848114:eng</t>
  </si>
  <si>
    <t>910173</t>
  </si>
  <si>
    <t>991003373759702656</t>
  </si>
  <si>
    <t>2265344290002656</t>
  </si>
  <si>
    <t>9780913592038</t>
  </si>
  <si>
    <t>32285001403632</t>
  </si>
  <si>
    <t>893623432</t>
  </si>
  <si>
    <t>BF575.S45 F67 1986</t>
  </si>
  <si>
    <t>0                      BF 0575000S  45                 F  67          1986</t>
  </si>
  <si>
    <t>Facing shame : families in recovery / Merle A. Fossum, Marilyn J. Mason.</t>
  </si>
  <si>
    <t>Fossum, Merle A.</t>
  </si>
  <si>
    <t>New York : W.W. Norton &amp; Co., c1986.</t>
  </si>
  <si>
    <t>836694197:eng</t>
  </si>
  <si>
    <t>13005557</t>
  </si>
  <si>
    <t>991000767629702656</t>
  </si>
  <si>
    <t>2265003800002656</t>
  </si>
  <si>
    <t>9780393700275</t>
  </si>
  <si>
    <t>32285001061331</t>
  </si>
  <si>
    <t>893528374</t>
  </si>
  <si>
    <t>BF575.S7 T6</t>
  </si>
  <si>
    <t>0                      BF 0575000S  7                  T  6</t>
  </si>
  <si>
    <t>Constructive behavior : stress, personality, and mental health / [by] E. Paul Torrance.</t>
  </si>
  <si>
    <t>Torrance, E. Paul (Ellis Paul), 1915-2003.</t>
  </si>
  <si>
    <t>Belmont, Calif. : Wadsworth Pub. Co., [1965]</t>
  </si>
  <si>
    <t>1995-01-30</t>
  </si>
  <si>
    <t>1990-11-14</t>
  </si>
  <si>
    <t>1260531:eng</t>
  </si>
  <si>
    <t>203697</t>
  </si>
  <si>
    <t>991001231329702656</t>
  </si>
  <si>
    <t>2255990410002656</t>
  </si>
  <si>
    <t>32285000395946</t>
  </si>
  <si>
    <t>893626618</t>
  </si>
  <si>
    <t>BF575.S75 B75 1984</t>
  </si>
  <si>
    <t>0                      BF 0575000S  75                 B  75          1984</t>
  </si>
  <si>
    <t>Between health and illness : new notions on stress and the nature of well being / Barbara B. Brown.</t>
  </si>
  <si>
    <t>Brown, Barbara B.</t>
  </si>
  <si>
    <t>Boston : Houghton Mifflin, 1984.</t>
  </si>
  <si>
    <t>2000-02-09</t>
  </si>
  <si>
    <t>1990-05-07</t>
  </si>
  <si>
    <t>3294562:eng</t>
  </si>
  <si>
    <t>10020408</t>
  </si>
  <si>
    <t>991000299279702656</t>
  </si>
  <si>
    <t>2265253290002656</t>
  </si>
  <si>
    <t>9780395346341</t>
  </si>
  <si>
    <t>32285000150077</t>
  </si>
  <si>
    <t>893784119</t>
  </si>
  <si>
    <t>BF575.S75 C44 1982</t>
  </si>
  <si>
    <t>0                      BF 0575000S  75                 C  44          1982</t>
  </si>
  <si>
    <t>Stress management : a comprehensive guide to wellness / by Edward A. Charlesworth and Ronald G. Nathan.</t>
  </si>
  <si>
    <t>Charlesworth, Edward A., 1949-</t>
  </si>
  <si>
    <t>Houston, Tex. : Biobehavioral Press, [1982] c1981.</t>
  </si>
  <si>
    <t>txu</t>
  </si>
  <si>
    <t>1997-07-28</t>
  </si>
  <si>
    <t>1007768:eng</t>
  </si>
  <si>
    <t>8170614</t>
  </si>
  <si>
    <t>991005212589702656</t>
  </si>
  <si>
    <t>2256695310002656</t>
  </si>
  <si>
    <t>9780938176022</t>
  </si>
  <si>
    <t>32285001779460</t>
  </si>
  <si>
    <t>893418562</t>
  </si>
  <si>
    <t>BF575.S75 C44 1984</t>
  </si>
  <si>
    <t>0                      BF 0575000S  75                 C  44          1984</t>
  </si>
  <si>
    <t>Stress management : a comprehensive guide to wellness / Edward A. Charlesworth, Ronald G. Nathan.</t>
  </si>
  <si>
    <t>New York : Atheneum, 1984.</t>
  </si>
  <si>
    <t>Rev. and updated ed.</t>
  </si>
  <si>
    <t>1997-06-26</t>
  </si>
  <si>
    <t>1990-11-15</t>
  </si>
  <si>
    <t>10779178</t>
  </si>
  <si>
    <t>991000431639702656</t>
  </si>
  <si>
    <t>2268382320002656</t>
  </si>
  <si>
    <t>9780689115035</t>
  </si>
  <si>
    <t>32285000396571</t>
  </si>
  <si>
    <t>893620480</t>
  </si>
  <si>
    <t>BF575.S75 C6</t>
  </si>
  <si>
    <t>0                      BF 0575000S  75                 C  6</t>
  </si>
  <si>
    <t>Psychological stress, issues in research : [papers] / edited by Mortimer H. Appley [and] Richard Trumbull.</t>
  </si>
  <si>
    <t>Conference on Psychological Stress (1965 : Toronto, Ont.)</t>
  </si>
  <si>
    <t>2009-11-02</t>
  </si>
  <si>
    <t>1365585:eng</t>
  </si>
  <si>
    <t>235076</t>
  </si>
  <si>
    <t>991001736139702656</t>
  </si>
  <si>
    <t>2259344920002656</t>
  </si>
  <si>
    <t>32285001062651</t>
  </si>
  <si>
    <t>893690851</t>
  </si>
  <si>
    <t>BF575.S75 C64 1973</t>
  </si>
  <si>
    <t>0                      BF 0575000S  75                 C  64          1973</t>
  </si>
  <si>
    <t>Stressful life events : their nature and effects : [papers] / edited by Barbara Snell Dohrenwend [and] Bruce P. Dohrenwend.</t>
  </si>
  <si>
    <t>Conference on Stressful Life Events: Their Nature and Effects (1973 : City University of New York)</t>
  </si>
  <si>
    <t>2004-10-09</t>
  </si>
  <si>
    <t>1990-11-19</t>
  </si>
  <si>
    <t>1075019692:eng</t>
  </si>
  <si>
    <t>874186</t>
  </si>
  <si>
    <t>991001781769702656</t>
  </si>
  <si>
    <t>2262439220002656</t>
  </si>
  <si>
    <t>9780471217534</t>
  </si>
  <si>
    <t>32285000396589</t>
  </si>
  <si>
    <t>893232258</t>
  </si>
  <si>
    <t>BF575.S75 H36</t>
  </si>
  <si>
    <t>0                      BF 0575000S  75                 H  36</t>
  </si>
  <si>
    <t>Handbook on stress and anxiety : contemporary knowledge, theory, and treatment / Irwin L. Kutash, Louis B. Schlesinger, and associates.</t>
  </si>
  <si>
    <t>San Francisco : Jossey-Bass, 1980.</t>
  </si>
  <si>
    <t>350786040:eng</t>
  </si>
  <si>
    <t>6581186</t>
  </si>
  <si>
    <t>991005007999702656</t>
  </si>
  <si>
    <t>2258141600002656</t>
  </si>
  <si>
    <t>9780875894782</t>
  </si>
  <si>
    <t>32285001443745</t>
  </si>
  <si>
    <t>893606702</t>
  </si>
  <si>
    <t>BF575.S75 I57 1979</t>
  </si>
  <si>
    <t>0                      BF 0575000S  75                 I  57          1979</t>
  </si>
  <si>
    <t>Stress and tension control / edited by F. J. McGuigan, Wesley E. Sime, and J. Macdonald Wallace.</t>
  </si>
  <si>
    <t>International Interdisciplinary Conference on Stress and Tension Control (1st : 1979 : London, England)</t>
  </si>
  <si>
    <t>New York : Plenum Press, c1980.</t>
  </si>
  <si>
    <t>2009-03-03</t>
  </si>
  <si>
    <t>437457:eng</t>
  </si>
  <si>
    <t>6251877</t>
  </si>
  <si>
    <t>991004952929702656</t>
  </si>
  <si>
    <t>2262915190002656</t>
  </si>
  <si>
    <t>9780306404504</t>
  </si>
  <si>
    <t>32285000150085</t>
  </si>
  <si>
    <t>893594285</t>
  </si>
  <si>
    <t>BF575.S75 L3</t>
  </si>
  <si>
    <t>0                      BF 0575000S  75                 L  3</t>
  </si>
  <si>
    <t>Psychological stress and the coping process / [by] Richard S. Lazarus.</t>
  </si>
  <si>
    <t>Lazarus, Richard S.</t>
  </si>
  <si>
    <t>New York : McGraw-Hill, [1966]</t>
  </si>
  <si>
    <t>2007-03-03</t>
  </si>
  <si>
    <t>1331019:eng</t>
  </si>
  <si>
    <t>223336</t>
  </si>
  <si>
    <t>991001370159702656</t>
  </si>
  <si>
    <t>2264129060002656</t>
  </si>
  <si>
    <t>32285000307917</t>
  </si>
  <si>
    <t>893509572</t>
  </si>
  <si>
    <t>BF575.S75 P8</t>
  </si>
  <si>
    <t>0                      BF 0575000S  75                 P  8</t>
  </si>
  <si>
    <t>Psychological aspects of stress. Edited by Harry S. Abram.</t>
  </si>
  <si>
    <t>Springfield, Ill., Thomas [1970]</t>
  </si>
  <si>
    <t>1091239030:eng</t>
  </si>
  <si>
    <t>105603</t>
  </si>
  <si>
    <t>991000629619702656</t>
  </si>
  <si>
    <t>2263131700002656</t>
  </si>
  <si>
    <t>32285002250248</t>
  </si>
  <si>
    <t>893871840</t>
  </si>
  <si>
    <t>BF575.S75 P84 1983</t>
  </si>
  <si>
    <t>0                      BF 0575000S  75                 P  84          1983</t>
  </si>
  <si>
    <t>Psychosocial stress : trends in theory and research / edited by Howard B. Kaplan.</t>
  </si>
  <si>
    <t>1997-09-17</t>
  </si>
  <si>
    <t>2072428777:eng</t>
  </si>
  <si>
    <t>9556609</t>
  </si>
  <si>
    <t>991000213579702656</t>
  </si>
  <si>
    <t>2265447080002656</t>
  </si>
  <si>
    <t>9780123975607</t>
  </si>
  <si>
    <t>32285001596252</t>
  </si>
  <si>
    <t>893534095</t>
  </si>
  <si>
    <t>BF575.S75 S48</t>
  </si>
  <si>
    <t>0                      BF 0575000S  75                 S  48</t>
  </si>
  <si>
    <t>Life after stress / Martin Shaffer.</t>
  </si>
  <si>
    <t>Shaffer, Martin.</t>
  </si>
  <si>
    <t>New York : Plenum Press, c1982.</t>
  </si>
  <si>
    <t>2007-04-16</t>
  </si>
  <si>
    <t>1992-09-21</t>
  </si>
  <si>
    <t>438196:eng</t>
  </si>
  <si>
    <t>7925564</t>
  </si>
  <si>
    <t>991005178199702656</t>
  </si>
  <si>
    <t>2270907840002656</t>
  </si>
  <si>
    <t>9780306408694</t>
  </si>
  <si>
    <t>32285001303907</t>
  </si>
  <si>
    <t>893795749</t>
  </si>
  <si>
    <t>BF575.S75 S6 1970</t>
  </si>
  <si>
    <t>0                      BF 0575000S  75                 S  6           1970</t>
  </si>
  <si>
    <t>Social and psychological factors in stress / Joseph E. McGrath, editor ; with contributions by : Irwin Altman [and others]</t>
  </si>
  <si>
    <t>New York : Holt, Rinehart and Winston, [1970]</t>
  </si>
  <si>
    <t>2004-02-17</t>
  </si>
  <si>
    <t>1990-09-05</t>
  </si>
  <si>
    <t>1232630:eng</t>
  </si>
  <si>
    <t>66702</t>
  </si>
  <si>
    <t>991000215789702656</t>
  </si>
  <si>
    <t>2258709580002656</t>
  </si>
  <si>
    <t>9780030802805</t>
  </si>
  <si>
    <t>32285000284108</t>
  </si>
  <si>
    <t>893708213</t>
  </si>
  <si>
    <t>BF575.S75 S77</t>
  </si>
  <si>
    <t>0                      BF 0575000S  75                 S  77</t>
  </si>
  <si>
    <t>Stress and coping : an anthology / edited by Alan Monat &amp; Richard S. Lazarus.</t>
  </si>
  <si>
    <t>New York : Columbia University Press, 1977.</t>
  </si>
  <si>
    <t>2007-12-10</t>
  </si>
  <si>
    <t>836700434:eng</t>
  </si>
  <si>
    <t>2837509</t>
  </si>
  <si>
    <t>991004259839702656</t>
  </si>
  <si>
    <t>2262123250002656</t>
  </si>
  <si>
    <t>9780231040136</t>
  </si>
  <si>
    <t>32285000122753</t>
  </si>
  <si>
    <t>893500351</t>
  </si>
  <si>
    <t>BF575.S75 U52 1980</t>
  </si>
  <si>
    <t>0                      BF 0575000S  75                 U  52          1980</t>
  </si>
  <si>
    <t>Understanding and managing stress : a book of readings / edited by John D. Adams.</t>
  </si>
  <si>
    <t>San Diego, CA : University Associates, c1980.</t>
  </si>
  <si>
    <t>2001-11-13</t>
  </si>
  <si>
    <t>3901530443:eng</t>
  </si>
  <si>
    <t>6793692</t>
  </si>
  <si>
    <t>991005041259702656</t>
  </si>
  <si>
    <t>2269438910002656</t>
  </si>
  <si>
    <t>9780883901588</t>
  </si>
  <si>
    <t>32285001020014</t>
  </si>
  <si>
    <t>893876842</t>
  </si>
  <si>
    <t>BF575.S75 W58 1984</t>
  </si>
  <si>
    <t>0                      BF 0575000S  75                 W  58          1984</t>
  </si>
  <si>
    <t>The female stress syndrome : how to recognize and live with it / Georgia Witkin-Lanoil.</t>
  </si>
  <si>
    <t>Witkin, Georgia.</t>
  </si>
  <si>
    <t>New York : Newmarket Press, c1984.</t>
  </si>
  <si>
    <t>1995-09-24</t>
  </si>
  <si>
    <t>1992-10-20</t>
  </si>
  <si>
    <t>3855305949:eng</t>
  </si>
  <si>
    <t>10207711</t>
  </si>
  <si>
    <t>991000332039702656</t>
  </si>
  <si>
    <t>2265086350002656</t>
  </si>
  <si>
    <t>9780937858332</t>
  </si>
  <si>
    <t>32285001372274</t>
  </si>
  <si>
    <t>893419369</t>
  </si>
  <si>
    <t>BF582 .W53 1999</t>
  </si>
  <si>
    <t>0                      BF 0582000W  53          1999</t>
  </si>
  <si>
    <t>Emotions across languages and cultures : diversity and universals / Anna Wierzbicka.</t>
  </si>
  <si>
    <t>Wierzbicka, Anna.</t>
  </si>
  <si>
    <t>Cambridge : Cambridge University Press, 1999.</t>
  </si>
  <si>
    <t>1999</t>
  </si>
  <si>
    <t>Studies in emotion and social interaction. Second series</t>
  </si>
  <si>
    <t>2001-01-27</t>
  </si>
  <si>
    <t>2000-03-13</t>
  </si>
  <si>
    <t>837048833:eng</t>
  </si>
  <si>
    <t>42004369</t>
  </si>
  <si>
    <t>991003039559702656</t>
  </si>
  <si>
    <t>2270436040002656</t>
  </si>
  <si>
    <t>9780521590426</t>
  </si>
  <si>
    <t>32285003668943</t>
  </si>
  <si>
    <t>893422113</t>
  </si>
  <si>
    <t>BF591 .G47 1979</t>
  </si>
  <si>
    <t>0                      BF 0591000G  47          1979</t>
  </si>
  <si>
    <t>Gestures, their origins and distribution / Desmond Morris ... [et al.].</t>
  </si>
  <si>
    <t>New York : Stein and Day, 1979.</t>
  </si>
  <si>
    <t>2007-10-23</t>
  </si>
  <si>
    <t>54270791:eng</t>
  </si>
  <si>
    <t>4592797</t>
  </si>
  <si>
    <t>991004685919702656</t>
  </si>
  <si>
    <t>2272485630002656</t>
  </si>
  <si>
    <t>9780812826074</t>
  </si>
  <si>
    <t>32285001596302</t>
  </si>
  <si>
    <t>893500856</t>
  </si>
  <si>
    <t>BF591 .S9 1960</t>
  </si>
  <si>
    <t>0                      BF 0591000S  9           1960</t>
  </si>
  <si>
    <t>Expression of the emotions in man.</t>
  </si>
  <si>
    <t>Knapp, Peter H.</t>
  </si>
  <si>
    <t>New York, International Universities Press [1963]</t>
  </si>
  <si>
    <t>366188912:eng</t>
  </si>
  <si>
    <t>14612826</t>
  </si>
  <si>
    <t>991000949159702656</t>
  </si>
  <si>
    <t>2262775750002656</t>
  </si>
  <si>
    <t>32285002250297</t>
  </si>
  <si>
    <t>893791019</t>
  </si>
  <si>
    <t>BF611 .A86 1973a</t>
  </si>
  <si>
    <t>0                      BF 0611000A  86          1973a</t>
  </si>
  <si>
    <t>The act of will.</t>
  </si>
  <si>
    <t>Assagioli, Roberto, 1888-1974.</t>
  </si>
  <si>
    <t>New York, Viking Press [1973]</t>
  </si>
  <si>
    <t>2005-06-30</t>
  </si>
  <si>
    <t>3372494597:eng</t>
  </si>
  <si>
    <t>713347</t>
  </si>
  <si>
    <t>991003186959702656</t>
  </si>
  <si>
    <t>2254797640002656</t>
  </si>
  <si>
    <t>9780670103096</t>
  </si>
  <si>
    <t>32285002250305</t>
  </si>
  <si>
    <t>893899701</t>
  </si>
  <si>
    <t>BF619 .B75 1987</t>
  </si>
  <si>
    <t>0                      BF 0619000B  75          1987</t>
  </si>
  <si>
    <t>Commitment, conflict, and caring / Philip Brickman, with Antonia Abbey ... [et al.] ; edited by Camille B. Wortman, Richard Sorrentino.</t>
  </si>
  <si>
    <t>Brickman, Philip.</t>
  </si>
  <si>
    <t>Englewood Cliffs, N.J. : Prentice-Hall, 1987.</t>
  </si>
  <si>
    <t>2000-03-20</t>
  </si>
  <si>
    <t>8359515:eng</t>
  </si>
  <si>
    <t>14413159</t>
  </si>
  <si>
    <t>991000941689702656</t>
  </si>
  <si>
    <t>2266387930002656</t>
  </si>
  <si>
    <t>9780131522664</t>
  </si>
  <si>
    <t>32285001596328</t>
  </si>
  <si>
    <t>893225461</t>
  </si>
  <si>
    <t>BF619 .H37</t>
  </si>
  <si>
    <t>0                      BF 0619000H  37</t>
  </si>
  <si>
    <t>Should anyone say forever? : On making, keeping, and breaking commitments / John C. Haughey.</t>
  </si>
  <si>
    <t>Haughey, John C.</t>
  </si>
  <si>
    <t>Garden City, N.Y. : Doubleday, 1975.</t>
  </si>
  <si>
    <t>1996-09-18</t>
  </si>
  <si>
    <t>454888:eng</t>
  </si>
  <si>
    <t>1836719</t>
  </si>
  <si>
    <t>991003905599702656</t>
  </si>
  <si>
    <t>2257576750002656</t>
  </si>
  <si>
    <t>9780385097543</t>
  </si>
  <si>
    <t>32285002250339</t>
  </si>
  <si>
    <t>893324692</t>
  </si>
  <si>
    <t>BF632 .G55 1984</t>
  </si>
  <si>
    <t>0                      BF 0632000G  55          1984</t>
  </si>
  <si>
    <t>Take effective control of your life / William Glasser.</t>
  </si>
  <si>
    <t>Glasser, William, 1925-2013.</t>
  </si>
  <si>
    <t>New York : Harper &amp; Row, c1984.</t>
  </si>
  <si>
    <t>2007-12-03</t>
  </si>
  <si>
    <t>1990-03-13</t>
  </si>
  <si>
    <t>2564819564:eng</t>
  </si>
  <si>
    <t>10696798</t>
  </si>
  <si>
    <t>991000408939702656</t>
  </si>
  <si>
    <t>2269241940002656</t>
  </si>
  <si>
    <t>9780060153427</t>
  </si>
  <si>
    <t>32285000079490</t>
  </si>
  <si>
    <t>893425665</t>
  </si>
  <si>
    <t>BF632 .M22</t>
  </si>
  <si>
    <t>0                      BF 0632000M  22</t>
  </si>
  <si>
    <t>Self-control : power to the person / [by] Michael J. Mahoney [and] Carl E. Thoresen.</t>
  </si>
  <si>
    <t>Monterey, Calif. : Brooks/Cole Pub. Co., [1974]</t>
  </si>
  <si>
    <t>2010-02-05</t>
  </si>
  <si>
    <t>3857506813:eng</t>
  </si>
  <si>
    <t>947693</t>
  </si>
  <si>
    <t>991003408419702656</t>
  </si>
  <si>
    <t>2264458070002656</t>
  </si>
  <si>
    <t>9780818501210</t>
  </si>
  <si>
    <t>32285001540045</t>
  </si>
  <si>
    <t>893721940</t>
  </si>
  <si>
    <t>BF632.5 .B73 1981</t>
  </si>
  <si>
    <t>0                      BF 0632500B  73          1981</t>
  </si>
  <si>
    <t>Psychological reactance : a theory of freedom and control / Sharon S. Brehm, Jack W. Brehm.</t>
  </si>
  <si>
    <t>Brehm, Sharon S.</t>
  </si>
  <si>
    <t>2008-03-11</t>
  </si>
  <si>
    <t>197656373:eng</t>
  </si>
  <si>
    <t>7738330</t>
  </si>
  <si>
    <t>991005154869702656</t>
  </si>
  <si>
    <t>2257978260002656</t>
  </si>
  <si>
    <t>9780121298401</t>
  </si>
  <si>
    <t>32285001596351</t>
  </si>
  <si>
    <t>893902210</t>
  </si>
  <si>
    <t>BF632.5 .T83 1984</t>
  </si>
  <si>
    <t>0                      BF 0632500T  83          1984</t>
  </si>
  <si>
    <t>Dominance &amp; affection : the making of pets / Yi-Fu Tuan.</t>
  </si>
  <si>
    <t>Tuan, Yi-fu, 1930-</t>
  </si>
  <si>
    <t>New Haven : Yale University Press, c1984.</t>
  </si>
  <si>
    <t>1994-10-09</t>
  </si>
  <si>
    <t>836657847:eng</t>
  </si>
  <si>
    <t>10507757</t>
  </si>
  <si>
    <t>991000385769702656</t>
  </si>
  <si>
    <t>2256915340002656</t>
  </si>
  <si>
    <t>9780300032222</t>
  </si>
  <si>
    <t>32285000845338</t>
  </si>
  <si>
    <t>893515224</t>
  </si>
  <si>
    <t>BF633 .S3 1975</t>
  </si>
  <si>
    <t>0                      BF 0633000S  3           1975</t>
  </si>
  <si>
    <t>Battle for the mind : a physiology of conversion and brain-washing / by William Sargant.</t>
  </si>
  <si>
    <t>Sargant, William Walters.</t>
  </si>
  <si>
    <t>Westport, Conn. : Greenwood Press, [1975, c1957]</t>
  </si>
  <si>
    <t>2005-10-24</t>
  </si>
  <si>
    <t>500754:eng</t>
  </si>
  <si>
    <t>624002</t>
  </si>
  <si>
    <t>991003069229702656</t>
  </si>
  <si>
    <t>2258675620002656</t>
  </si>
  <si>
    <t>9780837168999</t>
  </si>
  <si>
    <t>32285001057412</t>
  </si>
  <si>
    <t>893610689</t>
  </si>
  <si>
    <t>BF636 .B2</t>
  </si>
  <si>
    <t>0                      BF 0636000B  2</t>
  </si>
  <si>
    <t>Pairing / by George R. Bach and Ronald M. Deutsch.</t>
  </si>
  <si>
    <t>New York : P. H. Wyden, [1970]</t>
  </si>
  <si>
    <t>2001-04-16</t>
  </si>
  <si>
    <t>142437933:eng</t>
  </si>
  <si>
    <t>98575</t>
  </si>
  <si>
    <t>991000604299702656</t>
  </si>
  <si>
    <t>2271942130002656</t>
  </si>
  <si>
    <t>32285000973569</t>
  </si>
  <si>
    <t>893608093</t>
  </si>
  <si>
    <t>BF636 .B747 1957</t>
  </si>
  <si>
    <t>0                      BF 0636000B  747         1957</t>
  </si>
  <si>
    <t>Applied psychology.</t>
  </si>
  <si>
    <t>Burtt, Harold E. (Harold Ernest), 1890-1991.</t>
  </si>
  <si>
    <t>Englewood Cliffs, N.J., Prentice-Hall, 1957.</t>
  </si>
  <si>
    <t>1996-11-14</t>
  </si>
  <si>
    <t>3377292486:eng</t>
  </si>
  <si>
    <t>225322</t>
  </si>
  <si>
    <t>991001377359702656</t>
  </si>
  <si>
    <t>2263763470002656</t>
  </si>
  <si>
    <t>32285002250396</t>
  </si>
  <si>
    <t>893250204</t>
  </si>
  <si>
    <t>BF636 .G5 1977</t>
  </si>
  <si>
    <t>0                      BF 0636000G  5           1977</t>
  </si>
  <si>
    <t>How to size up people : popular approaches to basic psychological principles / by John E. Gibson.</t>
  </si>
  <si>
    <t>Gibson, John E.</t>
  </si>
  <si>
    <t>St. Paul : Carillon, 1977.</t>
  </si>
  <si>
    <t>mnu</t>
  </si>
  <si>
    <t>1994-04-24</t>
  </si>
  <si>
    <t>1992-05-15</t>
  </si>
  <si>
    <t>10149969044:eng</t>
  </si>
  <si>
    <t>3776657</t>
  </si>
  <si>
    <t>991004710269702656</t>
  </si>
  <si>
    <t>2262382950002656</t>
  </si>
  <si>
    <t>32285001118230</t>
  </si>
  <si>
    <t>893513569</t>
  </si>
  <si>
    <t>BF636 .G56 1987</t>
  </si>
  <si>
    <t>0                      BF 0636000G  56          1987</t>
  </si>
  <si>
    <t>Modern applied psychology / Arnold P. Goldstein, Leonard Krasner.</t>
  </si>
  <si>
    <t>Goldstein, Arnold P.</t>
  </si>
  <si>
    <t>New York : Pergamon Press, 1987.</t>
  </si>
  <si>
    <t>Pergamon general psychology series ; 145</t>
  </si>
  <si>
    <t>1997-04-09</t>
  </si>
  <si>
    <t>1993-04-01</t>
  </si>
  <si>
    <t>7169099:eng</t>
  </si>
  <si>
    <t>14165557</t>
  </si>
  <si>
    <t>991000914039702656</t>
  </si>
  <si>
    <t>2270258320002656</t>
  </si>
  <si>
    <t>9780080345000</t>
  </si>
  <si>
    <t>32285001597862</t>
  </si>
  <si>
    <t>893696287</t>
  </si>
  <si>
    <t>BF636 .H64</t>
  </si>
  <si>
    <t>0                      BF 0636000H  64</t>
  </si>
  <si>
    <t>The art of working with people.</t>
  </si>
  <si>
    <t>Hodnett, Edward, 1901-1984.</t>
  </si>
  <si>
    <t>New York : Harper, [1959]</t>
  </si>
  <si>
    <t>1998-12-01</t>
  </si>
  <si>
    <t>1993-07-14</t>
  </si>
  <si>
    <t>41329224:eng</t>
  </si>
  <si>
    <t>1110993</t>
  </si>
  <si>
    <t>991003544969702656</t>
  </si>
  <si>
    <t>2271753090002656</t>
  </si>
  <si>
    <t>32285001723021</t>
  </si>
  <si>
    <t>893422681</t>
  </si>
  <si>
    <t>BF636 .M48</t>
  </si>
  <si>
    <t>0                      BF 0636000M  48</t>
  </si>
  <si>
    <t>The process of persuasion, by Clyde R. Miller.</t>
  </si>
  <si>
    <t>Miller, Clyde R. (Clyde Raymond), 1888-1958.</t>
  </si>
  <si>
    <t>New York, Crown Publishers [1946]</t>
  </si>
  <si>
    <t>422871000:eng</t>
  </si>
  <si>
    <t>1110827</t>
  </si>
  <si>
    <t>991003544859702656</t>
  </si>
  <si>
    <t>2271784130002656</t>
  </si>
  <si>
    <t>32285002250586</t>
  </si>
  <si>
    <t>893416493</t>
  </si>
  <si>
    <t>BF636 .T64</t>
  </si>
  <si>
    <t>0                      BF 0636000T  64</t>
  </si>
  <si>
    <t>Family constellation; theory and practice of a psychological game. Drawings [by] Miné Okubo.</t>
  </si>
  <si>
    <t>Toman, Walter.</t>
  </si>
  <si>
    <t>New York, Springer Pub. Co. [1961]</t>
  </si>
  <si>
    <t>1998-09-25</t>
  </si>
  <si>
    <t>966107:eng</t>
  </si>
  <si>
    <t>268040</t>
  </si>
  <si>
    <t>991002114359702656</t>
  </si>
  <si>
    <t>2270269110002656</t>
  </si>
  <si>
    <t>32285002250677</t>
  </si>
  <si>
    <t>893444974</t>
  </si>
  <si>
    <t>BF636 .W46</t>
  </si>
  <si>
    <t>0                      BF 0636000W  46</t>
  </si>
  <si>
    <t>Introduction to clinical psychology for students of medicine, psychology and nursing, by Edward M. Westburgh ...</t>
  </si>
  <si>
    <t>Westburgh, Edward M.</t>
  </si>
  <si>
    <t>Philadelphia, P. Blakiston's Son &amp; Co., inc. [c1937]</t>
  </si>
  <si>
    <t>1937</t>
  </si>
  <si>
    <t>1261528:eng</t>
  </si>
  <si>
    <t>204113</t>
  </si>
  <si>
    <t>991001232679702656</t>
  </si>
  <si>
    <t>2255510160002656</t>
  </si>
  <si>
    <t>32285002250685</t>
  </si>
  <si>
    <t>893407968</t>
  </si>
  <si>
    <t>BF637.A84 D68 1991</t>
  </si>
  <si>
    <t>0                      BF 0637000A  84                 D  68          1991</t>
  </si>
  <si>
    <t>Practical guide to using video in the behavioral sciences / Peter W. Dowrick.</t>
  </si>
  <si>
    <t>Dowrick, Peter W.</t>
  </si>
  <si>
    <t>New York : Wiley, c1991.</t>
  </si>
  <si>
    <t>2000-02-14</t>
  </si>
  <si>
    <t>1992-06-02</t>
  </si>
  <si>
    <t>24343947:eng</t>
  </si>
  <si>
    <t>22628953</t>
  </si>
  <si>
    <t>991001799249702656</t>
  </si>
  <si>
    <t>2269533020002656</t>
  </si>
  <si>
    <t>9780471636137</t>
  </si>
  <si>
    <t>32285001125680</t>
  </si>
  <si>
    <t>893684663</t>
  </si>
  <si>
    <t>BF637.B4 B34 1974a</t>
  </si>
  <si>
    <t>0                      BF 0637000B  4                  B  34          1974a</t>
  </si>
  <si>
    <t>Behavior modification approaches to parenting : [papers] / edited by Eric J. Mash, Lee C. Handy, and Leo A. Hamerlynck.</t>
  </si>
  <si>
    <t>Banff International Conference on Behavior Modification (6th : 1974)</t>
  </si>
  <si>
    <t>New York : Brunner/Mazel, c1976.</t>
  </si>
  <si>
    <t>2002-11-29</t>
  </si>
  <si>
    <t>364398584:eng</t>
  </si>
  <si>
    <t>1863588</t>
  </si>
  <si>
    <t>991003918139702656</t>
  </si>
  <si>
    <t>2263269580002656</t>
  </si>
  <si>
    <t>9780876301197</t>
  </si>
  <si>
    <t>32285002250735</t>
  </si>
  <si>
    <t>893441951</t>
  </si>
  <si>
    <t>BF637.B4 B36</t>
  </si>
  <si>
    <t>0                      BF 0637000B  4                  B  36</t>
  </si>
  <si>
    <t>How your children can learn to live a rewarding life; behavior modification for parents and teachers [by] Alexander Bannatyne [and] Maryl Bannatyne.</t>
  </si>
  <si>
    <t>Bannatyne, Alexander.</t>
  </si>
  <si>
    <t>Springfield, Ill., Thomas [1973]</t>
  </si>
  <si>
    <t>497714412:eng</t>
  </si>
  <si>
    <t>702828</t>
  </si>
  <si>
    <t>991003164489702656</t>
  </si>
  <si>
    <t>2258188090002656</t>
  </si>
  <si>
    <t>9780398025724</t>
  </si>
  <si>
    <t>32285002250743</t>
  </si>
  <si>
    <t>893686249</t>
  </si>
  <si>
    <t>BF637.B4 B47</t>
  </si>
  <si>
    <t>0                      BF 0637000B  4                  B  47</t>
  </si>
  <si>
    <t>Behavior modification : an introductory textbook / Alan S. Bellack, Michel Hersen.</t>
  </si>
  <si>
    <t>Bellack, Alan S.</t>
  </si>
  <si>
    <t>Baltimore : Williams &amp; Wilkins, c1977.</t>
  </si>
  <si>
    <t>1996-11-03</t>
  </si>
  <si>
    <t>5784328:eng</t>
  </si>
  <si>
    <t>2632596</t>
  </si>
  <si>
    <t>991005265539702656</t>
  </si>
  <si>
    <t>2271652180002656</t>
  </si>
  <si>
    <t>9780683005134</t>
  </si>
  <si>
    <t>32285002250768</t>
  </si>
  <si>
    <t>893242461</t>
  </si>
  <si>
    <t>BF637.B4 B66</t>
  </si>
  <si>
    <t>0                      BF 0637000B  4                  B  66</t>
  </si>
  <si>
    <t>Behavior modification and therapy : an introduction / Richard R. Bootzin.</t>
  </si>
  <si>
    <t>Bootzin, Richard R., 1940-</t>
  </si>
  <si>
    <t>Cambridge, Mass. : Winthrop Publishers, [1975]</t>
  </si>
  <si>
    <t>1999-03-10</t>
  </si>
  <si>
    <t>180485930:eng</t>
  </si>
  <si>
    <t>1527485</t>
  </si>
  <si>
    <t>991003801089702656</t>
  </si>
  <si>
    <t>2257970430002656</t>
  </si>
  <si>
    <t>9780876260630</t>
  </si>
  <si>
    <t>32285001050482</t>
  </si>
  <si>
    <t>893705644</t>
  </si>
  <si>
    <t>BF637.B4 D4 1977</t>
  </si>
  <si>
    <t>0                      BF 0637000B  4                  D  4           1977</t>
  </si>
  <si>
    <t>New tools for changing behavior / [by] Alvin N. Deibert [and] Alice J. Harmon. Foreword by Nathan H. Azrin.</t>
  </si>
  <si>
    <t>Deibert, Alvin N.</t>
  </si>
  <si>
    <t>Champaign, Ill. : Research Press Co., [1977, c1973]</t>
  </si>
  <si>
    <t>Rev.</t>
  </si>
  <si>
    <t>1995-06-26</t>
  </si>
  <si>
    <t>1293929:eng</t>
  </si>
  <si>
    <t>3830331</t>
  </si>
  <si>
    <t>991004522949702656</t>
  </si>
  <si>
    <t>2271333750002656</t>
  </si>
  <si>
    <t>32285001597904</t>
  </si>
  <si>
    <t>893325470</t>
  </si>
  <si>
    <t>BF637.B4 F67</t>
  </si>
  <si>
    <t>0                      BF 0637000B  4                  F  67</t>
  </si>
  <si>
    <t>Developing self-control / Carol Foster.</t>
  </si>
  <si>
    <t>Foster, Carol.</t>
  </si>
  <si>
    <t>Kalamazoo, Mich. : Behaviordelia, [1974]</t>
  </si>
  <si>
    <t>2001-05-04</t>
  </si>
  <si>
    <t>308786767:eng</t>
  </si>
  <si>
    <t>1177592</t>
  </si>
  <si>
    <t>991003600369702656</t>
  </si>
  <si>
    <t>2264592530002656</t>
  </si>
  <si>
    <t>9780914474128</t>
  </si>
  <si>
    <t>32285002160082</t>
  </si>
  <si>
    <t>893318163</t>
  </si>
  <si>
    <t>BF637.B4 H45 1986</t>
  </si>
  <si>
    <t>0                      BF 0637000B  4                  H  45          1986</t>
  </si>
  <si>
    <t>Helping people change : a textbook of methods / edited by Frederick H. Kanfer, Arnold P. Goldstein.</t>
  </si>
  <si>
    <t>New York : Pergamon Press, c1986.</t>
  </si>
  <si>
    <t>Pergamon general psychology series ; 52</t>
  </si>
  <si>
    <t>796519390:eng</t>
  </si>
  <si>
    <t>11841560</t>
  </si>
  <si>
    <t>991000601449702656</t>
  </si>
  <si>
    <t>2266237270002656</t>
  </si>
  <si>
    <t>9780080316000</t>
  </si>
  <si>
    <t>32285000216977</t>
  </si>
  <si>
    <t>893413508</t>
  </si>
  <si>
    <t>BF637.B4 K42</t>
  </si>
  <si>
    <t>0                      BF 0637000B  4                  K  42</t>
  </si>
  <si>
    <t>History of behavior modification : experimental foundations of contemporary research/ by Alan E. Kazdin.</t>
  </si>
  <si>
    <t>Kazdin, Alan E.</t>
  </si>
  <si>
    <t>Baltimore : University Park Press, c1978.</t>
  </si>
  <si>
    <t>2001-10-25</t>
  </si>
  <si>
    <t>10542834:eng</t>
  </si>
  <si>
    <t>3481427</t>
  </si>
  <si>
    <t>991004445759702656</t>
  </si>
  <si>
    <t>2264441880002656</t>
  </si>
  <si>
    <t>9780839112051</t>
  </si>
  <si>
    <t>32285002250883</t>
  </si>
  <si>
    <t>893869724</t>
  </si>
  <si>
    <t>BF637.B4 M43</t>
  </si>
  <si>
    <t>0                      BF 0637000B  4                  M  43</t>
  </si>
  <si>
    <t>Cognitive-behavior modification : an integrative approach / by Donald Meichenbaum.</t>
  </si>
  <si>
    <t>Meichenbaum, Donald.</t>
  </si>
  <si>
    <t>New York : Plenum Press, c1977.</t>
  </si>
  <si>
    <t>Plenum behavior therapy series</t>
  </si>
  <si>
    <t>2008-04-04</t>
  </si>
  <si>
    <t>796465088:eng</t>
  </si>
  <si>
    <t>2894019</t>
  </si>
  <si>
    <t>991004275659702656</t>
  </si>
  <si>
    <t>2269555980002656</t>
  </si>
  <si>
    <t>9780306310133</t>
  </si>
  <si>
    <t>32285002250933</t>
  </si>
  <si>
    <t>893712363</t>
  </si>
  <si>
    <t>BF637.B4 M5 1978</t>
  </si>
  <si>
    <t>0                      BF 0637000B  4                  M  5           1978</t>
  </si>
  <si>
    <t>Behavior modification / William L. Mikulas.</t>
  </si>
  <si>
    <t>Mikulas, William L.</t>
  </si>
  <si>
    <t>1996-02-24</t>
  </si>
  <si>
    <t>1992-03-31</t>
  </si>
  <si>
    <t>189883598:eng</t>
  </si>
  <si>
    <t>3311592</t>
  </si>
  <si>
    <t>991004403389702656</t>
  </si>
  <si>
    <t>2271376690002656</t>
  </si>
  <si>
    <t>9780060444341</t>
  </si>
  <si>
    <t>32285001030591</t>
  </si>
  <si>
    <t>893700196</t>
  </si>
  <si>
    <t>BF637.B4 R4</t>
  </si>
  <si>
    <t>0                      BF 0637000B  4                  R  4</t>
  </si>
  <si>
    <t>Readings in behavior modification.</t>
  </si>
  <si>
    <t>Guilford, Conn. : Special Learning Corp., c1978.</t>
  </si>
  <si>
    <t>54196919:eng</t>
  </si>
  <si>
    <t>3471099</t>
  </si>
  <si>
    <t>991004442609702656</t>
  </si>
  <si>
    <t>2270241430002656</t>
  </si>
  <si>
    <t>9780895680044</t>
  </si>
  <si>
    <t>32285001598035</t>
  </si>
  <si>
    <t>893882479</t>
  </si>
  <si>
    <t>BF637.B4 S38</t>
  </si>
  <si>
    <t>0                      BF 0637000B  4                  S  38</t>
  </si>
  <si>
    <t>Changing human behavior : principles of planned intervention / [by] Ralph K. Schwitzgebel [and] David A. Kolb.</t>
  </si>
  <si>
    <t>Schwitzgebel, Ralph K., 1934-</t>
  </si>
  <si>
    <t>1991-04-08</t>
  </si>
  <si>
    <t>1613153:eng</t>
  </si>
  <si>
    <t>703274</t>
  </si>
  <si>
    <t>991003165879702656</t>
  </si>
  <si>
    <t>2257419580002656</t>
  </si>
  <si>
    <t>9780070557390</t>
  </si>
  <si>
    <t>32285000550409</t>
  </si>
  <si>
    <t>893428500</t>
  </si>
  <si>
    <t>BF637.B4 S57</t>
  </si>
  <si>
    <t>0                      BF 0637000B  4                  S  57</t>
  </si>
  <si>
    <t>Behavior modification : theory and practice / [by] A. Robert Sherman.</t>
  </si>
  <si>
    <t>Sherman, A. Robert.</t>
  </si>
  <si>
    <t>375496224:eng</t>
  </si>
  <si>
    <t>600414</t>
  </si>
  <si>
    <t>991003038739702656</t>
  </si>
  <si>
    <t>2261108000002656</t>
  </si>
  <si>
    <t>9780818500664</t>
  </si>
  <si>
    <t>32285000992072</t>
  </si>
  <si>
    <t>893704848</t>
  </si>
  <si>
    <t>BF637.B4 S85</t>
  </si>
  <si>
    <t>0                      BF 0637000B  4                  S  85</t>
  </si>
  <si>
    <t>Ethical issues in behavior modification : [report of the American Psychological Association Commission] / Stephanie B. Stolz and associates ; foreword by Albert Bandura ; members of the Commission, Sidney W. Bijou, Chair ... [et al.]</t>
  </si>
  <si>
    <t>Stolz, Stephanie B.</t>
  </si>
  <si>
    <t>1996-12-04</t>
  </si>
  <si>
    <t>1992-04-03</t>
  </si>
  <si>
    <t>532630:eng</t>
  </si>
  <si>
    <t>3830822</t>
  </si>
  <si>
    <t>991004522999702656</t>
  </si>
  <si>
    <t>2271250350002656</t>
  </si>
  <si>
    <t>9780875893686</t>
  </si>
  <si>
    <t>32285001048189</t>
  </si>
  <si>
    <t>893500689</t>
  </si>
  <si>
    <t>BF637.C4 M29 1991</t>
  </si>
  <si>
    <t>0                      BF 0637000C  4                  M  29          1991</t>
  </si>
  <si>
    <t>Human change processes : the scientific foundations of psychotherapy / Michael J. Mahoney.</t>
  </si>
  <si>
    <t>New York : BasicBooks, c1991.</t>
  </si>
  <si>
    <t>2003-05-02</t>
  </si>
  <si>
    <t>24522910:eng</t>
  </si>
  <si>
    <t>22489415</t>
  </si>
  <si>
    <t>991001783149702656</t>
  </si>
  <si>
    <t>2271613870002656</t>
  </si>
  <si>
    <t>9780465031184</t>
  </si>
  <si>
    <t>32285000591858</t>
  </si>
  <si>
    <t>893346775</t>
  </si>
  <si>
    <t>BF637.C45 B4 1982</t>
  </si>
  <si>
    <t>0                      BF 0637000C  45                 B  4           1982</t>
  </si>
  <si>
    <t>Language and social knowledge : uncertainty in interpersonal relations / Charles R. Berger, James J. Bradac.</t>
  </si>
  <si>
    <t>Berger, Charles R.</t>
  </si>
  <si>
    <t>London : E. Arnold, c1982.</t>
  </si>
  <si>
    <t>The social psychology of language ; 2</t>
  </si>
  <si>
    <t>836712461:eng</t>
  </si>
  <si>
    <t>9188089</t>
  </si>
  <si>
    <t>991000144199702656</t>
  </si>
  <si>
    <t>2263722960002656</t>
  </si>
  <si>
    <t>9780713161960</t>
  </si>
  <si>
    <t>32285001598084</t>
  </si>
  <si>
    <t>893243030</t>
  </si>
  <si>
    <t>BF637.C45 B84 1983</t>
  </si>
  <si>
    <t>0                      BF 0637000C  45                 B  84          1983</t>
  </si>
  <si>
    <t>Body movement and interpersonal communication / Peter Bull.</t>
  </si>
  <si>
    <t>Bull, Peter, 1949-</t>
  </si>
  <si>
    <t>Chichester ; New York : Wiley, c1983, 1984 printing.</t>
  </si>
  <si>
    <t>2007-02-24</t>
  </si>
  <si>
    <t>4991459:eng</t>
  </si>
  <si>
    <t>9082713</t>
  </si>
  <si>
    <t>991001762539702656</t>
  </si>
  <si>
    <t>2255183380002656</t>
  </si>
  <si>
    <t>9780471900696</t>
  </si>
  <si>
    <t>32285000098011</t>
  </si>
  <si>
    <t>893621589</t>
  </si>
  <si>
    <t>BF637.C45 C643 1984</t>
  </si>
  <si>
    <t>0                      BF 0637000C  45                 C  643         1984</t>
  </si>
  <si>
    <t>Communication by children and adults : social cognitive and strategic processes / edited by Howard E. Sypher, James L. Applegate.</t>
  </si>
  <si>
    <t>Beverly Hills : Sage Publications, c1984.</t>
  </si>
  <si>
    <t>Sage series in interpersonal communication ; v. 5</t>
  </si>
  <si>
    <t>2005-09-23</t>
  </si>
  <si>
    <t>836658270:eng</t>
  </si>
  <si>
    <t>10533660</t>
  </si>
  <si>
    <t>991000389449702656</t>
  </si>
  <si>
    <t>2257467500002656</t>
  </si>
  <si>
    <t>9780803923171</t>
  </si>
  <si>
    <t>32285001060481</t>
  </si>
  <si>
    <t>893865306</t>
  </si>
  <si>
    <t>BF637.C45 C647 1984</t>
  </si>
  <si>
    <t>0                      BF 0637000C  45                 C  647         1984</t>
  </si>
  <si>
    <t>Communication, intimacy, and close relationships / edited by Valerian J. Derlega.</t>
  </si>
  <si>
    <t>Orlando [Fla.] : Academic Press, 1984.</t>
  </si>
  <si>
    <t>3487493:eng</t>
  </si>
  <si>
    <t>10185532</t>
  </si>
  <si>
    <t>991000329279702656</t>
  </si>
  <si>
    <t>2267721000002656</t>
  </si>
  <si>
    <t>9780122108402</t>
  </si>
  <si>
    <t>32285001063675</t>
  </si>
  <si>
    <t>893527967</t>
  </si>
  <si>
    <t>BF637.C45 D33 1976</t>
  </si>
  <si>
    <t>0                      BF 0637000C  45                 D  33          1976</t>
  </si>
  <si>
    <t>Interpersonal communication / Kurt Danziger.</t>
  </si>
  <si>
    <t>Danziger, Kurt, 1926-</t>
  </si>
  <si>
    <t>New York : Pergamon Press, 1976.</t>
  </si>
  <si>
    <t>Pergamon general psychology series ; 53</t>
  </si>
  <si>
    <t>1999-08-09</t>
  </si>
  <si>
    <t>407169:eng</t>
  </si>
  <si>
    <t>1103178</t>
  </si>
  <si>
    <t>991003538019702656</t>
  </si>
  <si>
    <t>2267383760002656</t>
  </si>
  <si>
    <t>9780080187563</t>
  </si>
  <si>
    <t>32285000756584</t>
  </si>
  <si>
    <t>893881272</t>
  </si>
  <si>
    <t>BF637.C45 D58</t>
  </si>
  <si>
    <t>0                      BF 0637000C  45                 D  58</t>
  </si>
  <si>
    <t>Interpersonal messages of emotion / [by] Allen T. Dittmann.</t>
  </si>
  <si>
    <t>Dittmann, Allen T.</t>
  </si>
  <si>
    <t>New York : Springer Pub. Co., [1972]</t>
  </si>
  <si>
    <t>1996-10-07</t>
  </si>
  <si>
    <t>1764798:eng</t>
  </si>
  <si>
    <t>589052</t>
  </si>
  <si>
    <t>991003024749702656</t>
  </si>
  <si>
    <t>2259290630002656</t>
  </si>
  <si>
    <t>9780826113405</t>
  </si>
  <si>
    <t>32285000756592</t>
  </si>
  <si>
    <t>893530777</t>
  </si>
  <si>
    <t>BF637.C45 D86</t>
  </si>
  <si>
    <t>0                      BF 0637000C  45                 D  86</t>
  </si>
  <si>
    <t>Face-to-face interaction : research, methods, and theory / Starkey Duncan, Jr., Donald W. Fiske.</t>
  </si>
  <si>
    <t>Duncan, Starkey.</t>
  </si>
  <si>
    <t>Hillsdale, N.J. : L. Erlbaum Associates ; New York : distributed by Halsted Press, 1977.</t>
  </si>
  <si>
    <t>1993-11-08</t>
  </si>
  <si>
    <t>6345611:eng</t>
  </si>
  <si>
    <t>2797933</t>
  </si>
  <si>
    <t>991004244559702656</t>
  </si>
  <si>
    <t>2266144110002656</t>
  </si>
  <si>
    <t>9780470991138</t>
  </si>
  <si>
    <t>32285001796902</t>
  </si>
  <si>
    <t>893875859</t>
  </si>
  <si>
    <t>BF637.C45 E94 1976</t>
  </si>
  <si>
    <t>0                      BF 0637000C  45                 E  94          1976</t>
  </si>
  <si>
    <t>Explorations in interpersonal communication / Gerald R. Miller, editor.</t>
  </si>
  <si>
    <t>Beverly Hills, Calif. : Sage Publications, c1976.</t>
  </si>
  <si>
    <t>Sage annual reviews of communication research ; v. 5</t>
  </si>
  <si>
    <t>54162183:eng</t>
  </si>
  <si>
    <t>2971288</t>
  </si>
  <si>
    <t>991004302769702656</t>
  </si>
  <si>
    <t>2255030370002656</t>
  </si>
  <si>
    <t>9780803906655</t>
  </si>
  <si>
    <t>32285000129352</t>
  </si>
  <si>
    <t>893253526</t>
  </si>
  <si>
    <t>BF637.C45 F86</t>
  </si>
  <si>
    <t>0                      BF 0637000C  45                 F  86</t>
  </si>
  <si>
    <t>Fundamental concepts in human communication / [by] Ronald L. Applbaum [and others]</t>
  </si>
  <si>
    <t>San Francisco : Canfield Press, [1973]</t>
  </si>
  <si>
    <t>53996130:eng</t>
  </si>
  <si>
    <t>661574</t>
  </si>
  <si>
    <t>991003115899702656</t>
  </si>
  <si>
    <t>2268821850002656</t>
  </si>
  <si>
    <t>9780063804128</t>
  </si>
  <si>
    <t>32285001598100</t>
  </si>
  <si>
    <t>893887150</t>
  </si>
  <si>
    <t>BF637.C45 G53</t>
  </si>
  <si>
    <t>0                      BF 0637000C  45                 G  53</t>
  </si>
  <si>
    <t>Personal communication in human relations [by] Kim Giffin [and] Bobby R. Patton.</t>
  </si>
  <si>
    <t>Giffin, Kim, 1918-1996.</t>
  </si>
  <si>
    <t>Columbus, Ohio, Merrill [1974]</t>
  </si>
  <si>
    <t>Studies of the person</t>
  </si>
  <si>
    <t>1998-04-15</t>
  </si>
  <si>
    <t>1996-08-01</t>
  </si>
  <si>
    <t>1857311:eng</t>
  </si>
  <si>
    <t>915757</t>
  </si>
  <si>
    <t>991003379609702656</t>
  </si>
  <si>
    <t>2264756000002656</t>
  </si>
  <si>
    <t>9780675088190</t>
  </si>
  <si>
    <t>32285002251832</t>
  </si>
  <si>
    <t>893711327</t>
  </si>
  <si>
    <t>BF637.C45 H29 1982</t>
  </si>
  <si>
    <t>0                      BF 0637000C  45                 H  29          1982</t>
  </si>
  <si>
    <t>Handbook of methods in nonverbal behavior research / edited by Klaus R. Scherer and Paul Ekman.</t>
  </si>
  <si>
    <t>Cambridge [Cambridgeshire] ; New York : Cambridge University Press ; Paris : Editions de la Maison des Sciences de l'Homme, 1982.</t>
  </si>
  <si>
    <t>Studies in emotion and social interaction</t>
  </si>
  <si>
    <t>1996-11-30</t>
  </si>
  <si>
    <t>1992-11-24</t>
  </si>
  <si>
    <t>3863805375:eng</t>
  </si>
  <si>
    <t>7553663</t>
  </si>
  <si>
    <t>991005126079702656</t>
  </si>
  <si>
    <t>2262606020002656</t>
  </si>
  <si>
    <t>9780521236140</t>
  </si>
  <si>
    <t>32285001409654</t>
  </si>
  <si>
    <t>893713480</t>
  </si>
  <si>
    <t>BF637.C45 H34</t>
  </si>
  <si>
    <t>0                      BF 0637000C  45                 H  34</t>
  </si>
  <si>
    <t>Beyond words : an introduction to nonverbal communication.</t>
  </si>
  <si>
    <t>Harrison, Randall, 1929-</t>
  </si>
  <si>
    <t>Prentice-Hall series in speech communication</t>
  </si>
  <si>
    <t>2010-11-02</t>
  </si>
  <si>
    <t>1990-10-26</t>
  </si>
  <si>
    <t>310461034:eng</t>
  </si>
  <si>
    <t>724307</t>
  </si>
  <si>
    <t>991003200219702656</t>
  </si>
  <si>
    <t>2255054160002656</t>
  </si>
  <si>
    <t>9780130761415</t>
  </si>
  <si>
    <t>32285000353580</t>
  </si>
  <si>
    <t>893717407</t>
  </si>
  <si>
    <t>BF637.C45 I52 1989</t>
  </si>
  <si>
    <t>0                      BF 0637000C  45                 I  52          1989</t>
  </si>
  <si>
    <t>The Individual, communication, and society : essays in memory of Gregory Bateson / edited by Robert W. Rieber.</t>
  </si>
  <si>
    <t>Cambridge [England] ; New York : Cambridge University Press ; Paris : Editions de la Maison des sciences de l'homme, 1989.</t>
  </si>
  <si>
    <t>2008-12-02</t>
  </si>
  <si>
    <t>836898924:eng</t>
  </si>
  <si>
    <t>19670020</t>
  </si>
  <si>
    <t>991001486689702656</t>
  </si>
  <si>
    <t>2266254530002656</t>
  </si>
  <si>
    <t>9780521267410</t>
  </si>
  <si>
    <t>32285000703875</t>
  </si>
  <si>
    <t>893621418</t>
  </si>
  <si>
    <t>BF637.C45 I65 1987</t>
  </si>
  <si>
    <t>0                      BF 0637000C  45                 I  65          1987</t>
  </si>
  <si>
    <t>Interpersonal processes : new directions in communication research / Michael E. Roloff and Gerald R. Miller, editors.</t>
  </si>
  <si>
    <t>Newbury Park, Calif. : Sage Publications, c1987.</t>
  </si>
  <si>
    <t>Sage annual reviews of communication research ; v. 14</t>
  </si>
  <si>
    <t>2002-11-15</t>
  </si>
  <si>
    <t>836719514:eng</t>
  </si>
  <si>
    <t>15551716</t>
  </si>
  <si>
    <t>991001038789702656</t>
  </si>
  <si>
    <t>2258961970002656</t>
  </si>
  <si>
    <t>9780803926554</t>
  </si>
  <si>
    <t>32285001409803</t>
  </si>
  <si>
    <t>893413902</t>
  </si>
  <si>
    <t>BF637.C45 M48</t>
  </si>
  <si>
    <t>0                      BF 0637000C  45                 M  48</t>
  </si>
  <si>
    <t>Message-attitude-behavior relationship : theory, methodology, and application / [edited] by Donald P. Cushman, Robert McPhee.</t>
  </si>
  <si>
    <t>Human communication research series</t>
  </si>
  <si>
    <t>2004-03-12</t>
  </si>
  <si>
    <t>868434628:eng</t>
  </si>
  <si>
    <t>6625480</t>
  </si>
  <si>
    <t>991005015139702656</t>
  </si>
  <si>
    <t>2255463110002656</t>
  </si>
  <si>
    <t>9780121997601</t>
  </si>
  <si>
    <t>32285001598126</t>
  </si>
  <si>
    <t>893776700</t>
  </si>
  <si>
    <t>BF637.C45 N65</t>
  </si>
  <si>
    <t>0                      BF 0637000C  45                 N  65</t>
  </si>
  <si>
    <t>Non-verbal communication / edited by R. A. Hinde.</t>
  </si>
  <si>
    <t>Cambridge, [Eng.] : University Press, 1972.</t>
  </si>
  <si>
    <t>2003-11-17</t>
  </si>
  <si>
    <t>1993-12-15</t>
  </si>
  <si>
    <t>9175670886:eng</t>
  </si>
  <si>
    <t>278974</t>
  </si>
  <si>
    <t>991002180659702656</t>
  </si>
  <si>
    <t>2258241700002656</t>
  </si>
  <si>
    <t>9780521083706</t>
  </si>
  <si>
    <t>32285001809192</t>
  </si>
  <si>
    <t>893523291</t>
  </si>
  <si>
    <t>BF637.C45 N67 1983</t>
  </si>
  <si>
    <t>0                      BF 0637000C  45                 N  67          1983</t>
  </si>
  <si>
    <t>Communicator style : theory, applications, and measures / Robert Norton.</t>
  </si>
  <si>
    <t>Norton, Robert.</t>
  </si>
  <si>
    <t>Beverly Hills, Calif. : Sage Publications, c1983.</t>
  </si>
  <si>
    <t>Sage series in interpersonal communication ; v. 1</t>
  </si>
  <si>
    <t>1992-12-14</t>
  </si>
  <si>
    <t>836625578:eng</t>
  </si>
  <si>
    <t>9758647</t>
  </si>
  <si>
    <t>991000251859702656</t>
  </si>
  <si>
    <t>2257007770002656</t>
  </si>
  <si>
    <t>9780803921191</t>
  </si>
  <si>
    <t>32285001466027</t>
  </si>
  <si>
    <t>893771504</t>
  </si>
  <si>
    <t>BF637.C45 P3 1968</t>
  </si>
  <si>
    <t>0                      BF 0637000C  45                 P  3           1968</t>
  </si>
  <si>
    <t>The psychology of human communication [by] John Parry.</t>
  </si>
  <si>
    <t>Parry, John B.</t>
  </si>
  <si>
    <t>New York, American Elsevier Pub. Co., 1968.</t>
  </si>
  <si>
    <t>1998-03-02</t>
  </si>
  <si>
    <t>1339401:eng</t>
  </si>
  <si>
    <t>194108</t>
  </si>
  <si>
    <t>991001215909702656</t>
  </si>
  <si>
    <t>2269367240002656</t>
  </si>
  <si>
    <t>32285002251873</t>
  </si>
  <si>
    <t>893225703</t>
  </si>
  <si>
    <t>BF637.C45 P33 1983</t>
  </si>
  <si>
    <t>0                      BF 0637000C  45                 P  33          1983</t>
  </si>
  <si>
    <t>Nonverbal behavior : a functional perspective / Miles L. Patterson.</t>
  </si>
  <si>
    <t>Patterson, Miles L.</t>
  </si>
  <si>
    <t>New York : Springer-Verlag, c1983.</t>
  </si>
  <si>
    <t>Springer series in social psychology</t>
  </si>
  <si>
    <t>289591257:eng</t>
  </si>
  <si>
    <t>9575040</t>
  </si>
  <si>
    <t>991000217919702656</t>
  </si>
  <si>
    <t>2270609640002656</t>
  </si>
  <si>
    <t>9780387908465</t>
  </si>
  <si>
    <t>32285001542470</t>
  </si>
  <si>
    <t>893601590</t>
  </si>
  <si>
    <t>BF637.C45 S27</t>
  </si>
  <si>
    <t>0                      BF 0637000C  45                 S  27</t>
  </si>
  <si>
    <t>Let's talk; an introduction to interpersonal communication [by] Freda S. Sathré, Ray W. Olson [and] Clarissa I. Whitney.</t>
  </si>
  <si>
    <t>Sathre, Freda S.</t>
  </si>
  <si>
    <t>Glenview, Ill., Scott, Foresman [1973]</t>
  </si>
  <si>
    <t>1996-11-01</t>
  </si>
  <si>
    <t>520356:eng</t>
  </si>
  <si>
    <t>754653</t>
  </si>
  <si>
    <t>991003230089702656</t>
  </si>
  <si>
    <t>2267558520002656</t>
  </si>
  <si>
    <t>9780673079022</t>
  </si>
  <si>
    <t>32285000129378</t>
  </si>
  <si>
    <t>893717442</t>
  </si>
  <si>
    <t>BF637.C45 S27 1977</t>
  </si>
  <si>
    <t>0                      BF 0637000C  45                 S  27          1977</t>
  </si>
  <si>
    <t>Let's talk : an introduction to interpersonal communication / Freda S. Sathré, Ray W. Olson, Clarissa I. Whitney.</t>
  </si>
  <si>
    <t>Sathré-Eldon, Freda S.</t>
  </si>
  <si>
    <t>Glenview, Ill. : Scott, Foresman, c1977.</t>
  </si>
  <si>
    <t>1994-04-29</t>
  </si>
  <si>
    <t>2372914</t>
  </si>
  <si>
    <t>991004101999702656</t>
  </si>
  <si>
    <t>2256518690002656</t>
  </si>
  <si>
    <t>9780673150387</t>
  </si>
  <si>
    <t>32285001905271</t>
  </si>
  <si>
    <t>893253238</t>
  </si>
  <si>
    <t>BF637.C45 S46 1985</t>
  </si>
  <si>
    <t>0                      BF 0637000C  45                 S  46          1985</t>
  </si>
  <si>
    <t>Sequence and pattern in communicative behaviour / edited by R.L. Street, Jr. and J.N. Cappella.</t>
  </si>
  <si>
    <t>London : Edward Arnold, c1985.</t>
  </si>
  <si>
    <t>Social psychology of language ; 3</t>
  </si>
  <si>
    <t>1997-11-12</t>
  </si>
  <si>
    <t>7398530:eng</t>
  </si>
  <si>
    <t>13328793</t>
  </si>
  <si>
    <t>991000555669702656</t>
  </si>
  <si>
    <t>2260516710002656</t>
  </si>
  <si>
    <t>9780713164183</t>
  </si>
  <si>
    <t>32285001598142</t>
  </si>
  <si>
    <t>893890806</t>
  </si>
  <si>
    <t>BF637.C45 S63 1998</t>
  </si>
  <si>
    <t>0                      BF 0637000C  45                 S  63          1998</t>
  </si>
  <si>
    <t>Social and cognitive approaches to interpersonal communication / edited by Susan R. Fussell, Roger J. Kreuz.</t>
  </si>
  <si>
    <t>Mahwah, N.J. : Lawrence Erlbaum Associates, 1998.</t>
  </si>
  <si>
    <t>2008-04-03</t>
  </si>
  <si>
    <t>2004-04-15</t>
  </si>
  <si>
    <t>354854209:eng</t>
  </si>
  <si>
    <t>36961118</t>
  </si>
  <si>
    <t>991004268809702656</t>
  </si>
  <si>
    <t>2259169120002656</t>
  </si>
  <si>
    <t>9780805822694</t>
  </si>
  <si>
    <t>32285004899521</t>
  </si>
  <si>
    <t>893411323</t>
  </si>
  <si>
    <t>BF637.C45 S66</t>
  </si>
  <si>
    <t>0                      BF 0637000C  45                 S  66</t>
  </si>
  <si>
    <t>Messages of the body / [by] John Spiegel &amp; Pavel Machotka.</t>
  </si>
  <si>
    <t>Spiegel, John P. (John Patrick), 1911-1991.</t>
  </si>
  <si>
    <t>New York : Free Press, [1974]</t>
  </si>
  <si>
    <t>1994-08-12</t>
  </si>
  <si>
    <t>494606:eng</t>
  </si>
  <si>
    <t>763549</t>
  </si>
  <si>
    <t>991003240509702656</t>
  </si>
  <si>
    <t>2266475010002656</t>
  </si>
  <si>
    <t>9780029304006</t>
  </si>
  <si>
    <t>32285001938108</t>
  </si>
  <si>
    <t>893422335</t>
  </si>
  <si>
    <t>BF637.C45 S83</t>
  </si>
  <si>
    <t>0                      BF 0637000C  45                 S  83</t>
  </si>
  <si>
    <t>Talking it out : a guide to effective communication and problem solving / Joseph M. Strayhorn, Jr. --</t>
  </si>
  <si>
    <t>Strayhorn, Joseph M.</t>
  </si>
  <si>
    <t>Champaign, Ill. : Research Press Co., c1977.</t>
  </si>
  <si>
    <t>2004-11-10</t>
  </si>
  <si>
    <t>1991-11-08</t>
  </si>
  <si>
    <t>308107828:eng</t>
  </si>
  <si>
    <t>3681552</t>
  </si>
  <si>
    <t>991004494099702656</t>
  </si>
  <si>
    <t>2260047530002656</t>
  </si>
  <si>
    <t>9780878221400</t>
  </si>
  <si>
    <t>32285000820935</t>
  </si>
  <si>
    <t>893606098</t>
  </si>
  <si>
    <t>BF637.C45 T73</t>
  </si>
  <si>
    <t>0                      BF 0637000C  45                 T  73</t>
  </si>
  <si>
    <t>Concepts in communication [by] Jimmie D. Trent, Judith S. Trent [and] Daniel J. O'Neill.</t>
  </si>
  <si>
    <t>Trent, Jimmie D. compiler.</t>
  </si>
  <si>
    <t>Boston, Allyn and Bacon [1973]</t>
  </si>
  <si>
    <t>1996-11-12</t>
  </si>
  <si>
    <t>1768414:eng</t>
  </si>
  <si>
    <t>636494</t>
  </si>
  <si>
    <t>991003086289702656</t>
  </si>
  <si>
    <t>2254755280002656</t>
  </si>
  <si>
    <t>32285002251881</t>
  </si>
  <si>
    <t>893336130</t>
  </si>
  <si>
    <t>BF637.C45 W39</t>
  </si>
  <si>
    <t>0                      BF 0637000C  45                 W  39</t>
  </si>
  <si>
    <t>Keeping your cool under fire : communicating non-defensively / Theodora Wells.</t>
  </si>
  <si>
    <t>Wells, Theodora.</t>
  </si>
  <si>
    <t>2008-08-27</t>
  </si>
  <si>
    <t>180439743:eng</t>
  </si>
  <si>
    <t>4933827</t>
  </si>
  <si>
    <t>991004751369702656</t>
  </si>
  <si>
    <t>2269031090002656</t>
  </si>
  <si>
    <t>9780070692503</t>
  </si>
  <si>
    <t>32285001598159</t>
  </si>
  <si>
    <t>893905059</t>
  </si>
  <si>
    <t>BF637.C5 M36 1990</t>
  </si>
  <si>
    <t>0                      BF 0637000C  5                  M  36          1990</t>
  </si>
  <si>
    <t>Personality in adulthood / Robert R. McCrae, Paul T. Costa, Jr.</t>
  </si>
  <si>
    <t>McCrae, Robert R.</t>
  </si>
  <si>
    <t>New York : Guilford Press, c1990.</t>
  </si>
  <si>
    <t>2005-09-02</t>
  </si>
  <si>
    <t>1991-04-17</t>
  </si>
  <si>
    <t>8960756735:eng</t>
  </si>
  <si>
    <t>20992818</t>
  </si>
  <si>
    <t>991001637709702656</t>
  </si>
  <si>
    <t>2269979090002656</t>
  </si>
  <si>
    <t>9780898625288</t>
  </si>
  <si>
    <t>32285000568575</t>
  </si>
  <si>
    <t>893516353</t>
  </si>
  <si>
    <t>BF637.C58 C66 1982</t>
  </si>
  <si>
    <t>0                      BF 0637000C  58                 C  66          1982</t>
  </si>
  <si>
    <t>Cooperation and competition in humans and animals / edited by Andrew M. Colman.</t>
  </si>
  <si>
    <t>Wokingham, Berkshire, England : Van Nostrand Reinhold (UK), c1982.</t>
  </si>
  <si>
    <t>The Comparative psychology of animals and humans</t>
  </si>
  <si>
    <t>2007-11-03</t>
  </si>
  <si>
    <t>54495249:eng</t>
  </si>
  <si>
    <t>8410344</t>
  </si>
  <si>
    <t>991005240229702656</t>
  </si>
  <si>
    <t>2259226580002656</t>
  </si>
  <si>
    <t>9780442305215</t>
  </si>
  <si>
    <t>32285001598175</t>
  </si>
  <si>
    <t>893789666</t>
  </si>
  <si>
    <t>BF637.C6 A37</t>
  </si>
  <si>
    <t>0                      BF 0637000C  6                  A  37</t>
  </si>
  <si>
    <t>Dimensions of effective counseling : cognitive flexibility and psychological openness in counselor selection / [by] Thomas W. Allen and John M. Whiteley.</t>
  </si>
  <si>
    <t>Allen, Thomas W. (Thomas Wakefield)</t>
  </si>
  <si>
    <t>Columbus, Ohio : Merrill, [1968]</t>
  </si>
  <si>
    <t>Explorations in counseling series</t>
  </si>
  <si>
    <t>295883161:eng</t>
  </si>
  <si>
    <t>222581</t>
  </si>
  <si>
    <t>991001366059702656</t>
  </si>
  <si>
    <t>2262234490002656</t>
  </si>
  <si>
    <t>32285000232206</t>
  </si>
  <si>
    <t>893509570</t>
  </si>
  <si>
    <t>BF637.C6 A37 1996</t>
  </si>
  <si>
    <t>0                      BF 0637000C  6                  A  37          1996</t>
  </si>
  <si>
    <t>ACA ethical standards casebook / Barbara Herlihy, Gerald Corey.</t>
  </si>
  <si>
    <t>Herlihy, Barbara.</t>
  </si>
  <si>
    <t>Alexandria, VA : American Counseling Association, c1996.</t>
  </si>
  <si>
    <t>1996</t>
  </si>
  <si>
    <t>2001-03-15</t>
  </si>
  <si>
    <t>2000-02-29</t>
  </si>
  <si>
    <t>38371116:eng</t>
  </si>
  <si>
    <t>33245056</t>
  </si>
  <si>
    <t>991002557979702656</t>
  </si>
  <si>
    <t>2256918710002656</t>
  </si>
  <si>
    <t>9781556201509</t>
  </si>
  <si>
    <t>32285003665469</t>
  </si>
  <si>
    <t>893697952</t>
  </si>
  <si>
    <t>BF637.C6 A48 1984</t>
  </si>
  <si>
    <t>0                      BF 0637000C  6                  A  48          1984</t>
  </si>
  <si>
    <t>Counseling through group process / Joseph Anderson.</t>
  </si>
  <si>
    <t>Anderson, Joseph, 1941-</t>
  </si>
  <si>
    <t>New York : Springer, c1984.</t>
  </si>
  <si>
    <t>1998-02-22</t>
  </si>
  <si>
    <t>1992-04-30</t>
  </si>
  <si>
    <t>967166:eng</t>
  </si>
  <si>
    <t>10133791</t>
  </si>
  <si>
    <t>991005265559702656</t>
  </si>
  <si>
    <t>2271691290002656</t>
  </si>
  <si>
    <t>9780826146205</t>
  </si>
  <si>
    <t>32285001104842</t>
  </si>
  <si>
    <t>893418651</t>
  </si>
  <si>
    <t>BF637.C6 A67 1970</t>
  </si>
  <si>
    <t>0                      BF 0637000C  6                  A  67          1970</t>
  </si>
  <si>
    <t>Counseling: philosophy, theory, and practice [by] Dugald S. Arbuckle.</t>
  </si>
  <si>
    <t>Arbuckle, Dugald S. (Dugald Sinclair), 1912-</t>
  </si>
  <si>
    <t>1993-05-30</t>
  </si>
  <si>
    <t>1358935:eng</t>
  </si>
  <si>
    <t>78067</t>
  </si>
  <si>
    <t>991000455449702656</t>
  </si>
  <si>
    <t>2254749930002656</t>
  </si>
  <si>
    <t>32285000529163</t>
  </si>
  <si>
    <t>893683422</t>
  </si>
  <si>
    <t>BF637.C6 A83 1984</t>
  </si>
  <si>
    <t>0                      BF 0637000C  6                  A  83          1984</t>
  </si>
  <si>
    <t>Counseling : an introduction for the health and human services / C. Dwight Auvenshine, Anne-Russell L. Noffsinger.</t>
  </si>
  <si>
    <t>Auvenshine, C. Dwight (Charles Dwight), 1929-</t>
  </si>
  <si>
    <t>Baltimore : University Park Press, c1984.</t>
  </si>
  <si>
    <t>1992-06-09</t>
  </si>
  <si>
    <t>1990-03-14</t>
  </si>
  <si>
    <t>427839804:eng</t>
  </si>
  <si>
    <t>9465876</t>
  </si>
  <si>
    <t>991000202539702656</t>
  </si>
  <si>
    <t>2264557360002656</t>
  </si>
  <si>
    <t>9780839117933</t>
  </si>
  <si>
    <t>32285000084300</t>
  </si>
  <si>
    <t>893771469</t>
  </si>
  <si>
    <t>BF637.C6 B32</t>
  </si>
  <si>
    <t>0                      BF 0637000C  6                  B  32</t>
  </si>
  <si>
    <t>Guidelines for guidance : readings in the philosophy of guidance / [by] Carlton E. Beck.</t>
  </si>
  <si>
    <t>Beck, Carlton E.</t>
  </si>
  <si>
    <t>Dubuque, Iowa : W. C. Brown Co., [1966]</t>
  </si>
  <si>
    <t>Brown education series</t>
  </si>
  <si>
    <t>1993-11-15</t>
  </si>
  <si>
    <t>293843588:eng</t>
  </si>
  <si>
    <t>222729</t>
  </si>
  <si>
    <t>991001366869702656</t>
  </si>
  <si>
    <t>2262302920002656</t>
  </si>
  <si>
    <t>32285001812162</t>
  </si>
  <si>
    <t>893250190</t>
  </si>
  <si>
    <t>BF637.C6 B33</t>
  </si>
  <si>
    <t>0                      BF 0637000C  6                  B  33</t>
  </si>
  <si>
    <t>Philosophical foundations of guidance.</t>
  </si>
  <si>
    <t>Englewood Cliff, N.J., Prentice-Hall [1963]</t>
  </si>
  <si>
    <t>1995-03-09</t>
  </si>
  <si>
    <t>1358721:eng</t>
  </si>
  <si>
    <t>194115</t>
  </si>
  <si>
    <t>991001215949702656</t>
  </si>
  <si>
    <t>2269366930002656</t>
  </si>
  <si>
    <t>32285002021136</t>
  </si>
  <si>
    <t>893626608</t>
  </si>
  <si>
    <t>BF637.C6 B59 1982</t>
  </si>
  <si>
    <t>0                      BF 0637000C  6                  B  59          1982</t>
  </si>
  <si>
    <t>Learning counseling and problem-solving skills / Leslie E. Borck, Stephen B. Fawcett.</t>
  </si>
  <si>
    <t>Borck, Leslie E.</t>
  </si>
  <si>
    <t>New York : Haworth Press, c1982.</t>
  </si>
  <si>
    <t>1996-07-11</t>
  </si>
  <si>
    <t>561778:eng</t>
  </si>
  <si>
    <t>8243213</t>
  </si>
  <si>
    <t>991005222779702656</t>
  </si>
  <si>
    <t>2264140800002656</t>
  </si>
  <si>
    <t>9780917724305</t>
  </si>
  <si>
    <t>32285000215391</t>
  </si>
  <si>
    <t>893889890</t>
  </si>
  <si>
    <t>BF637.C6 B59 1982, Supp.</t>
  </si>
  <si>
    <t>0                      BF 0637000C  6                  B  59          1982                  Supp.</t>
  </si>
  <si>
    <t>Instructor's manual, Learning counseling and problem-solving skills / Leslie E. Borck, Stephen B. Fawcett.</t>
  </si>
  <si>
    <t>Supp.*</t>
  </si>
  <si>
    <t>3862965153:eng</t>
  </si>
  <si>
    <t>8889606</t>
  </si>
  <si>
    <t>991000089439702656</t>
  </si>
  <si>
    <t>2265158860002656</t>
  </si>
  <si>
    <t>32285001598191</t>
  </si>
  <si>
    <t>893695584</t>
  </si>
  <si>
    <t>BF637.C6 B676 1979</t>
  </si>
  <si>
    <t>0                      BF 0637000C  6                  B  676         1979</t>
  </si>
  <si>
    <t>The helping relationship : process and skills / Lawrence M. Brammer.</t>
  </si>
  <si>
    <t>Brammer, Lawrence M.</t>
  </si>
  <si>
    <t>Prentice-Hall series in counseling and human development</t>
  </si>
  <si>
    <t>1998-02-01</t>
  </si>
  <si>
    <t>1498446:eng</t>
  </si>
  <si>
    <t>4497434</t>
  </si>
  <si>
    <t>991004662069702656</t>
  </si>
  <si>
    <t>2266878040002656</t>
  </si>
  <si>
    <t>9780133862683</t>
  </si>
  <si>
    <t>32285000238336</t>
  </si>
  <si>
    <t>893337971</t>
  </si>
  <si>
    <t>BF637.C6 B72</t>
  </si>
  <si>
    <t>0                      BF 0637000C  6                  B  72</t>
  </si>
  <si>
    <t>Systematic counseling : a guide for the practitioner / Joseph H. Brown, Carolyn S. Brown. --</t>
  </si>
  <si>
    <t>Brown, Joseph H.</t>
  </si>
  <si>
    <t>11874249:eng</t>
  </si>
  <si>
    <t>3681545</t>
  </si>
  <si>
    <t>991004494069702656</t>
  </si>
  <si>
    <t>2260045050002656</t>
  </si>
  <si>
    <t>9780878221370</t>
  </si>
  <si>
    <t>32285000204155</t>
  </si>
  <si>
    <t>893599894</t>
  </si>
  <si>
    <t>BF637.C6 B745 1988</t>
  </si>
  <si>
    <t>0                      BF 0637000C  6                  B  745         1988</t>
  </si>
  <si>
    <t>An introduction to the counseling profession / Duane Brown, David J. Srebalus.</t>
  </si>
  <si>
    <t>Brown, Duane.</t>
  </si>
  <si>
    <t>Englewood Cliffs, N.J. : Prentice-Hall, c1988.</t>
  </si>
  <si>
    <t>1996-06-18</t>
  </si>
  <si>
    <t>892802:eng</t>
  </si>
  <si>
    <t>16922774</t>
  </si>
  <si>
    <t>991001165279702656</t>
  </si>
  <si>
    <t>2271835250002656</t>
  </si>
  <si>
    <t>9780134815404</t>
  </si>
  <si>
    <t>32285001779510</t>
  </si>
  <si>
    <t>893407904</t>
  </si>
  <si>
    <t>BF637.C6 C34</t>
  </si>
  <si>
    <t>0                      BF 0637000C  6                  C  34</t>
  </si>
  <si>
    <t>Helping and human relations : a primer for lay and professional helpers / [by] Robert R. Carkhuff.</t>
  </si>
  <si>
    <t>Carkhuff, Robert R.</t>
  </si>
  <si>
    <t>New York : Holt, Rinehart and Winston, [1969-</t>
  </si>
  <si>
    <t>1993-02-17</t>
  </si>
  <si>
    <t>5090478857:eng</t>
  </si>
  <si>
    <t>112894</t>
  </si>
  <si>
    <t>991000650229702656</t>
  </si>
  <si>
    <t>2268191150002656</t>
  </si>
  <si>
    <t>9780030812149</t>
  </si>
  <si>
    <t>32285000879436</t>
  </si>
  <si>
    <t>893321224</t>
  </si>
  <si>
    <t>BF637.C6 C342</t>
  </si>
  <si>
    <t>0                      BF 0637000C  6                  C  342</t>
  </si>
  <si>
    <t>The skills of helping : an introduction to counseling skills / Robert R. Carkhuff, William A. Anthony, with John R. Cannon, Richard M. Pierce, F. Jack Zigon.</t>
  </si>
  <si>
    <t>Amherst, Mass. : Human Resource Development Press, c1979.</t>
  </si>
  <si>
    <t>1998-07-05</t>
  </si>
  <si>
    <t>4566186:eng</t>
  </si>
  <si>
    <t>5057951</t>
  </si>
  <si>
    <t>991004770619702656</t>
  </si>
  <si>
    <t>2257997950002656</t>
  </si>
  <si>
    <t>9780914234081</t>
  </si>
  <si>
    <t>32285000110287</t>
  </si>
  <si>
    <t>893776415</t>
  </si>
  <si>
    <t>BF637.C6 C35 1962</t>
  </si>
  <si>
    <t>0                      BF 0637000C  6                  C  35          1962</t>
  </si>
  <si>
    <t>Psychological counseling of adolescents; the proceedings. Edited by Raymond J. Steimel.</t>
  </si>
  <si>
    <t>Catholic University of America. Workshop on Psychological Counseling of Adolescents (1961)</t>
  </si>
  <si>
    <t>Washington, Catholic University of America Press, 1962.</t>
  </si>
  <si>
    <t>3901454947:eng</t>
  </si>
  <si>
    <t>304863</t>
  </si>
  <si>
    <t>991002262039702656</t>
  </si>
  <si>
    <t>2271308350002656</t>
  </si>
  <si>
    <t>32285002251964</t>
  </si>
  <si>
    <t>893347297</t>
  </si>
  <si>
    <t>BF637.C6 C66</t>
  </si>
  <si>
    <t>0                      BF 0637000C  6                  C  66</t>
  </si>
  <si>
    <t>Counseling : theory, research, and practice / John J. Pietrofesa ... [et al.].</t>
  </si>
  <si>
    <t>Chicago : Rand McNally College Pub. Co., c1978.</t>
  </si>
  <si>
    <t>Rand McNally education series</t>
  </si>
  <si>
    <t>1998-03-22</t>
  </si>
  <si>
    <t>54264520:eng</t>
  </si>
  <si>
    <t>4499719</t>
  </si>
  <si>
    <t>991004663999702656</t>
  </si>
  <si>
    <t>2265876670002656</t>
  </si>
  <si>
    <t>32285000113091</t>
  </si>
  <si>
    <t>893722543</t>
  </si>
  <si>
    <t>BF637.C6 C79</t>
  </si>
  <si>
    <t>0                      BF 0637000C  6                  C  79</t>
  </si>
  <si>
    <t>Counseling and psychotherapy : the pursuit of values / by Charles A. Curran.</t>
  </si>
  <si>
    <t>Curran, Charles A. (Charles Arthur), 1913-1978.</t>
  </si>
  <si>
    <t>New York : Sheed and Ward, [1968]</t>
  </si>
  <si>
    <t>1990-10-23</t>
  </si>
  <si>
    <t>796335498:eng</t>
  </si>
  <si>
    <t>21263</t>
  </si>
  <si>
    <t>991001785639702656</t>
  </si>
  <si>
    <t>2261432430002656</t>
  </si>
  <si>
    <t>32285000352525</t>
  </si>
  <si>
    <t>893866479</t>
  </si>
  <si>
    <t>BF637.C6 D5</t>
  </si>
  <si>
    <t>0                      BF 0637000C  6                  D  5</t>
  </si>
  <si>
    <t>Group procedures : purposes, processes, and outcomes : selected readings for the counselor / edited by Richard C. Diedrich and H. Allan Dye.</t>
  </si>
  <si>
    <t>Diedrich, Richard C., compiler.</t>
  </si>
  <si>
    <t>Boston : Houghton Mifflin, [1972]</t>
  </si>
  <si>
    <t>1999-06-13</t>
  </si>
  <si>
    <t>1364572:eng</t>
  </si>
  <si>
    <t>308674</t>
  </si>
  <si>
    <t>991002272349702656</t>
  </si>
  <si>
    <t>2266200610002656</t>
  </si>
  <si>
    <t>9780395043646</t>
  </si>
  <si>
    <t>32285002020864</t>
  </si>
  <si>
    <t>893886062</t>
  </si>
  <si>
    <t>BF637.C6 D62</t>
  </si>
  <si>
    <t>0                      BF 0637000C  6                  D  62</t>
  </si>
  <si>
    <t>Counseling theories and techniques, summarized and critiqued : (a competency-based approach) / Lester N. Downing.</t>
  </si>
  <si>
    <t>Downing, Lester N., 1914-</t>
  </si>
  <si>
    <t>Chicago : Nelson-Hall, c1975, 1977 printing.</t>
  </si>
  <si>
    <t>1997-10-21</t>
  </si>
  <si>
    <t>541232:eng</t>
  </si>
  <si>
    <t>1091832</t>
  </si>
  <si>
    <t>991003528209702656</t>
  </si>
  <si>
    <t>2265948960002656</t>
  </si>
  <si>
    <t>9780882292038</t>
  </si>
  <si>
    <t>32285000086859</t>
  </si>
  <si>
    <t>893518571</t>
  </si>
  <si>
    <t>BF637.C6 D68</t>
  </si>
  <si>
    <t>0                      BF 0637000C  6                  D  68</t>
  </si>
  <si>
    <t>Counseling and learning through small-group discussion / by Helen I. Driver and thirty-seven contributors.</t>
  </si>
  <si>
    <t>Driver, Helen Irene, 1904-</t>
  </si>
  <si>
    <t>[Madison, Wis. : Monona Publications, 1958]</t>
  </si>
  <si>
    <t>1997-07-06</t>
  </si>
  <si>
    <t>1992-04-02</t>
  </si>
  <si>
    <t>1358758:eng</t>
  </si>
  <si>
    <t>194124</t>
  </si>
  <si>
    <t>991001762509702656</t>
  </si>
  <si>
    <t>2269323590002656</t>
  </si>
  <si>
    <t>32285001032969</t>
  </si>
  <si>
    <t>893872778</t>
  </si>
  <si>
    <t>BF637.C6 E45</t>
  </si>
  <si>
    <t>0                      BF 0637000C  6                  E  45</t>
  </si>
  <si>
    <t>Helping clients with special concerns / Sheldon Eisenberg, Lewis E. Patterson.</t>
  </si>
  <si>
    <t>Eisenberg, Sheldon, compiler.</t>
  </si>
  <si>
    <t>Chicago : Rand McNally College Publishing, 1979.</t>
  </si>
  <si>
    <t>2005-10-14</t>
  </si>
  <si>
    <t>15154450:eng</t>
  </si>
  <si>
    <t>5057545</t>
  </si>
  <si>
    <t>991004770499702656</t>
  </si>
  <si>
    <t>2258116430002656</t>
  </si>
  <si>
    <t>32285000166032</t>
  </si>
  <si>
    <t>893600213</t>
  </si>
  <si>
    <t>BF637.C6 F8</t>
  </si>
  <si>
    <t>0                      BF 0637000C  6                  F  8</t>
  </si>
  <si>
    <t>Counseling : content and process / by Daniel W. Fullmer and Harold W. Bernard.</t>
  </si>
  <si>
    <t>Fullmer, Daniel W.</t>
  </si>
  <si>
    <t>Chicago : Science Research Associates, [1964]</t>
  </si>
  <si>
    <t>Professional guidance series</t>
  </si>
  <si>
    <t>1995-12-01</t>
  </si>
  <si>
    <t>1329428:eng</t>
  </si>
  <si>
    <t>222714</t>
  </si>
  <si>
    <t>991005253679702656</t>
  </si>
  <si>
    <t>2262319340002656</t>
  </si>
  <si>
    <t>32285000879428</t>
  </si>
  <si>
    <t>893600888</t>
  </si>
  <si>
    <t>BF637.C6 G36</t>
  </si>
  <si>
    <t>0                      BF 0637000C  6                  G  36</t>
  </si>
  <si>
    <t>Group counseling : a developmental approach / [by] George M. Gazda.</t>
  </si>
  <si>
    <t>Gazda, George Michael, 1931-</t>
  </si>
  <si>
    <t>Boston : Allyn and Bacon, [1971]</t>
  </si>
  <si>
    <t>1992-05-28</t>
  </si>
  <si>
    <t>1270589:eng</t>
  </si>
  <si>
    <t>162082</t>
  </si>
  <si>
    <t>991000922239702656</t>
  </si>
  <si>
    <t>2268979710002656</t>
  </si>
  <si>
    <t>32285001113512</t>
  </si>
  <si>
    <t>893784633</t>
  </si>
  <si>
    <t>BF637.C6 G5</t>
  </si>
  <si>
    <t>0                      BF 0637000C  6                  G  5</t>
  </si>
  <si>
    <t>The counselor-in-training [by] Susan K. Gilmore.</t>
  </si>
  <si>
    <t>Gilmore, Susan.</t>
  </si>
  <si>
    <t>New York, Appleton-Century-Crofts [1973]</t>
  </si>
  <si>
    <t>2359483:eng</t>
  </si>
  <si>
    <t>658112</t>
  </si>
  <si>
    <t>991003113269702656</t>
  </si>
  <si>
    <t>2260060840002656</t>
  </si>
  <si>
    <t>9780390365286</t>
  </si>
  <si>
    <t>32285000217009</t>
  </si>
  <si>
    <t>893698682</t>
  </si>
  <si>
    <t>BF637.C6 G7</t>
  </si>
  <si>
    <t>0                      BF 0637000C  6                  G  7</t>
  </si>
  <si>
    <t>Peer counseling : in-depth look at training peer helpers / H. Dean Gray, Judy A. Tindall.</t>
  </si>
  <si>
    <t>Gray, H. Dean (Harold Dean)</t>
  </si>
  <si>
    <t>Muncie, IN : Accelerated Development, 1978.</t>
  </si>
  <si>
    <t>1999-03-25</t>
  </si>
  <si>
    <t>2287204999:eng</t>
  </si>
  <si>
    <t>4062144</t>
  </si>
  <si>
    <t>991004581589702656</t>
  </si>
  <si>
    <t>2264358060002656</t>
  </si>
  <si>
    <t>9780915202133</t>
  </si>
  <si>
    <t>32285000217017</t>
  </si>
  <si>
    <t>893600004</t>
  </si>
  <si>
    <t>BF637.C6 H26</t>
  </si>
  <si>
    <t>0                      BF 0637000C  6                  H  26</t>
  </si>
  <si>
    <t>Clinical and counseling psychology.</t>
  </si>
  <si>
    <t>Hadley, John M. (John Millard), 1915-1970.</t>
  </si>
  <si>
    <t>New York, Knopf, 1958.</t>
  </si>
  <si>
    <t>1998-05-04</t>
  </si>
  <si>
    <t>1358946:eng</t>
  </si>
  <si>
    <t>2991280</t>
  </si>
  <si>
    <t>991004310329702656</t>
  </si>
  <si>
    <t>2256402300002656</t>
  </si>
  <si>
    <t>32285002252012</t>
  </si>
  <si>
    <t>893875947</t>
  </si>
  <si>
    <t>BF637.C6 H3</t>
  </si>
  <si>
    <t>0                      BF 0637000C  6                  H  3</t>
  </si>
  <si>
    <t>Counseling adolescents, by Shirley A. Hamrin and Blanche B. Paulson.</t>
  </si>
  <si>
    <t>Hamrin, Shirley Austin, 1900-</t>
  </si>
  <si>
    <t>Chicago, Science Research Associates, 1950.</t>
  </si>
  <si>
    <t>2002-06-26</t>
  </si>
  <si>
    <t>1329437:eng</t>
  </si>
  <si>
    <t>222718</t>
  </si>
  <si>
    <t>991005253719702656</t>
  </si>
  <si>
    <t>2262300360002656</t>
  </si>
  <si>
    <t>32285002252046</t>
  </si>
  <si>
    <t>893802007</t>
  </si>
  <si>
    <t>BF637.C6 H323</t>
  </si>
  <si>
    <t>0                      BF 0637000C  6                  H  323</t>
  </si>
  <si>
    <t>Counseling process and procedures / James C. Hansen.</t>
  </si>
  <si>
    <t>Hansen, James C.</t>
  </si>
  <si>
    <t>New York : Macmillan, c1978.</t>
  </si>
  <si>
    <t>1990-06-26</t>
  </si>
  <si>
    <t>8118243:eng</t>
  </si>
  <si>
    <t>3167623</t>
  </si>
  <si>
    <t>991004361419702656</t>
  </si>
  <si>
    <t>2262173950002656</t>
  </si>
  <si>
    <t>9780023500305</t>
  </si>
  <si>
    <t>32285000214865</t>
  </si>
  <si>
    <t>893500462</t>
  </si>
  <si>
    <t>BF637.C6 H325</t>
  </si>
  <si>
    <t>0                      BF 0637000C  6                  H  325</t>
  </si>
  <si>
    <t>Group counseling : theory &amp; process / James C. Hansen, Richard W. Warner, Elsie M. [i.e. J.] Smith.</t>
  </si>
  <si>
    <t>Chicago : Rand McNally College Pub. Co., c1976.</t>
  </si>
  <si>
    <t>1993-04-25</t>
  </si>
  <si>
    <t>3372820470:eng</t>
  </si>
  <si>
    <t>2390642</t>
  </si>
  <si>
    <t>991004109119702656</t>
  </si>
  <si>
    <t>2269067250002656</t>
  </si>
  <si>
    <t>32285000947753</t>
  </si>
  <si>
    <t>893253244</t>
  </si>
  <si>
    <t>BF637.C6 H36</t>
  </si>
  <si>
    <t>0                      BF 0637000C  6                  H  36</t>
  </si>
  <si>
    <t>Innovations in counseling psychology / Chris Hatcher, Bonnie S. Brooks, and associates.</t>
  </si>
  <si>
    <t>Hatcher, Chris, 1946-</t>
  </si>
  <si>
    <t>San Francisco : Jossey-Bass Publishers, 1977.</t>
  </si>
  <si>
    <t>1993-03-05</t>
  </si>
  <si>
    <t>532604:eng</t>
  </si>
  <si>
    <t>3587088</t>
  </si>
  <si>
    <t>991004469009702656</t>
  </si>
  <si>
    <t>2266104910002656</t>
  </si>
  <si>
    <t>9780875893525</t>
  </si>
  <si>
    <t>32285000204189</t>
  </si>
  <si>
    <t>893700278</t>
  </si>
  <si>
    <t>BF637.C6 H365 1989</t>
  </si>
  <si>
    <t>0                      BF 0637000C  6                  H  365         1989</t>
  </si>
  <si>
    <t>Supervision in the helping professions : an individual, group and organizational approach / Peter Hawkins and Robin Shohet.</t>
  </si>
  <si>
    <t>Hawkins, Peter, 1950-</t>
  </si>
  <si>
    <t>Milton Keynes [England] ; Philadelphia : Open University Press, 1989.</t>
  </si>
  <si>
    <t>1990-05-02</t>
  </si>
  <si>
    <t>2279752360:eng</t>
  </si>
  <si>
    <t>19589296</t>
  </si>
  <si>
    <t>991001477369702656</t>
  </si>
  <si>
    <t>2263974520002656</t>
  </si>
  <si>
    <t>9780335098330</t>
  </si>
  <si>
    <t>32285000117613</t>
  </si>
  <si>
    <t>893690653</t>
  </si>
  <si>
    <t>BF637.C6 H37</t>
  </si>
  <si>
    <t>0                      BF 0637000C  6                  H  37</t>
  </si>
  <si>
    <t>Communication in the counseling relationship / Bonnie Jay Headington.</t>
  </si>
  <si>
    <t>Headington, Bonnie Jay.</t>
  </si>
  <si>
    <t>Cranston, R.I. : Carroll Press, [1978]</t>
  </si>
  <si>
    <t>riu</t>
  </si>
  <si>
    <t>1997-07-17</t>
  </si>
  <si>
    <t>1992-11-01</t>
  </si>
  <si>
    <t>556368:eng</t>
  </si>
  <si>
    <t>3892668</t>
  </si>
  <si>
    <t>991004539929702656</t>
  </si>
  <si>
    <t>2272318480002656</t>
  </si>
  <si>
    <t>32285001380442</t>
  </si>
  <si>
    <t>893253807</t>
  </si>
  <si>
    <t>BF637.C6 J37 1984</t>
  </si>
  <si>
    <t>0                      BF 0637000C  6                  J  37          1984</t>
  </si>
  <si>
    <t>Crisis counseling : a contemporary approach / Ellen H. Janosik.</t>
  </si>
  <si>
    <t>Janosik, Ellen Hastings.</t>
  </si>
  <si>
    <t>Monterey, Calif. : Wadsworth Health Sciences Division, c1984.</t>
  </si>
  <si>
    <t>1996-04-02</t>
  </si>
  <si>
    <t>1991-10-23</t>
  </si>
  <si>
    <t>7686309:eng</t>
  </si>
  <si>
    <t>9919102</t>
  </si>
  <si>
    <t>991000281609702656</t>
  </si>
  <si>
    <t>2268245730002656</t>
  </si>
  <si>
    <t>9780534028053</t>
  </si>
  <si>
    <t>32285000779644</t>
  </si>
  <si>
    <t>893231005</t>
  </si>
  <si>
    <t>BF637.C6 K39</t>
  </si>
  <si>
    <t>0                      BF 0637000C  6                  K  39</t>
  </si>
  <si>
    <t>Fundamentals of child counseling / [by] Donald B. Keat.</t>
  </si>
  <si>
    <t>Keat, Donald B.</t>
  </si>
  <si>
    <t>Boston : Houghton Mifflin, [1974]</t>
  </si>
  <si>
    <t>1991-01-10</t>
  </si>
  <si>
    <t>1854832:eng</t>
  </si>
  <si>
    <t>914558</t>
  </si>
  <si>
    <t>991003377949702656</t>
  </si>
  <si>
    <t>2262717900002656</t>
  </si>
  <si>
    <t>9780395178270</t>
  </si>
  <si>
    <t>32285000430552</t>
  </si>
  <si>
    <t>893330255</t>
  </si>
  <si>
    <t>BF637.C6 K45</t>
  </si>
  <si>
    <t>0                      BF 0637000C  6                  K  45</t>
  </si>
  <si>
    <t>Intangibles in counseling / [by] C. Gratton Kemp.</t>
  </si>
  <si>
    <t>Kemp, Clarence Gratton, 1905-</t>
  </si>
  <si>
    <t>Boston : Houghton Mifflin, [1967]</t>
  </si>
  <si>
    <t>1992-04-23</t>
  </si>
  <si>
    <t>1358919:eng</t>
  </si>
  <si>
    <t>194190</t>
  </si>
  <si>
    <t>991001216199702656</t>
  </si>
  <si>
    <t>2269320750002656</t>
  </si>
  <si>
    <t>32285001085934</t>
  </si>
  <si>
    <t>893596292</t>
  </si>
  <si>
    <t>BF637.C6 K68 1994</t>
  </si>
  <si>
    <t>0                      BF 0637000C  6                  K  68          1994</t>
  </si>
  <si>
    <t>Advanced group leadership / Jeffrey A. Kottler.</t>
  </si>
  <si>
    <t>Kottler, Jeffrey A.</t>
  </si>
  <si>
    <t>Pacific Grove, CA : Brooks/Cole, c1994.</t>
  </si>
  <si>
    <t>1994</t>
  </si>
  <si>
    <t>2006-02-07</t>
  </si>
  <si>
    <t>2001-01-24</t>
  </si>
  <si>
    <t>344067:eng</t>
  </si>
  <si>
    <t>28063932</t>
  </si>
  <si>
    <t>991003341519702656</t>
  </si>
  <si>
    <t>2255301350002656</t>
  </si>
  <si>
    <t>9780534211509</t>
  </si>
  <si>
    <t>32285004291539</t>
  </si>
  <si>
    <t>893441191</t>
  </si>
  <si>
    <t>BF637.C6 M47</t>
  </si>
  <si>
    <t>0                      BF 0637000C  6                  M  47</t>
  </si>
  <si>
    <t>Counseling psychology : theories and case studies / [by] James B. Meyer [and] Joyce K. Meyer, with foreword and critiques by George M. Gazda.</t>
  </si>
  <si>
    <t>Meyer, James B., 1942-</t>
  </si>
  <si>
    <t>Boston : Allyn and Bacon, [1974, c1975]</t>
  </si>
  <si>
    <t>2009-04-17</t>
  </si>
  <si>
    <t>1971913:eng</t>
  </si>
  <si>
    <t>1054202</t>
  </si>
  <si>
    <t>991003501789702656</t>
  </si>
  <si>
    <t>2269254510002656</t>
  </si>
  <si>
    <t>32285002021201</t>
  </si>
  <si>
    <t>893627614</t>
  </si>
  <si>
    <t>BF637.C6 N45 1984</t>
  </si>
  <si>
    <t>0                      BF 0637000C  6                  N  45          1984</t>
  </si>
  <si>
    <t>Personal responsibility counselling and therapy : an integrative approach / Richard Nelson-Jones.</t>
  </si>
  <si>
    <t>Nelson-Jones, Richard.</t>
  </si>
  <si>
    <t>London ; New York : Harper &amp; Row, c1984.</t>
  </si>
  <si>
    <t>1998-04-16</t>
  </si>
  <si>
    <t>836690804:eng</t>
  </si>
  <si>
    <t>12970196</t>
  </si>
  <si>
    <t>991000569749702656</t>
  </si>
  <si>
    <t>2261620650002656</t>
  </si>
  <si>
    <t>9780063182998</t>
  </si>
  <si>
    <t>32285000086867</t>
  </si>
  <si>
    <t>893897017</t>
  </si>
  <si>
    <t>BF637.C6 O48 1988</t>
  </si>
  <si>
    <t>0                      BF 0637000C  6                  O  48          1988</t>
  </si>
  <si>
    <t>Group counseling / Merle M. Ohlsen, Arthur M. Horne, Charles F. Lawe ; with a foreword by G.M. Gazda.</t>
  </si>
  <si>
    <t>Ohlsen, Merle M.</t>
  </si>
  <si>
    <t>New York : Holt, Rinehart and Winston, c1988.</t>
  </si>
  <si>
    <t>1996-06-25</t>
  </si>
  <si>
    <t>1990-05-18</t>
  </si>
  <si>
    <t>283423023:eng</t>
  </si>
  <si>
    <t>16085477</t>
  </si>
  <si>
    <t>991001080069702656</t>
  </si>
  <si>
    <t>2259347140002656</t>
  </si>
  <si>
    <t>9780030084645</t>
  </si>
  <si>
    <t>32285000153519</t>
  </si>
  <si>
    <t>893891277</t>
  </si>
  <si>
    <t>BF637.C6 P28</t>
  </si>
  <si>
    <t>0                      BF 0637000C  6                  P  28</t>
  </si>
  <si>
    <t>Gestalt approaches in counseling / William R. Passons.</t>
  </si>
  <si>
    <t>Passons, William R.</t>
  </si>
  <si>
    <t>New York : Holt, Rinehart and Winston, [1975]</t>
  </si>
  <si>
    <t>1992-01-03</t>
  </si>
  <si>
    <t>401810:eng</t>
  </si>
  <si>
    <t>1056993</t>
  </si>
  <si>
    <t>991003505709702656</t>
  </si>
  <si>
    <t>2271931170002656</t>
  </si>
  <si>
    <t>9780030894213</t>
  </si>
  <si>
    <t>32285000882828</t>
  </si>
  <si>
    <t>893887538</t>
  </si>
  <si>
    <t>BF637.C6 P325 1983</t>
  </si>
  <si>
    <t>0                      BF 0637000C  6                  P  325         1983</t>
  </si>
  <si>
    <t>The counseling process / Lewis E. Patterson, Sheldon Eisenberg.</t>
  </si>
  <si>
    <t>Patterson, Lewis E.</t>
  </si>
  <si>
    <t>Boston : Houghton Mifflin Co., c1983.</t>
  </si>
  <si>
    <t>23501414:eng</t>
  </si>
  <si>
    <t>9563915</t>
  </si>
  <si>
    <t>991000217029702656</t>
  </si>
  <si>
    <t>2267267250002656</t>
  </si>
  <si>
    <t>9780395331651</t>
  </si>
  <si>
    <t>32285000058080</t>
  </si>
  <si>
    <t>893865209</t>
  </si>
  <si>
    <t>BF637.C6 P45 1987</t>
  </si>
  <si>
    <t>0                      BF 0637000C  6                  P  45          1987</t>
  </si>
  <si>
    <t>Orientation to counseling / J. Vincent Peterson, Bernard Nisenholz.</t>
  </si>
  <si>
    <t>Peterson, J. Vincent.</t>
  </si>
  <si>
    <t>Newton, Mass. : Allyn and Bacon, c1987.</t>
  </si>
  <si>
    <t>1998-03-27</t>
  </si>
  <si>
    <t>1996-07-16</t>
  </si>
  <si>
    <t>600874:eng</t>
  </si>
  <si>
    <t>14378347</t>
  </si>
  <si>
    <t>991000938639702656</t>
  </si>
  <si>
    <t>2261236930002656</t>
  </si>
  <si>
    <t>9780205104758</t>
  </si>
  <si>
    <t>32285000028984</t>
  </si>
  <si>
    <t>893797148</t>
  </si>
  <si>
    <t>BF637.C6 P46</t>
  </si>
  <si>
    <t>0                      BF 0637000C  6                  P  46</t>
  </si>
  <si>
    <t>Counseling and values : a philosophical examination.</t>
  </si>
  <si>
    <t>Peterson, James Allan.</t>
  </si>
  <si>
    <t>Scranton, Pa. : International Textbook Co., [1970]</t>
  </si>
  <si>
    <t>The International series in guidance and counseling</t>
  </si>
  <si>
    <t>1992-06-18</t>
  </si>
  <si>
    <t>1298701:eng</t>
  </si>
  <si>
    <t>90599</t>
  </si>
  <si>
    <t>991000541829702656</t>
  </si>
  <si>
    <t>2266337530002656</t>
  </si>
  <si>
    <t>9780700222766</t>
  </si>
  <si>
    <t>32285001132538</t>
  </si>
  <si>
    <t>893333562</t>
  </si>
  <si>
    <t>BF637.C6 P5 1978</t>
  </si>
  <si>
    <t>0                      BF 0637000C  6                  P  5           1978</t>
  </si>
  <si>
    <t>The authentic counselor / John J. Pietrofesa, George E. Leonard, William Van Hoose.</t>
  </si>
  <si>
    <t>Pietrofesa, John J., 1940-</t>
  </si>
  <si>
    <t>2002-06-25</t>
  </si>
  <si>
    <t>1179083:eng</t>
  </si>
  <si>
    <t>3898815</t>
  </si>
  <si>
    <t>991004542079702656</t>
  </si>
  <si>
    <t>2270612850002656</t>
  </si>
  <si>
    <t>9780528612527</t>
  </si>
  <si>
    <t>32285000238344</t>
  </si>
  <si>
    <t>893593833</t>
  </si>
  <si>
    <t>BF637.C6 S55</t>
  </si>
  <si>
    <t>0                      BF 0637000C  6                  S  55</t>
  </si>
  <si>
    <t>Foundations of guidance and counseling : multidisciplinary readings / edited by C. E. Smith and O. G. Mink.</t>
  </si>
  <si>
    <t>Smith, C. E. (Charles Edgar), 1937-, compiler.</t>
  </si>
  <si>
    <t>Philadelphia : J. Lippincott, [1969]</t>
  </si>
  <si>
    <t>1992-06-25</t>
  </si>
  <si>
    <t>1269829:eng</t>
  </si>
  <si>
    <t>82853</t>
  </si>
  <si>
    <t>991000506819702656</t>
  </si>
  <si>
    <t>2272109190002656</t>
  </si>
  <si>
    <t>32285001145407</t>
  </si>
  <si>
    <t>893790576</t>
  </si>
  <si>
    <t>BF637.C6 S776</t>
  </si>
  <si>
    <t>0                      BF 0637000C  6                  S  776</t>
  </si>
  <si>
    <t>A cognitive-behavioral approach to counseling psychology : implications for practice, research, and training / Gerald L. Stone.</t>
  </si>
  <si>
    <t>Stone, Gerald L., 1941-</t>
  </si>
  <si>
    <t>New York : Praeger, 1980.</t>
  </si>
  <si>
    <t>1999-04-21</t>
  </si>
  <si>
    <t>1993-03-26</t>
  </si>
  <si>
    <t>571730:eng</t>
  </si>
  <si>
    <t>6707200</t>
  </si>
  <si>
    <t>991005027179702656</t>
  </si>
  <si>
    <t>2258144230002656</t>
  </si>
  <si>
    <t>9780030559266</t>
  </si>
  <si>
    <t>32285001591790</t>
  </si>
  <si>
    <t>893319913</t>
  </si>
  <si>
    <t>BF637.C6 T5 1970</t>
  </si>
  <si>
    <t>0                      BF 0637000C  6                  T  5           1970</t>
  </si>
  <si>
    <t>The group process as a helping technique; a textbook for social workers, psychiatrists, psychologists, doctors, teachers, and other workers in community services, by Sheila Thompson and J. H. Kahn. With an introd. by Eileen Younghusband.</t>
  </si>
  <si>
    <t>Thompson, Sheila.</t>
  </si>
  <si>
    <t>Oxford, New York, Pergamon Press [1970]</t>
  </si>
  <si>
    <t>The Commonwealth and international library. Social work division</t>
  </si>
  <si>
    <t>889685112:eng</t>
  </si>
  <si>
    <t>97187</t>
  </si>
  <si>
    <t>991000596579702656</t>
  </si>
  <si>
    <t>2269824950002656</t>
  </si>
  <si>
    <t>9780080162195</t>
  </si>
  <si>
    <t>32285002252137</t>
  </si>
  <si>
    <t>893521824</t>
  </si>
  <si>
    <t>BF637.C6 V32 1987</t>
  </si>
  <si>
    <t>0                      BF 0637000C  6                  V  32          1987</t>
  </si>
  <si>
    <t>Counseling as a profession / Nicholas A. Vacc, Larry C. Loesch.</t>
  </si>
  <si>
    <t>Vacc, Nicholas A.</t>
  </si>
  <si>
    <t>Muncie, IN : Accelerated Development, c1987.</t>
  </si>
  <si>
    <t>2008-10-16</t>
  </si>
  <si>
    <t>1992-07-07</t>
  </si>
  <si>
    <t>11999462:eng</t>
  </si>
  <si>
    <t>16656186</t>
  </si>
  <si>
    <t>991001127299702656</t>
  </si>
  <si>
    <t>2261270040002656</t>
  </si>
  <si>
    <t>9780915202669</t>
  </si>
  <si>
    <t>32285001149599</t>
  </si>
  <si>
    <t>893778574</t>
  </si>
  <si>
    <t>BF637.H4 C37 1977</t>
  </si>
  <si>
    <t>0                      BF 0637000H  4                  C  37          1977</t>
  </si>
  <si>
    <t>The art of helping III / Robert R. Carkhuff, with Richard M. Pierce and John R. Cannon ; [illustrated by Tom Capolongo].</t>
  </si>
  <si>
    <t>Amherst, MA : Human Resource Development Press, c1977, 1978 printing.</t>
  </si>
  <si>
    <t>1992-03-17</t>
  </si>
  <si>
    <t>9947629:eng</t>
  </si>
  <si>
    <t>3157659</t>
  </si>
  <si>
    <t>991004359199702656</t>
  </si>
  <si>
    <t>2254945820002656</t>
  </si>
  <si>
    <t>9780914234036</t>
  </si>
  <si>
    <t>32285000528975</t>
  </si>
  <si>
    <t>893253601</t>
  </si>
  <si>
    <t>BF637.H4 C66</t>
  </si>
  <si>
    <t>0                      BF 0637000H  4                  C  66</t>
  </si>
  <si>
    <t>Cooperation and helping behavior : theories and research / edited by Valerian J. Derlega and Janusz Grzelak.</t>
  </si>
  <si>
    <t>1991-05-16</t>
  </si>
  <si>
    <t>890362722:eng</t>
  </si>
  <si>
    <t>7946869</t>
  </si>
  <si>
    <t>991005181999702656</t>
  </si>
  <si>
    <t>2272473740002656</t>
  </si>
  <si>
    <t>9780122108204</t>
  </si>
  <si>
    <t>32285000597632</t>
  </si>
  <si>
    <t>893514190</t>
  </si>
  <si>
    <t>BF637.I5 B37</t>
  </si>
  <si>
    <t>0                      BF 0637000I  5                  B  37</t>
  </si>
  <si>
    <t>The helping interview.</t>
  </si>
  <si>
    <t>Benjamin, Alfred.</t>
  </si>
  <si>
    <t>Boston, Houghton Mifflin [1969]</t>
  </si>
  <si>
    <t>2007-12-07</t>
  </si>
  <si>
    <t>1130775:eng</t>
  </si>
  <si>
    <t>7624</t>
  </si>
  <si>
    <t>991000000199702656</t>
  </si>
  <si>
    <t>2267573300002656</t>
  </si>
  <si>
    <t>32285002252236</t>
  </si>
  <si>
    <t>893419097</t>
  </si>
  <si>
    <t>BF637.I5 B37 1981</t>
  </si>
  <si>
    <t>0                      BF 0637000I  5                  B  37          1981</t>
  </si>
  <si>
    <t>The helping interview / Alfred Benjamin.</t>
  </si>
  <si>
    <t>Boston : Houghton Mifflin, c1981.</t>
  </si>
  <si>
    <t>7097788</t>
  </si>
  <si>
    <t>991005074899702656</t>
  </si>
  <si>
    <t>2259323730002656</t>
  </si>
  <si>
    <t>9780395296486</t>
  </si>
  <si>
    <t>32285000981406</t>
  </si>
  <si>
    <t>893344601</t>
  </si>
  <si>
    <t>BF637.I5 E87</t>
  </si>
  <si>
    <t>0                      BF 0637000I  5                  E  87</t>
  </si>
  <si>
    <t>Essential interviewing : a programmed approach to effective communication / David R. Evans ... [et al.].</t>
  </si>
  <si>
    <t>4916883450:eng</t>
  </si>
  <si>
    <t>4982939</t>
  </si>
  <si>
    <t>991004757849702656</t>
  </si>
  <si>
    <t>2265722700002656</t>
  </si>
  <si>
    <t>9780818503429</t>
  </si>
  <si>
    <t>32285000009760</t>
  </si>
  <si>
    <t>893807437</t>
  </si>
  <si>
    <t>BF637.I5 G6 1987</t>
  </si>
  <si>
    <t>0                      BF 0637000I  5                  G  6           1987</t>
  </si>
  <si>
    <t>Interviewing : strategy, techniques, and tactics / Raymond L. Gorden.</t>
  </si>
  <si>
    <t>Gorden, Raymond L., 1919-</t>
  </si>
  <si>
    <t>Chicago, Ill. : Dorsey Press, c1987.</t>
  </si>
  <si>
    <t>2001-04-09</t>
  </si>
  <si>
    <t>1990-06-01</t>
  </si>
  <si>
    <t>1136108:eng</t>
  </si>
  <si>
    <t>18832988</t>
  </si>
  <si>
    <t>991000966769702656</t>
  </si>
  <si>
    <t>2260340990002656</t>
  </si>
  <si>
    <t>32285000181213</t>
  </si>
  <si>
    <t>893791040</t>
  </si>
  <si>
    <t>BF637.I5 M37</t>
  </si>
  <si>
    <t>0                      BF 0637000I  5                  M  37</t>
  </si>
  <si>
    <t>The interview; research on its anatomy and structure [by] Joseph D. Matarazzo [and] Arthur N. Wiens.</t>
  </si>
  <si>
    <t>Matarazzo, Joseph D.</t>
  </si>
  <si>
    <t>Chicago, Aldine-Atherton [1972]</t>
  </si>
  <si>
    <t>Modern applications of psychology</t>
  </si>
  <si>
    <t>1532464:eng</t>
  </si>
  <si>
    <t>393500</t>
  </si>
  <si>
    <t>991002666829702656</t>
  </si>
  <si>
    <t>2259778360002656</t>
  </si>
  <si>
    <t>9780202260686</t>
  </si>
  <si>
    <t>32285002252244</t>
  </si>
  <si>
    <t>893245470</t>
  </si>
  <si>
    <t>BF637.I5 S75 1982</t>
  </si>
  <si>
    <t>0                      BF 0637000I  5                  S  75          1982</t>
  </si>
  <si>
    <t>Interviewing : principles and practices / Charles J. Stewart, William B. Cash, Jr.</t>
  </si>
  <si>
    <t>Stewart, Charles J.</t>
  </si>
  <si>
    <t>Dubuque, Iowa : W.C. Brown Co., c1982, 1983 printing.</t>
  </si>
  <si>
    <t>1999-09-16</t>
  </si>
  <si>
    <t>871842:eng</t>
  </si>
  <si>
    <t>8165421</t>
  </si>
  <si>
    <t>991005210499702656</t>
  </si>
  <si>
    <t>2267462300002656</t>
  </si>
  <si>
    <t>9780697041937</t>
  </si>
  <si>
    <t>32285000127554</t>
  </si>
  <si>
    <t>893443591</t>
  </si>
  <si>
    <t>BF637.L4 G55</t>
  </si>
  <si>
    <t>0                      BF 0637000L  4                  G  55</t>
  </si>
  <si>
    <t>Forces on leadership / by Michael C. Giammatteo and Dolores M. Giammatteo.</t>
  </si>
  <si>
    <t>Giammatteo, Michael C.</t>
  </si>
  <si>
    <t>Reston, Va. : National Association of Secondary School Principals, 1981.</t>
  </si>
  <si>
    <t>2006-01-11</t>
  </si>
  <si>
    <t>1992-02-14</t>
  </si>
  <si>
    <t>25526877:eng</t>
  </si>
  <si>
    <t>7157771</t>
  </si>
  <si>
    <t>991005078289702656</t>
  </si>
  <si>
    <t>2267620520002656</t>
  </si>
  <si>
    <t>9780882101163</t>
  </si>
  <si>
    <t>32285000959469</t>
  </si>
  <si>
    <t>893443364</t>
  </si>
  <si>
    <t>BF637.L4 G63</t>
  </si>
  <si>
    <t>0                      BF 0637000L  4                  G  63</t>
  </si>
  <si>
    <t>Leader effectiveness training, L.E.T. : the no-lose way to release the productive potential of people / Thomas Gordon.</t>
  </si>
  <si>
    <t>Gordon, Thomas, 1918-2002.</t>
  </si>
  <si>
    <t>[New York] : Wyden Books, c1977.</t>
  </si>
  <si>
    <t>2005-02-28</t>
  </si>
  <si>
    <t>3901037687:eng</t>
  </si>
  <si>
    <t>3294647</t>
  </si>
  <si>
    <t>991004400109702656</t>
  </si>
  <si>
    <t>2259532650002656</t>
  </si>
  <si>
    <t>9780671229603</t>
  </si>
  <si>
    <t>32285001598274</t>
  </si>
  <si>
    <t>893253648</t>
  </si>
  <si>
    <t>BF637.L53 B73 1991</t>
  </si>
  <si>
    <t>0                      BF 0637000L  53                 B  73          1991</t>
  </si>
  <si>
    <t>How to cope with life transitions : the challenge of personal change / Lawrence M. Brammer.</t>
  </si>
  <si>
    <t>New York : Hemisphere Pub. Corp., c1991.</t>
  </si>
  <si>
    <t>Series in death education, aging, and health care, 0275-3510</t>
  </si>
  <si>
    <t>1991-03-28</t>
  </si>
  <si>
    <t>852682987:eng</t>
  </si>
  <si>
    <t>21564067</t>
  </si>
  <si>
    <t>991001707119702656</t>
  </si>
  <si>
    <t>2268039000002656</t>
  </si>
  <si>
    <t>9780891169628</t>
  </si>
  <si>
    <t>32285000513837</t>
  </si>
  <si>
    <t>893866413</t>
  </si>
  <si>
    <t>BF637.N4 B35 1975</t>
  </si>
  <si>
    <t>0                      BF 0637000N  4                  B  35          1975</t>
  </si>
  <si>
    <t>Bargaining : formal theories of negotiation / edited and with contributions by Oran R. Young.</t>
  </si>
  <si>
    <t>Urbana : University of Illinois Press, [1975]</t>
  </si>
  <si>
    <t>1997-10-27</t>
  </si>
  <si>
    <t>889419305:eng</t>
  </si>
  <si>
    <t>1217234</t>
  </si>
  <si>
    <t>991003625989702656</t>
  </si>
  <si>
    <t>2272302320002656</t>
  </si>
  <si>
    <t>9780252002731</t>
  </si>
  <si>
    <t>32285000276765</t>
  </si>
  <si>
    <t>893893922</t>
  </si>
  <si>
    <t>BF637.N4 C55 1980</t>
  </si>
  <si>
    <t>0                      BF 0637000N  4                  C  55          1980</t>
  </si>
  <si>
    <t>You can negotiate anything / Herb Cohen.</t>
  </si>
  <si>
    <t>Cohen, Herb.</t>
  </si>
  <si>
    <t>Secaucus, N.J. : L. Stuart, c1980.</t>
  </si>
  <si>
    <t>2009-01-27</t>
  </si>
  <si>
    <t>4915256192:eng</t>
  </si>
  <si>
    <t>6789870</t>
  </si>
  <si>
    <t>991005040229702656</t>
  </si>
  <si>
    <t>2263831720002656</t>
  </si>
  <si>
    <t>9780818403057</t>
  </si>
  <si>
    <t>32285001591501</t>
  </si>
  <si>
    <t>893902019</t>
  </si>
  <si>
    <t>BF637.N4 F58 1988</t>
  </si>
  <si>
    <t>0                      BF 0637000N  4                  F  58          1988</t>
  </si>
  <si>
    <t>Getting together : building a relationship that gets to yes / by Roger Fisher and Scott Brown.</t>
  </si>
  <si>
    <t>Fisher, Roger, 1922-2012.</t>
  </si>
  <si>
    <t>Boston : Houghton Mifflin, 1988.</t>
  </si>
  <si>
    <t>2010-12-08</t>
  </si>
  <si>
    <t>1991-11-18</t>
  </si>
  <si>
    <t>1862736224:eng</t>
  </si>
  <si>
    <t>17552009</t>
  </si>
  <si>
    <t>991001237299702656</t>
  </si>
  <si>
    <t>2263547380002656</t>
  </si>
  <si>
    <t>9780395470992</t>
  </si>
  <si>
    <t>32285000816560</t>
  </si>
  <si>
    <t>893791299</t>
  </si>
  <si>
    <t>BF637.N4 I45</t>
  </si>
  <si>
    <t>0                      BF 0637000N  4                  I  45</t>
  </si>
  <si>
    <t>Power negotiating : strategies for winning in life and business / John Ilich.</t>
  </si>
  <si>
    <t>Ilich, John, 1933-</t>
  </si>
  <si>
    <t>Reading, Mass. : Addison-Wesley Pub. Co., c1980.</t>
  </si>
  <si>
    <t>2007-03-10</t>
  </si>
  <si>
    <t>4495040339:eng</t>
  </si>
  <si>
    <t>4907993</t>
  </si>
  <si>
    <t>991004745839702656</t>
  </si>
  <si>
    <t>2258760630002656</t>
  </si>
  <si>
    <t>9780201031492</t>
  </si>
  <si>
    <t>32285001598316</t>
  </si>
  <si>
    <t>893424144</t>
  </si>
  <si>
    <t>BF637.N4 L43 1996</t>
  </si>
  <si>
    <t>0                      BF 0637000N  4                  L  43          1996</t>
  </si>
  <si>
    <t>The art of bargaining / Richard Ned Lebow.</t>
  </si>
  <si>
    <t>Lebow, Richard Ned.</t>
  </si>
  <si>
    <t>Baltimore : Johns Hopkins University Press, 1996.</t>
  </si>
  <si>
    <t>1998-01-09</t>
  </si>
  <si>
    <t>1996-06-17</t>
  </si>
  <si>
    <t>36705400:eng</t>
  </si>
  <si>
    <t>32819588</t>
  </si>
  <si>
    <t>991002523079702656</t>
  </si>
  <si>
    <t>2271406980002656</t>
  </si>
  <si>
    <t>9780801851988</t>
  </si>
  <si>
    <t>32285002193265</t>
  </si>
  <si>
    <t>893721501</t>
  </si>
  <si>
    <t>BF637.N4 L48</t>
  </si>
  <si>
    <t>0                      BF 0637000N  4                  L  48</t>
  </si>
  <si>
    <t>Power negotiating tactics and techniques / David V. Lewis.</t>
  </si>
  <si>
    <t>Lewis, David V., 1923-</t>
  </si>
  <si>
    <t>411843:eng</t>
  </si>
  <si>
    <t>7461369</t>
  </si>
  <si>
    <t>991005114659702656</t>
  </si>
  <si>
    <t>2265996180002656</t>
  </si>
  <si>
    <t>9780136868088</t>
  </si>
  <si>
    <t>32285001598332</t>
  </si>
  <si>
    <t>893801748</t>
  </si>
  <si>
    <t>BF637.N4 L485 1985</t>
  </si>
  <si>
    <t>0                      BF 0637000N  4                  L  485         1985</t>
  </si>
  <si>
    <t>Negotiation : readings, exercises, and cases / Roy J. Lewicki, Joseph A. Litterer.</t>
  </si>
  <si>
    <t>Lewicki, Roy J.</t>
  </si>
  <si>
    <t>Homewood, Ill. : Richard D. Irwin, 1985.</t>
  </si>
  <si>
    <t>2009-02-11</t>
  </si>
  <si>
    <t>4921705821:eng</t>
  </si>
  <si>
    <t>11905821</t>
  </si>
  <si>
    <t>991000610279702656</t>
  </si>
  <si>
    <t>2256586530002656</t>
  </si>
  <si>
    <t>32285000089788</t>
  </si>
  <si>
    <t>893315094</t>
  </si>
  <si>
    <t>BF637.N4 N5 1973</t>
  </si>
  <si>
    <t>0                      BF 0637000N  4                  N  5           1973</t>
  </si>
  <si>
    <t>Fundamentals of negotiating / by Gerard I. Nierenberg.</t>
  </si>
  <si>
    <t>Nierenberg, Gerard I.</t>
  </si>
  <si>
    <t>New York : Hawthorn Books, c1973.</t>
  </si>
  <si>
    <t>1999-04-05</t>
  </si>
  <si>
    <t>1173393400:eng</t>
  </si>
  <si>
    <t>713904</t>
  </si>
  <si>
    <t>991003187739702656</t>
  </si>
  <si>
    <t>2255169910002656</t>
  </si>
  <si>
    <t>32285001625648</t>
  </si>
  <si>
    <t>893416132</t>
  </si>
  <si>
    <t>BF637.N4 S65 1982</t>
  </si>
  <si>
    <t>0                      BF 0637000N  4                  S  65          1982</t>
  </si>
  <si>
    <t>The dynamics of effective negotiation / Donald B. Sparks.</t>
  </si>
  <si>
    <t>Sparks, Donald B.</t>
  </si>
  <si>
    <t>Houston : Gulf Pub. Co., c1982.</t>
  </si>
  <si>
    <t>1995-06-12</t>
  </si>
  <si>
    <t>20661370:eng</t>
  </si>
  <si>
    <t>8171356</t>
  </si>
  <si>
    <t>991005213659702656</t>
  </si>
  <si>
    <t>2257062070002656</t>
  </si>
  <si>
    <t>9780872015821</t>
  </si>
  <si>
    <t>32285001598357</t>
  </si>
  <si>
    <t>893870711</t>
  </si>
  <si>
    <t>BF637.N4 S94</t>
  </si>
  <si>
    <t>0                      BF 0637000N  4                  S  94</t>
  </si>
  <si>
    <t>The structure of conflict / edited by Paul Swingle.</t>
  </si>
  <si>
    <t>Swingle, Paul G.</t>
  </si>
  <si>
    <t>New York : Academic Press, 1970.</t>
  </si>
  <si>
    <t>2010-03-11</t>
  </si>
  <si>
    <t>1994-06-22</t>
  </si>
  <si>
    <t>1310247:eng</t>
  </si>
  <si>
    <t>93537</t>
  </si>
  <si>
    <t>991000562939702656</t>
  </si>
  <si>
    <t>2262960840002656</t>
  </si>
  <si>
    <t>32285001929628</t>
  </si>
  <si>
    <t>893425835</t>
  </si>
  <si>
    <t>BF637.N4 W37</t>
  </si>
  <si>
    <t>0                      BF 0637000N  4                  W  37</t>
  </si>
  <si>
    <t>Winning by negotiation / Tessa Albert Warschaw.</t>
  </si>
  <si>
    <t>Warschaw, Tessa Albert.</t>
  </si>
  <si>
    <t>1995-05-23</t>
  </si>
  <si>
    <t>385119:eng</t>
  </si>
  <si>
    <t>6280668</t>
  </si>
  <si>
    <t>991004957319702656</t>
  </si>
  <si>
    <t>2256054900002656</t>
  </si>
  <si>
    <t>9780070007802</t>
  </si>
  <si>
    <t>32285001598373</t>
  </si>
  <si>
    <t>893789267</t>
  </si>
  <si>
    <t>BF637.P4 A2</t>
  </si>
  <si>
    <t>0                      BF 0637000P  4                  A  2</t>
  </si>
  <si>
    <t>Persuasion: how opinions and attitudes are changed.</t>
  </si>
  <si>
    <t>Abelson, Herbert Irving, 1926-</t>
  </si>
  <si>
    <t>New York, Springer Pub. Co. [1959]</t>
  </si>
  <si>
    <t>2000-03-26</t>
  </si>
  <si>
    <t>1918532:eng</t>
  </si>
  <si>
    <t>964768</t>
  </si>
  <si>
    <t>991003426849702656</t>
  </si>
  <si>
    <t>2261674730002656</t>
  </si>
  <si>
    <t>32285002252293</t>
  </si>
  <si>
    <t>893893709</t>
  </si>
  <si>
    <t>BF637.P4 A53</t>
  </si>
  <si>
    <t>0                      BF 0637000P  4                  A  53</t>
  </si>
  <si>
    <t>Persuasion: theory and practice [by] Kenneth E. Andersen.</t>
  </si>
  <si>
    <t>Andersen, Kenneth E.</t>
  </si>
  <si>
    <t>Boston, Allyn and Bacon [1971]</t>
  </si>
  <si>
    <t>4325674:eng</t>
  </si>
  <si>
    <t>135578</t>
  </si>
  <si>
    <t>991000782759702656</t>
  </si>
  <si>
    <t>2263355770002656</t>
  </si>
  <si>
    <t>32285005117105</t>
  </si>
  <si>
    <t>893528384</t>
  </si>
  <si>
    <t>BF637.P4 B4 1980</t>
  </si>
  <si>
    <t>0                      BF 0637000P  4                  B  4           1980</t>
  </si>
  <si>
    <t>Persuasive communication / Erwin P. Bettinghaus.</t>
  </si>
  <si>
    <t>Bettinghaus, Erwin Paul, 1930-</t>
  </si>
  <si>
    <t>New York, N.Y. : Holt, Rinehart and Winston, c1980.</t>
  </si>
  <si>
    <t>1337888:eng</t>
  </si>
  <si>
    <t>5942137</t>
  </si>
  <si>
    <t>991004902779702656</t>
  </si>
  <si>
    <t>2270637930002656</t>
  </si>
  <si>
    <t>9780030899591</t>
  </si>
  <si>
    <t>32285000059674</t>
  </si>
  <si>
    <t>893520160</t>
  </si>
  <si>
    <t>BF637.P4 R6</t>
  </si>
  <si>
    <t>0                      BF 0637000P  4                  R  6</t>
  </si>
  <si>
    <t>Experiments in persuasion, edited by Ralph L. Rosnow and Edward J. Robinson.</t>
  </si>
  <si>
    <t>Rosnow, Ralph L. compiler.</t>
  </si>
  <si>
    <t>New York, Academic Press, 1967.</t>
  </si>
  <si>
    <t>2004-06-29</t>
  </si>
  <si>
    <t>365435635:eng</t>
  </si>
  <si>
    <t>222764</t>
  </si>
  <si>
    <t>991001367109702656</t>
  </si>
  <si>
    <t>2262308120002656</t>
  </si>
  <si>
    <t>32285002252343</t>
  </si>
  <si>
    <t>893897737</t>
  </si>
  <si>
    <t>BF637.R57 K49 1985</t>
  </si>
  <si>
    <t>0                      BF 0637000R  57                 K  49          1985</t>
  </si>
  <si>
    <t>Chancing it : why we take risks / Ralph Keyes.</t>
  </si>
  <si>
    <t>Keyes, Ralph.</t>
  </si>
  <si>
    <t>Boston : Little, Brown, c1985.</t>
  </si>
  <si>
    <t>2004-10-21</t>
  </si>
  <si>
    <t>1992-03-27</t>
  </si>
  <si>
    <t>4060682:eng</t>
  </si>
  <si>
    <t>11090071</t>
  </si>
  <si>
    <t>991000487759702656</t>
  </si>
  <si>
    <t>2269210690002656</t>
  </si>
  <si>
    <t>9780316491327</t>
  </si>
  <si>
    <t>32285001045342</t>
  </si>
  <si>
    <t>893345703</t>
  </si>
  <si>
    <t>BF637.R57 R57 1992</t>
  </si>
  <si>
    <t>0                      BF 0637000R  57                 R  57          1992</t>
  </si>
  <si>
    <t>Risk-taking behavior / edited by J. Frank Yates.</t>
  </si>
  <si>
    <t>Chichester, West Sussex, England ; New York : Wiley, c1992.</t>
  </si>
  <si>
    <t>Wiley series, Human performance and cognition</t>
  </si>
  <si>
    <t>2010-10-05</t>
  </si>
  <si>
    <t>1992-10-22</t>
  </si>
  <si>
    <t>55475314:eng</t>
  </si>
  <si>
    <t>23968596</t>
  </si>
  <si>
    <t>991001796279702656</t>
  </si>
  <si>
    <t>2268138520002656</t>
  </si>
  <si>
    <t>9780471922506</t>
  </si>
  <si>
    <t>32285001373728</t>
  </si>
  <si>
    <t>893697045</t>
  </si>
  <si>
    <t>BF637.R57 S54 1983</t>
  </si>
  <si>
    <t>0                      BF 0637000R  57                 S  54          1983</t>
  </si>
  <si>
    <t>Personal risk : mastering change in love and work / Ellen Y. Siegelman.</t>
  </si>
  <si>
    <t>Siegelman, Ellen.</t>
  </si>
  <si>
    <t>1997-02-23</t>
  </si>
  <si>
    <t>1992-05-11</t>
  </si>
  <si>
    <t>2533311582:eng</t>
  </si>
  <si>
    <t>8928638</t>
  </si>
  <si>
    <t>991000095759702656</t>
  </si>
  <si>
    <t>2264415790002656</t>
  </si>
  <si>
    <t>9780060461362</t>
  </si>
  <si>
    <t>32285001107183</t>
  </si>
  <si>
    <t>893406924</t>
  </si>
  <si>
    <t>BF637.S4 D89 1980</t>
  </si>
  <si>
    <t>0                      BF 0637000S  4                  D  89          1980</t>
  </si>
  <si>
    <t>The sky's the limit / Wayne W. Dyer.</t>
  </si>
  <si>
    <t>Dyer, Wayne W.</t>
  </si>
  <si>
    <t>New York : Simon and Schuster, c1980.</t>
  </si>
  <si>
    <t>2003-05-23</t>
  </si>
  <si>
    <t>4494942142:eng</t>
  </si>
  <si>
    <t>6487437</t>
  </si>
  <si>
    <t>991004991469702656</t>
  </si>
  <si>
    <t>2271888420002656</t>
  </si>
  <si>
    <t>9780671249892</t>
  </si>
  <si>
    <t>32285001617298</t>
  </si>
  <si>
    <t>893412175</t>
  </si>
  <si>
    <t>BF637.S4 D9</t>
  </si>
  <si>
    <t>0                      BF 0637000S  4                  D  9</t>
  </si>
  <si>
    <t>Your erroneous zones / Wayne W. Dyer.</t>
  </si>
  <si>
    <t>New York : Funk &amp; Wagnalls, c1976.</t>
  </si>
  <si>
    <t>2003-08-28</t>
  </si>
  <si>
    <t>903472553:eng</t>
  </si>
  <si>
    <t>1858408</t>
  </si>
  <si>
    <t>991003914859702656</t>
  </si>
  <si>
    <t>2266928130002656</t>
  </si>
  <si>
    <t>9780308102286</t>
  </si>
  <si>
    <t>32285000204205</t>
  </si>
  <si>
    <t>893718220</t>
  </si>
  <si>
    <t>BF637.S4 G38 1986</t>
  </si>
  <si>
    <t>0                      BF 0637000S  4                  G  38          1986</t>
  </si>
  <si>
    <t>Living in the light : a guide to personal and planetary transformation. / by Shakti Gawain; with Laurel King.</t>
  </si>
  <si>
    <t>Gawain, Shakti, 1948-2018.</t>
  </si>
  <si>
    <t>San Rafael, CA : Whatever Publishing, 1986.</t>
  </si>
  <si>
    <t>1991-12-16</t>
  </si>
  <si>
    <t>687606479:eng</t>
  </si>
  <si>
    <t>13134407</t>
  </si>
  <si>
    <t>991001489149702656</t>
  </si>
  <si>
    <t>2265524470002656</t>
  </si>
  <si>
    <t>9780931432149</t>
  </si>
  <si>
    <t>32285000859354</t>
  </si>
  <si>
    <t>893621420</t>
  </si>
  <si>
    <t>BF637.S8 B716</t>
  </si>
  <si>
    <t>0                      BF 0637000S  8                  B  716</t>
  </si>
  <si>
    <t>How to get whatever you want out of life / Joyce Brothers.</t>
  </si>
  <si>
    <t>Brothers, Joyce.</t>
  </si>
  <si>
    <t>New York : Simon and Schuster, c1978.</t>
  </si>
  <si>
    <t>2005-11-14</t>
  </si>
  <si>
    <t>4160404081:eng</t>
  </si>
  <si>
    <t>4135905</t>
  </si>
  <si>
    <t>991004593659702656</t>
  </si>
  <si>
    <t>2254809480002656</t>
  </si>
  <si>
    <t>9780671226596</t>
  </si>
  <si>
    <t>32285001598423</t>
  </si>
  <si>
    <t>893712798</t>
  </si>
  <si>
    <t>BF637.S8 C35 1974</t>
  </si>
  <si>
    <t>0                      BF 0637000S  8                  C  35          1974</t>
  </si>
  <si>
    <t>If you don't know where you're going, you'll probably end up somewhere else / David Campbell ; [book illustrations by Nicole Hollander].</t>
  </si>
  <si>
    <t>Campbell, David P.</t>
  </si>
  <si>
    <t>Allen, Tex. : Thomas More, 1974.</t>
  </si>
  <si>
    <t>2008-06-04</t>
  </si>
  <si>
    <t>2020462:eng</t>
  </si>
  <si>
    <t>36459919</t>
  </si>
  <si>
    <t>991005228759702656</t>
  </si>
  <si>
    <t>2271255570002656</t>
  </si>
  <si>
    <t>9780883473276</t>
  </si>
  <si>
    <t>32285005442438</t>
  </si>
  <si>
    <t>893320291</t>
  </si>
  <si>
    <t>BF637.S8 D365 1984</t>
  </si>
  <si>
    <t>0                      BF 0637000S  8                  D  365         1984</t>
  </si>
  <si>
    <t>Tactics : the art and science of success / Edward de Bono.</t>
  </si>
  <si>
    <t>De Bono, Edward, 1933-</t>
  </si>
  <si>
    <t>133796637:eng</t>
  </si>
  <si>
    <t>11030095</t>
  </si>
  <si>
    <t>991000476389702656</t>
  </si>
  <si>
    <t>2259973760002656</t>
  </si>
  <si>
    <t>9780316177900</t>
  </si>
  <si>
    <t>32285001107175</t>
  </si>
  <si>
    <t>893589479</t>
  </si>
  <si>
    <t>BF637.S8 K83 1986</t>
  </si>
  <si>
    <t>0                      BF 0637000S  8                  K  83          1986</t>
  </si>
  <si>
    <t>Performing your best / Tom Kubistant.</t>
  </si>
  <si>
    <t>Kubistant, Tom, 1950-</t>
  </si>
  <si>
    <t>Champaign, IL : Life Enhancement Publications, c1986.</t>
  </si>
  <si>
    <t>2003-03-26</t>
  </si>
  <si>
    <t>5651139:eng</t>
  </si>
  <si>
    <t>13121988</t>
  </si>
  <si>
    <t>991000783879702656</t>
  </si>
  <si>
    <t>2255911490002656</t>
  </si>
  <si>
    <t>9780873229005</t>
  </si>
  <si>
    <t>32285000248301</t>
  </si>
  <si>
    <t>893626441</t>
  </si>
  <si>
    <t>BF637.S8 R79 1985</t>
  </si>
  <si>
    <t>0                      BF 0637000S  8                  R  79          1985</t>
  </si>
  <si>
    <t>Overcoming indecisiveness : the eight stages of effective decisionmaking / by Theodore Isaac Rubin.</t>
  </si>
  <si>
    <t>Rubin, Theodore Isaac.</t>
  </si>
  <si>
    <t>New York : Harper &amp; Row, c1985.</t>
  </si>
  <si>
    <t>1998-03-01</t>
  </si>
  <si>
    <t>4096784:eng</t>
  </si>
  <si>
    <t>11091021</t>
  </si>
  <si>
    <t>991000488969702656</t>
  </si>
  <si>
    <t>2270777330002656</t>
  </si>
  <si>
    <t>9780060153168</t>
  </si>
  <si>
    <t>32285001598472</t>
  </si>
  <si>
    <t>893865391</t>
  </si>
  <si>
    <t>BF637.S8 S339</t>
  </si>
  <si>
    <t>0                      BF 0637000S  8                  S  339</t>
  </si>
  <si>
    <t>Help yourself : a guide to self-change / Jerry A. Schmidt.</t>
  </si>
  <si>
    <t>Schmidt, Jerry, 1945-</t>
  </si>
  <si>
    <t>Champaign, Ill. : Research Press, c1976.</t>
  </si>
  <si>
    <t>2000-06-21</t>
  </si>
  <si>
    <t>537820:eng</t>
  </si>
  <si>
    <t>2563584</t>
  </si>
  <si>
    <t>991004164969702656</t>
  </si>
  <si>
    <t>2257747290002656</t>
  </si>
  <si>
    <t>9780878221295</t>
  </si>
  <si>
    <t>32285001624344</t>
  </si>
  <si>
    <t>893712231</t>
  </si>
  <si>
    <t>BF637.T5 M3</t>
  </si>
  <si>
    <t>0                      BF 0637000T  5                  M  3</t>
  </si>
  <si>
    <t>The management of time.</t>
  </si>
  <si>
    <t>McCay, James T.</t>
  </si>
  <si>
    <t>Englewood Cliffs, N.J. : Prentice-Hall, [1959]</t>
  </si>
  <si>
    <t>2008-03-25</t>
  </si>
  <si>
    <t>411474:eng</t>
  </si>
  <si>
    <t>500211</t>
  </si>
  <si>
    <t>991002872159702656</t>
  </si>
  <si>
    <t>2254937870002656</t>
  </si>
  <si>
    <t>32285000062462</t>
  </si>
  <si>
    <t>893710779</t>
  </si>
  <si>
    <t>BF637.V47 E43 1980</t>
  </si>
  <si>
    <t>0                      BF 0637000V  47                 E  43          1980</t>
  </si>
  <si>
    <t>The gentle art of verbal self-defense / Suzette Haden Elgin.</t>
  </si>
  <si>
    <t>Elgin, Suzette Haden.</t>
  </si>
  <si>
    <t>[New York] : Dorset Press, c1980.</t>
  </si>
  <si>
    <t>2009-07-28</t>
  </si>
  <si>
    <t>2009-07-27</t>
  </si>
  <si>
    <t>20432759:eng</t>
  </si>
  <si>
    <t>31451669</t>
  </si>
  <si>
    <t>991005328039702656</t>
  </si>
  <si>
    <t>2266495900002656</t>
  </si>
  <si>
    <t>9780880290302</t>
  </si>
  <si>
    <t>32285005539464</t>
  </si>
  <si>
    <t>893230534</t>
  </si>
  <si>
    <t>BF671 .D48 1984</t>
  </si>
  <si>
    <t>0                      BF 0671000D  48          1984</t>
  </si>
  <si>
    <t>Comparative psychology in the twentieth century / Donald A. Dewsbury.</t>
  </si>
  <si>
    <t>Dewsbury, Donald A., 1939-</t>
  </si>
  <si>
    <t>Stroudsburg, Pa. : Hutchinson Ross Pub. Co. ; New York, NY : Distributed worldwide by Van Nostrand Reinhold, c1984.</t>
  </si>
  <si>
    <t>1498534:eng</t>
  </si>
  <si>
    <t>9685668</t>
  </si>
  <si>
    <t>991000242699702656</t>
  </si>
  <si>
    <t>2263226250002656</t>
  </si>
  <si>
    <t>9780879331085</t>
  </si>
  <si>
    <t>32285001598530</t>
  </si>
  <si>
    <t>893407047</t>
  </si>
  <si>
    <t>BF671 .R3</t>
  </si>
  <si>
    <t>0                      BF 0671000R  3</t>
  </si>
  <si>
    <t>Comparative psychology; research in animal behavior, by Stanley C. Ratner, and M. Ray Denny.</t>
  </si>
  <si>
    <t>Ratner, Stanley C.</t>
  </si>
  <si>
    <t>Homewood, Ill., Dorsey Press, 1964.</t>
  </si>
  <si>
    <t>2001-01-28</t>
  </si>
  <si>
    <t>9593702650:eng</t>
  </si>
  <si>
    <t>689990</t>
  </si>
  <si>
    <t>991003150559702656</t>
  </si>
  <si>
    <t>2272604920002656</t>
  </si>
  <si>
    <t>32285002252517</t>
  </si>
  <si>
    <t>893805481</t>
  </si>
  <si>
    <t>BF671 .S56 1972</t>
  </si>
  <si>
    <t>0                      BF 0671000S  56          1972</t>
  </si>
  <si>
    <t>Early learning in man and animal [by] W. Sluckin.</t>
  </si>
  <si>
    <t>Sluckin, W.</t>
  </si>
  <si>
    <t>Cambridge, Mass., Schenkman Pub. Co.; distributed by General Learning Press, [Morristown, N.J., 1972, c1970]</t>
  </si>
  <si>
    <t>Advances in psychology series</t>
  </si>
  <si>
    <t>2006-11-20</t>
  </si>
  <si>
    <t>1244549:eng</t>
  </si>
  <si>
    <t>370267</t>
  </si>
  <si>
    <t>991002552299702656</t>
  </si>
  <si>
    <t>2260403840002656</t>
  </si>
  <si>
    <t>32285002252541</t>
  </si>
  <si>
    <t>893804734</t>
  </si>
  <si>
    <t>BF683 .A85</t>
  </si>
  <si>
    <t>0                      BF 0683000A  85</t>
  </si>
  <si>
    <t>Motivation and achievement / by John W. Atkinson and Joel O. Raynor, in collaboration with David Birch [and others]</t>
  </si>
  <si>
    <t>Atkinson, John W. (John William), 1923-2003.</t>
  </si>
  <si>
    <t>Washington : Winston ; [distributed by Halsted Press Division, New York], 1974.</t>
  </si>
  <si>
    <t>2000-06-25</t>
  </si>
  <si>
    <t>1994-04-25</t>
  </si>
  <si>
    <t>197850307:eng</t>
  </si>
  <si>
    <t>763732</t>
  </si>
  <si>
    <t>991003240959702656</t>
  </si>
  <si>
    <t>2266546320002656</t>
  </si>
  <si>
    <t>9780470036266</t>
  </si>
  <si>
    <t>32285001891018</t>
  </si>
  <si>
    <t>893246166</t>
  </si>
  <si>
    <t>BF683 .A88</t>
  </si>
  <si>
    <t>0                      BF 0683000A  88</t>
  </si>
  <si>
    <t>A theory of achievement motivation / edited by John W. Atkinson [and] Norman T. Feather.</t>
  </si>
  <si>
    <t>Atkinson, John W. (John William), 1923-2003, editor.</t>
  </si>
  <si>
    <t>New York : Wiley, [1966]</t>
  </si>
  <si>
    <t>2000-10-07</t>
  </si>
  <si>
    <t>1994-02-11</t>
  </si>
  <si>
    <t>1100750217:eng</t>
  </si>
  <si>
    <t>224885</t>
  </si>
  <si>
    <t>991001375819702656</t>
  </si>
  <si>
    <t>2263602850002656</t>
  </si>
  <si>
    <t>32285001838167</t>
  </si>
  <si>
    <t>893590240</t>
  </si>
  <si>
    <t>BF683 .B5</t>
  </si>
  <si>
    <t>0                      BF 0683000B  5</t>
  </si>
  <si>
    <t>Motivation : a study of action / [by] David Birch [and] Joseph Veroff.</t>
  </si>
  <si>
    <t>Birch, David.</t>
  </si>
  <si>
    <t>Belmont, Calif. : Brooks/Cole Pub. Co., [1966]</t>
  </si>
  <si>
    <t>1323539:eng</t>
  </si>
  <si>
    <t>181229</t>
  </si>
  <si>
    <t>991001089999702656</t>
  </si>
  <si>
    <t>2272593220002656</t>
  </si>
  <si>
    <t>32285001796878</t>
  </si>
  <si>
    <t>893865953</t>
  </si>
  <si>
    <t>BF683 .C59</t>
  </si>
  <si>
    <t>0                      BF 0683000C  59</t>
  </si>
  <si>
    <t>Motivation &amp; emotion / [by] Charles N. Cofer.</t>
  </si>
  <si>
    <t>Cofer, Charles Norval.</t>
  </si>
  <si>
    <t>Glenview, Ill. : Scott, Foresman, [1972]</t>
  </si>
  <si>
    <t>Scott, Foresman basic psychological concepts series</t>
  </si>
  <si>
    <t>2003-10-24</t>
  </si>
  <si>
    <t>8908420617:eng</t>
  </si>
  <si>
    <t>369898</t>
  </si>
  <si>
    <t>991002551639702656</t>
  </si>
  <si>
    <t>2268145440002656</t>
  </si>
  <si>
    <t>32285001796860</t>
  </si>
  <si>
    <t>893341570</t>
  </si>
  <si>
    <t>BF683 .C6</t>
  </si>
  <si>
    <t>0                      BF 0683000C  6</t>
  </si>
  <si>
    <t>Motivation : theory and research / [by] C. N. Cofer [and] M. H. Appley.</t>
  </si>
  <si>
    <t>2003-10-26</t>
  </si>
  <si>
    <t>1993-05-28</t>
  </si>
  <si>
    <t>1655898:eng</t>
  </si>
  <si>
    <t>711104</t>
  </si>
  <si>
    <t>991003177789702656</t>
  </si>
  <si>
    <t>2264093300002656</t>
  </si>
  <si>
    <t>32285001693448</t>
  </si>
  <si>
    <t>893868167</t>
  </si>
  <si>
    <t>32285001693430</t>
  </si>
  <si>
    <t>893893454</t>
  </si>
  <si>
    <t>BF683 .H6</t>
  </si>
  <si>
    <t>0                      BF 0683000H  6</t>
  </si>
  <si>
    <t>The physiological bases of motivation / [by] Jack E. Hokanson.</t>
  </si>
  <si>
    <t>Hokanson, Jack E.</t>
  </si>
  <si>
    <t>1129634:eng</t>
  </si>
  <si>
    <t>6414</t>
  </si>
  <si>
    <t>991005439229702656</t>
  </si>
  <si>
    <t>2265423790002656</t>
  </si>
  <si>
    <t>9780471406181</t>
  </si>
  <si>
    <t>32285001062313</t>
  </si>
  <si>
    <t>893595071</t>
  </si>
  <si>
    <t>BF683 .H8 1967</t>
  </si>
  <si>
    <t>0                      BF 0683000H  8           1967</t>
  </si>
  <si>
    <t>Motivation theory for teachers : a programed book / Madeline Hunter.</t>
  </si>
  <si>
    <t>Hunter, Madeline C.</t>
  </si>
  <si>
    <t>El Segundo, Calif. : TIP Publications, c1967, 1983 printing.</t>
  </si>
  <si>
    <t>Theory into practice</t>
  </si>
  <si>
    <t>2006-02-06</t>
  </si>
  <si>
    <t>1993-04-05</t>
  </si>
  <si>
    <t>940946605:eng</t>
  </si>
  <si>
    <t>3131493</t>
  </si>
  <si>
    <t>991004354559702656</t>
  </si>
  <si>
    <t>2257790500002656</t>
  </si>
  <si>
    <t>32285001600781</t>
  </si>
  <si>
    <t>893628114</t>
  </si>
  <si>
    <t>BF683 .L6</t>
  </si>
  <si>
    <t>0                      BF 0683000L  6</t>
  </si>
  <si>
    <t>Reward and punishment / [by] Frank A. Logan and Allan R. Wagner.</t>
  </si>
  <si>
    <t>Logan, Frank A.</t>
  </si>
  <si>
    <t>Boston : Allyn and Bacon, 1965.</t>
  </si>
  <si>
    <t>Contemporary topics in experimental psychology</t>
  </si>
  <si>
    <t>2003-02-05</t>
  </si>
  <si>
    <t>1993-07-21</t>
  </si>
  <si>
    <t>1331597:eng</t>
  </si>
  <si>
    <t>223575</t>
  </si>
  <si>
    <t>991001370519702656</t>
  </si>
  <si>
    <t>2264026920002656</t>
  </si>
  <si>
    <t>32285001724169</t>
  </si>
  <si>
    <t>893878836</t>
  </si>
  <si>
    <t>BF683 .M313 1961</t>
  </si>
  <si>
    <t>0                      BF 0683000M  313         1961</t>
  </si>
  <si>
    <t>Theories of motivation : a comparative study of modern theories of motivation / [translated from the Danish by Mrs. and Mr. Arne Hyldkrog]</t>
  </si>
  <si>
    <t>Madsen, K. B.</t>
  </si>
  <si>
    <t>Cleveland : H. Allen, 1961.</t>
  </si>
  <si>
    <t>1992-04-28</t>
  </si>
  <si>
    <t>4928021640:eng</t>
  </si>
  <si>
    <t>2048823</t>
  </si>
  <si>
    <t>991003992219702656</t>
  </si>
  <si>
    <t>2269316880002656</t>
  </si>
  <si>
    <t>32285001088656</t>
  </si>
  <si>
    <t>893605502</t>
  </si>
  <si>
    <t>BF683 .M54</t>
  </si>
  <si>
    <t>0                      BF 0683000M  54</t>
  </si>
  <si>
    <t>Inner conflict and defense, by Daniel R. Miller [and] Guy E. Swanson. In collaboration with Wesley Allinsmith [and others]</t>
  </si>
  <si>
    <t>Miller, Daniel R.</t>
  </si>
  <si>
    <t>New York, Holt [1960]</t>
  </si>
  <si>
    <t>A Holt-Dryden book</t>
  </si>
  <si>
    <t>2001-09-12</t>
  </si>
  <si>
    <t>1329345:eng</t>
  </si>
  <si>
    <t>941590</t>
  </si>
  <si>
    <t>991003402429702656</t>
  </si>
  <si>
    <t>2261060000002656</t>
  </si>
  <si>
    <t>32285002252640</t>
  </si>
  <si>
    <t>893711348</t>
  </si>
  <si>
    <t>BF683 .M8</t>
  </si>
  <si>
    <t>0                      BF 0683000M  8</t>
  </si>
  <si>
    <t>Motivation and emotion / [by] Edward J. Murray.</t>
  </si>
  <si>
    <t>Murray, Edward J.</t>
  </si>
  <si>
    <t>Englewood Cliffs, N.J. : Prentice-Hall, [1964]</t>
  </si>
  <si>
    <t>Foundations of modern psychology series</t>
  </si>
  <si>
    <t>2007-09-07</t>
  </si>
  <si>
    <t>1331147:eng</t>
  </si>
  <si>
    <t>223390</t>
  </si>
  <si>
    <t>991001370269702656</t>
  </si>
  <si>
    <t>2264105200002656</t>
  </si>
  <si>
    <t>32285001593309</t>
  </si>
  <si>
    <t>893340381</t>
  </si>
  <si>
    <t>BF683 .S75 1965</t>
  </si>
  <si>
    <t>0                      BF 0683000S  75          1965</t>
  </si>
  <si>
    <t>Understanding human motivation / compiled and edited by Chalmers L. Stacey and Manfred F. DeMartino.</t>
  </si>
  <si>
    <t>Stacey, Chalmers L. (Chalmers Leonard), 1909-1995, compiler.</t>
  </si>
  <si>
    <t>Cleveland : World Pub. Co., [c1965]</t>
  </si>
  <si>
    <t>2001-09-11</t>
  </si>
  <si>
    <t>1993-07-01</t>
  </si>
  <si>
    <t>1334530:eng</t>
  </si>
  <si>
    <t>224679</t>
  </si>
  <si>
    <t>991001374869702656</t>
  </si>
  <si>
    <t>2263578010002656</t>
  </si>
  <si>
    <t>32285001699759</t>
  </si>
  <si>
    <t>893596425</t>
  </si>
  <si>
    <t>BF683 .T4</t>
  </si>
  <si>
    <t>0                      BF 0683000T  4</t>
  </si>
  <si>
    <t>Theories of motiviation in personality and social psychology: an enduring problem in psychology. Selected readings, edited by Richard C. Teevan and Robert C. Birney.</t>
  </si>
  <si>
    <t>Teevan, Richard C., 1919-2006.</t>
  </si>
  <si>
    <t>Princeton, N.J., Van Nostrand [1964]</t>
  </si>
  <si>
    <t>An Insight book, 20</t>
  </si>
  <si>
    <t>3856322657:eng</t>
  </si>
  <si>
    <t>770708</t>
  </si>
  <si>
    <t>991003246529702656</t>
  </si>
  <si>
    <t>2263325680002656</t>
  </si>
  <si>
    <t>32285002252681</t>
  </si>
  <si>
    <t>893805558</t>
  </si>
  <si>
    <t>BF683 .W43 1980</t>
  </si>
  <si>
    <t>0                      BF 0683000W  43          1980</t>
  </si>
  <si>
    <t>Human motivation / Bernard Weiner.</t>
  </si>
  <si>
    <t>Weiner, Bernard.</t>
  </si>
  <si>
    <t>New York : Holt, Rinehart, and Winston, c1980.</t>
  </si>
  <si>
    <t>21009923:eng</t>
  </si>
  <si>
    <t>6015612</t>
  </si>
  <si>
    <t>991004914739702656</t>
  </si>
  <si>
    <t>2269113390002656</t>
  </si>
  <si>
    <t>9780030552267</t>
  </si>
  <si>
    <t>32285001601094</t>
  </si>
  <si>
    <t>893236051</t>
  </si>
  <si>
    <t>BF683 .Z5</t>
  </si>
  <si>
    <t>0                      BF 0683000Z  5</t>
  </si>
  <si>
    <t>The cognitive control of motivation : the consequences of choice and dissonance / [by] Philip G. Zimbardo.</t>
  </si>
  <si>
    <t>[Glenview, Ill.] : Scott, Foresman, [1969]</t>
  </si>
  <si>
    <t>2007-02-06</t>
  </si>
  <si>
    <t>1128475:eng</t>
  </si>
  <si>
    <t>5050</t>
  </si>
  <si>
    <t>991005437169702656</t>
  </si>
  <si>
    <t>2264508240002656</t>
  </si>
  <si>
    <t>32285001539971</t>
  </si>
  <si>
    <t>893811110</t>
  </si>
  <si>
    <t>BF689.9.S55 A76 1985</t>
  </si>
  <si>
    <t>0                      BF 0689900S  55                 A  76          1985</t>
  </si>
  <si>
    <t>Personality in the social process / Joel Arnoff, John P. Wilson.</t>
  </si>
  <si>
    <t>Aronoff, Joel.</t>
  </si>
  <si>
    <t>4208905:eng</t>
  </si>
  <si>
    <t>11346462</t>
  </si>
  <si>
    <t>991000523379702656</t>
  </si>
  <si>
    <t>2262936190002656</t>
  </si>
  <si>
    <t>9780898595260</t>
  </si>
  <si>
    <t>32285001601102</t>
  </si>
  <si>
    <t>893534190</t>
  </si>
  <si>
    <t>BF692 .D617 1977</t>
  </si>
  <si>
    <t>0                      BF 0692000D  617         1977</t>
  </si>
  <si>
    <t>The mermaid and the minotaur : sexual arrangements and human malaise / Dorothy Dinnerstein.</t>
  </si>
  <si>
    <t>Dinnerstein, Dorothy.</t>
  </si>
  <si>
    <t>New York : Harper &amp; Row, 1977, c1976.</t>
  </si>
  <si>
    <t>Harper colophon books</t>
  </si>
  <si>
    <t>2000-10-30</t>
  </si>
  <si>
    <t>402237:eng</t>
  </si>
  <si>
    <t>3898010</t>
  </si>
  <si>
    <t>991004541959702656</t>
  </si>
  <si>
    <t>2269049750002656</t>
  </si>
  <si>
    <t>9780060905873</t>
  </si>
  <si>
    <t>32285000090448</t>
  </si>
  <si>
    <t>893794982</t>
  </si>
  <si>
    <t>BF692 .E95 1976</t>
  </si>
  <si>
    <t>0                      BF 0692000E  95          1976</t>
  </si>
  <si>
    <t>Sex and personality / H. J. Eysenck.</t>
  </si>
  <si>
    <t>Eysenck, H. J. (Hans Jurgen), 1916-1997.</t>
  </si>
  <si>
    <t>Austin : University of Texas Press, c1976.</t>
  </si>
  <si>
    <t>2006-11-18</t>
  </si>
  <si>
    <t>196717274:eng</t>
  </si>
  <si>
    <t>2639529</t>
  </si>
  <si>
    <t>991004194089702656</t>
  </si>
  <si>
    <t>2268875210002656</t>
  </si>
  <si>
    <t>9780292775299</t>
  </si>
  <si>
    <t>32285001591493</t>
  </si>
  <si>
    <t>893353275</t>
  </si>
  <si>
    <t>BF692 .H447 1998</t>
  </si>
  <si>
    <t>0                      BF 0692000H  447         1998</t>
  </si>
  <si>
    <t>Sex and self-respect : the quest for personal fulfillment / Philip M. Helfaer.</t>
  </si>
  <si>
    <t>Helfaer, Philip M., 1933-</t>
  </si>
  <si>
    <t>Westport, Conn. : Praeger, 1998.</t>
  </si>
  <si>
    <t>340462477:eng</t>
  </si>
  <si>
    <t>38215587</t>
  </si>
  <si>
    <t>991002898929702656</t>
  </si>
  <si>
    <t>2255041740002656</t>
  </si>
  <si>
    <t>9780275961855</t>
  </si>
  <si>
    <t>32285003555504</t>
  </si>
  <si>
    <t>893899386</t>
  </si>
  <si>
    <t>BF692 .M27</t>
  </si>
  <si>
    <t>0                      BF 0692000M  27</t>
  </si>
  <si>
    <t>The development of sex differences / edited by Eleanor E. Maccoby. With contributions by Roy G. D'Andrade [and others]</t>
  </si>
  <si>
    <t>Maccoby, Eleanor E., 1917-2018 editor.</t>
  </si>
  <si>
    <t>Stanford, Calif. : Stanford University Press, 1966.</t>
  </si>
  <si>
    <t>Stanford studies in psychology ; 5</t>
  </si>
  <si>
    <t>2004-02-23</t>
  </si>
  <si>
    <t>4917184749:eng</t>
  </si>
  <si>
    <t>236215</t>
  </si>
  <si>
    <t>991001764119702656</t>
  </si>
  <si>
    <t>2257652880002656</t>
  </si>
  <si>
    <t>9780804703086</t>
  </si>
  <si>
    <t>32285001414712</t>
  </si>
  <si>
    <t>893615361</t>
  </si>
  <si>
    <t>BF692 .M274</t>
  </si>
  <si>
    <t>0                      BF 0692000M  274</t>
  </si>
  <si>
    <t>The psychology of sex differences / Eleanor Emmons Maccoby and Carol Nagy Jacklin.</t>
  </si>
  <si>
    <t>Maccoby, Eleanor E., 1917-2018.</t>
  </si>
  <si>
    <t>Stanford, Calif. : Stanford University Press, 1974.</t>
  </si>
  <si>
    <t>2008-04-10</t>
  </si>
  <si>
    <t>2094036:eng</t>
  </si>
  <si>
    <t>1160097</t>
  </si>
  <si>
    <t>991003579219702656</t>
  </si>
  <si>
    <t>2269819320002656</t>
  </si>
  <si>
    <t>9780804708593</t>
  </si>
  <si>
    <t>32285002252749</t>
  </si>
  <si>
    <t>893428947</t>
  </si>
  <si>
    <t>BF692 .M4</t>
  </si>
  <si>
    <t>0                      BF 0692000M  4</t>
  </si>
  <si>
    <t>Love against hate / [by] Karl Menninger, M.D., with the collaboration of Jeanetta Lyle Menninger.</t>
  </si>
  <si>
    <t>Menninger, Karl A. (Karl Augustus), 1893-1990.</t>
  </si>
  <si>
    <t>New York : Harcourt, Brace and company, [1942]</t>
  </si>
  <si>
    <t>1996-10-02</t>
  </si>
  <si>
    <t>1994-04-18</t>
  </si>
  <si>
    <t>103208278:eng</t>
  </si>
  <si>
    <t>203707</t>
  </si>
  <si>
    <t>991001231359702656</t>
  </si>
  <si>
    <t>2255942030002656</t>
  </si>
  <si>
    <t>32285001889129</t>
  </si>
  <si>
    <t>893866069</t>
  </si>
  <si>
    <t>BF692 .R64</t>
  </si>
  <si>
    <t>0                      BF 0692000R  64</t>
  </si>
  <si>
    <t>Sex and identity [by] B. G. Rosenberg [and] Brian Sutton-Smith.</t>
  </si>
  <si>
    <t>Rosenberg, B. G. (Benjamin George), 1922-</t>
  </si>
  <si>
    <t>New York, Holt, Rinehart and Winston [1972]</t>
  </si>
  <si>
    <t>The Person in psychology series</t>
  </si>
  <si>
    <t>1996-08-02</t>
  </si>
  <si>
    <t>1406847:eng</t>
  </si>
  <si>
    <t>247790</t>
  </si>
  <si>
    <t>991001928219702656</t>
  </si>
  <si>
    <t>2258017370002656</t>
  </si>
  <si>
    <t>9780030790607</t>
  </si>
  <si>
    <t>32285002252764</t>
  </si>
  <si>
    <t>893238467</t>
  </si>
  <si>
    <t>BF692 .S49 1987</t>
  </si>
  <si>
    <t>0                      BF 0692000S  49          1987</t>
  </si>
  <si>
    <t>Sex and gender / editors, Phillip Shaver and Clyde Hendrick.</t>
  </si>
  <si>
    <t>Review of personality and social psychology, 0270-1987 ; 7</t>
  </si>
  <si>
    <t>2007-12-01</t>
  </si>
  <si>
    <t>350141944:eng</t>
  </si>
  <si>
    <t>18882379</t>
  </si>
  <si>
    <t>991001002069702656</t>
  </si>
  <si>
    <t>2267102860002656</t>
  </si>
  <si>
    <t>9780803929302</t>
  </si>
  <si>
    <t>32285005297675</t>
  </si>
  <si>
    <t>893528575</t>
  </si>
  <si>
    <t>BF692 .S75 1968</t>
  </si>
  <si>
    <t>0                      BF 0692000S  75          1968</t>
  </si>
  <si>
    <t>Introduction to the psychoanalytic theory of the libido.</t>
  </si>
  <si>
    <t>Sterba, Richard F.</t>
  </si>
  <si>
    <t>[New York] R. Brunner, 1968.</t>
  </si>
  <si>
    <t>149558:eng</t>
  </si>
  <si>
    <t>442536</t>
  </si>
  <si>
    <t>991002788439702656</t>
  </si>
  <si>
    <t>2255951110002656</t>
  </si>
  <si>
    <t>32285002252780</t>
  </si>
  <si>
    <t>893530473</t>
  </si>
  <si>
    <t>BF692 .S76</t>
  </si>
  <si>
    <t>0                      BF 0692000S  76</t>
  </si>
  <si>
    <t>The flight from woman.</t>
  </si>
  <si>
    <t>Stern, Karl.</t>
  </si>
  <si>
    <t>New York : Farrar, Straus and Giroux, [1965]</t>
  </si>
  <si>
    <t>2010-07-19</t>
  </si>
  <si>
    <t>1991-07-03</t>
  </si>
  <si>
    <t>1611064:eng</t>
  </si>
  <si>
    <t>604041</t>
  </si>
  <si>
    <t>991003042749702656</t>
  </si>
  <si>
    <t>2260714910002656</t>
  </si>
  <si>
    <t>32285000636018</t>
  </si>
  <si>
    <t>893409863</t>
  </si>
  <si>
    <t>BF692 .Z54 1984</t>
  </si>
  <si>
    <t>0                      BF 0692000Z  54          1984</t>
  </si>
  <si>
    <t>Connections between sex and aggression / Dolf Zillmann.</t>
  </si>
  <si>
    <t>Hillsdale, N.J. : Lawrence Erlbaum Associates, 1984.</t>
  </si>
  <si>
    <t>2000-12-01</t>
  </si>
  <si>
    <t>1378863467:eng</t>
  </si>
  <si>
    <t>10100738</t>
  </si>
  <si>
    <t>991000312719702656</t>
  </si>
  <si>
    <t>2256141290002656</t>
  </si>
  <si>
    <t>9780898593334</t>
  </si>
  <si>
    <t>32285001601185</t>
  </si>
  <si>
    <t>893425585</t>
  </si>
  <si>
    <t>BF692.2 .C66 1985</t>
  </si>
  <si>
    <t>0                      BF 0692200C  66          1985</t>
  </si>
  <si>
    <t>Psychological androgyny / Ellen Piel Cook.</t>
  </si>
  <si>
    <t>Cook, Ellen Piel, 1952-</t>
  </si>
  <si>
    <t>New York : Pergamon Press, c1985.</t>
  </si>
  <si>
    <t>Pergamon general psychology series ; 133</t>
  </si>
  <si>
    <t>2006-06-18</t>
  </si>
  <si>
    <t>1992-03-26</t>
  </si>
  <si>
    <t>4749084:eng</t>
  </si>
  <si>
    <t>11599197</t>
  </si>
  <si>
    <t>991000562249702656</t>
  </si>
  <si>
    <t>2261533500002656</t>
  </si>
  <si>
    <t>9780080316123</t>
  </si>
  <si>
    <t>32285001004794</t>
  </si>
  <si>
    <t>893351575</t>
  </si>
  <si>
    <t>BF692.2 .G66</t>
  </si>
  <si>
    <t>0                      BF 0692200G  66</t>
  </si>
  <si>
    <t>Turning points / Ellen Goodman.</t>
  </si>
  <si>
    <t>Goodman, Ellen.</t>
  </si>
  <si>
    <t>Garden City, N.Y. : Doubleday, 1979.</t>
  </si>
  <si>
    <t>2001-12-21</t>
  </si>
  <si>
    <t>3551580:eng</t>
  </si>
  <si>
    <t>4516151</t>
  </si>
  <si>
    <t>991004672329702656</t>
  </si>
  <si>
    <t>2264636560002656</t>
  </si>
  <si>
    <t>9780385098144</t>
  </si>
  <si>
    <t>32285001601201</t>
  </si>
  <si>
    <t>893253976</t>
  </si>
  <si>
    <t>BF692.2 .L56</t>
  </si>
  <si>
    <t>0                      BF 0692200L  56</t>
  </si>
  <si>
    <t>The psychology of sex differences / Hilary M. Lips &amp; Nina Lee Colwill.</t>
  </si>
  <si>
    <t>Lips, Hilary M.</t>
  </si>
  <si>
    <t>Englewood Cliffs, N.J. : Prentice-Hall, c1978.</t>
  </si>
  <si>
    <t>2006-10-03</t>
  </si>
  <si>
    <t>1993-06-24</t>
  </si>
  <si>
    <t>411981:eng</t>
  </si>
  <si>
    <t>4498730</t>
  </si>
  <si>
    <t>991004663339702656</t>
  </si>
  <si>
    <t>2262974240002656</t>
  </si>
  <si>
    <t>9780137365616</t>
  </si>
  <si>
    <t>32285001732097</t>
  </si>
  <si>
    <t>893889021</t>
  </si>
  <si>
    <t>BF692.2 .M38 1980</t>
  </si>
  <si>
    <t>0                      BF 0692200M  38          1980</t>
  </si>
  <si>
    <t>Sex and fantasy : patterns of male and female development / Robert May.</t>
  </si>
  <si>
    <t>May, Robert, 1940-</t>
  </si>
  <si>
    <t>New York : Norton, c1980.</t>
  </si>
  <si>
    <t>2006-05-05</t>
  </si>
  <si>
    <t>519621:eng</t>
  </si>
  <si>
    <t>5804008</t>
  </si>
  <si>
    <t>991004879049702656</t>
  </si>
  <si>
    <t>2260138510002656</t>
  </si>
  <si>
    <t>9780393013160</t>
  </si>
  <si>
    <t>32285000122175</t>
  </si>
  <si>
    <t>893350465</t>
  </si>
  <si>
    <t>BF692.2 .M66</t>
  </si>
  <si>
    <t>0                      BF 0692200M  66</t>
  </si>
  <si>
    <t>Sexual signatures : on being a man or a woman / John Money, Patricia Tucker.</t>
  </si>
  <si>
    <t>Money, John, 1921-2006.</t>
  </si>
  <si>
    <t>Boston : Little, Brown, [1975]</t>
  </si>
  <si>
    <t>1999-10-03</t>
  </si>
  <si>
    <t>197270971:eng</t>
  </si>
  <si>
    <t>1095040</t>
  </si>
  <si>
    <t>991003532869702656</t>
  </si>
  <si>
    <t>2268074330002656</t>
  </si>
  <si>
    <t>9780316578264</t>
  </si>
  <si>
    <t>32285002252798</t>
  </si>
  <si>
    <t>893352868</t>
  </si>
  <si>
    <t>BF692.2 .P77 1987</t>
  </si>
  <si>
    <t>0                      BF 0692200P  77          1987</t>
  </si>
  <si>
    <t>The Psychology of sex roles / edited by David J. Hargreaves and Ann M. Colley.</t>
  </si>
  <si>
    <t>Washington : Hemisphere Pub. Corp., c1987.</t>
  </si>
  <si>
    <t>2005-11-23</t>
  </si>
  <si>
    <t>479345476:eng</t>
  </si>
  <si>
    <t>16086156</t>
  </si>
  <si>
    <t>991001080639702656</t>
  </si>
  <si>
    <t>2257527750002656</t>
  </si>
  <si>
    <t>9780891167761</t>
  </si>
  <si>
    <t>32285000829746</t>
  </si>
  <si>
    <t>893522274</t>
  </si>
  <si>
    <t>BF692.2 .S27</t>
  </si>
  <si>
    <t>0                      BF 0692200S  27</t>
  </si>
  <si>
    <t>Beyond sex roles / Alice G. Sargent.</t>
  </si>
  <si>
    <t>Sargent, Alice G., 1939-</t>
  </si>
  <si>
    <t>St. Paul : West Pub. Co., c1977.</t>
  </si>
  <si>
    <t>2009-04-20</t>
  </si>
  <si>
    <t>5017499:eng</t>
  </si>
  <si>
    <t>2346102</t>
  </si>
  <si>
    <t>991004091999702656</t>
  </si>
  <si>
    <t>2260866870002656</t>
  </si>
  <si>
    <t>9780829901047</t>
  </si>
  <si>
    <t>32285001601227</t>
  </si>
  <si>
    <t>893781832</t>
  </si>
  <si>
    <t>BF692.2 .S29 1986</t>
  </si>
  <si>
    <t>0                      BF 0692200S  29          1986</t>
  </si>
  <si>
    <t>Sexual contradictions : psychology, psychoanalysis, and feminism / Janet Sayers.</t>
  </si>
  <si>
    <t>Sayers, Janet.</t>
  </si>
  <si>
    <t>London ; New York : Tavistock Publications, 1986.</t>
  </si>
  <si>
    <t>2000-02-20</t>
  </si>
  <si>
    <t>312597550:eng</t>
  </si>
  <si>
    <t>12972827</t>
  </si>
  <si>
    <t>991000760359702656</t>
  </si>
  <si>
    <t>2263642960002656</t>
  </si>
  <si>
    <t>9780422787901</t>
  </si>
  <si>
    <t>32285000895101</t>
  </si>
  <si>
    <t>893614479</t>
  </si>
  <si>
    <t>BF692.2 .S45</t>
  </si>
  <si>
    <t>0                      BF 0692200S  45</t>
  </si>
  <si>
    <t>Sex differences : mental and temperamental / John P. Seward, Georgene H. Seward.</t>
  </si>
  <si>
    <t>Seward, John P., 1905-1985.</t>
  </si>
  <si>
    <t>2002-11-05</t>
  </si>
  <si>
    <t>1992-03-24</t>
  </si>
  <si>
    <t>12711899:eng</t>
  </si>
  <si>
    <t>6142555</t>
  </si>
  <si>
    <t>991004935219702656</t>
  </si>
  <si>
    <t>2261558770002656</t>
  </si>
  <si>
    <t>9780669036299</t>
  </si>
  <si>
    <t>32285001014942</t>
  </si>
  <si>
    <t>893883128</t>
  </si>
  <si>
    <t>BF692.2 .S48</t>
  </si>
  <si>
    <t>0                      BF 0692200S  48</t>
  </si>
  <si>
    <t>Sex differences : cultural and developmental dimensions / Patrick C. Lee and Robert Sussman Stewart, editors.</t>
  </si>
  <si>
    <t>New York : Urizen Books, c1976.</t>
  </si>
  <si>
    <t>890621312:eng</t>
  </si>
  <si>
    <t>2542955</t>
  </si>
  <si>
    <t>991004158779702656</t>
  </si>
  <si>
    <t>2272187650002656</t>
  </si>
  <si>
    <t>9780916354220</t>
  </si>
  <si>
    <t>32285004801550</t>
  </si>
  <si>
    <t>893259400</t>
  </si>
  <si>
    <t>BF692.2 .Z65 1981</t>
  </si>
  <si>
    <t>0                      BF 0692200Z  65          1981</t>
  </si>
  <si>
    <t>The androgyne, reconciliation of male and female / Elémire Zolla.</t>
  </si>
  <si>
    <t>Zolla, Elémire.</t>
  </si>
  <si>
    <t>New York : Crossroad, c1981.</t>
  </si>
  <si>
    <t>The illustrated library of sacred imagination</t>
  </si>
  <si>
    <t>1999-12-06</t>
  </si>
  <si>
    <t>490948:eng</t>
  </si>
  <si>
    <t>8225666</t>
  </si>
  <si>
    <t>991005221509702656</t>
  </si>
  <si>
    <t>2270554230002656</t>
  </si>
  <si>
    <t>9780082450061</t>
  </si>
  <si>
    <t>32285001000008</t>
  </si>
  <si>
    <t>893514253</t>
  </si>
  <si>
    <t>BF697 .B685 1973b</t>
  </si>
  <si>
    <t>0                      BF 0697000B  685         1973b</t>
  </si>
  <si>
    <t>The disowned self.</t>
  </si>
  <si>
    <t>Branden, Nathaniel.</t>
  </si>
  <si>
    <t>New York : Bantam Books, [1973]</t>
  </si>
  <si>
    <t>1992-01-30</t>
  </si>
  <si>
    <t>1327212:eng</t>
  </si>
  <si>
    <t>1379624</t>
  </si>
  <si>
    <t>991003729209702656</t>
  </si>
  <si>
    <t>2256621630002656</t>
  </si>
  <si>
    <t>32285000931260</t>
  </si>
  <si>
    <t>893258777</t>
  </si>
  <si>
    <t>BF697 .B7</t>
  </si>
  <si>
    <t>0                      BF 0697000B  7</t>
  </si>
  <si>
    <t>The psychology of self-esteem : a new concept of man's psychological nature.</t>
  </si>
  <si>
    <t>Los Angeles : Nash Pub. Corp., 1969.</t>
  </si>
  <si>
    <t>2005-03-21</t>
  </si>
  <si>
    <t>1991-08-13</t>
  </si>
  <si>
    <t>1146971:eng</t>
  </si>
  <si>
    <t>24729</t>
  </si>
  <si>
    <t>991000061739702656</t>
  </si>
  <si>
    <t>2266858250002656</t>
  </si>
  <si>
    <t>9780840211095</t>
  </si>
  <si>
    <t>32285000683093</t>
  </si>
  <si>
    <t>893242943</t>
  </si>
  <si>
    <t>BF697 .C86 1985</t>
  </si>
  <si>
    <t>0                      BF 0697000C  86          1985</t>
  </si>
  <si>
    <t>Culture and self : Asian and Western perspectives / edited by Anthony J. Marsella, George DeVos, and Francis L.K. Hsu.</t>
  </si>
  <si>
    <t>New York : Tavistock Publications, 1985.</t>
  </si>
  <si>
    <t>Social science paperbacks ; 280</t>
  </si>
  <si>
    <t>2008-02-28</t>
  </si>
  <si>
    <t>793564368:eng</t>
  </si>
  <si>
    <t>11624089</t>
  </si>
  <si>
    <t>991000568549702656</t>
  </si>
  <si>
    <t>2264199690002656</t>
  </si>
  <si>
    <t>9780422791403</t>
  </si>
  <si>
    <t>32285001085819</t>
  </si>
  <si>
    <t>893237421</t>
  </si>
  <si>
    <t>BF697 .F484</t>
  </si>
  <si>
    <t>0                      BF 0697000F  484</t>
  </si>
  <si>
    <t>Body consciousness; you are what you feel.</t>
  </si>
  <si>
    <t>Englewood Cliffs, N.J., Prentice-Hall [1973]</t>
  </si>
  <si>
    <t>2002-10-07</t>
  </si>
  <si>
    <t>2287742928:eng</t>
  </si>
  <si>
    <t>549316</t>
  </si>
  <si>
    <t>991002971249702656</t>
  </si>
  <si>
    <t>2265742680002656</t>
  </si>
  <si>
    <t>9780130785275</t>
  </si>
  <si>
    <t>32285002252889</t>
  </si>
  <si>
    <t>893227515</t>
  </si>
  <si>
    <t>BF697 .G38</t>
  </si>
  <si>
    <t>0                      BF 0697000G  38</t>
  </si>
  <si>
    <t>The concept of self / [by] Kenneth J. Gergen.</t>
  </si>
  <si>
    <t>Gergen, Kenneth J.</t>
  </si>
  <si>
    <t>New York : Holt, Rinehart and Winston, [1971]</t>
  </si>
  <si>
    <t>The Person in psychology</t>
  </si>
  <si>
    <t>2000-02-23</t>
  </si>
  <si>
    <t>1260222:eng</t>
  </si>
  <si>
    <t>129159</t>
  </si>
  <si>
    <t>991000740239702656</t>
  </si>
  <si>
    <t>2266630360002656</t>
  </si>
  <si>
    <t>9780030774157</t>
  </si>
  <si>
    <t>32285000876010</t>
  </si>
  <si>
    <t>893237574</t>
  </si>
  <si>
    <t>BF697 .H327 1978</t>
  </si>
  <si>
    <t>0                      BF 0697000H  327         1978</t>
  </si>
  <si>
    <t>Encounters with the self / by Don E. Hamachek.</t>
  </si>
  <si>
    <t>Hamachek, Don E.</t>
  </si>
  <si>
    <t>New York : Holt, Rinehart and Winston, c1978.</t>
  </si>
  <si>
    <t>1993-10-17</t>
  </si>
  <si>
    <t>1992-02-11</t>
  </si>
  <si>
    <t>1224880:eng</t>
  </si>
  <si>
    <t>3608854</t>
  </si>
  <si>
    <t>991004475089702656</t>
  </si>
  <si>
    <t>2271272480002656</t>
  </si>
  <si>
    <t>9780030198519</t>
  </si>
  <si>
    <t>32285000945294</t>
  </si>
  <si>
    <t>893353410</t>
  </si>
  <si>
    <t>BF697 .I34</t>
  </si>
  <si>
    <t>0                      BF 0697000I  34</t>
  </si>
  <si>
    <t>The Identities of persons / edited by Amélie Oksenberg Rorty.</t>
  </si>
  <si>
    <t>Berkeley : University of California Press, 1976.</t>
  </si>
  <si>
    <t>Topics in philosophy ; v. 3</t>
  </si>
  <si>
    <t>111004503:eng</t>
  </si>
  <si>
    <t>2606224</t>
  </si>
  <si>
    <t>991004181639702656</t>
  </si>
  <si>
    <t>2267014450002656</t>
  </si>
  <si>
    <t>32285002186681</t>
  </si>
  <si>
    <t>893788374</t>
  </si>
  <si>
    <t>BF697 .L6</t>
  </si>
  <si>
    <t>0                      BF 0697000L  6</t>
  </si>
  <si>
    <t>The betrayal of the body.</t>
  </si>
  <si>
    <t>Lowen, Alexander, 1910-2008.</t>
  </si>
  <si>
    <t>New York : Macmillan, [c1967]</t>
  </si>
  <si>
    <t>398196:eng</t>
  </si>
  <si>
    <t>642484</t>
  </si>
  <si>
    <t>991003092239702656</t>
  </si>
  <si>
    <t>2262045340002656</t>
  </si>
  <si>
    <t>32285000879402</t>
  </si>
  <si>
    <t>893686186</t>
  </si>
  <si>
    <t>BF697 .M673</t>
  </si>
  <si>
    <t>0                      BF 0697000M  673</t>
  </si>
  <si>
    <t>Finding yourself, finding others / [by] Clark E. Moustakas.</t>
  </si>
  <si>
    <t>A Spectrum book, S-353</t>
  </si>
  <si>
    <t>2002-11-07</t>
  </si>
  <si>
    <t>1944501:eng</t>
  </si>
  <si>
    <t>980257</t>
  </si>
  <si>
    <t>991003444759702656</t>
  </si>
  <si>
    <t>2271342440002656</t>
  </si>
  <si>
    <t>9780133147087</t>
  </si>
  <si>
    <t>32285000683085</t>
  </si>
  <si>
    <t>893499293</t>
  </si>
  <si>
    <t>BF697 .R657 1979</t>
  </si>
  <si>
    <t>0                      BF 0697000R  657         1979</t>
  </si>
  <si>
    <t>Conceiving the self / Morris Rosenberg.</t>
  </si>
  <si>
    <t>Rosenberg, Morris.</t>
  </si>
  <si>
    <t>7953018:eng</t>
  </si>
  <si>
    <t>4495621</t>
  </si>
  <si>
    <t>991001777159702656</t>
  </si>
  <si>
    <t>2268100480002656</t>
  </si>
  <si>
    <t>9780465013524</t>
  </si>
  <si>
    <t>32285001574358</t>
  </si>
  <si>
    <t>893621611</t>
  </si>
  <si>
    <t>BF697 .S434 1991</t>
  </si>
  <si>
    <t>0                      BF 0697000S  434         1991</t>
  </si>
  <si>
    <t>The Self : interdisciplinary approaches / Jaine Strauss, George R. Goethals, editors.</t>
  </si>
  <si>
    <t>New York : Springer-Verlag, c1991.</t>
  </si>
  <si>
    <t>2001-06-08</t>
  </si>
  <si>
    <t>1997-08-27</t>
  </si>
  <si>
    <t>890078813:eng</t>
  </si>
  <si>
    <t>23582920</t>
  </si>
  <si>
    <t>991001869069702656</t>
  </si>
  <si>
    <t>2256073320002656</t>
  </si>
  <si>
    <t>9780387975368</t>
  </si>
  <si>
    <t>32285003001921</t>
  </si>
  <si>
    <t>893772977</t>
  </si>
  <si>
    <t>BF697 .S465 1989</t>
  </si>
  <si>
    <t>0                      BF 0697000S  465         1989</t>
  </si>
  <si>
    <t>The body/mind conceptual framework &amp; the problem of personal identity : some theories in philosophy, psychoanalysis &amp; neurology / Albert Shalom.</t>
  </si>
  <si>
    <t>Shalom, Albert.</t>
  </si>
  <si>
    <t>Atlantic Highlands, N.J. : Humanities Press International, 1989.</t>
  </si>
  <si>
    <t>1993-11-12</t>
  </si>
  <si>
    <t>1992-03-10</t>
  </si>
  <si>
    <t>3428507:eng</t>
  </si>
  <si>
    <t>19402882</t>
  </si>
  <si>
    <t>991001459239702656</t>
  </si>
  <si>
    <t>2257046170002656</t>
  </si>
  <si>
    <t>9780391035768</t>
  </si>
  <si>
    <t>32285000996156</t>
  </si>
  <si>
    <t>893250257</t>
  </si>
  <si>
    <t>BF697 .S67 1982</t>
  </si>
  <si>
    <t>0                      BF 0697000S  67          1982</t>
  </si>
  <si>
    <t>Social psychology of the self-concept / edited by Morris Rosenberg, Howard B. Kaplan.</t>
  </si>
  <si>
    <t>Arlington Heights, Ill. : H. Davidson, c1982.</t>
  </si>
  <si>
    <t>2008-11-09</t>
  </si>
  <si>
    <t>350971555:eng</t>
  </si>
  <si>
    <t>8389424</t>
  </si>
  <si>
    <t>991005237919702656</t>
  </si>
  <si>
    <t>2261415030002656</t>
  </si>
  <si>
    <t>9780882952147</t>
  </si>
  <si>
    <t>32285001601326</t>
  </si>
  <si>
    <t>893720039</t>
  </si>
  <si>
    <t>BF697 .W3</t>
  </si>
  <si>
    <t>0                      BF 0697000W  3</t>
  </si>
  <si>
    <t>The body percept [by] Seymour Wapner [et al.] Ed. by Seymour Wapner and Heinz Werner.</t>
  </si>
  <si>
    <t>Wapner, Seymour, 1917-2003.</t>
  </si>
  <si>
    <t>New York. Random House [c1965]</t>
  </si>
  <si>
    <t>Studies in psychology ; PP30</t>
  </si>
  <si>
    <t>2000-09-25</t>
  </si>
  <si>
    <t>2193654:eng</t>
  </si>
  <si>
    <t>1317672</t>
  </si>
  <si>
    <t>991003688569702656</t>
  </si>
  <si>
    <t>2269374660002656</t>
  </si>
  <si>
    <t>32285002252962</t>
  </si>
  <si>
    <t>893598855</t>
  </si>
  <si>
    <t>BF697 .W36</t>
  </si>
  <si>
    <t>0                      BF 0697000W  36</t>
  </si>
  <si>
    <t>Sources of self-evaluation : a formal theory of significant others and social influence / [by] Murray Webster, Jr. [and] Barbara Sobieszek.</t>
  </si>
  <si>
    <t>Webster, Murray, 1941-</t>
  </si>
  <si>
    <t>1992-12-03</t>
  </si>
  <si>
    <t>1817904:eng</t>
  </si>
  <si>
    <t>858881</t>
  </si>
  <si>
    <t>991003329059702656</t>
  </si>
  <si>
    <t>2267337020002656</t>
  </si>
  <si>
    <t>9780471924401</t>
  </si>
  <si>
    <t>32285001412492</t>
  </si>
  <si>
    <t>893711272</t>
  </si>
  <si>
    <t>BF697 .W4935 1988</t>
  </si>
  <si>
    <t>0                      BF 0697000W  4935        1988</t>
  </si>
  <si>
    <t>Real people : personal identity without thought experiments / Kathleen V. Wilkes.</t>
  </si>
  <si>
    <t>2004-03-31</t>
  </si>
  <si>
    <t>836726582:eng</t>
  </si>
  <si>
    <t>17650213</t>
  </si>
  <si>
    <t>991005409079702656</t>
  </si>
  <si>
    <t>2268361940002656</t>
  </si>
  <si>
    <t>9780198249559</t>
  </si>
  <si>
    <t>32285000512011</t>
  </si>
  <si>
    <t>893437793</t>
  </si>
  <si>
    <t>BF697.5.B63 S73 1993</t>
  </si>
  <si>
    <t>0                      BF 0697500B  63                 S  73          1993</t>
  </si>
  <si>
    <t>Body criticism : imaging the unseen in Enlightenment art and medicine / Barbara Maria Stafford.</t>
  </si>
  <si>
    <t>Stafford, Barbara Maria, 1941-</t>
  </si>
  <si>
    <t>Cambridge, Mass. : MIT Press, 1993, c1991.</t>
  </si>
  <si>
    <t>1st MIT Press pbk. ed.</t>
  </si>
  <si>
    <t>2007-09-13</t>
  </si>
  <si>
    <t>2005-10-13</t>
  </si>
  <si>
    <t>24526536:eng</t>
  </si>
  <si>
    <t>31820047</t>
  </si>
  <si>
    <t>991004678729702656</t>
  </si>
  <si>
    <t>2267231770002656</t>
  </si>
  <si>
    <t>9780262691659</t>
  </si>
  <si>
    <t>32285005089718</t>
  </si>
  <si>
    <t>893795148</t>
  </si>
  <si>
    <t>BF697.5.S43 S43 1994</t>
  </si>
  <si>
    <t>0                      BF 0697500S  43                 S  43          1994</t>
  </si>
  <si>
    <t>Self-awareness in animals and humans : developmental perspectives / edited by Sue Taylor Parker, Robert W. Mitchell and Maria L. Boccia.</t>
  </si>
  <si>
    <t>Cambridge [England] ; New York, NY : Cambridge University Press, 1994.</t>
  </si>
  <si>
    <t>2010-06-02</t>
  </si>
  <si>
    <t>1995-04-17</t>
  </si>
  <si>
    <t>896276330:eng</t>
  </si>
  <si>
    <t>28180680</t>
  </si>
  <si>
    <t>991002189019702656</t>
  </si>
  <si>
    <t>2271693350002656</t>
  </si>
  <si>
    <t>9780521441087</t>
  </si>
  <si>
    <t>32285002018538</t>
  </si>
  <si>
    <t>893709963</t>
  </si>
  <si>
    <t>BF697.5.S44 S59 1987</t>
  </si>
  <si>
    <t>0                      BF 0697500S  44                 S  59          1987</t>
  </si>
  <si>
    <t>Public appearances, private realities : the psychology of self-monitoring / Mark Snyder.</t>
  </si>
  <si>
    <t>Snyder, Mark.</t>
  </si>
  <si>
    <t>New York : Freeman, c1987.</t>
  </si>
  <si>
    <t>795393675:eng</t>
  </si>
  <si>
    <t>13357952</t>
  </si>
  <si>
    <t>991000815489702656</t>
  </si>
  <si>
    <t>2265392070002656</t>
  </si>
  <si>
    <t>9780716717980</t>
  </si>
  <si>
    <t>32285001412484</t>
  </si>
  <si>
    <t>893237627</t>
  </si>
  <si>
    <t>BF698 .A42</t>
  </si>
  <si>
    <t>0                      BF 0698000A  42</t>
  </si>
  <si>
    <t>Personality and social encounter; selected essays.</t>
  </si>
  <si>
    <t>Boston, Beacon Press [1960]</t>
  </si>
  <si>
    <t>2003-02-26</t>
  </si>
  <si>
    <t>1322565:eng</t>
  </si>
  <si>
    <t>220661</t>
  </si>
  <si>
    <t>991001311359702656</t>
  </si>
  <si>
    <t>2261455370002656</t>
  </si>
  <si>
    <t>32285002253036</t>
  </si>
  <si>
    <t>893602509</t>
  </si>
  <si>
    <t>BF698 .B26</t>
  </si>
  <si>
    <t>0                      BF 0698000B  26</t>
  </si>
  <si>
    <t>The shaping of personality; text and readings for a social-learning view [edited by] Georgia Babladelis [and] Suzanne Adams.</t>
  </si>
  <si>
    <t>Babladelis, Georgia, editor.</t>
  </si>
  <si>
    <t>Englewood Cliffs, N.J., Prentice-Hall [1967]</t>
  </si>
  <si>
    <t>Prentice-Hall psychology series</t>
  </si>
  <si>
    <t>2000-09-23</t>
  </si>
  <si>
    <t>257214180:eng</t>
  </si>
  <si>
    <t>889308</t>
  </si>
  <si>
    <t>991003355869702656</t>
  </si>
  <si>
    <t>2255422160002656</t>
  </si>
  <si>
    <t>32285002253069</t>
  </si>
  <si>
    <t>893531119</t>
  </si>
  <si>
    <t>BF698 .B88 1988</t>
  </si>
  <si>
    <t>0                      BF 0698000B  88          1988</t>
  </si>
  <si>
    <t>Personality : evolutionary heritage and human distinctiveness / Arnold H. Buss.</t>
  </si>
  <si>
    <t>Buss, Arnold H., 1924-</t>
  </si>
  <si>
    <t>1996-06-21</t>
  </si>
  <si>
    <t>1990-05-03</t>
  </si>
  <si>
    <t>196074184:eng</t>
  </si>
  <si>
    <t>17484523</t>
  </si>
  <si>
    <t>991001223729702656</t>
  </si>
  <si>
    <t>2255301470002656</t>
  </si>
  <si>
    <t>9780805802986</t>
  </si>
  <si>
    <t>32285000118017</t>
  </si>
  <si>
    <t>893797414</t>
  </si>
  <si>
    <t>BF698 .B9 1981</t>
  </si>
  <si>
    <t>0                      BF 0698000B  9           1981</t>
  </si>
  <si>
    <t>An introduction to personality / Donn Byrne, Kathryn Kelley.</t>
  </si>
  <si>
    <t>Byrne, Donn Erwin.</t>
  </si>
  <si>
    <t>2003-03-17</t>
  </si>
  <si>
    <t>5218775534:eng</t>
  </si>
  <si>
    <t>6789168</t>
  </si>
  <si>
    <t>991005039839702656</t>
  </si>
  <si>
    <t>2263856510002656</t>
  </si>
  <si>
    <t>9780134916057</t>
  </si>
  <si>
    <t>32285001601409</t>
  </si>
  <si>
    <t>893883247</t>
  </si>
  <si>
    <t>BF698 .D517</t>
  </si>
  <si>
    <t>0                      BF 0698000D  517</t>
  </si>
  <si>
    <t>The good life : models for a healthy personality / Nicholas S. DiCaprio.</t>
  </si>
  <si>
    <t>DiCaprio, Nicholas S.</t>
  </si>
  <si>
    <t>A Spectrum book, S-411</t>
  </si>
  <si>
    <t>2004-01-15</t>
  </si>
  <si>
    <t>1175494147:eng</t>
  </si>
  <si>
    <t>2331838</t>
  </si>
  <si>
    <t>991004084969702656</t>
  </si>
  <si>
    <t>2264142380002656</t>
  </si>
  <si>
    <t>9780133603965</t>
  </si>
  <si>
    <t>32285000736115</t>
  </si>
  <si>
    <t>893722258</t>
  </si>
  <si>
    <t>BF698 .D52</t>
  </si>
  <si>
    <t>0                      BF 0698000D  52</t>
  </si>
  <si>
    <t>Personality theories : guides to living / [by] Nicholas S. DiCaprio.</t>
  </si>
  <si>
    <t>Philadelphia : Saunders, 1974.</t>
  </si>
  <si>
    <t>2007-02-16</t>
  </si>
  <si>
    <t>3901040357:eng</t>
  </si>
  <si>
    <t>902550</t>
  </si>
  <si>
    <t>991003367199702656</t>
  </si>
  <si>
    <t>2262644280002656</t>
  </si>
  <si>
    <t>9780721630557</t>
  </si>
  <si>
    <t>32285001380673</t>
  </si>
  <si>
    <t>893535450</t>
  </si>
  <si>
    <t>BF698 .D54</t>
  </si>
  <si>
    <t>0                      BF 0698000D  54</t>
  </si>
  <si>
    <t>The human personality / Dean Diggins, Jack Huber.</t>
  </si>
  <si>
    <t>Diggins, Dean.</t>
  </si>
  <si>
    <t>Boston : Little, Brown, c1976.</t>
  </si>
  <si>
    <t>1995-10-05</t>
  </si>
  <si>
    <t>3934066:eng</t>
  </si>
  <si>
    <t>2160961</t>
  </si>
  <si>
    <t>991004032759702656</t>
  </si>
  <si>
    <t>2262620900002656</t>
  </si>
  <si>
    <t>32285001094027</t>
  </si>
  <si>
    <t>893525554</t>
  </si>
  <si>
    <t>BF698 .D56</t>
  </si>
  <si>
    <t>0                      BF 0698000D  56</t>
  </si>
  <si>
    <t>Dimensions of personality / edited by Harvey London, John E. Exner, Jr.</t>
  </si>
  <si>
    <t>2007-04-11</t>
  </si>
  <si>
    <t>3943997799:eng</t>
  </si>
  <si>
    <t>3481179</t>
  </si>
  <si>
    <t>991004445199702656</t>
  </si>
  <si>
    <t>2264442200002656</t>
  </si>
  <si>
    <t>9780471543923</t>
  </si>
  <si>
    <t>32285000982347</t>
  </si>
  <si>
    <t>893325393</t>
  </si>
  <si>
    <t>BF698 .F74</t>
  </si>
  <si>
    <t>0                      BF 0698000F  74</t>
  </si>
  <si>
    <t>Humanistic psychology : interviews with Maslow, Murphy, and Rogers / [by] Willard B. Frick.</t>
  </si>
  <si>
    <t>Frick, Willard B.</t>
  </si>
  <si>
    <t>Columbus, Ohio : Merrill, [1971]</t>
  </si>
  <si>
    <t>1996-09-05</t>
  </si>
  <si>
    <t>1993-06-17</t>
  </si>
  <si>
    <t>1369356:eng</t>
  </si>
  <si>
    <t>196823</t>
  </si>
  <si>
    <t>991001221219702656</t>
  </si>
  <si>
    <t>2270157850002656</t>
  </si>
  <si>
    <t>9780675099660</t>
  </si>
  <si>
    <t>32285001696789</t>
  </si>
  <si>
    <t>893903342</t>
  </si>
  <si>
    <t>BF698 .G38</t>
  </si>
  <si>
    <t>0                      BF 0698000G  38</t>
  </si>
  <si>
    <t>Personality : the skein of behavior / Russell G. Geen.</t>
  </si>
  <si>
    <t>Geen, Russell G., 1932-</t>
  </si>
  <si>
    <t>Saint Louis : Mosby, 1976.</t>
  </si>
  <si>
    <t>2001-10-02</t>
  </si>
  <si>
    <t>308867565:eng</t>
  </si>
  <si>
    <t>1230568</t>
  </si>
  <si>
    <t>991003636379702656</t>
  </si>
  <si>
    <t>2258204460002656</t>
  </si>
  <si>
    <t>9780801617942</t>
  </si>
  <si>
    <t>32285001500692</t>
  </si>
  <si>
    <t>893342785</t>
  </si>
  <si>
    <t>BF698 .H33 1978</t>
  </si>
  <si>
    <t>0                      BF 0698000H  33          1978</t>
  </si>
  <si>
    <t>Theories of personality / Calvin S. Hall, Gardner Lindzey.</t>
  </si>
  <si>
    <t>Hall, Calvin S. (Calvin Springer), 1909-1985.</t>
  </si>
  <si>
    <t>2003-10-28</t>
  </si>
  <si>
    <t>4915232291:eng</t>
  </si>
  <si>
    <t>3516523</t>
  </si>
  <si>
    <t>991004452789702656</t>
  </si>
  <si>
    <t>2272483890002656</t>
  </si>
  <si>
    <t>9780471342274</t>
  </si>
  <si>
    <t>32285000916584</t>
  </si>
  <si>
    <t>893500580</t>
  </si>
  <si>
    <t>BF698 .H334</t>
  </si>
  <si>
    <t>0                      BF 0698000H  334</t>
  </si>
  <si>
    <t>Handbook of modern personality theory / edited by Raymond B. Cattell, Ralph Mason Dreger.</t>
  </si>
  <si>
    <t>Washington : Hemisphere Pub. Corp. ; New York : Wiley : distributed solely by Halsted Press, c1977.</t>
  </si>
  <si>
    <t>The Series in clinical and community psychology</t>
  </si>
  <si>
    <t>349930692:eng</t>
  </si>
  <si>
    <t>2331760</t>
  </si>
  <si>
    <t>991004084609702656</t>
  </si>
  <si>
    <t>2264251270002656</t>
  </si>
  <si>
    <t>9780470152010</t>
  </si>
  <si>
    <t>32285002253382</t>
  </si>
  <si>
    <t>893240996</t>
  </si>
  <si>
    <t>BF698 .H49</t>
  </si>
  <si>
    <t>0                      BF 0698000H  49</t>
  </si>
  <si>
    <t>Personality theories : basic assumptions, research, and applications / Larry A. Hjelle, Daniel J. Ziegler.</t>
  </si>
  <si>
    <t>Hjelle, Larry A.</t>
  </si>
  <si>
    <t>New York : McGraw-Hill, c1976.</t>
  </si>
  <si>
    <t>2002-03-20</t>
  </si>
  <si>
    <t>2176038:eng</t>
  </si>
  <si>
    <t>1256893</t>
  </si>
  <si>
    <t>991003653229702656</t>
  </si>
  <si>
    <t>2257978050002656</t>
  </si>
  <si>
    <t>9780070290617</t>
  </si>
  <si>
    <t>32285002253424</t>
  </si>
  <si>
    <t>893806038</t>
  </si>
  <si>
    <t>BF698 .J636 1971</t>
  </si>
  <si>
    <t>0                      BF 0698000J  636         1971</t>
  </si>
  <si>
    <t>Self-disclosure; an experimental analysis of the transparent self [by] Sidney M. Jourard.</t>
  </si>
  <si>
    <t>Jourard, Sidney M.</t>
  </si>
  <si>
    <t>New York, Wiley-Interscience [1971]</t>
  </si>
  <si>
    <t>2009-03-10</t>
  </si>
  <si>
    <t>1287407:eng</t>
  </si>
  <si>
    <t>136662</t>
  </si>
  <si>
    <t>991000795019702656</t>
  </si>
  <si>
    <t>2263978420002656</t>
  </si>
  <si>
    <t>9780471451501</t>
  </si>
  <si>
    <t>32285002253465</t>
  </si>
  <si>
    <t>893528390</t>
  </si>
  <si>
    <t>BF698 .L383</t>
  </si>
  <si>
    <t>0                      BF 0698000L  383</t>
  </si>
  <si>
    <t>Toward understanding human personalities [by] Robert Ward Leeper [and] Peter Madison.</t>
  </si>
  <si>
    <t>Leeper, Robert Ward, 1904-1986.</t>
  </si>
  <si>
    <t>New York, Appleton-Century-Crofts [1959]</t>
  </si>
  <si>
    <t>370087044:eng</t>
  </si>
  <si>
    <t>223345</t>
  </si>
  <si>
    <t>991001370199702656</t>
  </si>
  <si>
    <t>2264123800002656</t>
  </si>
  <si>
    <t>32285002253549</t>
  </si>
  <si>
    <t>893621285</t>
  </si>
  <si>
    <t>BF698 .L3985</t>
  </si>
  <si>
    <t>0                      BF 0698000L  3985</t>
  </si>
  <si>
    <t>Conceptions of personality; theories and research [by] Leon H. Levy.</t>
  </si>
  <si>
    <t>Levy, Leon H.</t>
  </si>
  <si>
    <t>New York, Random House [1970]</t>
  </si>
  <si>
    <t>294106090:eng</t>
  </si>
  <si>
    <t>93511</t>
  </si>
  <si>
    <t>991000561429702656</t>
  </si>
  <si>
    <t>2263039360002656</t>
  </si>
  <si>
    <t>32285002253556</t>
  </si>
  <si>
    <t>893683538</t>
  </si>
  <si>
    <t>BF698 .L4</t>
  </si>
  <si>
    <t>0                      BF 0698000L  4</t>
  </si>
  <si>
    <t>A dynamic theory of personality; selected papers, by Kurt Lewin ... translated by Donald K. Adams ... and Karl E. Zener ...</t>
  </si>
  <si>
    <t>Lewin, Kurt, 1890-1947.</t>
  </si>
  <si>
    <t>New York, London, McGraw-Hill Book Company, inc., 1935.</t>
  </si>
  <si>
    <t>McGraw-Hill publications in psychology</t>
  </si>
  <si>
    <t>2009-05-27</t>
  </si>
  <si>
    <t>10048499:eng</t>
  </si>
  <si>
    <t>3787733</t>
  </si>
  <si>
    <t>991005371539702656</t>
  </si>
  <si>
    <t>2255462200002656</t>
  </si>
  <si>
    <t>32285002253564</t>
  </si>
  <si>
    <t>893412760</t>
  </si>
  <si>
    <t>BF698 .M2367</t>
  </si>
  <si>
    <t>0                      BF 0698000M  2367</t>
  </si>
  <si>
    <t>Humanism in personology : Allport, Maslow, and Murray / [by] Salvatore R. Maddi [and] Paul T. Costa.</t>
  </si>
  <si>
    <t>Maddi, Salvatore R.</t>
  </si>
  <si>
    <t>Chicago : Aldine·Atherton, [1972]</t>
  </si>
  <si>
    <t>Perspectives on personality</t>
  </si>
  <si>
    <t>2009-11-11</t>
  </si>
  <si>
    <t>793235124:eng</t>
  </si>
  <si>
    <t>294876</t>
  </si>
  <si>
    <t>991002233279702656</t>
  </si>
  <si>
    <t>2268446320002656</t>
  </si>
  <si>
    <t>9780202250892</t>
  </si>
  <si>
    <t>32285001968410</t>
  </si>
  <si>
    <t>893427371</t>
  </si>
  <si>
    <t>BF698 .P357 1976</t>
  </si>
  <si>
    <t>0                      BF 0698000P  357         1976</t>
  </si>
  <si>
    <t>Personality / edited by Rom Harré.</t>
  </si>
  <si>
    <t>Totowa, N.J. : Rowman and Littlefield, 1976.</t>
  </si>
  <si>
    <t>54162650:eng</t>
  </si>
  <si>
    <t>2858505</t>
  </si>
  <si>
    <t>991004264029702656</t>
  </si>
  <si>
    <t>2263420840002656</t>
  </si>
  <si>
    <t>9780874719079</t>
  </si>
  <si>
    <t>32285001601532</t>
  </si>
  <si>
    <t>893535885</t>
  </si>
  <si>
    <t>BF698 .P3713 1989</t>
  </si>
  <si>
    <t>0                      BF 0698000P  3713        1989</t>
  </si>
  <si>
    <t>Personality psychology : recent trends and emerging directions / David M. Buss, Nancy Cantor, editors.</t>
  </si>
  <si>
    <t>New York : Springer-Verlag, c1989.</t>
  </si>
  <si>
    <t>890493378:eng</t>
  </si>
  <si>
    <t>19670768</t>
  </si>
  <si>
    <t>991001487289702656</t>
  </si>
  <si>
    <t>2264425270002656</t>
  </si>
  <si>
    <t>9780387969930</t>
  </si>
  <si>
    <t>32285001036580</t>
  </si>
  <si>
    <t>893866271</t>
  </si>
  <si>
    <t>BF698 .S423 1983</t>
  </si>
  <si>
    <t>0                      BF 0698000S  423         1983</t>
  </si>
  <si>
    <t>Personality integration : studies and reflections / Julius Seeman.</t>
  </si>
  <si>
    <t>Seeman, Julius, 1915-</t>
  </si>
  <si>
    <t>New York, N.Y. : Human Sciences Press, c1983.</t>
  </si>
  <si>
    <t>1997-01-27</t>
  </si>
  <si>
    <t>312588624:eng</t>
  </si>
  <si>
    <t>8280205</t>
  </si>
  <si>
    <t>991005224919702656</t>
  </si>
  <si>
    <t>2257260240002656</t>
  </si>
  <si>
    <t>9780898850840</t>
  </si>
  <si>
    <t>32285001601672</t>
  </si>
  <si>
    <t>893412526</t>
  </si>
  <si>
    <t>BF698 .S4273</t>
  </si>
  <si>
    <t>0                      BF 0698000S  4273</t>
  </si>
  <si>
    <t>Man in Marxist theory, and the psychology of personality / Lucien Sève ; translated from the French by John McGreal.</t>
  </si>
  <si>
    <t>Sève, Lucien.</t>
  </si>
  <si>
    <t>Sussex [Eng.] : Harvester Press ; Atlantic Highlands, N.J. ; Humanities Press, 1978.</t>
  </si>
  <si>
    <t>Marxist theory and contemporary capitalism</t>
  </si>
  <si>
    <t>4662984:eng</t>
  </si>
  <si>
    <t>4002651</t>
  </si>
  <si>
    <t>991004532049702656</t>
  </si>
  <si>
    <t>2267744350002656</t>
  </si>
  <si>
    <t>9780855273743</t>
  </si>
  <si>
    <t>32285001601680</t>
  </si>
  <si>
    <t>893506962</t>
  </si>
  <si>
    <t>BF698 .S576 1968</t>
  </si>
  <si>
    <t>0                      BF 0698000S  576         1968</t>
  </si>
  <si>
    <t>Personality development.</t>
  </si>
  <si>
    <t>2004-12-02</t>
  </si>
  <si>
    <t>19573224:eng</t>
  </si>
  <si>
    <t>203724</t>
  </si>
  <si>
    <t>991001231509702656</t>
  </si>
  <si>
    <t>2255957260002656</t>
  </si>
  <si>
    <t>32285002253911</t>
  </si>
  <si>
    <t>893225722</t>
  </si>
  <si>
    <t>BF698 .U48 1984</t>
  </si>
  <si>
    <t>0                      BF 0698000U  48          1984</t>
  </si>
  <si>
    <t>Passion : an essay on personality / Roberto Mangabeira Unger.</t>
  </si>
  <si>
    <t>Unger, Roberto Mangabeira.</t>
  </si>
  <si>
    <t>New York : Free Press ; London : Collier Macmillan, c1984.</t>
  </si>
  <si>
    <t>836651077:eng</t>
  </si>
  <si>
    <t>10323532</t>
  </si>
  <si>
    <t>991000354119702656</t>
  </si>
  <si>
    <t>2268540370002656</t>
  </si>
  <si>
    <t>9780029331200</t>
  </si>
  <si>
    <t>32285001601714</t>
  </si>
  <si>
    <t>893802693</t>
  </si>
  <si>
    <t>BF698 .V45</t>
  </si>
  <si>
    <t>0                      BF 0698000V  45</t>
  </si>
  <si>
    <t>Personality tests and assessments / Philip Ewart Vernon.</t>
  </si>
  <si>
    <t>New York : Holt, [1953]</t>
  </si>
  <si>
    <t>2000-10-22</t>
  </si>
  <si>
    <t>2674381:eng</t>
  </si>
  <si>
    <t>3475073</t>
  </si>
  <si>
    <t>991004443389702656</t>
  </si>
  <si>
    <t>2272087400002656</t>
  </si>
  <si>
    <t>32285002254034</t>
  </si>
  <si>
    <t>893807079</t>
  </si>
  <si>
    <t>BF698.4 .K56 1983b</t>
  </si>
  <si>
    <t>0                      BF 0698400K  56          1983b</t>
  </si>
  <si>
    <t>Personality : measurement and theory / Paul Kline.</t>
  </si>
  <si>
    <t>Kline, Paul.</t>
  </si>
  <si>
    <t>2007-09-17</t>
  </si>
  <si>
    <t>43796359:eng</t>
  </si>
  <si>
    <t>9759369</t>
  </si>
  <si>
    <t>991000252479702656</t>
  </si>
  <si>
    <t>2255721120002656</t>
  </si>
  <si>
    <t>9780312602307</t>
  </si>
  <si>
    <t>32285000134659</t>
  </si>
  <si>
    <t>893496084</t>
  </si>
  <si>
    <t>BF698.5 .C3</t>
  </si>
  <si>
    <t>0                      BF 0698500C  3</t>
  </si>
  <si>
    <t>Objective personality &amp; motivation tests; a theoretical introduction and practical compendium [by] Raymond B. Cattell [and] Frank W. Warburton, with the assistance of Fred L. Damarin, Jr. [and] Arthur B. Sweney.</t>
  </si>
  <si>
    <t>Urbana, University of Illinois Press, 1967.</t>
  </si>
  <si>
    <t>1996-08-05</t>
  </si>
  <si>
    <t>292098149:eng</t>
  </si>
  <si>
    <t>194137</t>
  </si>
  <si>
    <t>991001216059702656</t>
  </si>
  <si>
    <t>2269321890002656</t>
  </si>
  <si>
    <t>32285002254299</t>
  </si>
  <si>
    <t>893528761</t>
  </si>
  <si>
    <t>BF698.5 .E89</t>
  </si>
  <si>
    <t>0                      BF 0698500E  89</t>
  </si>
  <si>
    <t>Know your own personality / Hans Eysenck and Glenn Wilson.</t>
  </si>
  <si>
    <t>New York : Barnes &amp; Noble Books, 1976.</t>
  </si>
  <si>
    <t>44219738:eng</t>
  </si>
  <si>
    <t>2418087</t>
  </si>
  <si>
    <t>991004117179702656</t>
  </si>
  <si>
    <t>2268913050002656</t>
  </si>
  <si>
    <t>9780064920544</t>
  </si>
  <si>
    <t>32285001383586</t>
  </si>
  <si>
    <t>893699872</t>
  </si>
  <si>
    <t>BF698.7 .R3 1981</t>
  </si>
  <si>
    <t>0                      BF 0698700R  3           1981</t>
  </si>
  <si>
    <t>Assessment with projective techniques : a concise introduction / A.I. Rabin, editor.</t>
  </si>
  <si>
    <t>New York : Springer Pub. Co., c1981.</t>
  </si>
  <si>
    <t>1998-11-23</t>
  </si>
  <si>
    <t>1999-12-17</t>
  </si>
  <si>
    <t>890440425:eng</t>
  </si>
  <si>
    <t>6943237</t>
  </si>
  <si>
    <t>991001781579702656</t>
  </si>
  <si>
    <t>2257193060002656</t>
  </si>
  <si>
    <t>9780826135506</t>
  </si>
  <si>
    <t>32285001601847</t>
  </si>
  <si>
    <t>893414504</t>
  </si>
  <si>
    <t>BF698.8.C6 S3</t>
  </si>
  <si>
    <t>0                      BF 0698800C  6                  S  3</t>
  </si>
  <si>
    <t>Color and personality : a manual for the color pyramid test, Farbpyramiden-test / by K. Warner Schiae and Robert Heiss.</t>
  </si>
  <si>
    <t>Schaie, K. Warner (Klaus Warner), 1928-</t>
  </si>
  <si>
    <t>Berne : H. Huber Publishers, [1964]</t>
  </si>
  <si>
    <t xml:space="preserve">sz </t>
  </si>
  <si>
    <t>2007-02-03</t>
  </si>
  <si>
    <t>287266863:eng</t>
  </si>
  <si>
    <t>2662729</t>
  </si>
  <si>
    <t>991004204949702656</t>
  </si>
  <si>
    <t>2261423300002656</t>
  </si>
  <si>
    <t>32285000300870</t>
  </si>
  <si>
    <t>893810404</t>
  </si>
  <si>
    <t>BF698.8.H55 H53</t>
  </si>
  <si>
    <t>0                      BF 0698800H  55                 H  53</t>
  </si>
  <si>
    <t>The Holtzman inkblot technique; [a handbook for clinical application, by] Evelyn F. Hill. Foreword by Wayne H. Holtzman.</t>
  </si>
  <si>
    <t>Hill, Evelyn F.</t>
  </si>
  <si>
    <t>San Francisco, Jossey-Bass, 1972.</t>
  </si>
  <si>
    <t>794341702:eng</t>
  </si>
  <si>
    <t>357399</t>
  </si>
  <si>
    <t>991002465159702656</t>
  </si>
  <si>
    <t>2263042870002656</t>
  </si>
  <si>
    <t>9780875891217</t>
  </si>
  <si>
    <t>32285002254430</t>
  </si>
  <si>
    <t>893773656</t>
  </si>
  <si>
    <t>BF698.8.M5 G72 1987</t>
  </si>
  <si>
    <t>0                      BF 0698800M  5                  G  72          1987</t>
  </si>
  <si>
    <t>The MMPI : a practical guide / John R. Graham.</t>
  </si>
  <si>
    <t>Graham, John R. (John Robert), 1940-</t>
  </si>
  <si>
    <t>New York : Oxford University Press, 1987.</t>
  </si>
  <si>
    <t>2000-12-13</t>
  </si>
  <si>
    <t>1990-03-01</t>
  </si>
  <si>
    <t>5910420:eng</t>
  </si>
  <si>
    <t>15082456</t>
  </si>
  <si>
    <t>991000986539702656</t>
  </si>
  <si>
    <t>2257157990002656</t>
  </si>
  <si>
    <t>9780195042634</t>
  </si>
  <si>
    <t>32285000073543</t>
  </si>
  <si>
    <t>893891207</t>
  </si>
  <si>
    <t>BF698.8.R5 S3</t>
  </si>
  <si>
    <t>0                      BF 0698800R  5                  S  3</t>
  </si>
  <si>
    <t>Experiential foundations of Rorschach's test [by] Ernest G. Schachtel.</t>
  </si>
  <si>
    <t>Schachtel, Ernest G.</t>
  </si>
  <si>
    <t>New York, Basic Books [1966]</t>
  </si>
  <si>
    <t>1999-01-13</t>
  </si>
  <si>
    <t>5629502:eng</t>
  </si>
  <si>
    <t>2662787</t>
  </si>
  <si>
    <t>991004204979702656</t>
  </si>
  <si>
    <t>2261431510002656</t>
  </si>
  <si>
    <t>32285002254505</t>
  </si>
  <si>
    <t>893247284</t>
  </si>
  <si>
    <t>BF698.8.S5 K37</t>
  </si>
  <si>
    <t>0                      BF 0698800S  5                  K  37</t>
  </si>
  <si>
    <t>A guide to the clinical use of the 16 PF / Samuel Karson and Jerry W. O'Dell.</t>
  </si>
  <si>
    <t>Karson, Samuel.</t>
  </si>
  <si>
    <t>Champaign, Ill. : Institute for Personality and Ability Testing, c1976.</t>
  </si>
  <si>
    <t>2008-11-02</t>
  </si>
  <si>
    <t>4495049100:eng</t>
  </si>
  <si>
    <t>2530587</t>
  </si>
  <si>
    <t>991004152979702656</t>
  </si>
  <si>
    <t>2265272670002656</t>
  </si>
  <si>
    <t>32285001601870</t>
  </si>
  <si>
    <t>893417294</t>
  </si>
  <si>
    <t>BF698.8.T4 F57</t>
  </si>
  <si>
    <t>0                      BF 0698800T  4                  F  57</t>
  </si>
  <si>
    <t>The self concept and psychopathology, by William H. Fitts.</t>
  </si>
  <si>
    <t>Fitts, William Howard.</t>
  </si>
  <si>
    <t>Nashville, Dede Wallace Center, 1972.</t>
  </si>
  <si>
    <t>Dede Wallace Center. Research monograph no. 4</t>
  </si>
  <si>
    <t>2002-07-12</t>
  </si>
  <si>
    <t>1444098:eng</t>
  </si>
  <si>
    <t>333758</t>
  </si>
  <si>
    <t>991002394389702656</t>
  </si>
  <si>
    <t>2259622370002656</t>
  </si>
  <si>
    <t>32285002254521</t>
  </si>
  <si>
    <t>893697715</t>
  </si>
  <si>
    <t>BF698.9.B5 E9</t>
  </si>
  <si>
    <t>0                      BF 0698900B  5                  E  9</t>
  </si>
  <si>
    <t>The biological basis of personality, by H. J. Eysenck.</t>
  </si>
  <si>
    <t>Springfield, Ill., Thomas [1967]</t>
  </si>
  <si>
    <t>American lecture series, publication no. 689. A monograph in the Bannerstone division of American lectures in living chemistry</t>
  </si>
  <si>
    <t>2002-03-25</t>
  </si>
  <si>
    <t>115855224:eng</t>
  </si>
  <si>
    <t>170458</t>
  </si>
  <si>
    <t>991000971749702656</t>
  </si>
  <si>
    <t>2269205550002656</t>
  </si>
  <si>
    <t>32285001601888</t>
  </si>
  <si>
    <t>893884923</t>
  </si>
  <si>
    <t>BF698.9.C63 K74 1990</t>
  </si>
  <si>
    <t>0                      BF 0698900C  63                 K  74          1990</t>
  </si>
  <si>
    <t>The cognitive foundations of personality traits / Shulamith Kreitler and Hans Kreitler.</t>
  </si>
  <si>
    <t>Kreitler, Shulamith.</t>
  </si>
  <si>
    <t>New York, N.Y. : Plenum Press, c1990.</t>
  </si>
  <si>
    <t>Emotions, personality, and psychotherapy</t>
  </si>
  <si>
    <t>2000-04-25</t>
  </si>
  <si>
    <t>21043082:eng</t>
  </si>
  <si>
    <t>20220051</t>
  </si>
  <si>
    <t>991001551039702656</t>
  </si>
  <si>
    <t>2261330190002656</t>
  </si>
  <si>
    <t>9780306431791</t>
  </si>
  <si>
    <t>32285001126589</t>
  </si>
  <si>
    <t>893615203</t>
  </si>
  <si>
    <t>BF698.9.C8 W33 1970</t>
  </si>
  <si>
    <t>0                      BF 0698900C  8                  W  33          1970</t>
  </si>
  <si>
    <t>Culture and personality [by] Anthony F. C. Wallace.</t>
  </si>
  <si>
    <t>Wallace, Anthony F. C., 1923-</t>
  </si>
  <si>
    <t>Studies in anthropology, AS 1</t>
  </si>
  <si>
    <t>2006-04-02</t>
  </si>
  <si>
    <t>1228936:eng</t>
  </si>
  <si>
    <t>113505</t>
  </si>
  <si>
    <t>991000651339702656</t>
  </si>
  <si>
    <t>2267659070002656</t>
  </si>
  <si>
    <t>32285001601912</t>
  </si>
  <si>
    <t>893407399</t>
  </si>
  <si>
    <t>BF701 .E4313 1989</t>
  </si>
  <si>
    <t>0                      BF 0701000E  4313        1989</t>
  </si>
  <si>
    <t>Human ethology / Irenäus Eibl-Eibesfeldt.</t>
  </si>
  <si>
    <t>Eibl-Eibesfeldt, Irenäus.</t>
  </si>
  <si>
    <t>New York : Aldine De Gruyter, c1989.</t>
  </si>
  <si>
    <t>Foundations of human behavior</t>
  </si>
  <si>
    <t>2010-09-22</t>
  </si>
  <si>
    <t>1991-03-08</t>
  </si>
  <si>
    <t>2864086175:eng</t>
  </si>
  <si>
    <t>18780530</t>
  </si>
  <si>
    <t>991001394549702656</t>
  </si>
  <si>
    <t>2260491440002656</t>
  </si>
  <si>
    <t>9780202020303</t>
  </si>
  <si>
    <t>32285000494293</t>
  </si>
  <si>
    <t>893256220</t>
  </si>
  <si>
    <t>BF701 .G23</t>
  </si>
  <si>
    <t>0                      BF 0701000G  23</t>
  </si>
  <si>
    <t>Inquiries into human faculty and its development, by Francis Galton, F. R. S.</t>
  </si>
  <si>
    <t>Galton, Francis, 1822-1911.</t>
  </si>
  <si>
    <t>London, J. M. Dent &amp; co.; New York, E. P. Dutton &amp; co. [1908]</t>
  </si>
  <si>
    <t>1908</t>
  </si>
  <si>
    <t>Everyman's library. Science</t>
  </si>
  <si>
    <t>2007-02-07</t>
  </si>
  <si>
    <t>119929092:eng</t>
  </si>
  <si>
    <t>16770488</t>
  </si>
  <si>
    <t>991004184139702656</t>
  </si>
  <si>
    <t>2262546290002656</t>
  </si>
  <si>
    <t>32285002254638</t>
  </si>
  <si>
    <t>893612046</t>
  </si>
  <si>
    <t>BF701 .G624</t>
  </si>
  <si>
    <t>0                      BF 0701000G  624</t>
  </si>
  <si>
    <t>The evolutionary foundations of psychology; a unified theory [by] Felix E. Goodson.</t>
  </si>
  <si>
    <t>Goodson, Felix E., 1922-</t>
  </si>
  <si>
    <t>New York, Holt, Rinehart and Winston [c1973]</t>
  </si>
  <si>
    <t>2006-11-09</t>
  </si>
  <si>
    <t>1864229:eng</t>
  </si>
  <si>
    <t>885572</t>
  </si>
  <si>
    <t>991003351909702656</t>
  </si>
  <si>
    <t>2257300960002656</t>
  </si>
  <si>
    <t>9780030776151</t>
  </si>
  <si>
    <t>32285002254661</t>
  </si>
  <si>
    <t>893499223</t>
  </si>
  <si>
    <t>BF701 .M6 1969</t>
  </si>
  <si>
    <t>0                      BF 0701000M  6           1969</t>
  </si>
  <si>
    <t>The human zoo.</t>
  </si>
  <si>
    <t>Morris, Desmond.</t>
  </si>
  <si>
    <t>New York, McGraw-Hill [1969]</t>
  </si>
  <si>
    <t>2007-07-23</t>
  </si>
  <si>
    <t>1150907983:eng</t>
  </si>
  <si>
    <t>33649</t>
  </si>
  <si>
    <t>991000086869702656</t>
  </si>
  <si>
    <t>2261328390002656</t>
  </si>
  <si>
    <t>32285002254737</t>
  </si>
  <si>
    <t>893495900</t>
  </si>
  <si>
    <t>BF701 .N3 1978</t>
  </si>
  <si>
    <t>0                      BF 0701000N  3           1978</t>
  </si>
  <si>
    <t>Developmental psychology : a psychobiological approach / John Nash.</t>
  </si>
  <si>
    <t>Nash, John, 1920-</t>
  </si>
  <si>
    <t>2007-03-18</t>
  </si>
  <si>
    <t>1992-12-18</t>
  </si>
  <si>
    <t>1089550139:eng</t>
  </si>
  <si>
    <t>3609734</t>
  </si>
  <si>
    <t>991004477169702656</t>
  </si>
  <si>
    <t>2271824110002656</t>
  </si>
  <si>
    <t>9780132082723</t>
  </si>
  <si>
    <t>32285001444495</t>
  </si>
  <si>
    <t>893229407</t>
  </si>
  <si>
    <t>BF701 .P5</t>
  </si>
  <si>
    <t>0                      BF 0701000P  5</t>
  </si>
  <si>
    <t>Psychology of human development / in collaboration with Eugene J. Albrecht.</t>
  </si>
  <si>
    <t>Pikunas, Justin.</t>
  </si>
  <si>
    <t>New York : McGraw-Hill, 1961.</t>
  </si>
  <si>
    <t>5749610:eng</t>
  </si>
  <si>
    <t>2672249</t>
  </si>
  <si>
    <t>991004207739702656</t>
  </si>
  <si>
    <t>2260718120002656</t>
  </si>
  <si>
    <t>32285000879386</t>
  </si>
  <si>
    <t>893781969</t>
  </si>
  <si>
    <t>BF711 .R53 1987</t>
  </si>
  <si>
    <t>0                      BF 0711000R  53          1987</t>
  </si>
  <si>
    <t>Darwin and the emergence of evolutionary theories of mind and behavior / Robert J. Richards.</t>
  </si>
  <si>
    <t>Richards, Robert J. (Robert John), 1942-</t>
  </si>
  <si>
    <t>Science and its conceptual foundations</t>
  </si>
  <si>
    <t>2010-03-22</t>
  </si>
  <si>
    <t>1994-03-15</t>
  </si>
  <si>
    <t>9902456:eng</t>
  </si>
  <si>
    <t>15656443</t>
  </si>
  <si>
    <t>991001051859702656</t>
  </si>
  <si>
    <t>2268070870002656</t>
  </si>
  <si>
    <t>9780226711997</t>
  </si>
  <si>
    <t>32285001602639</t>
  </si>
  <si>
    <t>893522246</t>
  </si>
  <si>
    <t>BF713 .H87 1980</t>
  </si>
  <si>
    <t>0                      BF 0713000H  87          1980</t>
  </si>
  <si>
    <t>Developmental psychology : a life-span approach / Elizabeth B. Hurlock.</t>
  </si>
  <si>
    <t>Hurlock, Elizabeth B. (Elizabeth Bergner), 1898-1988.</t>
  </si>
  <si>
    <t>2005-10-26</t>
  </si>
  <si>
    <t>1993-04-06</t>
  </si>
  <si>
    <t>2908594076:eng</t>
  </si>
  <si>
    <t>5264323</t>
  </si>
  <si>
    <t>991004808259702656</t>
  </si>
  <si>
    <t>2258709390002656</t>
  </si>
  <si>
    <t>9780070314504</t>
  </si>
  <si>
    <t>32285001602878</t>
  </si>
  <si>
    <t>893424213</t>
  </si>
  <si>
    <t>BF713 .K386</t>
  </si>
  <si>
    <t>0                      BF 0713000K  386</t>
  </si>
  <si>
    <t>Humans developing : a lifespan perspective / Robert Kastenbaum.</t>
  </si>
  <si>
    <t>Kastenbaum, Robert.</t>
  </si>
  <si>
    <t>Boston : Allyn and Bacon, c1979.</t>
  </si>
  <si>
    <t>257474376:eng</t>
  </si>
  <si>
    <t>4495073</t>
  </si>
  <si>
    <t>991004655179702656</t>
  </si>
  <si>
    <t>2268049080002656</t>
  </si>
  <si>
    <t>9780205065134</t>
  </si>
  <si>
    <t>32285001444487</t>
  </si>
  <si>
    <t>893706673</t>
  </si>
  <si>
    <t>BF713 .K58 1986</t>
  </si>
  <si>
    <t>0                      BF 0713000K  58          1986</t>
  </si>
  <si>
    <t>Human development and human possibility : Erikson in the light of Heidegger / Richard T. Knowles.</t>
  </si>
  <si>
    <t>Knowles, Richard T., 1934-</t>
  </si>
  <si>
    <t>Lanham, MD : University Press of America, c1986.</t>
  </si>
  <si>
    <t>2005-04-02</t>
  </si>
  <si>
    <t>836679966:eng</t>
  </si>
  <si>
    <t>12556220</t>
  </si>
  <si>
    <t>991000704649702656</t>
  </si>
  <si>
    <t>2254907220002656</t>
  </si>
  <si>
    <t>9780819149930</t>
  </si>
  <si>
    <t>32285000110295</t>
  </si>
  <si>
    <t>893502740</t>
  </si>
  <si>
    <t>BF713 .L554 1987</t>
  </si>
  <si>
    <t>0                      BF 0713000L  554         1987</t>
  </si>
  <si>
    <t>Life-span perspectives and social psychology / edited by Ronald P. Abeles.</t>
  </si>
  <si>
    <t>2009-03-24</t>
  </si>
  <si>
    <t>351548441:eng</t>
  </si>
  <si>
    <t>14413555</t>
  </si>
  <si>
    <t>991000942229702656</t>
  </si>
  <si>
    <t>2266425170002656</t>
  </si>
  <si>
    <t>9780898599534</t>
  </si>
  <si>
    <t>32285001602902</t>
  </si>
  <si>
    <t>893351718</t>
  </si>
  <si>
    <t>BF713 .L83</t>
  </si>
  <si>
    <t>0                      BF 0713000L  83</t>
  </si>
  <si>
    <t>Human development: a multidisciplinary approach to the psychology of individual growth [by] James O. Lugo &amp; Gerald L. Hershey. Photographic design by Gerry Owen.</t>
  </si>
  <si>
    <t>Lugo, James O.</t>
  </si>
  <si>
    <t>New York, Macmillan [1974]</t>
  </si>
  <si>
    <t>2008-11-17</t>
  </si>
  <si>
    <t>1990-07-31</t>
  </si>
  <si>
    <t>867304328:eng</t>
  </si>
  <si>
    <t>714161</t>
  </si>
  <si>
    <t>991005253789702656</t>
  </si>
  <si>
    <t>2255996170002656</t>
  </si>
  <si>
    <t>9780023723001</t>
  </si>
  <si>
    <t>32285000260025</t>
  </si>
  <si>
    <t>893720074</t>
  </si>
  <si>
    <t>BF713 .M53</t>
  </si>
  <si>
    <t>0                      BF 0713000M  53</t>
  </si>
  <si>
    <t>Biological perspectives in developmental psychology / George F. Michel, Celia L. Moore. --</t>
  </si>
  <si>
    <t>Michel, George F., 1944-</t>
  </si>
  <si>
    <t>10713156:eng</t>
  </si>
  <si>
    <t>3517071</t>
  </si>
  <si>
    <t>991004454299702656</t>
  </si>
  <si>
    <t>2271039650002656</t>
  </si>
  <si>
    <t>9780818502606</t>
  </si>
  <si>
    <t>32285001602910</t>
  </si>
  <si>
    <t>893624755</t>
  </si>
  <si>
    <t>BF713 .N49</t>
  </si>
  <si>
    <t>0                      BF 0713000N  49</t>
  </si>
  <si>
    <t>Personality development through the life span / Barbara M. Newman, Philip R. Newman, with the assistance of Luan Wagner Stewart.</t>
  </si>
  <si>
    <t>Newman, Barbara M.</t>
  </si>
  <si>
    <t>Monterey, Calif. : Brooks/Cole Pub. Co., c1980.</t>
  </si>
  <si>
    <t>The Brooks/Cole life-span human development series</t>
  </si>
  <si>
    <t>2009-11-22</t>
  </si>
  <si>
    <t>1990-02-15</t>
  </si>
  <si>
    <t>482740:eng</t>
  </si>
  <si>
    <t>6250657</t>
  </si>
  <si>
    <t>991004951639702656</t>
  </si>
  <si>
    <t>2264870550002656</t>
  </si>
  <si>
    <t>9780818503801</t>
  </si>
  <si>
    <t>32285000053909</t>
  </si>
  <si>
    <t>893526692</t>
  </si>
  <si>
    <t>BF713 .N67 1984</t>
  </si>
  <si>
    <t>0                      BF 0713000N  67          1984</t>
  </si>
  <si>
    <t>Normality and the life cycle : a critical integration / edited by Daniel Offer and Melvin Sabshin.</t>
  </si>
  <si>
    <t>New York : Basic Books, c1984.</t>
  </si>
  <si>
    <t>2003-04-15</t>
  </si>
  <si>
    <t>908768022:eng</t>
  </si>
  <si>
    <t>10483426</t>
  </si>
  <si>
    <t>991000378649702656</t>
  </si>
  <si>
    <t>2263345760002656</t>
  </si>
  <si>
    <t>9780465051489</t>
  </si>
  <si>
    <t>32285001602928</t>
  </si>
  <si>
    <t>893802713</t>
  </si>
  <si>
    <t>BF713 .P79</t>
  </si>
  <si>
    <t>0                      BF 0713000P  79</t>
  </si>
  <si>
    <t>Psychosocial caring throughout the life span / editors, Irene Mortenson Burnside, Priscilla Ebersole, Helen Elena Monea.</t>
  </si>
  <si>
    <t>New York : McGraw-Hill, c1979.</t>
  </si>
  <si>
    <t>1990-07-23</t>
  </si>
  <si>
    <t>14276475:eng</t>
  </si>
  <si>
    <t>4036839</t>
  </si>
  <si>
    <t>991001759529702656</t>
  </si>
  <si>
    <t>2269102810002656</t>
  </si>
  <si>
    <t>9780070092136</t>
  </si>
  <si>
    <t>32285000247139</t>
  </si>
  <si>
    <t>893703305</t>
  </si>
  <si>
    <t>BF713 .T87 1983</t>
  </si>
  <si>
    <t>0                      BF 0713000T  87          1983</t>
  </si>
  <si>
    <t>Lifespan development / Jeffrey S. Turner, Donald B. Helms.</t>
  </si>
  <si>
    <t>Turner, Jeffrey S.</t>
  </si>
  <si>
    <t>New York : Holt, Rinehart, and Winston, c1983.</t>
  </si>
  <si>
    <t>2009-03-19</t>
  </si>
  <si>
    <t>3893611923:eng</t>
  </si>
  <si>
    <t>8805749</t>
  </si>
  <si>
    <t>991005215219702656</t>
  </si>
  <si>
    <t>2270536640002656</t>
  </si>
  <si>
    <t>9780030629532</t>
  </si>
  <si>
    <t>32285000905561</t>
  </si>
  <si>
    <t>893254657</t>
  </si>
  <si>
    <t>BF713 .T97 1990</t>
  </si>
  <si>
    <t>0                      BF 0713000T  97          1990</t>
  </si>
  <si>
    <t>Psychoanalytic theories of development : an integration / Phyllis Tyson, Robert L. Tyson ; foreword by Robert S. Wallerstein.</t>
  </si>
  <si>
    <t>Tyson, Phyllis, 1941-</t>
  </si>
  <si>
    <t>New Haven, CT : Yale University Press, c1990.</t>
  </si>
  <si>
    <t>797251616:eng</t>
  </si>
  <si>
    <t>21197269</t>
  </si>
  <si>
    <t>991001664269702656</t>
  </si>
  <si>
    <t>2269784860002656</t>
  </si>
  <si>
    <t>9780300045789</t>
  </si>
  <si>
    <t>32285000492545</t>
  </si>
  <si>
    <t>893351953</t>
  </si>
  <si>
    <t>BF713 .W32 1982</t>
  </si>
  <si>
    <t>0                      BF 0713000W  32          1982</t>
  </si>
  <si>
    <t>Early experience and human development / Theodore D. Wachs and Gerald E. Gruen.</t>
  </si>
  <si>
    <t>Wachs, Theodore D., 1941-</t>
  </si>
  <si>
    <t>437824:eng</t>
  </si>
  <si>
    <t>8347745</t>
  </si>
  <si>
    <t>991005234149702656</t>
  </si>
  <si>
    <t>2264239730002656</t>
  </si>
  <si>
    <t>9780306406850</t>
  </si>
  <si>
    <t>32285001602944</t>
  </si>
  <si>
    <t>893350952</t>
  </si>
  <si>
    <t>BF713.5 .D48 1984</t>
  </si>
  <si>
    <t>0                      BF 0713500D  48          1984</t>
  </si>
  <si>
    <t>Developmental psychology : an advanced textbook / edited by Marc H. Bornstein, Michael E. Lamb.</t>
  </si>
  <si>
    <t>Hillsdale, N.J. : L. Erlbaum Associates, Publishers, 1984.</t>
  </si>
  <si>
    <t>1992-12-11</t>
  </si>
  <si>
    <t>895880707:eng</t>
  </si>
  <si>
    <t>10779468</t>
  </si>
  <si>
    <t>991000432109702656</t>
  </si>
  <si>
    <t>2268359180002656</t>
  </si>
  <si>
    <t>9780898593761</t>
  </si>
  <si>
    <t>32285001441723</t>
  </si>
  <si>
    <t>893528045</t>
  </si>
  <si>
    <t>BF713.5 .K34 1989</t>
  </si>
  <si>
    <t>0                      BF 0713500K  34          1989</t>
  </si>
  <si>
    <t>Unstable ideas : temperament, cognition, and self / Jerome Kagan.</t>
  </si>
  <si>
    <t>Kagan, Jerome.</t>
  </si>
  <si>
    <t>Cambridge, Mass. : Harvard University Press, 1989.</t>
  </si>
  <si>
    <t>2000-03-08</t>
  </si>
  <si>
    <t>2685166:eng</t>
  </si>
  <si>
    <t>18462876</t>
  </si>
  <si>
    <t>991001353319702656</t>
  </si>
  <si>
    <t>2257749240002656</t>
  </si>
  <si>
    <t>9780674930384</t>
  </si>
  <si>
    <t>32285000001007</t>
  </si>
  <si>
    <t>893340364</t>
  </si>
  <si>
    <t>BF717 .E84 1977</t>
  </si>
  <si>
    <t>0                      BF 0717000E  84          1977</t>
  </si>
  <si>
    <t>Evolution of play behavior / edited by Dietland Müller-Schwarze. --</t>
  </si>
  <si>
    <t>Stroudsburg, Pa. : Dowden, Hutchinson &amp; Ross, c1978.</t>
  </si>
  <si>
    <t>Benchmark papers is animal behavior ; 10</t>
  </si>
  <si>
    <t>2000-11-22</t>
  </si>
  <si>
    <t>1993-04-15</t>
  </si>
  <si>
    <t>54161061:eng</t>
  </si>
  <si>
    <t>2818803</t>
  </si>
  <si>
    <t>991004254539702656</t>
  </si>
  <si>
    <t>2267790540002656</t>
  </si>
  <si>
    <t>9780879332730</t>
  </si>
  <si>
    <t>32285001620482</t>
  </si>
  <si>
    <t>893775814</t>
  </si>
  <si>
    <t>BF717 .N4</t>
  </si>
  <si>
    <t>0                      BF 0717000N  4</t>
  </si>
  <si>
    <t>In praise of play; toward a psychology of religion, by Robert E. Neale.</t>
  </si>
  <si>
    <t>Neale, Robert E., 1929-</t>
  </si>
  <si>
    <t>New York, Harper &amp; Row [1969]</t>
  </si>
  <si>
    <t>2009-03-31</t>
  </si>
  <si>
    <t>181166625:eng</t>
  </si>
  <si>
    <t>33552</t>
  </si>
  <si>
    <t>991000085419702656</t>
  </si>
  <si>
    <t>2261358360002656</t>
  </si>
  <si>
    <t>32285002254927</t>
  </si>
  <si>
    <t>893896602</t>
  </si>
  <si>
    <t>BF717 .P576 1984</t>
  </si>
  <si>
    <t>0                      BF 0717000P  576         1984</t>
  </si>
  <si>
    <t>Play in animals and humans / edited by Peter K. Smith.</t>
  </si>
  <si>
    <t>Oxford, England : New York, NY, USA : B. Blackwell, 1984.</t>
  </si>
  <si>
    <t>2002-03-24</t>
  </si>
  <si>
    <t>54658877:eng</t>
  </si>
  <si>
    <t>10998759</t>
  </si>
  <si>
    <t>991000473149702656</t>
  </si>
  <si>
    <t>2261361620002656</t>
  </si>
  <si>
    <t>9780631134923</t>
  </si>
  <si>
    <t>32285001602969</t>
  </si>
  <si>
    <t>893890718</t>
  </si>
  <si>
    <t>BF717 .S95 1984</t>
  </si>
  <si>
    <t>0                      BF 0717000S  95          1984</t>
  </si>
  <si>
    <t>Symbolic play : the development of social understanding / edited by Inge Bretherton.</t>
  </si>
  <si>
    <t>Orlando, Fla. : Academic Press, 1984.</t>
  </si>
  <si>
    <t>836621835:eng</t>
  </si>
  <si>
    <t>9644144</t>
  </si>
  <si>
    <t>991000231589702656</t>
  </si>
  <si>
    <t>2267532590002656</t>
  </si>
  <si>
    <t>9780121326807</t>
  </si>
  <si>
    <t>32285001602977</t>
  </si>
  <si>
    <t>893620320</t>
  </si>
  <si>
    <t>BF719 .I52 1982</t>
  </si>
  <si>
    <t>0                      BF 0719000I  52          1982</t>
  </si>
  <si>
    <t>In the beginning : readings on infancy / edited by Jay Belsky.</t>
  </si>
  <si>
    <t>2000-08-28</t>
  </si>
  <si>
    <t>1992-11-17</t>
  </si>
  <si>
    <t>856454181:eng</t>
  </si>
  <si>
    <t>7577987</t>
  </si>
  <si>
    <t>991005136899702656</t>
  </si>
  <si>
    <t>2264662880002656</t>
  </si>
  <si>
    <t>9780231051149</t>
  </si>
  <si>
    <t>32285001406122</t>
  </si>
  <si>
    <t>893248425</t>
  </si>
  <si>
    <t>BF719 .K53 1985</t>
  </si>
  <si>
    <t>0                      BF 0719000K  53          1985</t>
  </si>
  <si>
    <t>The amazing newborn / Marshall H. Klaus, Phyllis H. Klaus.</t>
  </si>
  <si>
    <t>Klaus, Marshall H., 1927-2017.</t>
  </si>
  <si>
    <t>Reading, Mass. : Addison-Wesley Pub. Co., c1985, 1988 printing.</t>
  </si>
  <si>
    <t>1989-10-23</t>
  </si>
  <si>
    <t>104135833:eng</t>
  </si>
  <si>
    <t>12022484</t>
  </si>
  <si>
    <t>991000626029702656</t>
  </si>
  <si>
    <t>2271917700002656</t>
  </si>
  <si>
    <t>9780201116724</t>
  </si>
  <si>
    <t>32285000001742</t>
  </si>
  <si>
    <t>893508957</t>
  </si>
  <si>
    <t>BF719 .M32 1980</t>
  </si>
  <si>
    <t>0                      BF 0719000M  32          1980</t>
  </si>
  <si>
    <t>Infants / Robert B. McCall.</t>
  </si>
  <si>
    <t>McCall, Robert B., 1940-</t>
  </si>
  <si>
    <t>New York : Vintage Books, 1980, c1979.</t>
  </si>
  <si>
    <t>1st Vintage Books ed.</t>
  </si>
  <si>
    <t>2004-03-01</t>
  </si>
  <si>
    <t>464700:eng</t>
  </si>
  <si>
    <t>6043043</t>
  </si>
  <si>
    <t>991004920959702656</t>
  </si>
  <si>
    <t>2255669250002656</t>
  </si>
  <si>
    <t>9780394740171</t>
  </si>
  <si>
    <t>32285000982362</t>
  </si>
  <si>
    <t>893688357</t>
  </si>
  <si>
    <t>BF720.C63 I53 1982</t>
  </si>
  <si>
    <t>0                      BF 0720000C  63                 I  53          1982</t>
  </si>
  <si>
    <t>Infancy and epistemology : an evaluation of Piaget's theory / edited by George Butterworth.</t>
  </si>
  <si>
    <t>New York : St. Martin's Press, 1982.</t>
  </si>
  <si>
    <t>2007-02-11</t>
  </si>
  <si>
    <t>890298128:eng</t>
  </si>
  <si>
    <t>7976522</t>
  </si>
  <si>
    <t>991005186469702656</t>
  </si>
  <si>
    <t>2262109830002656</t>
  </si>
  <si>
    <t>9780312415884</t>
  </si>
  <si>
    <t>32285001603017</t>
  </si>
  <si>
    <t>893326326</t>
  </si>
  <si>
    <t>BF720.C65 D48 1991</t>
  </si>
  <si>
    <t>0                      BF 0720000C  65                 D  48          1991</t>
  </si>
  <si>
    <t>Baby talk : the art of communicating with infants and toddlers / Monica Devine ; with a foreword by Patricia J. Olmstead.</t>
  </si>
  <si>
    <t>Devine, Monica.</t>
  </si>
  <si>
    <t>New York : Plenum Press, c1991.</t>
  </si>
  <si>
    <t>1994-10-31</t>
  </si>
  <si>
    <t>836818534:eng</t>
  </si>
  <si>
    <t>23015539</t>
  </si>
  <si>
    <t>991001831699702656</t>
  </si>
  <si>
    <t>2262591360002656</t>
  </si>
  <si>
    <t>9780306437625</t>
  </si>
  <si>
    <t>32285001955805</t>
  </si>
  <si>
    <t>893791748</t>
  </si>
  <si>
    <t>BF720.C65 L36</t>
  </si>
  <si>
    <t>0                      BF 0720000C  65                 L  36</t>
  </si>
  <si>
    <t>Language behavior in infancy and early childhood : proceedings of a pediatric round table held at the Santa Barbara Biltmore Hotel, Santa Barbara, California, October 10-13, 1979 / editor, Rachel E. Stark ; sponsored by Johnson &amp; Johnson Baby Products Company.</t>
  </si>
  <si>
    <t>New York : Elsevier ; Amsterdam : sole distributors outside USA and Canada, Elsevier/North Holland Biomedical Press, c1981.</t>
  </si>
  <si>
    <t>899609445:eng</t>
  </si>
  <si>
    <t>7553606</t>
  </si>
  <si>
    <t>991005126019702656</t>
  </si>
  <si>
    <t>2262583080002656</t>
  </si>
  <si>
    <t>9780444006271</t>
  </si>
  <si>
    <t>32285000982396</t>
  </si>
  <si>
    <t>893707303</t>
  </si>
  <si>
    <t>BF720.C65 Z5</t>
  </si>
  <si>
    <t>0                      BF 0720000C  65                 Z  5</t>
  </si>
  <si>
    <t>Prelinguistic communication in infancy / Alan Ziajka.</t>
  </si>
  <si>
    <t>Ziajka, Alan.</t>
  </si>
  <si>
    <t>New York, N.Y. : Praeger Publishers, 1981.</t>
  </si>
  <si>
    <t>1991-11-12</t>
  </si>
  <si>
    <t>432066:eng</t>
  </si>
  <si>
    <t>7197657</t>
  </si>
  <si>
    <t>991005087849702656</t>
  </si>
  <si>
    <t>2256832550002656</t>
  </si>
  <si>
    <t>9780030586491</t>
  </si>
  <si>
    <t>32285000822733</t>
  </si>
  <si>
    <t>893795584</t>
  </si>
  <si>
    <t>BF720.M68 I54 1985</t>
  </si>
  <si>
    <t>0                      BF 0720000M  68                 I  54          1985</t>
  </si>
  <si>
    <t>Infant-mother attachment : the origins and developmental significance of individual differences in strange situation behavior / by Michael E. Lamb ... [et al.].</t>
  </si>
  <si>
    <t>Hillsdale, N.J. : LEA, 1985.</t>
  </si>
  <si>
    <t>2002-10-21</t>
  </si>
  <si>
    <t>889345449:eng</t>
  </si>
  <si>
    <t>12079849</t>
  </si>
  <si>
    <t>991000634719702656</t>
  </si>
  <si>
    <t>2269454830002656</t>
  </si>
  <si>
    <t>9780898596540</t>
  </si>
  <si>
    <t>32285000822725</t>
  </si>
  <si>
    <t>893778088</t>
  </si>
  <si>
    <t>BF720.M68 M38 1989</t>
  </si>
  <si>
    <t>0                      BF 0720000M  68                 M  38          1989</t>
  </si>
  <si>
    <t>Maternal responsiveness : characteristics and consequences / Marc H. Bornstein, editor.</t>
  </si>
  <si>
    <t>San Francisco ; London : Jossey-Bass, c1989.</t>
  </si>
  <si>
    <t>New directions for child development, 0195-2269 ; no. 43</t>
  </si>
  <si>
    <t>1990-06-22</t>
  </si>
  <si>
    <t>890080478:eng</t>
  </si>
  <si>
    <t>19482523</t>
  </si>
  <si>
    <t>991001464499702656</t>
  </si>
  <si>
    <t>2262282140002656</t>
  </si>
  <si>
    <t>9781555428648</t>
  </si>
  <si>
    <t>32285000179662</t>
  </si>
  <si>
    <t>893785118</t>
  </si>
  <si>
    <t>BF720.P37 N48 1981</t>
  </si>
  <si>
    <t>0                      BF 0720000P  37                 N  48          1981</t>
  </si>
  <si>
    <t>Newborns and parents : parent-infant contact and newborn sensory stimulation / edited by Vincent L. Smeriglio.</t>
  </si>
  <si>
    <t>863913288:eng</t>
  </si>
  <si>
    <t>7176139</t>
  </si>
  <si>
    <t>991005083379702656</t>
  </si>
  <si>
    <t>2272733330002656</t>
  </si>
  <si>
    <t>9780898590418</t>
  </si>
  <si>
    <t>32285000943216</t>
  </si>
  <si>
    <t>893807797</t>
  </si>
  <si>
    <t>BF720.S63 B76</t>
  </si>
  <si>
    <t>0                      BF 0720000S  63                 B  76</t>
  </si>
  <si>
    <t>Toddlers' behaviors with agemates : issues of interaction, cognition, and affect / by Wanda C. Bronson.</t>
  </si>
  <si>
    <t>Bronson, Wanda C.</t>
  </si>
  <si>
    <t>Norwood, N.J. : Ablex Pub. Corp., c1981.</t>
  </si>
  <si>
    <t>Monographs on infancy</t>
  </si>
  <si>
    <t>889700979:eng</t>
  </si>
  <si>
    <t>7739099</t>
  </si>
  <si>
    <t>991005155419702656</t>
  </si>
  <si>
    <t>2258604010002656</t>
  </si>
  <si>
    <t>9780893910808</t>
  </si>
  <si>
    <t>32285001603025</t>
  </si>
  <si>
    <t>893789530</t>
  </si>
  <si>
    <t>BF721 .B367</t>
  </si>
  <si>
    <t>0                      BF 0721000B  367</t>
  </si>
  <si>
    <t>Children's behavior. Rita E. Bergman, editor.</t>
  </si>
  <si>
    <t>Bergman, Rita E., compiler.</t>
  </si>
  <si>
    <t>New York, Exposition Press [1968]</t>
  </si>
  <si>
    <t>1992-02-07</t>
  </si>
  <si>
    <t>1133356:eng</t>
  </si>
  <si>
    <t>10180</t>
  </si>
  <si>
    <t>991000001139702656</t>
  </si>
  <si>
    <t>2268357920002656</t>
  </si>
  <si>
    <t>32285000945310</t>
  </si>
  <si>
    <t>893425313</t>
  </si>
  <si>
    <t>BF721 .B368</t>
  </si>
  <si>
    <t>0                      BF 0721000B  368</t>
  </si>
  <si>
    <t>The development of motives and values in the child.</t>
  </si>
  <si>
    <t>New York, Basic Books [1964]</t>
  </si>
  <si>
    <t>Basic topics in psychology: social psychology</t>
  </si>
  <si>
    <t>2001-03-21</t>
  </si>
  <si>
    <t>1336780:eng</t>
  </si>
  <si>
    <t>225552</t>
  </si>
  <si>
    <t>991001378159702656</t>
  </si>
  <si>
    <t>2263671470002656</t>
  </si>
  <si>
    <t>32285000945328</t>
  </si>
  <si>
    <t>893621294</t>
  </si>
  <si>
    <t>BF721 .B4242</t>
  </si>
  <si>
    <t>0                      BF 0721000B  4242</t>
  </si>
  <si>
    <t>Child development : the basic stage of early childhood / by Sidney W. Bijou.</t>
  </si>
  <si>
    <t>Bijou, Sidney W. (Sidney William), 1908-2009.</t>
  </si>
  <si>
    <t>2001-02-27</t>
  </si>
  <si>
    <t>3943695227:eng</t>
  </si>
  <si>
    <t>2272407</t>
  </si>
  <si>
    <t>991004061709702656</t>
  </si>
  <si>
    <t>2269358580002656</t>
  </si>
  <si>
    <t>9780131304192</t>
  </si>
  <si>
    <t>32285001444479</t>
  </si>
  <si>
    <t>893417178</t>
  </si>
  <si>
    <t>BF721 .C666</t>
  </si>
  <si>
    <t>0                      BF 0721000C  666</t>
  </si>
  <si>
    <t>Piaget : with feeling : cognitive, social, and emotional dimensions / Philip A. Cowan.</t>
  </si>
  <si>
    <t>Cowan, Philip A.</t>
  </si>
  <si>
    <t>1990-05-10</t>
  </si>
  <si>
    <t>363803197:eng</t>
  </si>
  <si>
    <t>3627199</t>
  </si>
  <si>
    <t>991004480039702656</t>
  </si>
  <si>
    <t>2269363480002656</t>
  </si>
  <si>
    <t>9780030398568</t>
  </si>
  <si>
    <t>32285000151224</t>
  </si>
  <si>
    <t>893446236</t>
  </si>
  <si>
    <t>BF721 .D56</t>
  </si>
  <si>
    <t>0                      BF 0721000D  56</t>
  </si>
  <si>
    <t>Child psychology in contemporary society / John R. Dill.</t>
  </si>
  <si>
    <t>Dill, John R.</t>
  </si>
  <si>
    <t>Boston : Holbrook Press, c1978.</t>
  </si>
  <si>
    <t>7126906:eng</t>
  </si>
  <si>
    <t>3017000</t>
  </si>
  <si>
    <t>991004319869702656</t>
  </si>
  <si>
    <t>2269774810002656</t>
  </si>
  <si>
    <t>9780205057757</t>
  </si>
  <si>
    <t>32285001603298</t>
  </si>
  <si>
    <t>893800852</t>
  </si>
  <si>
    <t>BF721 .F385</t>
  </si>
  <si>
    <t>0                      BF 0721000F  385</t>
  </si>
  <si>
    <t>Child development / Greta G. Fein and the editorial staff of Prentice-Hall.</t>
  </si>
  <si>
    <t>Fein, Greta G., 1929-</t>
  </si>
  <si>
    <t>11151697:eng</t>
  </si>
  <si>
    <t>3608848</t>
  </si>
  <si>
    <t>991004475009702656</t>
  </si>
  <si>
    <t>2271043260002656</t>
  </si>
  <si>
    <t>9780131325715</t>
  </si>
  <si>
    <t>32285000945336</t>
  </si>
  <si>
    <t>893876152</t>
  </si>
  <si>
    <t>BF721 .H242 1983, v.3</t>
  </si>
  <si>
    <t>0                      BF 0721000H  242         1983                                        v.3</t>
  </si>
  <si>
    <t>Cognitive development / John H. Flavell, Ellen M. Markman, volume editors.</t>
  </si>
  <si>
    <t>Handbook of child psychology ; v. 3</t>
  </si>
  <si>
    <t>2000-06-27</t>
  </si>
  <si>
    <t>4820499827:eng</t>
  </si>
  <si>
    <t>9324159</t>
  </si>
  <si>
    <t>991000170889702656</t>
  </si>
  <si>
    <t>2259441260002656</t>
  </si>
  <si>
    <t>9780471090649</t>
  </si>
  <si>
    <t>32285001099588</t>
  </si>
  <si>
    <t>893902921</t>
  </si>
  <si>
    <t>BF721 .H243</t>
  </si>
  <si>
    <t>0                      BF 0721000H  243</t>
  </si>
  <si>
    <t>Handbook of cross-cultural human development / edited by Robert Munroe, Ruth Munroe, Beatrice B. Whiting.</t>
  </si>
  <si>
    <t>New York : Garland Pub., c1981.</t>
  </si>
  <si>
    <t>2005-02-01</t>
  </si>
  <si>
    <t>3856835790:eng</t>
  </si>
  <si>
    <t>4857767</t>
  </si>
  <si>
    <t>991004736289702656</t>
  </si>
  <si>
    <t>2266689720002656</t>
  </si>
  <si>
    <t>32285000053651</t>
  </si>
  <si>
    <t>893526440</t>
  </si>
  <si>
    <t>BF721 .H36 1969</t>
  </si>
  <si>
    <t>0                      BF 0721000H  36          1969</t>
  </si>
  <si>
    <t>Piaget: a practical consideration; a consideration of the general theories and work of Jean Piaget, with an account of a short follow up study of his work on the development of the concept of geometry, by G. A. Helmore.</t>
  </si>
  <si>
    <t>Helmore, G. A.</t>
  </si>
  <si>
    <t>Oxford, New York, Pergamon Press [1969]</t>
  </si>
  <si>
    <t>The Commonwealth and international library</t>
  </si>
  <si>
    <t>2001-01-23</t>
  </si>
  <si>
    <t>3945452896:eng</t>
  </si>
  <si>
    <t>30551</t>
  </si>
  <si>
    <t>991000078309702656</t>
  </si>
  <si>
    <t>2262241260002656</t>
  </si>
  <si>
    <t>9780080068930</t>
  </si>
  <si>
    <t>32285002255296</t>
  </si>
  <si>
    <t>893877781</t>
  </si>
  <si>
    <t>BF721 .H8 1978</t>
  </si>
  <si>
    <t>0                      BF 0721000H  8           1978</t>
  </si>
  <si>
    <t>Child development / Elizabeth B. Hurlock.</t>
  </si>
  <si>
    <t>6th ed.</t>
  </si>
  <si>
    <t>1993-04-07</t>
  </si>
  <si>
    <t>919063821:eng</t>
  </si>
  <si>
    <t>3120949</t>
  </si>
  <si>
    <t>991005265019702656</t>
  </si>
  <si>
    <t>2263927790002656</t>
  </si>
  <si>
    <t>9780070314276</t>
  </si>
  <si>
    <t>32285001603637</t>
  </si>
  <si>
    <t>893619710</t>
  </si>
  <si>
    <t>BF721 .K16</t>
  </si>
  <si>
    <t>0                      BF 0721000K  16</t>
  </si>
  <si>
    <t>Personality development / Irving L. Janis, editor.</t>
  </si>
  <si>
    <t>New York : Harcourt Brace Jovanovich, [1971]</t>
  </si>
  <si>
    <t>1998-12-03</t>
  </si>
  <si>
    <t>3943358986:eng</t>
  </si>
  <si>
    <t>145062</t>
  </si>
  <si>
    <t>991000821569702656</t>
  </si>
  <si>
    <t>2257700490002656</t>
  </si>
  <si>
    <t>9780155697508</t>
  </si>
  <si>
    <t>32285001603439</t>
  </si>
  <si>
    <t>893261625</t>
  </si>
  <si>
    <t>BF721 .K17</t>
  </si>
  <si>
    <t>0                      BF 0721000K  17</t>
  </si>
  <si>
    <t>Understanding children : behavior, motives, and thought.</t>
  </si>
  <si>
    <t>1998-02-11</t>
  </si>
  <si>
    <t>241035026:eng</t>
  </si>
  <si>
    <t>144722</t>
  </si>
  <si>
    <t>991000820749702656</t>
  </si>
  <si>
    <t>2257444790002656</t>
  </si>
  <si>
    <t>9780155928732</t>
  </si>
  <si>
    <t>32285001603454</t>
  </si>
  <si>
    <t>893595919</t>
  </si>
  <si>
    <t>BF721 .L26</t>
  </si>
  <si>
    <t>0                      BF 0721000L  26</t>
  </si>
  <si>
    <t>Foundations of developmental psychology / Richard C. LaBarba ; [cover and chapter opening art by Paula Goodman].</t>
  </si>
  <si>
    <t>LaBarba, Richard C.</t>
  </si>
  <si>
    <t>New York : Academic Press, c1981.</t>
  </si>
  <si>
    <t>28829462:eng</t>
  </si>
  <si>
    <t>7573136</t>
  </si>
  <si>
    <t>991005131759702656</t>
  </si>
  <si>
    <t>2271639750002656</t>
  </si>
  <si>
    <t>9780124323506</t>
  </si>
  <si>
    <t>32285001603470</t>
  </si>
  <si>
    <t>893795662</t>
  </si>
  <si>
    <t>BF721 .L443 1977</t>
  </si>
  <si>
    <t>0                      BF 0721000L  443         1977</t>
  </si>
  <si>
    <t>The growth and development of children / Catherine Lee. --</t>
  </si>
  <si>
    <t>Lee, C. M. (Catherine Macaulay)</t>
  </si>
  <si>
    <t>London ; New York : Longman, 1977.</t>
  </si>
  <si>
    <t>9093664150:eng</t>
  </si>
  <si>
    <t>2967875</t>
  </si>
  <si>
    <t>991004300169702656</t>
  </si>
  <si>
    <t>2269383540002656</t>
  </si>
  <si>
    <t>9780582488281</t>
  </si>
  <si>
    <t>32285001603488</t>
  </si>
  <si>
    <t>893535902</t>
  </si>
  <si>
    <t>BF721 .M215 1987</t>
  </si>
  <si>
    <t>0                      BF 0721000M  215         1987</t>
  </si>
  <si>
    <t>Making sense : the child's construction of the world / edited by Jerome Bruner and Helen Haste.</t>
  </si>
  <si>
    <t>London ; New York : Methuen, 1987.</t>
  </si>
  <si>
    <t>2002-02-07</t>
  </si>
  <si>
    <t>1990-03-15</t>
  </si>
  <si>
    <t>141063709:eng</t>
  </si>
  <si>
    <t>15590266</t>
  </si>
  <si>
    <t>991001041989702656</t>
  </si>
  <si>
    <t>2263492140002656</t>
  </si>
  <si>
    <t>9780416924909</t>
  </si>
  <si>
    <t>32285000044973</t>
  </si>
  <si>
    <t>893340114</t>
  </si>
  <si>
    <t>BF721 .M545 v.12</t>
  </si>
  <si>
    <t>0                      BF 0721000M  545                                                     v.12</t>
  </si>
  <si>
    <t>Children's language and communication : the 12th Annual Minnesota Symposium on Child Psychology / edited by W. Andrew Collins.</t>
  </si>
  <si>
    <t>V.12</t>
  </si>
  <si>
    <t>Minnesota Symposium on Child Psychology (12th : 1977 : University of Minnesota)</t>
  </si>
  <si>
    <t>Hillsdale, N.J. : L. Erlbaum Associates ; New York : distributed solely by Halsted Press, c1979.</t>
  </si>
  <si>
    <t>1992-02-12</t>
  </si>
  <si>
    <t>146916613:eng</t>
  </si>
  <si>
    <t>4638130</t>
  </si>
  <si>
    <t>991004693809702656</t>
  </si>
  <si>
    <t>2256110540002656</t>
  </si>
  <si>
    <t>32285000956721</t>
  </si>
  <si>
    <t>893889146</t>
  </si>
  <si>
    <t>BF721 .M545 v.13</t>
  </si>
  <si>
    <t>0                      BF 0721000M  545                                                     v.13</t>
  </si>
  <si>
    <t>Development of cognition, affect, and social relations / edited by W. Andrew Collins.</t>
  </si>
  <si>
    <t>V.13</t>
  </si>
  <si>
    <t>Minnesota Symposium on Child Psychology (13th : 1978 : University of Minnesota)</t>
  </si>
  <si>
    <t>Hillsdale, N.J. : L. Erlbaum Associates, 1980.</t>
  </si>
  <si>
    <t>1999-11-29</t>
  </si>
  <si>
    <t>478968086:eng</t>
  </si>
  <si>
    <t>5894219</t>
  </si>
  <si>
    <t>991004896459702656</t>
  </si>
  <si>
    <t>2264339070002656</t>
  </si>
  <si>
    <t>9780898590234</t>
  </si>
  <si>
    <t>32285000956739</t>
  </si>
  <si>
    <t>893260299</t>
  </si>
  <si>
    <t>BF721 .M545 v.16</t>
  </si>
  <si>
    <t>0                      BF 0721000M  545                                                     v.16</t>
  </si>
  <si>
    <t>Development and policy concerning children with special needs / edited by Marion Perlmutter.</t>
  </si>
  <si>
    <t>V.16</t>
  </si>
  <si>
    <t>Minnesota Symposium on Child Psychology (16th : 1981 : University of Minnesota)</t>
  </si>
  <si>
    <t>2006-09-08</t>
  </si>
  <si>
    <t>366508035:eng</t>
  </si>
  <si>
    <t>9323187</t>
  </si>
  <si>
    <t>991000169789702656</t>
  </si>
  <si>
    <t>2257862030002656</t>
  </si>
  <si>
    <t>9780898592610</t>
  </si>
  <si>
    <t>32285000956762</t>
  </si>
  <si>
    <t>893871478</t>
  </si>
  <si>
    <t>BF721 .M545 v.17</t>
  </si>
  <si>
    <t>0                      BF 0721000M  545                                                     v.17</t>
  </si>
  <si>
    <t>Parent-child interaction and parent-child relations in child development / edited by Marion Perlmutter.</t>
  </si>
  <si>
    <t>V.17</t>
  </si>
  <si>
    <t>Minnesota Symposium on Child Psychology (17th : 1982 : University of Minnesota)</t>
  </si>
  <si>
    <t>Hillsdale, N.J. : L. Erlbaum Associates, 1984.</t>
  </si>
  <si>
    <t>147153186:eng</t>
  </si>
  <si>
    <t>10230865</t>
  </si>
  <si>
    <t>991000337709702656</t>
  </si>
  <si>
    <t>2258530430002656</t>
  </si>
  <si>
    <t>9780898593808</t>
  </si>
  <si>
    <t>32285000956770</t>
  </si>
  <si>
    <t>893683323</t>
  </si>
  <si>
    <t>BF721 .M545 v.21</t>
  </si>
  <si>
    <t>0                      BF 0721000M  545                                                     v.21</t>
  </si>
  <si>
    <t>Development during the transition to adolescence / edited by Megan R. Gunnar, W. Andrew Collins.</t>
  </si>
  <si>
    <t>V.21</t>
  </si>
  <si>
    <t>Minnesota Symposium on Child Psychology (21st : 1986 : University of Minnesota)</t>
  </si>
  <si>
    <t>1154235633:eng</t>
  </si>
  <si>
    <t>17263697</t>
  </si>
  <si>
    <t>991001193779702656</t>
  </si>
  <si>
    <t>2266485950002656</t>
  </si>
  <si>
    <t>9780805801941</t>
  </si>
  <si>
    <t>32285000956788</t>
  </si>
  <si>
    <t>893225672</t>
  </si>
  <si>
    <t>BF721 .M545 v.23</t>
  </si>
  <si>
    <t>0                      BF 0721000M  545                                                     v.23</t>
  </si>
  <si>
    <t>Self processes and development / edited by Megan R. Gunnar, L. Alan Sroufe.</t>
  </si>
  <si>
    <t>V.23</t>
  </si>
  <si>
    <t>Hillsdale, N.J. : L. Erlbaum Associates, 1991.</t>
  </si>
  <si>
    <t>The Minnesota symposia on child psychology ; v. 23</t>
  </si>
  <si>
    <t>1993-02-20</t>
  </si>
  <si>
    <t>350363072:eng</t>
  </si>
  <si>
    <t>21406477</t>
  </si>
  <si>
    <t>991001686009702656</t>
  </si>
  <si>
    <t>2267704130002656</t>
  </si>
  <si>
    <t>9780805806953</t>
  </si>
  <si>
    <t>32285001128247</t>
  </si>
  <si>
    <t>893772800</t>
  </si>
  <si>
    <t>BF721 .M547</t>
  </si>
  <si>
    <t>0                      BF 0721000M  547</t>
  </si>
  <si>
    <t>The middle years of childhood / Patricia P. Minuchin. --</t>
  </si>
  <si>
    <t>Minuchin, Patricia.</t>
  </si>
  <si>
    <t>Monterey, Calif. : Brooks/Cole Pub. Co., c1977.</t>
  </si>
  <si>
    <t>2005-09-06</t>
  </si>
  <si>
    <t>7025388:eng</t>
  </si>
  <si>
    <t>2984309</t>
  </si>
  <si>
    <t>991005265039702656</t>
  </si>
  <si>
    <t>2258287220002656</t>
  </si>
  <si>
    <t>9780818501364</t>
  </si>
  <si>
    <t>32285001795136</t>
  </si>
  <si>
    <t>893619711</t>
  </si>
  <si>
    <t>BF721 .M89 1979</t>
  </si>
  <si>
    <t>0                      BF 0721000M  89          1979</t>
  </si>
  <si>
    <t>The psychological development of the child / Paul Mussen.</t>
  </si>
  <si>
    <t>Mussen, Paul Henry.</t>
  </si>
  <si>
    <t>Prentice-Hall Foundations of modern psyhcology series</t>
  </si>
  <si>
    <t>1322883:eng</t>
  </si>
  <si>
    <t>4493534</t>
  </si>
  <si>
    <t>991004649929702656</t>
  </si>
  <si>
    <t>2263050460002656</t>
  </si>
  <si>
    <t>9780137324200</t>
  </si>
  <si>
    <t>32285001603512</t>
  </si>
  <si>
    <t>893229588</t>
  </si>
  <si>
    <t>BF721 .P43 1951</t>
  </si>
  <si>
    <t>0                      BF 0721000P  43          1951</t>
  </si>
  <si>
    <t>The child's conception of physical causality / by Jean Piaget ; translated by Marjorie Gabain.</t>
  </si>
  <si>
    <t>New York : Humanities Press ; London : Routledge &amp; Kegan Paul, 1951, c1930.</t>
  </si>
  <si>
    <t>1994-02-28</t>
  </si>
  <si>
    <t>9490345890:eng</t>
  </si>
  <si>
    <t>2752288</t>
  </si>
  <si>
    <t>991004232469702656</t>
  </si>
  <si>
    <t>2260799040002656</t>
  </si>
  <si>
    <t>32285001850659</t>
  </si>
  <si>
    <t>893687507</t>
  </si>
  <si>
    <t>BF721 .P473 1963</t>
  </si>
  <si>
    <t>0                      BF 0721000P  473         1963</t>
  </si>
  <si>
    <t>The origins of intelligence in children / Jean Piaget ; translated by Margaret Cook.</t>
  </si>
  <si>
    <t>New York : W.W. Norton, 1963.</t>
  </si>
  <si>
    <t>The Norton Library</t>
  </si>
  <si>
    <t>1995-03-29</t>
  </si>
  <si>
    <t>4757753985:eng</t>
  </si>
  <si>
    <t>1906847</t>
  </si>
  <si>
    <t>991003933909702656</t>
  </si>
  <si>
    <t>2257291460002656</t>
  </si>
  <si>
    <t>32285001443216</t>
  </si>
  <si>
    <t>893246949</t>
  </si>
  <si>
    <t>BF721 .P4813</t>
  </si>
  <si>
    <t>0                      BF 0721000P  4813</t>
  </si>
  <si>
    <t>The psychology of the child [by] Jean Piaget and Bärbel Inhelder. Translated from the French by Helen Weaver.</t>
  </si>
  <si>
    <t>New York, Basic Books [1969]</t>
  </si>
  <si>
    <t>4087434310:eng</t>
  </si>
  <si>
    <t>16142</t>
  </si>
  <si>
    <t>991000013859702656</t>
  </si>
  <si>
    <t>2271577140002656</t>
  </si>
  <si>
    <t>32285002255643</t>
  </si>
  <si>
    <t>893595180</t>
  </si>
  <si>
    <t>BF721 .P5 1967</t>
  </si>
  <si>
    <t>0                      BF 0721000P  5           1967</t>
  </si>
  <si>
    <t>The child's conception of the world / [Translated by Joan and Andrew Tomlinson]</t>
  </si>
  <si>
    <t>London, : Routledge &amp; Kegan Paul ltd., [1967, c1929]</t>
  </si>
  <si>
    <t>1997-12-16</t>
  </si>
  <si>
    <t>48611464:eng</t>
  </si>
  <si>
    <t>3411822</t>
  </si>
  <si>
    <t>991004428059702656</t>
  </si>
  <si>
    <t>2268480350002656</t>
  </si>
  <si>
    <t>32285002160223</t>
  </si>
  <si>
    <t>893807062</t>
  </si>
  <si>
    <t>BF721 .P588</t>
  </si>
  <si>
    <t>0                      BF 0721000P  588</t>
  </si>
  <si>
    <t>The growing child in contemporary society [by] Marie B. Pollard [and] Barbara Geoghegan.</t>
  </si>
  <si>
    <t>Pollard, Marie B.</t>
  </si>
  <si>
    <t>Milwaukee, Bruce Pub. Co. [1969]</t>
  </si>
  <si>
    <t>2010-04-21</t>
  </si>
  <si>
    <t>1496313:eng</t>
  </si>
  <si>
    <t>296807</t>
  </si>
  <si>
    <t>991002239039702656</t>
  </si>
  <si>
    <t>2262748650002656</t>
  </si>
  <si>
    <t>32285002255650</t>
  </si>
  <si>
    <t>893529729</t>
  </si>
  <si>
    <t>BF721 .R345 1970</t>
  </si>
  <si>
    <t>0                      BF 0721000R  345         1970</t>
  </si>
  <si>
    <t>Child development and behavior. Readings edited by Freda Rebelsky and Lynn Dorman.</t>
  </si>
  <si>
    <t>Rebelsky, Freda, 1931- compiler.</t>
  </si>
  <si>
    <t>New York, Knopf [1970]</t>
  </si>
  <si>
    <t>1997-03-06</t>
  </si>
  <si>
    <t>1306388:eng</t>
  </si>
  <si>
    <t>92562</t>
  </si>
  <si>
    <t>991000550579702656</t>
  </si>
  <si>
    <t>2262612010002656</t>
  </si>
  <si>
    <t>32285001054450</t>
  </si>
  <si>
    <t>893237413</t>
  </si>
  <si>
    <t>BF721 .R513 1982</t>
  </si>
  <si>
    <t>0                      BF 0721000R  513         1982</t>
  </si>
  <si>
    <t>Pre-school to school : a behavioural study / N. Richman, J. Stevenson, P.J. Graham.</t>
  </si>
  <si>
    <t>Richman, Naomi.</t>
  </si>
  <si>
    <t>Behavioural development</t>
  </si>
  <si>
    <t>309016870:eng</t>
  </si>
  <si>
    <t>9031991</t>
  </si>
  <si>
    <t>991000114999702656</t>
  </si>
  <si>
    <t>2266642520002656</t>
  </si>
  <si>
    <t>9780125879408</t>
  </si>
  <si>
    <t>32285001603561</t>
  </si>
  <si>
    <t>893419217</t>
  </si>
  <si>
    <t>BF721 .R613</t>
  </si>
  <si>
    <t>0                      BF 0721000R  613</t>
  </si>
  <si>
    <t>Infants and children : their development and learning / Mildred C. Robeck.</t>
  </si>
  <si>
    <t>Robeck, Mildred Coen, 1915-</t>
  </si>
  <si>
    <t>10692838:eng</t>
  </si>
  <si>
    <t>3516364</t>
  </si>
  <si>
    <t>991004451919702656</t>
  </si>
  <si>
    <t>2272384850002656</t>
  </si>
  <si>
    <t>9780070531086</t>
  </si>
  <si>
    <t>32285002255700</t>
  </si>
  <si>
    <t>893411558</t>
  </si>
  <si>
    <t>BF721 .R68 1973</t>
  </si>
  <si>
    <t>0                      BF 0721000R  68          1973</t>
  </si>
  <si>
    <t>The children we see; an observational approach to child study. With a foreword by E. Paul Torrance.</t>
  </si>
  <si>
    <t>Rowen, Betty.</t>
  </si>
  <si>
    <t>1998-10-27</t>
  </si>
  <si>
    <t>248015596:eng</t>
  </si>
  <si>
    <t>640236</t>
  </si>
  <si>
    <t>991003089839702656</t>
  </si>
  <si>
    <t>2263297770002656</t>
  </si>
  <si>
    <t>9780030881015</t>
  </si>
  <si>
    <t>32285002255726</t>
  </si>
  <si>
    <t>893239874</t>
  </si>
  <si>
    <t>BF721 .R8</t>
  </si>
  <si>
    <t>0                      BF 0721000R  8</t>
  </si>
  <si>
    <t>Children's thinking.</t>
  </si>
  <si>
    <t>Russell, David H., 1906-1965.</t>
  </si>
  <si>
    <t>Boston : Ginn, [1956]</t>
  </si>
  <si>
    <t>1998-10-05</t>
  </si>
  <si>
    <t>3855340144:eng</t>
  </si>
  <si>
    <t>1424034</t>
  </si>
  <si>
    <t>991003749629702656</t>
  </si>
  <si>
    <t>2271987300002656</t>
  </si>
  <si>
    <t>32285002255734</t>
  </si>
  <si>
    <t>893894075</t>
  </si>
  <si>
    <t>BF721 .S446</t>
  </si>
  <si>
    <t>0                      BF 0721000S  446</t>
  </si>
  <si>
    <t>Child development: the human, cultural, and educational context [by] W. H. O. Schmidt.</t>
  </si>
  <si>
    <t>Schmidt, Wilfred H. O.</t>
  </si>
  <si>
    <t>New York, Harper &amp; Row [1973]</t>
  </si>
  <si>
    <t>1997-11-23</t>
  </si>
  <si>
    <t>196535974:eng</t>
  </si>
  <si>
    <t>628297</t>
  </si>
  <si>
    <t>991003075349702656</t>
  </si>
  <si>
    <t>2269510100002656</t>
  </si>
  <si>
    <t>9780060457815</t>
  </si>
  <si>
    <t>32285002255759</t>
  </si>
  <si>
    <t>893805393</t>
  </si>
  <si>
    <t>BF721 .S494</t>
  </si>
  <si>
    <t>0                      BF 0721000S  494</t>
  </si>
  <si>
    <t>Child behavior : learning and development / William C. Sheppard, Robert H. Willoughby.</t>
  </si>
  <si>
    <t>Sheppard, William C.</t>
  </si>
  <si>
    <t>Chicago : Rand McNally College Pub. Co., [1975]</t>
  </si>
  <si>
    <t>1998-01-20</t>
  </si>
  <si>
    <t>309417354:eng</t>
  </si>
  <si>
    <t>1527251</t>
  </si>
  <si>
    <t>991003800489702656</t>
  </si>
  <si>
    <t>2258082210002656</t>
  </si>
  <si>
    <t>9780528620287</t>
  </si>
  <si>
    <t>32285000470947</t>
  </si>
  <si>
    <t>893518883</t>
  </si>
  <si>
    <t>BF721 .S5713 1973</t>
  </si>
  <si>
    <t>0                      BF 0721000S  5713        1973</t>
  </si>
  <si>
    <t>Preschool children : development and relationships / [by] Mollie S. Smart [and] Russell C. Smart.</t>
  </si>
  <si>
    <t>Smart, Mollie Stevens.</t>
  </si>
  <si>
    <t>New York : Macmillan, [1973]</t>
  </si>
  <si>
    <t>1997-04-15</t>
  </si>
  <si>
    <t>3857393462:eng</t>
  </si>
  <si>
    <t>590756</t>
  </si>
  <si>
    <t>991003027049702656</t>
  </si>
  <si>
    <t>2265542450002656</t>
  </si>
  <si>
    <t>32285001502946</t>
  </si>
  <si>
    <t>893440846</t>
  </si>
  <si>
    <t>BF721 .S5714</t>
  </si>
  <si>
    <t>0                      BF 0721000S  5714</t>
  </si>
  <si>
    <t>Readings in child development and relationships [compiled by] Russell C. Smart and Mollie S. Smart.</t>
  </si>
  <si>
    <t>Smart, Russell Cook compiler.</t>
  </si>
  <si>
    <t>New York, Macmillan [1972]</t>
  </si>
  <si>
    <t>3768793102:eng</t>
  </si>
  <si>
    <t>239889</t>
  </si>
  <si>
    <t>991001904739702656</t>
  </si>
  <si>
    <t>2257051560002656</t>
  </si>
  <si>
    <t>32285002255783</t>
  </si>
  <si>
    <t>893715807</t>
  </si>
  <si>
    <t>BF721 .S5755 1970</t>
  </si>
  <si>
    <t>0                      BF 0721000S  5755        1970</t>
  </si>
  <si>
    <t>Perspectives in child psychology; research and review. Edited by Thomas D. Spencer [and] Norman Kass.</t>
  </si>
  <si>
    <t>Spencer, Thomas D., 1937-, compiler.</t>
  </si>
  <si>
    <t>New York, McGraw-Hill [1970]</t>
  </si>
  <si>
    <t>2001-01-21</t>
  </si>
  <si>
    <t>821259404:eng</t>
  </si>
  <si>
    <t>69958</t>
  </si>
  <si>
    <t>991000328809702656</t>
  </si>
  <si>
    <t>2261344960002656</t>
  </si>
  <si>
    <t>32285002255791</t>
  </si>
  <si>
    <t>893249252</t>
  </si>
  <si>
    <t>BF721 .S833</t>
  </si>
  <si>
    <t>0                      BF 0721000S  833</t>
  </si>
  <si>
    <t>Developmental psychology : the school-aged child / Ellen A. Strommen, John Paul McKinney, Hiram E. Fitzgerald.</t>
  </si>
  <si>
    <t>Strommen, Ellen A.</t>
  </si>
  <si>
    <t>Homewood, Ill. : Dorsey Press, 1977.</t>
  </si>
  <si>
    <t>9593365848:eng</t>
  </si>
  <si>
    <t>2918977</t>
  </si>
  <si>
    <t>991004284249702656</t>
  </si>
  <si>
    <t>2269167630002656</t>
  </si>
  <si>
    <t>9780256019391</t>
  </si>
  <si>
    <t>32285001965440</t>
  </si>
  <si>
    <t>893612170</t>
  </si>
  <si>
    <t>BF721 .T456</t>
  </si>
  <si>
    <t>0                      BF 0721000T  456</t>
  </si>
  <si>
    <t>Comparing theories of child development / R. Murray Thomas. --</t>
  </si>
  <si>
    <t>Thomas, R. Murray (Robert Murray), 1921-</t>
  </si>
  <si>
    <t>Belmont, Calif. : Wadsworth Pub. Co., 1979.</t>
  </si>
  <si>
    <t>1992-04-14</t>
  </si>
  <si>
    <t>3443813:eng</t>
  </si>
  <si>
    <t>3892618</t>
  </si>
  <si>
    <t>991004539879702656</t>
  </si>
  <si>
    <t>2272314280002656</t>
  </si>
  <si>
    <t>9780534005917</t>
  </si>
  <si>
    <t>32285001067866</t>
  </si>
  <si>
    <t>893599960</t>
  </si>
  <si>
    <t>BF721 .T72</t>
  </si>
  <si>
    <t>0                      BF 0721000T  72</t>
  </si>
  <si>
    <t>The growing child : introduction to child development / John F. Travers.</t>
  </si>
  <si>
    <t>Travers, John F.</t>
  </si>
  <si>
    <t>New York : Wiley, c1977.</t>
  </si>
  <si>
    <t>1992-04-26</t>
  </si>
  <si>
    <t>29385307:eng</t>
  </si>
  <si>
    <t>2318214</t>
  </si>
  <si>
    <t>991004076679702656</t>
  </si>
  <si>
    <t>2263969690002656</t>
  </si>
  <si>
    <t>9780471885009</t>
  </si>
  <si>
    <t>32285001087021</t>
  </si>
  <si>
    <t>893693488</t>
  </si>
  <si>
    <t>BF721 .V38</t>
  </si>
  <si>
    <t>0                      BF 0721000V  38</t>
  </si>
  <si>
    <t>The parental figures and the representation of God : a psychological and cross-cultural study / Antoine Vergote and Alvaro Tamayo.</t>
  </si>
  <si>
    <t>Vergote, Antoine.</t>
  </si>
  <si>
    <t>The Hague ; New York Mouton, c1981.</t>
  </si>
  <si>
    <t>Religion and society ; 21</t>
  </si>
  <si>
    <t>2000-12-02</t>
  </si>
  <si>
    <t>889575213:eng</t>
  </si>
  <si>
    <t>8072528</t>
  </si>
  <si>
    <t>991005200679702656</t>
  </si>
  <si>
    <t>2255443670002656</t>
  </si>
  <si>
    <t>9789027930590</t>
  </si>
  <si>
    <t>32285000122779</t>
  </si>
  <si>
    <t>893902285</t>
  </si>
  <si>
    <t>BF721 .V4</t>
  </si>
  <si>
    <t>0                      BF 0721000V  4</t>
  </si>
  <si>
    <t>Intelligence and cultural environment / [by] Philip E. Vernon.</t>
  </si>
  <si>
    <t>London : Methuen, 1969.</t>
  </si>
  <si>
    <t>1141317:eng</t>
  </si>
  <si>
    <t>18822</t>
  </si>
  <si>
    <t>991000029079702656</t>
  </si>
  <si>
    <t>2272307490002656</t>
  </si>
  <si>
    <t>9780416121209</t>
  </si>
  <si>
    <t>32285001570885</t>
  </si>
  <si>
    <t>893431607</t>
  </si>
  <si>
    <t>BF721 .W33 1973</t>
  </si>
  <si>
    <t>0                      BF 0721000W  33          1973</t>
  </si>
  <si>
    <t>Psychology of the child / [by] Robert I. Watson [and] Henry Clay Lindgren.</t>
  </si>
  <si>
    <t>Watson, Robert I. (Robert Irving), 1909-1980.</t>
  </si>
  <si>
    <t>New York : J. Wiley, [1973]</t>
  </si>
  <si>
    <t>2007-09-18</t>
  </si>
  <si>
    <t>1992-01-17</t>
  </si>
  <si>
    <t>2866265490:eng</t>
  </si>
  <si>
    <t>333650</t>
  </si>
  <si>
    <t>991002394309702656</t>
  </si>
  <si>
    <t>2258006300002656</t>
  </si>
  <si>
    <t>9780471922407</t>
  </si>
  <si>
    <t>32285000914985</t>
  </si>
  <si>
    <t>893685312</t>
  </si>
  <si>
    <t>BF721 .W385 1986</t>
  </si>
  <si>
    <t>0                      BF 0721000W  385         1986</t>
  </si>
  <si>
    <t>Human growth and development : a psychological approach / Frank Wesley, Edith Sullivan.</t>
  </si>
  <si>
    <t>Wesley, Frank, 1918-</t>
  </si>
  <si>
    <t>New York, N.Y. : Human Science Press, c1986.</t>
  </si>
  <si>
    <t>836633416:eng</t>
  </si>
  <si>
    <t>13665527</t>
  </si>
  <si>
    <t>991000857009702656</t>
  </si>
  <si>
    <t>2269969380002656</t>
  </si>
  <si>
    <t>9780898853162</t>
  </si>
  <si>
    <t>32285000151232</t>
  </si>
  <si>
    <t>893683809</t>
  </si>
  <si>
    <t>BF721 .Y3 1940a</t>
  </si>
  <si>
    <t>0                      BF 0721000Y  3           1940a</t>
  </si>
  <si>
    <t>The first five years of life : a guide to the study of the preschool child, from the Yale clinic of child development.</t>
  </si>
  <si>
    <t>Yale University. Clinic of Child Development.</t>
  </si>
  <si>
    <t>New York ; London : Harper &amp; brothers, c1940.</t>
  </si>
  <si>
    <t>[9th ed.]</t>
  </si>
  <si>
    <t>2001-01-26</t>
  </si>
  <si>
    <t>4820381874:eng</t>
  </si>
  <si>
    <t>217949</t>
  </si>
  <si>
    <t>991001290629702656</t>
  </si>
  <si>
    <t>2258983800002656</t>
  </si>
  <si>
    <t>32285002255890</t>
  </si>
  <si>
    <t>893866132</t>
  </si>
  <si>
    <t>BF721.L36 P5 1973</t>
  </si>
  <si>
    <t>0                      BF 0721000L  36                 P  5           1973</t>
  </si>
  <si>
    <t>Piaget's theory applied to an early childhood curriculum / Celia Stendler Lavatelli.</t>
  </si>
  <si>
    <t>Lavatelli, Celia Stendler, 1911-1976.</t>
  </si>
  <si>
    <t>Boston : American Science and Engineering, c1973.</t>
  </si>
  <si>
    <t>1992-04-29</t>
  </si>
  <si>
    <t>23132539:eng</t>
  </si>
  <si>
    <t>22015754</t>
  </si>
  <si>
    <t>991001743039702656</t>
  </si>
  <si>
    <t>2272229630002656</t>
  </si>
  <si>
    <t>32285001103836</t>
  </si>
  <si>
    <t>893328337</t>
  </si>
  <si>
    <t>BF722 .A66</t>
  </si>
  <si>
    <t>0                      BF 0722000A  66</t>
  </si>
  <si>
    <t>The Application of child development research to exceptional children / James J. Gallagher, editor ; [art and design by Peter Jones ; photos. by Ellen Foscue Johnson].</t>
  </si>
  <si>
    <t>Reston, Va. : Council for Exceptional Children, 1975.</t>
  </si>
  <si>
    <t>1996-08-06</t>
  </si>
  <si>
    <t>54183831:eng</t>
  </si>
  <si>
    <t>3328941</t>
  </si>
  <si>
    <t>991004408149702656</t>
  </si>
  <si>
    <t>2266652840002656</t>
  </si>
  <si>
    <t>32285002255916</t>
  </si>
  <si>
    <t>893882446</t>
  </si>
  <si>
    <t>BF722 .F87 1985</t>
  </si>
  <si>
    <t>0                      BF 0722000F  87          1985</t>
  </si>
  <si>
    <t>The Future of Piagetian theory : the neo-Piagetians / edited by Valerie L. Shulman, Lillian C.R. Restaino-Baumann, and Loretta Butler.</t>
  </si>
  <si>
    <t>New York : Plenum Press, c1985.</t>
  </si>
  <si>
    <t>836709358:eng</t>
  </si>
  <si>
    <t>11972529</t>
  </si>
  <si>
    <t>991000622359702656</t>
  </si>
  <si>
    <t>2255758030002656</t>
  </si>
  <si>
    <t>9780306419409</t>
  </si>
  <si>
    <t>32285001604114</t>
  </si>
  <si>
    <t>893339729</t>
  </si>
  <si>
    <t>BF722 .G62 1983</t>
  </si>
  <si>
    <t>0                      BF 0722000G  62          1983</t>
  </si>
  <si>
    <t>Psychological methods of child assessment / Jacquelin Goldman, Claudia L'Engle Stein, Shirley Guerry.</t>
  </si>
  <si>
    <t>Goldman, Jacquelin.</t>
  </si>
  <si>
    <t>New York : Brunner/Mazel, c1983.</t>
  </si>
  <si>
    <t>2000-01-24</t>
  </si>
  <si>
    <t>3444650:eng</t>
  </si>
  <si>
    <t>10022799</t>
  </si>
  <si>
    <t>991000301549702656</t>
  </si>
  <si>
    <t>2268520810002656</t>
  </si>
  <si>
    <t>9780876303481</t>
  </si>
  <si>
    <t>32285001604122</t>
  </si>
  <si>
    <t>893614076</t>
  </si>
  <si>
    <t>BF722 .M4</t>
  </si>
  <si>
    <t>0                      BF 0722000M  4</t>
  </si>
  <si>
    <t>Child study and observation guide / Gene R. Medinnus.</t>
  </si>
  <si>
    <t>Medinnus, Gene Roland.</t>
  </si>
  <si>
    <t>2003-07-18</t>
  </si>
  <si>
    <t>2274694:eng</t>
  </si>
  <si>
    <t>1366298</t>
  </si>
  <si>
    <t>991003721679702656</t>
  </si>
  <si>
    <t>2255206220002656</t>
  </si>
  <si>
    <t>9780471590248</t>
  </si>
  <si>
    <t>32285001604130</t>
  </si>
  <si>
    <t>893512279</t>
  </si>
  <si>
    <t>BF722 .T47 1984</t>
  </si>
  <si>
    <t>0                      BF 0722000T  47          1984</t>
  </si>
  <si>
    <t>Testing children : a reference guide for effective clinical and psychoeducational assessments / S. Joseph Weaver, general editor ; foreword by Alan S. Kaufman.</t>
  </si>
  <si>
    <t>Kansas City, Mo. : Test Corp. of America, [1984]</t>
  </si>
  <si>
    <t>1994-10-11</t>
  </si>
  <si>
    <t>1997-01-21</t>
  </si>
  <si>
    <t>894509852:eng</t>
  </si>
  <si>
    <t>10925015</t>
  </si>
  <si>
    <t>991001762769702656</t>
  </si>
  <si>
    <t>2272712490002656</t>
  </si>
  <si>
    <t>9780961128623</t>
  </si>
  <si>
    <t>32285001604155</t>
  </si>
  <si>
    <t>893703308</t>
  </si>
  <si>
    <t>BF722 .V37</t>
  </si>
  <si>
    <t>0                      BF 0722000V  37</t>
  </si>
  <si>
    <t>Studying children : an introduction to research methods / Ross Vasta.</t>
  </si>
  <si>
    <t>Vasta, Ross.</t>
  </si>
  <si>
    <t>San Francisco : W. H. Freeman, c1979.</t>
  </si>
  <si>
    <t>1995-11-01</t>
  </si>
  <si>
    <t>889961708:eng</t>
  </si>
  <si>
    <t>4492727</t>
  </si>
  <si>
    <t>991004647869702656</t>
  </si>
  <si>
    <t>2263552760002656</t>
  </si>
  <si>
    <t>9780716710677</t>
  </si>
  <si>
    <t>32285001604171</t>
  </si>
  <si>
    <t>893319483</t>
  </si>
  <si>
    <t>BF723.A25 W47</t>
  </si>
  <si>
    <t>0                      BF 0723000A  25                 W  47</t>
  </si>
  <si>
    <t>The origins of human competence : the final report of the Harvard Preschool Project / Burton L. White, Barbara T. Kaban, Jane S. Attanucci.</t>
  </si>
  <si>
    <t>White, Burton L., 1929-</t>
  </si>
  <si>
    <t>Lexington, Mass. : Lexington Books, c1979.</t>
  </si>
  <si>
    <t>1997-09-29</t>
  </si>
  <si>
    <t>1990-04-06</t>
  </si>
  <si>
    <t>9461099:eng</t>
  </si>
  <si>
    <t>4642273</t>
  </si>
  <si>
    <t>991004697049702656</t>
  </si>
  <si>
    <t>2257996160002656</t>
  </si>
  <si>
    <t>9780669019438</t>
  </si>
  <si>
    <t>32285000112184</t>
  </si>
  <si>
    <t>893411848</t>
  </si>
  <si>
    <t>BF723.A28 M35 1987</t>
  </si>
  <si>
    <t>0                      BF 0723000A  28                 M  35          1987</t>
  </si>
  <si>
    <t>The Malleability of children / edited by James J. Gallagher and Craig T. Ramey.</t>
  </si>
  <si>
    <t>Baltimore : P.H. Brookes Pub. Co., c1987.</t>
  </si>
  <si>
    <t>475510191:eng</t>
  </si>
  <si>
    <t>15014891</t>
  </si>
  <si>
    <t>991000975139702656</t>
  </si>
  <si>
    <t>2272179740002656</t>
  </si>
  <si>
    <t>9780933716780</t>
  </si>
  <si>
    <t>32285001627958</t>
  </si>
  <si>
    <t>893509271</t>
  </si>
  <si>
    <t>BF723.A35 E75</t>
  </si>
  <si>
    <t>0                      BF 0723000A  35                 E  75</t>
  </si>
  <si>
    <t>Learning of aggression in children / [by] Leonard D. Eron, Leopold O. Walder [and] Monroe M. Lefkowitz.</t>
  </si>
  <si>
    <t>Eron, Leonard D.</t>
  </si>
  <si>
    <t>Boston : Little, Brown, [1971]</t>
  </si>
  <si>
    <t>1998-10-15</t>
  </si>
  <si>
    <t>1361563:eng</t>
  </si>
  <si>
    <t>194850</t>
  </si>
  <si>
    <t>991001217189702656</t>
  </si>
  <si>
    <t>2269380250002656</t>
  </si>
  <si>
    <t>32285001383578</t>
  </si>
  <si>
    <t>893528764</t>
  </si>
  <si>
    <t>BF723.A35 P3</t>
  </si>
  <si>
    <t>0                      BF 0723000A  35                 P  3</t>
  </si>
  <si>
    <t>The development of aggression in early childhood / Henri Parens ; with the editorial assistance of Rachel A. Parens.</t>
  </si>
  <si>
    <t>Parens, Henri, 1928-</t>
  </si>
  <si>
    <t>New York : Jason Aronson, c1979.</t>
  </si>
  <si>
    <t>2002-11-21</t>
  </si>
  <si>
    <t>23865972:eng</t>
  </si>
  <si>
    <t>6813127</t>
  </si>
  <si>
    <t>991004786199702656</t>
  </si>
  <si>
    <t>2270289410002656</t>
  </si>
  <si>
    <t>9780876683644</t>
  </si>
  <si>
    <t>32285001604189</t>
  </si>
  <si>
    <t>893344257</t>
  </si>
  <si>
    <t>BF723.A5 S36</t>
  </si>
  <si>
    <t>0                      BF 0723000A  5                  S  36</t>
  </si>
  <si>
    <t>Anxiety in elementary school children; a report of research [by] Seymour B. Sarason [and others]</t>
  </si>
  <si>
    <t>Sarason, Seymour Bernard, 1919-2010.</t>
  </si>
  <si>
    <t>New York, Wiley [1960]</t>
  </si>
  <si>
    <t>2005-11-10</t>
  </si>
  <si>
    <t>24184847:eng</t>
  </si>
  <si>
    <t>217741</t>
  </si>
  <si>
    <t>991001289849702656</t>
  </si>
  <si>
    <t>2258844930002656</t>
  </si>
  <si>
    <t>32285002255973</t>
  </si>
  <si>
    <t>893778701</t>
  </si>
  <si>
    <t>BF723.C43 P4</t>
  </si>
  <si>
    <t>0                      BF 0723000C  43                 P  4</t>
  </si>
  <si>
    <t>The psychology of character development, by Robert F. Peck, with Robert J. Havighurst and [others]</t>
  </si>
  <si>
    <t>Peck, Robert F.</t>
  </si>
  <si>
    <t>2007-02-19</t>
  </si>
  <si>
    <t>284323:eng</t>
  </si>
  <si>
    <t>217730</t>
  </si>
  <si>
    <t>991001289709702656</t>
  </si>
  <si>
    <t>2258828430002656</t>
  </si>
  <si>
    <t>32285002256005</t>
  </si>
  <si>
    <t>893414143</t>
  </si>
  <si>
    <t>BF723.C5 A44</t>
  </si>
  <si>
    <t>0                      BF 0723000C  5                  A  44</t>
  </si>
  <si>
    <t>Action and thought : from sensorimotor schemes to symbolic operations / edited by George E. Forman.</t>
  </si>
  <si>
    <t>Developmental psychology series</t>
  </si>
  <si>
    <t>889833964:eng</t>
  </si>
  <si>
    <t>7923610</t>
  </si>
  <si>
    <t>991005176519702656</t>
  </si>
  <si>
    <t>2269233810002656</t>
  </si>
  <si>
    <t>9780122622205</t>
  </si>
  <si>
    <t>32285001604205</t>
  </si>
  <si>
    <t>893501448</t>
  </si>
  <si>
    <t>BF723.C5 A66 1984</t>
  </si>
  <si>
    <t>0                      BF 0723000C  5                  A  66          1984</t>
  </si>
  <si>
    <t>Applications of cognitive-developmental theory / edited by Barry Gholson, Ted L. Rosenthal.</t>
  </si>
  <si>
    <t>Orlando : Academic Press, 1984.</t>
  </si>
  <si>
    <t>1994-02-20</t>
  </si>
  <si>
    <t>353867850:eng</t>
  </si>
  <si>
    <t>10018046</t>
  </si>
  <si>
    <t>991000297109702656</t>
  </si>
  <si>
    <t>2269430760002656</t>
  </si>
  <si>
    <t>9780122823206</t>
  </si>
  <si>
    <t>32285001064905</t>
  </si>
  <si>
    <t>893890564</t>
  </si>
  <si>
    <t>BF723.C5 A84</t>
  </si>
  <si>
    <t>0                      BF 0723000C  5                  A  84</t>
  </si>
  <si>
    <t>Attention and cognitive development / edited by Gordon A. Hale and Michael Lewis.</t>
  </si>
  <si>
    <t>New York : Plenum Press, c1979.</t>
  </si>
  <si>
    <t>365846135:eng</t>
  </si>
  <si>
    <t>4883683</t>
  </si>
  <si>
    <t>991004741189702656</t>
  </si>
  <si>
    <t>2264061150002656</t>
  </si>
  <si>
    <t>9780306402340</t>
  </si>
  <si>
    <t>32285000088780</t>
  </si>
  <si>
    <t>893338077</t>
  </si>
  <si>
    <t>BF723.C5 A9 1983</t>
  </si>
  <si>
    <t>0                      BF 0723000C  5                  A  9           1983</t>
  </si>
  <si>
    <t>Children's cognitive development / Ruth L. Ault.</t>
  </si>
  <si>
    <t>Ault, Ruth L.</t>
  </si>
  <si>
    <t>New York : Oxford University Press, 1983.</t>
  </si>
  <si>
    <t>2006-02-13</t>
  </si>
  <si>
    <t>5595665:eng</t>
  </si>
  <si>
    <t>8281516</t>
  </si>
  <si>
    <t>991005225439702656</t>
  </si>
  <si>
    <t>2266827150002656</t>
  </si>
  <si>
    <t>9780195031836</t>
  </si>
  <si>
    <t>32285001064889</t>
  </si>
  <si>
    <t>893501532</t>
  </si>
  <si>
    <t>BF723.C5 B62 1991</t>
  </si>
  <si>
    <t>0                      BF 0723000C  5                  B  62          1991</t>
  </si>
  <si>
    <t>Brain maturation and cognitive development : comparative and cross-cultural perspectives / edited by Kathleen R. Gibson and Anne C. Petersen ; sponsored by the Social Science Research Council.</t>
  </si>
  <si>
    <t>New York : De Gruyter, c1991.</t>
  </si>
  <si>
    <t>1994-07-25</t>
  </si>
  <si>
    <t>795589335:eng</t>
  </si>
  <si>
    <t>22108867</t>
  </si>
  <si>
    <t>991001743839702656</t>
  </si>
  <si>
    <t>2268427540002656</t>
  </si>
  <si>
    <t>9780202011875</t>
  </si>
  <si>
    <t>32285001932952</t>
  </si>
  <si>
    <t>893439381</t>
  </si>
  <si>
    <t>BF723.C5 B6513</t>
  </si>
  <si>
    <t>0                      BF 0723000C  5                  B  6513</t>
  </si>
  <si>
    <t>Conversations with Jean Piaget / Jean-Claude Bringuier ; translated by Basia Miller Gulati.</t>
  </si>
  <si>
    <t>Bringuier, Jean-Claude.</t>
  </si>
  <si>
    <t>213878:eng</t>
  </si>
  <si>
    <t>5101473</t>
  </si>
  <si>
    <t>991004776899702656</t>
  </si>
  <si>
    <t>2259220000002656</t>
  </si>
  <si>
    <t>9780226075037</t>
  </si>
  <si>
    <t>32285001032340</t>
  </si>
  <si>
    <t>893241830</t>
  </si>
  <si>
    <t>BF723.C5 C37 1985</t>
  </si>
  <si>
    <t>0                      BF 0723000C  5                  C  37          1985</t>
  </si>
  <si>
    <t>Intellectual development : birth to adulthood / Robbie Case.</t>
  </si>
  <si>
    <t>Case, Robbie.</t>
  </si>
  <si>
    <t>Orlando : Academic Press, 1985.</t>
  </si>
  <si>
    <t>2003-03-23</t>
  </si>
  <si>
    <t>1993-03-16</t>
  </si>
  <si>
    <t>3167384:eng</t>
  </si>
  <si>
    <t>10913916</t>
  </si>
  <si>
    <t>991000456249702656</t>
  </si>
  <si>
    <t>2258536350002656</t>
  </si>
  <si>
    <t>9780121628802</t>
  </si>
  <si>
    <t>32285001573111</t>
  </si>
  <si>
    <t>893903012</t>
  </si>
  <si>
    <t>BF723.C5 C45</t>
  </si>
  <si>
    <t>0                      BF 0723000C  5                  C  45</t>
  </si>
  <si>
    <t>Children's conceptions of health, illness, and bodily functions / Roger Bibace, Mary E. Walsh, editors.</t>
  </si>
  <si>
    <t>San Francisco, Calif. : Jossey-Bass, 1981.</t>
  </si>
  <si>
    <t>New directions for child development, 0195-2269 ; no. 14</t>
  </si>
  <si>
    <t>1996-09-20</t>
  </si>
  <si>
    <t>532977:eng</t>
  </si>
  <si>
    <t>8324446</t>
  </si>
  <si>
    <t>991005230869702656</t>
  </si>
  <si>
    <t>2262940830002656</t>
  </si>
  <si>
    <t>9780875898049</t>
  </si>
  <si>
    <t>32285001604221</t>
  </si>
  <si>
    <t>893810948</t>
  </si>
  <si>
    <t>BF723.C5 C515 1984</t>
  </si>
  <si>
    <t>0                      BF 0723000C  5                  C  515         1984</t>
  </si>
  <si>
    <t>A Child's brain : the impact of advanced research on cognitive and social behaviors / edited by Mary Frank.</t>
  </si>
  <si>
    <t>New York : Haworth Press, c1984.</t>
  </si>
  <si>
    <t>Journal of children in contemporary society ; v. 16, no. 1/2</t>
  </si>
  <si>
    <t>2002-10-23</t>
  </si>
  <si>
    <t>3291599:eng</t>
  </si>
  <si>
    <t>10429694</t>
  </si>
  <si>
    <t>991000369889702656</t>
  </si>
  <si>
    <t>2259277850002656</t>
  </si>
  <si>
    <t>9780866562690</t>
  </si>
  <si>
    <t>32285001604239</t>
  </si>
  <si>
    <t>893720657</t>
  </si>
  <si>
    <t>BF723.C5 C563 1987</t>
  </si>
  <si>
    <t>0                      BF 0723000C  5                  C  563         1987</t>
  </si>
  <si>
    <t>Cognition in special children : comparative approaches to retardation, learning disabilities, and giftedness / edited by John G. Borkowski and Jeanne D. Day.</t>
  </si>
  <si>
    <t>Norwood, N.J. : Ablex Pub. Corp., c1987.</t>
  </si>
  <si>
    <t>1997-10-16</t>
  </si>
  <si>
    <t>889695977:eng</t>
  </si>
  <si>
    <t>15590966</t>
  </si>
  <si>
    <t>991001042319702656</t>
  </si>
  <si>
    <t>2263317020002656</t>
  </si>
  <si>
    <t>9780893912963</t>
  </si>
  <si>
    <t>32285001604247</t>
  </si>
  <si>
    <t>893696410</t>
  </si>
  <si>
    <t>BF723.C5 C565</t>
  </si>
  <si>
    <t>0                      BF 0723000C  5                  C  565</t>
  </si>
  <si>
    <t>Cognitive and affective growth : developmental interaction / edited by Edna K. Shapiro, Evelyn Weber.</t>
  </si>
  <si>
    <t>1999-02-27</t>
  </si>
  <si>
    <t>1992-07-14</t>
  </si>
  <si>
    <t>26791778:eng</t>
  </si>
  <si>
    <t>7197083</t>
  </si>
  <si>
    <t>991005086729702656</t>
  </si>
  <si>
    <t>2255486100002656</t>
  </si>
  <si>
    <t>9780898590920</t>
  </si>
  <si>
    <t>32285001152593</t>
  </si>
  <si>
    <t>893694742</t>
  </si>
  <si>
    <t>BF723.C5 C63</t>
  </si>
  <si>
    <t>0                      BF 0723000C  5                  C  63</t>
  </si>
  <si>
    <t>Cognitive development in the school years / edited by Ann Floyd.</t>
  </si>
  <si>
    <t>New York : Wiley, c1979.</t>
  </si>
  <si>
    <t>1992-12-09</t>
  </si>
  <si>
    <t>895957911:eng</t>
  </si>
  <si>
    <t>3913319</t>
  </si>
  <si>
    <t>991004545549702656</t>
  </si>
  <si>
    <t>2258232950002656</t>
  </si>
  <si>
    <t>9780470264294</t>
  </si>
  <si>
    <t>32285001414662</t>
  </si>
  <si>
    <t>893606168</t>
  </si>
  <si>
    <t>BF723.C5 D32 1985</t>
  </si>
  <si>
    <t>0                      BF 0723000C  5                  D  32          1985</t>
  </si>
  <si>
    <t>Cognitive development / Marvin W. Daehler, Danuta Bukatko.</t>
  </si>
  <si>
    <t>Daehler, Marvin W., 1942-</t>
  </si>
  <si>
    <t>New York : Knopf, c1985.</t>
  </si>
  <si>
    <t>4146239:eng</t>
  </si>
  <si>
    <t>11397870</t>
  </si>
  <si>
    <t>991000529939702656</t>
  </si>
  <si>
    <t>2267097140002656</t>
  </si>
  <si>
    <t>9780394332598</t>
  </si>
  <si>
    <t>32285001604254</t>
  </si>
  <si>
    <t>893237391</t>
  </si>
  <si>
    <t>BF723.C5 D468 1988</t>
  </si>
  <si>
    <t>0                      BF 0723000C  5                  D  468         1988</t>
  </si>
  <si>
    <t>Developing theories of mind / edited by Janet W. Astington, Paul L. Harris, David R. Olson.</t>
  </si>
  <si>
    <t>Cambridge, [England] ; New York : Cambridge University Press, 1988.</t>
  </si>
  <si>
    <t>1990-12-06</t>
  </si>
  <si>
    <t>365129982:eng</t>
  </si>
  <si>
    <t>17234097</t>
  </si>
  <si>
    <t>991001188869702656</t>
  </si>
  <si>
    <t>2271946610002656</t>
  </si>
  <si>
    <t>9780521354110</t>
  </si>
  <si>
    <t>32285000358902</t>
  </si>
  <si>
    <t>893590091</t>
  </si>
  <si>
    <t>BF723.C5 D48</t>
  </si>
  <si>
    <t>0                      BF 0723000C  5                  D  48</t>
  </si>
  <si>
    <t>The Development of adaptive intelligence; [a cross-cultural study] by Carol Fleisher Feldman [and others.</t>
  </si>
  <si>
    <t>San Francisco, Jossey-Bass, 1974.</t>
  </si>
  <si>
    <t>1st ed.]</t>
  </si>
  <si>
    <t>1997-08-05</t>
  </si>
  <si>
    <t>54013970:eng</t>
  </si>
  <si>
    <t>943856</t>
  </si>
  <si>
    <t>991003404139702656</t>
  </si>
  <si>
    <t>2266497420002656</t>
  </si>
  <si>
    <t>9780875892245</t>
  </si>
  <si>
    <t>32285002256054</t>
  </si>
  <si>
    <t>893228029</t>
  </si>
  <si>
    <t>BF723.C5 E43</t>
  </si>
  <si>
    <t>0                      BF 0723000C  5                  E  43</t>
  </si>
  <si>
    <t>The child's reality : three developmental themes / David Elkind. --</t>
  </si>
  <si>
    <t>Elkind, David, 1931-</t>
  </si>
  <si>
    <t>Hillsdale, N.J. : Lawrence Erlbaum Associates ; New York : distributed by Halsted Press, 1978.</t>
  </si>
  <si>
    <t>John M. MacEachran memorial lecture series ; 1976</t>
  </si>
  <si>
    <t>2000-04-08</t>
  </si>
  <si>
    <t>13283566:eng</t>
  </si>
  <si>
    <t>3843000</t>
  </si>
  <si>
    <t>991004524939702656</t>
  </si>
  <si>
    <t>2266286370002656</t>
  </si>
  <si>
    <t>9780470263761</t>
  </si>
  <si>
    <t>32285001604270</t>
  </si>
  <si>
    <t>893343942</t>
  </si>
  <si>
    <t>BF723.C5 E64</t>
  </si>
  <si>
    <t>0                      BF 0723000C  5                  E  64</t>
  </si>
  <si>
    <t>Equilibration : theory, research, and application / edited by Marilyn H. Appel and Lois S. Goldberg.</t>
  </si>
  <si>
    <t>Topics in cognitive development ; v. 1</t>
  </si>
  <si>
    <t>1995-03-13</t>
  </si>
  <si>
    <t>889558594:eng</t>
  </si>
  <si>
    <t>2873814</t>
  </si>
  <si>
    <t>991004268419702656</t>
  </si>
  <si>
    <t>2259297280002656</t>
  </si>
  <si>
    <t>9780306330018</t>
  </si>
  <si>
    <t>32285002020229</t>
  </si>
  <si>
    <t>893612149</t>
  </si>
  <si>
    <t>BF723.C5 F62 1985</t>
  </si>
  <si>
    <t>0                      BF 0723000C  5                  F  62          1985</t>
  </si>
  <si>
    <t>Cognitive development / John H. Flavell.</t>
  </si>
  <si>
    <t>Englewood Cliffs, N.J. : Prentice-Hall, c1985.</t>
  </si>
  <si>
    <t>1997-07-27</t>
  </si>
  <si>
    <t>1992-01-06</t>
  </si>
  <si>
    <t>10949982</t>
  </si>
  <si>
    <t>991000464899702656</t>
  </si>
  <si>
    <t>2271478720002656</t>
  </si>
  <si>
    <t>9780131397835</t>
  </si>
  <si>
    <t>32285000883289</t>
  </si>
  <si>
    <t>893595564</t>
  </si>
  <si>
    <t>BF723.C5 F78 1987</t>
  </si>
  <si>
    <t>0                      BF 0723000C  5                  F  78          1987</t>
  </si>
  <si>
    <t>Cognitive processes in children's learning : practical applications in educational practice and classroom management / by Prem S. Fry and Judy Lee Lupart.</t>
  </si>
  <si>
    <t>Fry, Prem S.</t>
  </si>
  <si>
    <t>Springfield, Ill., U.S.A. : C.C. Thomas, c1987.</t>
  </si>
  <si>
    <t>7923514:eng</t>
  </si>
  <si>
    <t>13794738</t>
  </si>
  <si>
    <t>991000873449702656</t>
  </si>
  <si>
    <t>2271644140002656</t>
  </si>
  <si>
    <t>9780398052706</t>
  </si>
  <si>
    <t>32285001441111</t>
  </si>
  <si>
    <t>893237682</t>
  </si>
  <si>
    <t>BF723.C5 H9 1970</t>
  </si>
  <si>
    <t>0                      BF 0723000C  5                  H  9           1970</t>
  </si>
  <si>
    <t>Piaget and conceptual development : with a cross-cultural study of number and quantity / [by] D. M. G. Hyde.</t>
  </si>
  <si>
    <t>Hyde, D. M. Georgie.</t>
  </si>
  <si>
    <t>London ; New York : Holt, Rinehart &amp; Winston, 1970.</t>
  </si>
  <si>
    <t>836680394:eng</t>
  </si>
  <si>
    <t>202045</t>
  </si>
  <si>
    <t>991001229309702656</t>
  </si>
  <si>
    <t>2258541070002656</t>
  </si>
  <si>
    <t>9780039100735</t>
  </si>
  <si>
    <t>32285000597608</t>
  </si>
  <si>
    <t>893614882</t>
  </si>
  <si>
    <t>BF723.C5 I46</t>
  </si>
  <si>
    <t>0                      BF 0723000C  5                  I  46</t>
  </si>
  <si>
    <t>The Impact of Piagetian theory : on education, philosophy, psychiatry, and psychology / edited by Frank B. Murray ; contributors, Millie Almy ... [et al.].</t>
  </si>
  <si>
    <t>A publication of the Jean Piaget Society</t>
  </si>
  <si>
    <t>2009-04-01</t>
  </si>
  <si>
    <t>146690341:eng</t>
  </si>
  <si>
    <t>4193895</t>
  </si>
  <si>
    <t>991004604859702656</t>
  </si>
  <si>
    <t>2263974720002656</t>
  </si>
  <si>
    <t>9780839112938</t>
  </si>
  <si>
    <t>32285000838598</t>
  </si>
  <si>
    <t>893593890</t>
  </si>
  <si>
    <t>BF723.C5 J43</t>
  </si>
  <si>
    <t>0                      BF 0723000C  5                  J  43</t>
  </si>
  <si>
    <t>Jean Piaget : consensus and controversy / edited by Sohan Modgil and Celia Modgil ; finale incorporating Jean Piaget's contemporary thinking by Bärbel Inhelder.</t>
  </si>
  <si>
    <t>New York : Praeger, 1982.</t>
  </si>
  <si>
    <t>Praeger special studies</t>
  </si>
  <si>
    <t>2001-07-30</t>
  </si>
  <si>
    <t>3855299107:eng</t>
  </si>
  <si>
    <t>10298841</t>
  </si>
  <si>
    <t>991000019909702656</t>
  </si>
  <si>
    <t>2257554920002656</t>
  </si>
  <si>
    <t>9780030599361</t>
  </si>
  <si>
    <t>32285001032332</t>
  </si>
  <si>
    <t>893595183</t>
  </si>
  <si>
    <t>BF723.C5 K57</t>
  </si>
  <si>
    <t>0                      BF 0723000C  5                  K  57</t>
  </si>
  <si>
    <t>Cognitive development of children and youth : a longitudinal study / Herbert J. Klausmeier, Patricia S. Allen.</t>
  </si>
  <si>
    <t>Klausmeier, Herbert J. (Herbert John), 1915-2014.</t>
  </si>
  <si>
    <t>Educational psychology</t>
  </si>
  <si>
    <t>1999-03-17</t>
  </si>
  <si>
    <t>365486796:eng</t>
  </si>
  <si>
    <t>4136484</t>
  </si>
  <si>
    <t>991004595339702656</t>
  </si>
  <si>
    <t>2258146390002656</t>
  </si>
  <si>
    <t>9780124113558</t>
  </si>
  <si>
    <t>32285001570851</t>
  </si>
  <si>
    <t>893259910</t>
  </si>
  <si>
    <t>BF723.C5 K58</t>
  </si>
  <si>
    <t>0                      BF 0723000C  5                  K  58</t>
  </si>
  <si>
    <t>Cognitive learning and development : information-processing and Piagetian perspectives / Herbert J. Klausmeier and associates.</t>
  </si>
  <si>
    <t>Cambridge, Mass. : Ballinger Pub. Co., c1979.</t>
  </si>
  <si>
    <t>3740820292:eng</t>
  </si>
  <si>
    <t>4775662</t>
  </si>
  <si>
    <t>991004714899702656</t>
  </si>
  <si>
    <t>2255447490002656</t>
  </si>
  <si>
    <t>9780884101888</t>
  </si>
  <si>
    <t>32285001604312</t>
  </si>
  <si>
    <t>893350310</t>
  </si>
  <si>
    <t>BF723.C5 K64</t>
  </si>
  <si>
    <t>0                      BF 0723000C  5                  K  64</t>
  </si>
  <si>
    <t>Cognitive styles in infancy and early childhood / Nathan Kogan.</t>
  </si>
  <si>
    <t>Kogan, Nathan.</t>
  </si>
  <si>
    <t>Hillsdale, N.J. : L. Erlbaum Associates ; New York : distributed by Halsted Press Division of Wiley, 1976.</t>
  </si>
  <si>
    <t>4650530:eng</t>
  </si>
  <si>
    <t>2318188</t>
  </si>
  <si>
    <t>991004076529702656</t>
  </si>
  <si>
    <t>2263924470002656</t>
  </si>
  <si>
    <t>9780470151495</t>
  </si>
  <si>
    <t>32285002256112</t>
  </si>
  <si>
    <t>893525629</t>
  </si>
  <si>
    <t>BF723.C5 M383 1993</t>
  </si>
  <si>
    <t>0                      BF 0723000C  5                  M  383         1993</t>
  </si>
  <si>
    <t>The child as thinker : the development and acquisition of cognition in childhood / Sara Meadows.</t>
  </si>
  <si>
    <t>Meadows, Sara.</t>
  </si>
  <si>
    <t>1999-02-02</t>
  </si>
  <si>
    <t>1995-12-27</t>
  </si>
  <si>
    <t>337207:eng</t>
  </si>
  <si>
    <t>27034439</t>
  </si>
  <si>
    <t>991002108019702656</t>
  </si>
  <si>
    <t>2267155400002656</t>
  </si>
  <si>
    <t>9780415011426</t>
  </si>
  <si>
    <t>32285002113396</t>
  </si>
  <si>
    <t>893516901</t>
  </si>
  <si>
    <t>BF723.C5 N45 1985</t>
  </si>
  <si>
    <t>0                      BF 0723000C  5                  N  45          1985</t>
  </si>
  <si>
    <t>Neonate cognition : beyond the blooming buzzing confusion / edited by Jacques Mehler and Robin Fox.</t>
  </si>
  <si>
    <t>1993-09-08</t>
  </si>
  <si>
    <t>865296940:eng</t>
  </si>
  <si>
    <t>11090671</t>
  </si>
  <si>
    <t>991000488489702656</t>
  </si>
  <si>
    <t>2268836930002656</t>
  </si>
  <si>
    <t>9780898593457</t>
  </si>
  <si>
    <t>32285001604353</t>
  </si>
  <si>
    <t>893796691</t>
  </si>
  <si>
    <t>BF723.C5 N48 1983</t>
  </si>
  <si>
    <t>0                      BF 0723000C  5                  N  48          1983</t>
  </si>
  <si>
    <t>New trends in conceptual representation : challenges to Piaget's theory? / edited by Ellin Kofsky Scholnick.</t>
  </si>
  <si>
    <t>The Jean Piaget symposium series</t>
  </si>
  <si>
    <t>807525904:eng</t>
  </si>
  <si>
    <t>9196971</t>
  </si>
  <si>
    <t>991000147989702656</t>
  </si>
  <si>
    <t>2268393440002656</t>
  </si>
  <si>
    <t>9780898592603</t>
  </si>
  <si>
    <t>32285001604361</t>
  </si>
  <si>
    <t>893689468</t>
  </si>
  <si>
    <t>BF723.C5 P52613</t>
  </si>
  <si>
    <t>0                      BF 0723000C  5                  P  52613</t>
  </si>
  <si>
    <t>The grasp of consciousness : action and concept in the young child / Jean Piaget ; translated by Susan Wedgwood.</t>
  </si>
  <si>
    <t>Cambridge : Harvard University Press, 1976.</t>
  </si>
  <si>
    <t>1089559722:eng</t>
  </si>
  <si>
    <t>1974250</t>
  </si>
  <si>
    <t>991003959919702656</t>
  </si>
  <si>
    <t>2265581210002656</t>
  </si>
  <si>
    <t>9780674360334</t>
  </si>
  <si>
    <t>32285002256138</t>
  </si>
  <si>
    <t>893417049</t>
  </si>
  <si>
    <t>BF723.C5 P85 1971</t>
  </si>
  <si>
    <t>0                      BF 0723000C  5                  P  85          1971</t>
  </si>
  <si>
    <t>Understanding Piaget : an introduction to children's cognitive development / Mary Ann Spencer Pulaski.</t>
  </si>
  <si>
    <t>Pulaski, Mary Ann Spencer.</t>
  </si>
  <si>
    <t>New York : Harper &amp; Row, [1971]</t>
  </si>
  <si>
    <t>1991-05-22</t>
  </si>
  <si>
    <t>402472:eng</t>
  </si>
  <si>
    <t>186417</t>
  </si>
  <si>
    <t>991001161299702656</t>
  </si>
  <si>
    <t>2269449320002656</t>
  </si>
  <si>
    <t>9780060134396</t>
  </si>
  <si>
    <t>32285000598283</t>
  </si>
  <si>
    <t>893503148</t>
  </si>
  <si>
    <t>BF723.C5 S54 1986</t>
  </si>
  <si>
    <t>0                      BF 0723000C  5                  S  54          1986</t>
  </si>
  <si>
    <t>Children's thinking / Robert S. Siegler.</t>
  </si>
  <si>
    <t>Siegler, Robert S.</t>
  </si>
  <si>
    <t>Englewood Cliffs, N.J. : Prentice-Hall, c1986.</t>
  </si>
  <si>
    <t>593100:eng</t>
  </si>
  <si>
    <t>12554344</t>
  </si>
  <si>
    <t>991000703749702656</t>
  </si>
  <si>
    <t>2259756650002656</t>
  </si>
  <si>
    <t>9780131326224</t>
  </si>
  <si>
    <t>32285001604395</t>
  </si>
  <si>
    <t>893884668</t>
  </si>
  <si>
    <t>BF723.C5 S56</t>
  </si>
  <si>
    <t>0                      BF 0723000C  5                  S  56</t>
  </si>
  <si>
    <t>Cognitive development from childhood to adolescence : a constructivist perspective / Irving E. Sigel, Rodney R. Cocking.</t>
  </si>
  <si>
    <t>Sigel, Irving E.</t>
  </si>
  <si>
    <t>New York : Holt, Rinehart and Winston, c1977.</t>
  </si>
  <si>
    <t>Principles of educational psychology series</t>
  </si>
  <si>
    <t>896313544:eng</t>
  </si>
  <si>
    <t>2632920</t>
  </si>
  <si>
    <t>991004191099702656</t>
  </si>
  <si>
    <t>2269927850002656</t>
  </si>
  <si>
    <t>9780030156366</t>
  </si>
  <si>
    <t>32285002256179</t>
  </si>
  <si>
    <t>893247269</t>
  </si>
  <si>
    <t>BF723.C5 T48 1986</t>
  </si>
  <si>
    <t>0                      BF 0723000C  5                  T  48          1986</t>
  </si>
  <si>
    <t>Thought and emotion : developmental perspectives / edited by David J. Bearison and Herbert Zimiles.</t>
  </si>
  <si>
    <t>Jean Piaget Symposium series</t>
  </si>
  <si>
    <t>889836286:eng</t>
  </si>
  <si>
    <t>11917852</t>
  </si>
  <si>
    <t>991000613419702656</t>
  </si>
  <si>
    <t>2267425680002656</t>
  </si>
  <si>
    <t>9780898595307</t>
  </si>
  <si>
    <t>32285001604437</t>
  </si>
  <si>
    <t>893708528</t>
  </si>
  <si>
    <t>BF723.C5 V47 1982</t>
  </si>
  <si>
    <t>0                      BF 0723000C  5                  V  47          1982</t>
  </si>
  <si>
    <t>Verbal processes in children : progress in cognitive development research / edited by Charles J. Brainerd and Michael Pressley.</t>
  </si>
  <si>
    <t>New York : Springer-Verlag, c1982.</t>
  </si>
  <si>
    <t>Springer series in cognitive development</t>
  </si>
  <si>
    <t>1995-11-19</t>
  </si>
  <si>
    <t>889939958:eng</t>
  </si>
  <si>
    <t>7922850</t>
  </si>
  <si>
    <t>991005175679702656</t>
  </si>
  <si>
    <t>2259476720002656</t>
  </si>
  <si>
    <t>9780387906485</t>
  </si>
  <si>
    <t>32285001604445</t>
  </si>
  <si>
    <t>893902248</t>
  </si>
  <si>
    <t>BF723.C57 C48</t>
  </si>
  <si>
    <t>0                      BF 0723000C  57                 C  48</t>
  </si>
  <si>
    <t>Children's oral communication skills / edited by W. Patrick Dickson.</t>
  </si>
  <si>
    <t>1996-10-01</t>
  </si>
  <si>
    <t>408863:eng</t>
  </si>
  <si>
    <t>7174853</t>
  </si>
  <si>
    <t>991005082659702656</t>
  </si>
  <si>
    <t>2269609390002656</t>
  </si>
  <si>
    <t>9780122154508</t>
  </si>
  <si>
    <t>32285001061315</t>
  </si>
  <si>
    <t>893260518</t>
  </si>
  <si>
    <t>BF723.D3 G7</t>
  </si>
  <si>
    <t>0                      BF 0723000D  3                  G  7</t>
  </si>
  <si>
    <t>Explaining death to children / edited by Earl A. Grollman. With an introd. by Louise Bates Ames.</t>
  </si>
  <si>
    <t>Grollman, Earl A. compiler.</t>
  </si>
  <si>
    <t>Boston : Beacon Press, [1967]</t>
  </si>
  <si>
    <t>2000-11-14</t>
  </si>
  <si>
    <t>150057:eng</t>
  </si>
  <si>
    <t>501090</t>
  </si>
  <si>
    <t>991002873269702656</t>
  </si>
  <si>
    <t>2256466890002656</t>
  </si>
  <si>
    <t>32285000773407</t>
  </si>
  <si>
    <t>893616689</t>
  </si>
  <si>
    <t>BF723.D3 G72 1976</t>
  </si>
  <si>
    <t>0                      BF 0723000D  3                  G  72          1976</t>
  </si>
  <si>
    <t>Talking about death : a dialogue between parent and child / Earl A. Grollman ; illustrated by Gisela Héau.</t>
  </si>
  <si>
    <t>Grollman, Earl A.</t>
  </si>
  <si>
    <t>A new ed., with a Parent's guide and recommended resources.</t>
  </si>
  <si>
    <t>2004-01-13</t>
  </si>
  <si>
    <t>1084190:eng</t>
  </si>
  <si>
    <t>1945437</t>
  </si>
  <si>
    <t>991003946199702656</t>
  </si>
  <si>
    <t>2264699810002656</t>
  </si>
  <si>
    <t>9780807023723</t>
  </si>
  <si>
    <t>32285000901081</t>
  </si>
  <si>
    <t>893423192</t>
  </si>
  <si>
    <t>BF723.D3 H44 1984</t>
  </si>
  <si>
    <t>0                      BF 0723000D  3                  H  44          1984</t>
  </si>
  <si>
    <t>Helping children cope with death : guidelines and resources / edited by Hannelore Wass and Charles A. Corr.</t>
  </si>
  <si>
    <t>Washington : Hemisphere Publishing Corp., c1984.</t>
  </si>
  <si>
    <t>Series in death education, aging, and health care</t>
  </si>
  <si>
    <t>865283883:eng</t>
  </si>
  <si>
    <t>10099093</t>
  </si>
  <si>
    <t>991000311219702656</t>
  </si>
  <si>
    <t>2265745060002656</t>
  </si>
  <si>
    <t>9780891163695</t>
  </si>
  <si>
    <t>32285000240720</t>
  </si>
  <si>
    <t>893796551</t>
  </si>
  <si>
    <t>BF723.D3 L645 1986</t>
  </si>
  <si>
    <t>0                      BF 0723000D  3                  L  645         1986</t>
  </si>
  <si>
    <t>Kids grieve too! / by Victor S. Lombardo and Edith Foran Lombardo.</t>
  </si>
  <si>
    <t>Lombardo, Victor S.</t>
  </si>
  <si>
    <t>Springfield, Ill., U.S.A. : C.C. Thomas, c1986.</t>
  </si>
  <si>
    <t>1991-10-18</t>
  </si>
  <si>
    <t>7010135:eng</t>
  </si>
  <si>
    <t>13860247</t>
  </si>
  <si>
    <t>991000884369702656</t>
  </si>
  <si>
    <t>2264279350002656</t>
  </si>
  <si>
    <t>9780398052751</t>
  </si>
  <si>
    <t>32285000776293</t>
  </si>
  <si>
    <t>893509193</t>
  </si>
  <si>
    <t>BF723.D3 L66</t>
  </si>
  <si>
    <t>0                      BF 0723000D  3                  L  66</t>
  </si>
  <si>
    <t>Children's conceptions of death / Richard Lonetto.</t>
  </si>
  <si>
    <t>Lonetto, Richard.</t>
  </si>
  <si>
    <t>New York : Springer Pub. Co., c1980.</t>
  </si>
  <si>
    <t>The Springer series on death and suicide ; v. 3</t>
  </si>
  <si>
    <t>493066:eng</t>
  </si>
  <si>
    <t>5676863</t>
  </si>
  <si>
    <t>991004858029702656</t>
  </si>
  <si>
    <t>2260060500002656</t>
  </si>
  <si>
    <t>9780826125507</t>
  </si>
  <si>
    <t>32285000937507</t>
  </si>
  <si>
    <t>893606538</t>
  </si>
  <si>
    <t>BF723.D3 M6</t>
  </si>
  <si>
    <t>0                      BF 0723000D  3                  M  6</t>
  </si>
  <si>
    <t>The loss of loved ones : the effects of a death in the family on personality development / compiled and edited by David M. Moriarty. With contributions by Timothy Harrington [and others] With a foreword by Bardwell H. Flower.</t>
  </si>
  <si>
    <t>Moriarty, David M.</t>
  </si>
  <si>
    <t>Springfield, Ill. : C.C. Thomas, [1967]</t>
  </si>
  <si>
    <t>2000-10-03</t>
  </si>
  <si>
    <t>531603:eng</t>
  </si>
  <si>
    <t>501102</t>
  </si>
  <si>
    <t>991002873299702656</t>
  </si>
  <si>
    <t>2256412700002656</t>
  </si>
  <si>
    <t>32285001057404</t>
  </si>
  <si>
    <t>893323480</t>
  </si>
  <si>
    <t>BF723.D4 B68</t>
  </si>
  <si>
    <t>0                      BF 0723000D  4                  B  68</t>
  </si>
  <si>
    <t>The making &amp; breaking of affectional bonds / [by] John Bowlby.</t>
  </si>
  <si>
    <t>Bowlby, John.</t>
  </si>
  <si>
    <t>London : Tavistock Publications, 1979.</t>
  </si>
  <si>
    <t>179205:eng</t>
  </si>
  <si>
    <t>5881881</t>
  </si>
  <si>
    <t>991004892059702656</t>
  </si>
  <si>
    <t>2266898210002656</t>
  </si>
  <si>
    <t>9780422768504</t>
  </si>
  <si>
    <t>32285001604494</t>
  </si>
  <si>
    <t>893700791</t>
  </si>
  <si>
    <t>BF723.D7 K56 1982</t>
  </si>
  <si>
    <t>0                      BF 0723000D  7                  K  56          1982</t>
  </si>
  <si>
    <t>Children draw and tell : an introduction to the projective uses of children's human figure drawings / by Marvin Klepsch and Laura Logie.</t>
  </si>
  <si>
    <t>Klepsch, Marvin, 1940-</t>
  </si>
  <si>
    <t>New York : Brunner/Mazel, c1982.</t>
  </si>
  <si>
    <t>1999-12-08</t>
  </si>
  <si>
    <t>364056270:eng</t>
  </si>
  <si>
    <t>8171062</t>
  </si>
  <si>
    <t>991005213089702656</t>
  </si>
  <si>
    <t>2256939860002656</t>
  </si>
  <si>
    <t>9780876302989</t>
  </si>
  <si>
    <t>32285001604510</t>
  </si>
  <si>
    <t>893808014</t>
  </si>
  <si>
    <t>BF723.E598 F3</t>
  </si>
  <si>
    <t>0                      BF 0723000E  598                F  3</t>
  </si>
  <si>
    <t>Helping children cope / Joan Fassler ; ill. by William B. Hogan.</t>
  </si>
  <si>
    <t>Fassler, Joan.</t>
  </si>
  <si>
    <t>New York : Free Press, c1978.</t>
  </si>
  <si>
    <t>399495:eng</t>
  </si>
  <si>
    <t>3772080</t>
  </si>
  <si>
    <t>991004513079702656</t>
  </si>
  <si>
    <t>2262475030002656</t>
  </si>
  <si>
    <t>9780026935005</t>
  </si>
  <si>
    <t>32285000901099</t>
  </si>
  <si>
    <t>893411637</t>
  </si>
  <si>
    <t>BF723.E6 E66 1982</t>
  </si>
  <si>
    <t>0                      BF 0723000E  6                  E  66          1982</t>
  </si>
  <si>
    <t>Emotional development / Dante Cicchetti, Petra Hesse, editors.</t>
  </si>
  <si>
    <t>San Francisco, Calif. : Jossey-Bass, 1982.</t>
  </si>
  <si>
    <t>New directions for child development, 0195-2269 ; no. 16</t>
  </si>
  <si>
    <t>355911206:eng</t>
  </si>
  <si>
    <t>8712387</t>
  </si>
  <si>
    <t>991000057949702656</t>
  </si>
  <si>
    <t>2271747480002656</t>
  </si>
  <si>
    <t>9780875898766</t>
  </si>
  <si>
    <t>32285001604528</t>
  </si>
  <si>
    <t>893601413</t>
  </si>
  <si>
    <t>BF723.E6 G74 1985</t>
  </si>
  <si>
    <t>0                      BF 0723000E  6                  G  74          1985</t>
  </si>
  <si>
    <t>First feelings : milestones in the emotional development of your baby and child / Stanley I. Greenspan and Nancy Thorndike Greenspan.</t>
  </si>
  <si>
    <t>Greenspan, Stanley I.</t>
  </si>
  <si>
    <t>New York : Viking, 1985.</t>
  </si>
  <si>
    <t>2001-03-11</t>
  </si>
  <si>
    <t>3884875:eng</t>
  </si>
  <si>
    <t>11370596</t>
  </si>
  <si>
    <t>991000525869702656</t>
  </si>
  <si>
    <t>2260059430002656</t>
  </si>
  <si>
    <t>9780670803866</t>
  </si>
  <si>
    <t>32285001604536</t>
  </si>
  <si>
    <t>893231183</t>
  </si>
  <si>
    <t>BF723.E6 L48 1983</t>
  </si>
  <si>
    <t>0                      BF 0723000E  6                  L  48          1983</t>
  </si>
  <si>
    <t>Children's emotions and moods : developmental theory and measurement / Michael Lewis and Linda Michalson.</t>
  </si>
  <si>
    <t>Lewis, Michael, 1937 January 10-</t>
  </si>
  <si>
    <t>180122226:eng</t>
  </si>
  <si>
    <t>9282399</t>
  </si>
  <si>
    <t>991000164479702656</t>
  </si>
  <si>
    <t>2259986710002656</t>
  </si>
  <si>
    <t>9780306412097</t>
  </si>
  <si>
    <t>32285001604551</t>
  </si>
  <si>
    <t>893444231</t>
  </si>
  <si>
    <t>BF723.F35 F374 1986</t>
  </si>
  <si>
    <t>0                      BF 0723000F  35                 F  374         1986</t>
  </si>
  <si>
    <t>The Father's role : applied perspectives / edited by Michael E. Lamb.</t>
  </si>
  <si>
    <t>New York : J. Wiley, c1986.</t>
  </si>
  <si>
    <t>3857323932:eng</t>
  </si>
  <si>
    <t>12976196</t>
  </si>
  <si>
    <t>991000763589702656</t>
  </si>
  <si>
    <t>2264020350002656</t>
  </si>
  <si>
    <t>9780471820468</t>
  </si>
  <si>
    <t>32285001604601</t>
  </si>
  <si>
    <t>893608257</t>
  </si>
  <si>
    <t>BF723.G5 P79 1985</t>
  </si>
  <si>
    <t>0                      BF 0723000G  5                  P  79          1985</t>
  </si>
  <si>
    <t>The Psychology of gifted children : perspectives on development and education / edited by Joan Freeman.</t>
  </si>
  <si>
    <t>Chichester [West Sussex] ; New York : Wiley, c1985.</t>
  </si>
  <si>
    <t>Wiley series in developmental psychology and its applications</t>
  </si>
  <si>
    <t>2004-04-05</t>
  </si>
  <si>
    <t>889517376:eng</t>
  </si>
  <si>
    <t>11069006</t>
  </si>
  <si>
    <t>991000485409702656</t>
  </si>
  <si>
    <t>2260120750002656</t>
  </si>
  <si>
    <t>9780471102557</t>
  </si>
  <si>
    <t>32285001350999</t>
  </si>
  <si>
    <t>893521705</t>
  </si>
  <si>
    <t>BF723.G75 J48 1982</t>
  </si>
  <si>
    <t>0                      BF 0723000G  75                 J  48          1982</t>
  </si>
  <si>
    <t>Helping children cope with separation and loss / Claudia L. Jewett.</t>
  </si>
  <si>
    <t>Jarratt, Claudia Jewett, 1939-</t>
  </si>
  <si>
    <t>Harvard, Mass. : Harvard Common Press, c1982.</t>
  </si>
  <si>
    <t>2004-10-26</t>
  </si>
  <si>
    <t>1992-03-30</t>
  </si>
  <si>
    <t>3003734:eng</t>
  </si>
  <si>
    <t>8591121</t>
  </si>
  <si>
    <t>991000029249702656</t>
  </si>
  <si>
    <t>2269713300002656</t>
  </si>
  <si>
    <t>9780916782283</t>
  </si>
  <si>
    <t>32285001050391</t>
  </si>
  <si>
    <t>893431609</t>
  </si>
  <si>
    <t>BF723.I6 D39</t>
  </si>
  <si>
    <t>0                      BF 0723000I  6                  D  39</t>
  </si>
  <si>
    <t>Developmental psychobiology : the significance of infancy / edited by Lewis P. Lipsitt. --</t>
  </si>
  <si>
    <t>Hillsdale, N.J. : L. Erlbaum Associates ; New York : distributed by Halsted Press, 1976.</t>
  </si>
  <si>
    <t>689747894:eng</t>
  </si>
  <si>
    <t>2513889</t>
  </si>
  <si>
    <t>991004147139702656</t>
  </si>
  <si>
    <t>2270845500002656</t>
  </si>
  <si>
    <t>9780470151273</t>
  </si>
  <si>
    <t>32285001604700</t>
  </si>
  <si>
    <t>893605682</t>
  </si>
  <si>
    <t>BF723.I6 D86</t>
  </si>
  <si>
    <t>0                      BF 0723000I  6                  D  86</t>
  </si>
  <si>
    <t>Distress and comfort / Judy Dunn.</t>
  </si>
  <si>
    <t>Dunn, Judy.</t>
  </si>
  <si>
    <t>Cambridge, Mass. : Harvard University Press, 1977.</t>
  </si>
  <si>
    <t>The Developing child</t>
  </si>
  <si>
    <t>1992-07-10</t>
  </si>
  <si>
    <t>18901727:eng</t>
  </si>
  <si>
    <t>2645390</t>
  </si>
  <si>
    <t>991005264949702656</t>
  </si>
  <si>
    <t>2256759280002656</t>
  </si>
  <si>
    <t>9780674212848</t>
  </si>
  <si>
    <t>32285001151819</t>
  </si>
  <si>
    <t>893344930</t>
  </si>
  <si>
    <t>BF723.I6 O74</t>
  </si>
  <si>
    <t>0                      BF 0723000I  6                  O  74</t>
  </si>
  <si>
    <t>Origins of the infant's social responsiveness / edited by Evelyn B. Thoman.</t>
  </si>
  <si>
    <t>Hillsdale, N.J. : L. Erlbaum Associates ; New York ; distributed by the Halsted Press Division of Wiley, 1979.</t>
  </si>
  <si>
    <t>The Johnson &amp; Johnson Baby Products pediatric round table ; v. 1</t>
  </si>
  <si>
    <t>2008-02-07</t>
  </si>
  <si>
    <t>5614632607:eng</t>
  </si>
  <si>
    <t>5171468</t>
  </si>
  <si>
    <t>991004792019702656</t>
  </si>
  <si>
    <t>2259153980002656</t>
  </si>
  <si>
    <t>9780470268131</t>
  </si>
  <si>
    <t>32285001604734</t>
  </si>
  <si>
    <t>893325792</t>
  </si>
  <si>
    <t>BF723.I6 S66</t>
  </si>
  <si>
    <t>0                      BF 0723000I  6                  S  66</t>
  </si>
  <si>
    <t>The first relationship : mother and infant / Daniel Stern.</t>
  </si>
  <si>
    <t>Stern, Daniel N.</t>
  </si>
  <si>
    <t>Cambridge : Harvard University Press, 1977.</t>
  </si>
  <si>
    <t>3901335025:eng</t>
  </si>
  <si>
    <t>2929304</t>
  </si>
  <si>
    <t>991005265069702656</t>
  </si>
  <si>
    <t>2267685290002656</t>
  </si>
  <si>
    <t>9780674304314</t>
  </si>
  <si>
    <t>32285001380731</t>
  </si>
  <si>
    <t>893870789</t>
  </si>
  <si>
    <t>BF723.I6 S69 1977</t>
  </si>
  <si>
    <t>0                      BF 0723000I  6                  S  69          1977</t>
  </si>
  <si>
    <t>Studies in mother-infant interaction : proceedings of the Loch Lomond symposium, Ross Priory, University of Strathclyde, September, 1975 / edited by H. R. Schaffer.</t>
  </si>
  <si>
    <t>London ; New York : Academic Press, 1977.</t>
  </si>
  <si>
    <t>2001-03-19</t>
  </si>
  <si>
    <t>821920198:eng</t>
  </si>
  <si>
    <t>3277288</t>
  </si>
  <si>
    <t>991004395649702656</t>
  </si>
  <si>
    <t>2255401900002656</t>
  </si>
  <si>
    <t>9780126225600</t>
  </si>
  <si>
    <t>32285002256401</t>
  </si>
  <si>
    <t>893241370</t>
  </si>
  <si>
    <t>BF723.I6 W5</t>
  </si>
  <si>
    <t>0                      BF 0723000I  6                  W  5</t>
  </si>
  <si>
    <t>Understanding infancy / Eleanor Willemsen with the assistance of Louise Nicholson.</t>
  </si>
  <si>
    <t>Willemsen, Eleanor Walker, 1938-</t>
  </si>
  <si>
    <t>San Francisco : Freeman, c1979.</t>
  </si>
  <si>
    <t>2000-03-06</t>
  </si>
  <si>
    <t>447125:eng</t>
  </si>
  <si>
    <t>4494966</t>
  </si>
  <si>
    <t>991004654689702656</t>
  </si>
  <si>
    <t>2265460590002656</t>
  </si>
  <si>
    <t>9780716710011</t>
  </si>
  <si>
    <t>32285001604759</t>
  </si>
  <si>
    <t>893526358</t>
  </si>
  <si>
    <t>BF723.I6 Y37</t>
  </si>
  <si>
    <t>0                      BF 0723000I  6                  Y  37</t>
  </si>
  <si>
    <t>Infant and environment : early cognitive and motivational development / Leon J. Yarrow, Judith L. Rubenstein, Frank A. Pedersen ; collaborators, Joseph J. Jankowski, Joan T. Durfee, Myrna W. Fivel.</t>
  </si>
  <si>
    <t>Yarrow, Leon J.</t>
  </si>
  <si>
    <t>Washington : Hemisphere Pub. Corp. ; New York : distributed solely by Halsted Press, [1975]</t>
  </si>
  <si>
    <t>2002-03-05</t>
  </si>
  <si>
    <t>180996:eng</t>
  </si>
  <si>
    <t>1094979</t>
  </si>
  <si>
    <t>991003532679702656</t>
  </si>
  <si>
    <t>2265211820002656</t>
  </si>
  <si>
    <t>9780470971789</t>
  </si>
  <si>
    <t>32285002256443</t>
  </si>
  <si>
    <t>893774848</t>
  </si>
  <si>
    <t>BF723.I63 C37 1992</t>
  </si>
  <si>
    <t>0                      BF 0723000I  63                 C  37          1992</t>
  </si>
  <si>
    <t>The mind's staircase : exploring the conceptual underpinnings of children's thought and knowledge / Robbie Case in collaboration with Marta Bruchkowsky ... [et al.].</t>
  </si>
  <si>
    <t>Hillsdale, N.J. : L. Erlbaum Associates, 1992, c1991.</t>
  </si>
  <si>
    <t>2007-11-01</t>
  </si>
  <si>
    <t>795632098:eng</t>
  </si>
  <si>
    <t>24067021</t>
  </si>
  <si>
    <t>991003261969702656</t>
  </si>
  <si>
    <t>2261079020002656</t>
  </si>
  <si>
    <t>9780805803242</t>
  </si>
  <si>
    <t>32285004261557</t>
  </si>
  <si>
    <t>893531018</t>
  </si>
  <si>
    <t>BF723.I63 K58 1976</t>
  </si>
  <si>
    <t>0                      BF 0723000I  63                 K  58          1976</t>
  </si>
  <si>
    <t>Cognitive development : an information-processing view / David Klahr, J.G. Wallace.</t>
  </si>
  <si>
    <t>Klahr, David.</t>
  </si>
  <si>
    <t>Hillsdale, N.J. : L. Erlbaum Associates ; New York : distributed by the Halsted Press, 1976.</t>
  </si>
  <si>
    <t>365337608:eng</t>
  </si>
  <si>
    <t>2189216</t>
  </si>
  <si>
    <t>991004042119702656</t>
  </si>
  <si>
    <t>2265395880002656</t>
  </si>
  <si>
    <t>9780470151280</t>
  </si>
  <si>
    <t>32285002256450</t>
  </si>
  <si>
    <t>893500034</t>
  </si>
  <si>
    <t>BF723.M3 H4</t>
  </si>
  <si>
    <t>0                      BF 0723000M  3                  H  4</t>
  </si>
  <si>
    <t>Brief separations [by] Christoph M. Heinicke and Ilse J. Westheimer with the assistance of Elizabeth Wolpert.</t>
  </si>
  <si>
    <t>Heinicke, Christoph M. (Christoph Mathew), 1926-</t>
  </si>
  <si>
    <t>New York, International Universities Press [1966,c1965]</t>
  </si>
  <si>
    <t>1331207:eng</t>
  </si>
  <si>
    <t>223415</t>
  </si>
  <si>
    <t>991005265009702656</t>
  </si>
  <si>
    <t>2264135090002656</t>
  </si>
  <si>
    <t>32285002256484</t>
  </si>
  <si>
    <t>893424819</t>
  </si>
  <si>
    <t>BF723.M4 B36 1985</t>
  </si>
  <si>
    <t>0                      BF 0723000M  4                  B  36          1985</t>
  </si>
  <si>
    <t>Basic processes in memory development : progress in cognitive development research / edited by Charles J. Brainerd and Michael Pressley.</t>
  </si>
  <si>
    <t>New York, N.Y., U.S.A. : Springer-Verlag, c1985.</t>
  </si>
  <si>
    <t>795363023:eng</t>
  </si>
  <si>
    <t>11930560</t>
  </si>
  <si>
    <t>991000615319702656</t>
  </si>
  <si>
    <t>2268599120002656</t>
  </si>
  <si>
    <t>9780387960647</t>
  </si>
  <si>
    <t>32285001570844</t>
  </si>
  <si>
    <t>893249512</t>
  </si>
  <si>
    <t>BF723.M4 C64 1985</t>
  </si>
  <si>
    <t>0                      BF 0723000M  4                  C  64          1985</t>
  </si>
  <si>
    <t>Cognitive learning and memory in children : progress in cognitive development research / edited by Michael Pressley and Charles J. Brainerd.</t>
  </si>
  <si>
    <t>New York : Springer-Verlag, c1985.</t>
  </si>
  <si>
    <t>2005-03-25</t>
  </si>
  <si>
    <t>795352905:eng</t>
  </si>
  <si>
    <t>11398774</t>
  </si>
  <si>
    <t>991000530739702656</t>
  </si>
  <si>
    <t>2270421150002656</t>
  </si>
  <si>
    <t>9780387960760</t>
  </si>
  <si>
    <t>32285001604791</t>
  </si>
  <si>
    <t>893407277</t>
  </si>
  <si>
    <t>BF723.M4 P47</t>
  </si>
  <si>
    <t>0                      BF 0723000M  4                  P  47</t>
  </si>
  <si>
    <t>Perspectives on the development of memory and cognition / edited by Robert V. Kail, Jr., John W. Hagen.</t>
  </si>
  <si>
    <t>Hillsdale, N.J. : L. Erlbaum Associates ; New York : distributed by the Halsted Press Division of J. Wiley, 1977.</t>
  </si>
  <si>
    <t>2002-07-11</t>
  </si>
  <si>
    <t>1991-12-12</t>
  </si>
  <si>
    <t>350640633:eng</t>
  </si>
  <si>
    <t>3167607</t>
  </si>
  <si>
    <t>991004361349702656</t>
  </si>
  <si>
    <t>2262142300002656</t>
  </si>
  <si>
    <t>9780470992739</t>
  </si>
  <si>
    <t>32285000887132</t>
  </si>
  <si>
    <t>893423704</t>
  </si>
  <si>
    <t>BF723.M4 P53</t>
  </si>
  <si>
    <t>0                      BF 0723000M  4                  P  53</t>
  </si>
  <si>
    <t>On the development of memory and identity / translated by Eleanor Duckworth.</t>
  </si>
  <si>
    <t>[Worcester, Mass.] Clark University Press, 1968.</t>
  </si>
  <si>
    <t>Heinz Werner lectures ; 1967</t>
  </si>
  <si>
    <t>2006-10-12</t>
  </si>
  <si>
    <t>51746227:eng</t>
  </si>
  <si>
    <t>439777</t>
  </si>
  <si>
    <t>991002779509702656</t>
  </si>
  <si>
    <t>2266525640002656</t>
  </si>
  <si>
    <t>32285003179131</t>
  </si>
  <si>
    <t>893421790</t>
  </si>
  <si>
    <t>BF723.M54 D95</t>
  </si>
  <si>
    <t>0                      BF 0723000M  54                 D  95</t>
  </si>
  <si>
    <t>Vision and character : a christian educator's alternative to Kohlberg / Craig R. Dykstra.</t>
  </si>
  <si>
    <t>Dykstra, Craig R.</t>
  </si>
  <si>
    <t>New York : Paulist Press, c1981.</t>
  </si>
  <si>
    <t>1999-07-18</t>
  </si>
  <si>
    <t>889793063:eng</t>
  </si>
  <si>
    <t>8043320</t>
  </si>
  <si>
    <t>991005196119702656</t>
  </si>
  <si>
    <t>2259527580002656</t>
  </si>
  <si>
    <t>9780809124053</t>
  </si>
  <si>
    <t>32285001466035</t>
  </si>
  <si>
    <t>893520608</t>
  </si>
  <si>
    <t>BF723.M54 E48 1987</t>
  </si>
  <si>
    <t>0                      BF 0723000M  54                 E  48          1987</t>
  </si>
  <si>
    <t>The Emergence of morality in young children / edited by Jerome Kagan and Sharon Lamb.</t>
  </si>
  <si>
    <t>2009-10-26</t>
  </si>
  <si>
    <t>1990-06-12</t>
  </si>
  <si>
    <t>351841683:eng</t>
  </si>
  <si>
    <t>15657127</t>
  </si>
  <si>
    <t>991001052159702656</t>
  </si>
  <si>
    <t>2264275090002656</t>
  </si>
  <si>
    <t>9780226422312</t>
  </si>
  <si>
    <t>32285000184670</t>
  </si>
  <si>
    <t>893878579</t>
  </si>
  <si>
    <t>BF723.M54 H357 1986</t>
  </si>
  <si>
    <t>0                      BF 0723000M  54                 H  357         1986</t>
  </si>
  <si>
    <t>Handbook of moral development : models, processes, techniques, and research / edited by Gary L. Sapp.</t>
  </si>
  <si>
    <t>Birmingham, Ala. : Religious Education Press, 1986.</t>
  </si>
  <si>
    <t>2005-11-15</t>
  </si>
  <si>
    <t>5679388:eng</t>
  </si>
  <si>
    <t>13124077</t>
  </si>
  <si>
    <t>991000785429702656</t>
  </si>
  <si>
    <t>2255334040002656</t>
  </si>
  <si>
    <t>9780891350545</t>
  </si>
  <si>
    <t>32285000153543</t>
  </si>
  <si>
    <t>893315232</t>
  </si>
  <si>
    <t>BF723.M54 H46 1983</t>
  </si>
  <si>
    <t>0                      BF 0723000M  54                 H  46          1983</t>
  </si>
  <si>
    <t>The psychodynamic foundations of morality / Rachael M. Henry.</t>
  </si>
  <si>
    <t>Henry, Rachael M.</t>
  </si>
  <si>
    <t>Basel ; New York : Karger, 1983.</t>
  </si>
  <si>
    <t>Contributions to human development ; v. 7</t>
  </si>
  <si>
    <t>20548116:eng</t>
  </si>
  <si>
    <t>9111309</t>
  </si>
  <si>
    <t>991000130939702656</t>
  </si>
  <si>
    <t>2266631200002656</t>
  </si>
  <si>
    <t>9783805536035</t>
  </si>
  <si>
    <t>32285000153550</t>
  </si>
  <si>
    <t>893695615</t>
  </si>
  <si>
    <t>BF723.M54 K87 1987</t>
  </si>
  <si>
    <t>0                      BF 0723000M  54                 K  87          1987</t>
  </si>
  <si>
    <t>Moral development through social interaction / William M. Kurtines, Jacob L. Gewirtz.</t>
  </si>
  <si>
    <t>Kurtines, William M.</t>
  </si>
  <si>
    <t>New York : Wiley, c1987.</t>
  </si>
  <si>
    <t>10835292:eng</t>
  </si>
  <si>
    <t>15549708</t>
  </si>
  <si>
    <t>991001788569702656</t>
  </si>
  <si>
    <t>2266790730002656</t>
  </si>
  <si>
    <t>9780471625674</t>
  </si>
  <si>
    <t>32285000184688</t>
  </si>
  <si>
    <t>893414513</t>
  </si>
  <si>
    <t>BF723.M54 M66 1994, v.4</t>
  </si>
  <si>
    <t>0                      BF 0723000M  54                 M  66          1994                  v.4</t>
  </si>
  <si>
    <t>The great justice debate : Kohlberg criticism / edited with introductions by Bill Puka.</t>
  </si>
  <si>
    <t>New York : Garland, 1994.</t>
  </si>
  <si>
    <t>Moral development : a compendium ; v. 4</t>
  </si>
  <si>
    <t>2002-11-25</t>
  </si>
  <si>
    <t>897905465:eng</t>
  </si>
  <si>
    <t>33350834</t>
  </si>
  <si>
    <t>991002565449702656</t>
  </si>
  <si>
    <t>2266549380002656</t>
  </si>
  <si>
    <t>9780815315513</t>
  </si>
  <si>
    <t>32285002319100</t>
  </si>
  <si>
    <t>893786293</t>
  </si>
  <si>
    <t>BF723.M54 M68</t>
  </si>
  <si>
    <t>0                      BF 0723000M  54                 M  68</t>
  </si>
  <si>
    <t>Moral development and socialization / [edited by] Myra Windmiller, Nadine Lambert, and Elliot Turiel.</t>
  </si>
  <si>
    <t>Boston : Allyn and Bacon, c1980.</t>
  </si>
  <si>
    <t>2001-04-02</t>
  </si>
  <si>
    <t>355856715:eng</t>
  </si>
  <si>
    <t>5495017</t>
  </si>
  <si>
    <t>991004839649702656</t>
  </si>
  <si>
    <t>2265616540002656</t>
  </si>
  <si>
    <t>9780205068449</t>
  </si>
  <si>
    <t>32285001604825</t>
  </si>
  <si>
    <t>893706898</t>
  </si>
  <si>
    <t>BF723.M54 M69 1984</t>
  </si>
  <si>
    <t>0                      BF 0723000M  54                 M  69          1984</t>
  </si>
  <si>
    <t>Morality, moral behavior, and moral development / [edited by] William M. Kurtines and Jacob L. Gewirtz.</t>
  </si>
  <si>
    <t>New York : Wiley, 1984.</t>
  </si>
  <si>
    <t>354207643:eng</t>
  </si>
  <si>
    <t>9853577</t>
  </si>
  <si>
    <t>991000269949702656</t>
  </si>
  <si>
    <t>2264042570002656</t>
  </si>
  <si>
    <t>9780471887409</t>
  </si>
  <si>
    <t>32285000131630</t>
  </si>
  <si>
    <t>893521549</t>
  </si>
  <si>
    <t>BF723.M55 S56 1983</t>
  </si>
  <si>
    <t>0                      BF 0723000M  55                 S  56          1983</t>
  </si>
  <si>
    <t>Maternal bonding / Wladyslaw Sluckin, Martin Herbert and Alice Sluckin.</t>
  </si>
  <si>
    <t>Oxford, England : Blackwell, 1983.</t>
  </si>
  <si>
    <t>889126:eng</t>
  </si>
  <si>
    <t>9807799</t>
  </si>
  <si>
    <t>991000260549702656</t>
  </si>
  <si>
    <t>2263757390002656</t>
  </si>
  <si>
    <t>9780631133599</t>
  </si>
  <si>
    <t>32285001604841</t>
  </si>
  <si>
    <t>893601619</t>
  </si>
  <si>
    <t>BF723.M6 D48 1982</t>
  </si>
  <si>
    <t>0                      BF 0723000M  6                  D  48          1982</t>
  </si>
  <si>
    <t>The Development of movement control and coordination / edited by J.A. Scott Kelso and Jane E. Clark.</t>
  </si>
  <si>
    <t>Chichester [West Sussex] ; New York : Wiley, c1982.</t>
  </si>
  <si>
    <t>1996-12-02</t>
  </si>
  <si>
    <t>2006-05-21</t>
  </si>
  <si>
    <t>351895316:eng</t>
  </si>
  <si>
    <t>7795126</t>
  </si>
  <si>
    <t>991001784779702656</t>
  </si>
  <si>
    <t>2267926850002656</t>
  </si>
  <si>
    <t>9780471100485</t>
  </si>
  <si>
    <t>32285001604858</t>
  </si>
  <si>
    <t>893238339</t>
  </si>
  <si>
    <t>BF723.P25 B4 1978</t>
  </si>
  <si>
    <t>0                      BF 0723000P  25                 B  4           1978</t>
  </si>
  <si>
    <t>Social issues in developmental psychology / Helen Bee.</t>
  </si>
  <si>
    <t>Bee, Helen L., 1939- compiler.</t>
  </si>
  <si>
    <t>2009-03-27</t>
  </si>
  <si>
    <t>1750474:eng</t>
  </si>
  <si>
    <t>3034303</t>
  </si>
  <si>
    <t>991004325199702656</t>
  </si>
  <si>
    <t>2261365310002656</t>
  </si>
  <si>
    <t>9780060405847</t>
  </si>
  <si>
    <t>32285000829753</t>
  </si>
  <si>
    <t>893442485</t>
  </si>
  <si>
    <t>BF723.P25 B695</t>
  </si>
  <si>
    <t>0                      BF 0723000P  25                 B  695</t>
  </si>
  <si>
    <t>Mothers, fathers, and children : explorations in the formation of character in the first seven years / Sylvia Brody and Sidney Axelrad, in association with Ethel Horn, Marsha Moroh, Marvin Taylor.</t>
  </si>
  <si>
    <t>Brody, Sylvia, 1914-</t>
  </si>
  <si>
    <t>New York : International Universities Press, c1978.</t>
  </si>
  <si>
    <t>2004-10-25</t>
  </si>
  <si>
    <t>308741215:eng</t>
  </si>
  <si>
    <t>3631390</t>
  </si>
  <si>
    <t>991001785009702656</t>
  </si>
  <si>
    <t>2259420080002656</t>
  </si>
  <si>
    <t>9780823634620</t>
  </si>
  <si>
    <t>32285000877257</t>
  </si>
  <si>
    <t>893346778</t>
  </si>
  <si>
    <t>BF723.P25 P33 1983</t>
  </si>
  <si>
    <t>0                      BF 0723000P  25                 P  33          1983</t>
  </si>
  <si>
    <t>Parental overprotection : a risk factor in psychosocial development / Gordon Parker.</t>
  </si>
  <si>
    <t>Parker, Gordon, 1942-</t>
  </si>
  <si>
    <t>New York : Grune &amp; Stratton, c1983.</t>
  </si>
  <si>
    <t>2005-04-15</t>
  </si>
  <si>
    <t>836647131:eng</t>
  </si>
  <si>
    <t>10248301</t>
  </si>
  <si>
    <t>991000339249702656</t>
  </si>
  <si>
    <t>2255512720002656</t>
  </si>
  <si>
    <t>9780808915577</t>
  </si>
  <si>
    <t>32285001604882</t>
  </si>
  <si>
    <t>893877957</t>
  </si>
  <si>
    <t>BF723.P25 S95 1975</t>
  </si>
  <si>
    <t>0                      BF 0723000P  25                 S  95          1975</t>
  </si>
  <si>
    <t>Attachment behavior : [proceedings of the Fifth Annual Symposium on Communication and Affect held at Erindale College, University of Toronto, March 1975] / edited by Thomas Alloway, Patricia Pliner, and Lester Krames.</t>
  </si>
  <si>
    <t>Symposium on Communication and Affect (5th : 1975 : Erindale College)</t>
  </si>
  <si>
    <t>New York : Plenum Press, 1977.</t>
  </si>
  <si>
    <t>Advances in the study of communication and affect ; v. 3</t>
  </si>
  <si>
    <t>356003853:eng</t>
  </si>
  <si>
    <t>2508299</t>
  </si>
  <si>
    <t>991004145369702656</t>
  </si>
  <si>
    <t>2255049520002656</t>
  </si>
  <si>
    <t>9780306359033</t>
  </si>
  <si>
    <t>32285001620474</t>
  </si>
  <si>
    <t>893781903</t>
  </si>
  <si>
    <t>BF723.P25 W5 1966</t>
  </si>
  <si>
    <t>0                      BF 0723000P  25                 W  5           1966</t>
  </si>
  <si>
    <t>The family and individual development [by] D. W. Winnicott.</t>
  </si>
  <si>
    <t>[London] Tavistock Publications [1966, c1965]</t>
  </si>
  <si>
    <t>1130338:eng</t>
  </si>
  <si>
    <t>7170</t>
  </si>
  <si>
    <t>991005439639702656</t>
  </si>
  <si>
    <t>2267661590002656</t>
  </si>
  <si>
    <t>32285002256617</t>
  </si>
  <si>
    <t>893883898</t>
  </si>
  <si>
    <t>BF723.P255 R63 1989</t>
  </si>
  <si>
    <t>0                      BF 0723000P  255                R  63          1989</t>
  </si>
  <si>
    <t>Separation and the very young / James and Joyce Robertson.</t>
  </si>
  <si>
    <t>Robertson, James, 1911-1988.</t>
  </si>
  <si>
    <t>London : Free Association Books, 1989.</t>
  </si>
  <si>
    <t>2001-07-05</t>
  </si>
  <si>
    <t>1991-04-03</t>
  </si>
  <si>
    <t>22895794:eng</t>
  </si>
  <si>
    <t>21212582</t>
  </si>
  <si>
    <t>991001665079702656</t>
  </si>
  <si>
    <t>2272119150002656</t>
  </si>
  <si>
    <t>9781853430961</t>
  </si>
  <si>
    <t>32285000514223</t>
  </si>
  <si>
    <t>893328277</t>
  </si>
  <si>
    <t>BF723.P36 S84 1987</t>
  </si>
  <si>
    <t>0                      BF 0723000P  36                 S  84          1987</t>
  </si>
  <si>
    <t>Piaget's construction of the child's reality / Susan Sugarman.</t>
  </si>
  <si>
    <t>Sugarman, Susan.</t>
  </si>
  <si>
    <t>1996-08-12</t>
  </si>
  <si>
    <t>10745707:eng</t>
  </si>
  <si>
    <t>15696959</t>
  </si>
  <si>
    <t>991001057309702656</t>
  </si>
  <si>
    <t>2259950160002656</t>
  </si>
  <si>
    <t>9780521341646</t>
  </si>
  <si>
    <t>32285002274008</t>
  </si>
  <si>
    <t>893690291</t>
  </si>
  <si>
    <t>BF723.P365 C73 1991</t>
  </si>
  <si>
    <t>0                      BF 0723000P  365                C  73          1991</t>
  </si>
  <si>
    <t>Criteria for competence : controversies in the conceptualization and assessment of children's abilities / edited by Michael Chandler, Michael Chapman.</t>
  </si>
  <si>
    <t>1999-04-20</t>
  </si>
  <si>
    <t>889369240:eng</t>
  </si>
  <si>
    <t>23648743</t>
  </si>
  <si>
    <t>991001871809702656</t>
  </si>
  <si>
    <t>2260353120002656</t>
  </si>
  <si>
    <t>9780805806069</t>
  </si>
  <si>
    <t>32285002270568</t>
  </si>
  <si>
    <t>893609207</t>
  </si>
  <si>
    <t>BF723.P4 F4</t>
  </si>
  <si>
    <t>0                      BF 0723000P  4                  F  4</t>
  </si>
  <si>
    <t>Ferguson, Lucy Rau, 1930-</t>
  </si>
  <si>
    <t>Belmont, Calif. : Brooks/Cole Pub. Co., c1970.</t>
  </si>
  <si>
    <t>Developmental processes and behavior series</t>
  </si>
  <si>
    <t>482682:eng</t>
  </si>
  <si>
    <t>47023</t>
  </si>
  <si>
    <t>991000107649702656</t>
  </si>
  <si>
    <t>2262252510002656</t>
  </si>
  <si>
    <t>32285000089820</t>
  </si>
  <si>
    <t>893802505</t>
  </si>
  <si>
    <t>BF723.P4 F87 1992</t>
  </si>
  <si>
    <t>0                      BF 0723000P  4                  F  87          1992</t>
  </si>
  <si>
    <t>Toddlers and their mothers : a study in early personality development / Erna Furman.</t>
  </si>
  <si>
    <t>Furman, Erna.</t>
  </si>
  <si>
    <t>Madison, Conn. : International Universities Press, c1992</t>
  </si>
  <si>
    <t>1996-08-08</t>
  </si>
  <si>
    <t>43881041:eng</t>
  </si>
  <si>
    <t>25091273</t>
  </si>
  <si>
    <t>991001977419702656</t>
  </si>
  <si>
    <t>2263549720002656</t>
  </si>
  <si>
    <t>9780823665556</t>
  </si>
  <si>
    <t>32285002272317</t>
  </si>
  <si>
    <t>893866649</t>
  </si>
  <si>
    <t>BF723.P4 G3 1970</t>
  </si>
  <si>
    <t>0                      BF 0723000P  4                  G  3           1970</t>
  </si>
  <si>
    <t>Children growing up : the development of children's personalities.</t>
  </si>
  <si>
    <t>Gabriel, John, 1913-</t>
  </si>
  <si>
    <t>New York] : American Elsevier Pub. Co., 1970, [1969, c1968]</t>
  </si>
  <si>
    <t>[3d ed.</t>
  </si>
  <si>
    <t>1139030:eng</t>
  </si>
  <si>
    <t>69960</t>
  </si>
  <si>
    <t>991000329209702656</t>
  </si>
  <si>
    <t>2261343290002656</t>
  </si>
  <si>
    <t>9780444197139</t>
  </si>
  <si>
    <t>32285001029791</t>
  </si>
  <si>
    <t>893425594</t>
  </si>
  <si>
    <t>BF723.P4 G36</t>
  </si>
  <si>
    <t>0                      BF 0723000P  4                  G  36</t>
  </si>
  <si>
    <t>Personality development at preadolescence; explorations of structure formation, by Riley W. Gardner and Alice Moriarty.</t>
  </si>
  <si>
    <t>Seattle, University of Washington Press [1968]</t>
  </si>
  <si>
    <t>wau</t>
  </si>
  <si>
    <t>1997-10-29</t>
  </si>
  <si>
    <t>422305926:eng</t>
  </si>
  <si>
    <t>170107</t>
  </si>
  <si>
    <t>991005253779702656</t>
  </si>
  <si>
    <t>2269446950002656</t>
  </si>
  <si>
    <t>32285002256641</t>
  </si>
  <si>
    <t>893694997</t>
  </si>
  <si>
    <t>BF723.P75 A24 1988</t>
  </si>
  <si>
    <t>0                      BF 0723000P  75                 A  24          1988</t>
  </si>
  <si>
    <t>Children and prejudice / Frances Aboud.</t>
  </si>
  <si>
    <t>Aboud, Frances E.</t>
  </si>
  <si>
    <t>New York, NY : B. Blackwell, 1988.</t>
  </si>
  <si>
    <t>Social psychology and society</t>
  </si>
  <si>
    <t>132595215:eng</t>
  </si>
  <si>
    <t>17210473</t>
  </si>
  <si>
    <t>991001186879702656</t>
  </si>
  <si>
    <t>2272289660002656</t>
  </si>
  <si>
    <t>9780631149415</t>
  </si>
  <si>
    <t>32285001542249</t>
  </si>
  <si>
    <t>893346323</t>
  </si>
  <si>
    <t>BF723.R3 C5 1963</t>
  </si>
  <si>
    <t>0                      BF 0723000R  3                  C  5           1963</t>
  </si>
  <si>
    <t>Prejudice and your child.</t>
  </si>
  <si>
    <t>Clark, Kenneth Bancroft, 1914-2005.</t>
  </si>
  <si>
    <t>Boston, Beacon Press [1963]</t>
  </si>
  <si>
    <t>2d ed., enl.</t>
  </si>
  <si>
    <t>A Beacon paperback</t>
  </si>
  <si>
    <t>373685593:eng</t>
  </si>
  <si>
    <t>190911</t>
  </si>
  <si>
    <t>991001187359702656</t>
  </si>
  <si>
    <t>2259271880002656</t>
  </si>
  <si>
    <t>32285001050490</t>
  </si>
  <si>
    <t>893690420</t>
  </si>
  <si>
    <t>BF723.R3 L3</t>
  </si>
  <si>
    <t>0                      BF 0723000R  3                  L  3</t>
  </si>
  <si>
    <t>Children's views of foreign peoples : a cross-national study / [by] Wallace E. Lambert [and] Otto Klineberg.</t>
  </si>
  <si>
    <t>Lambert, Wallace E.</t>
  </si>
  <si>
    <t>New York : Appleton-Century-Crofts, [1966, c1967]</t>
  </si>
  <si>
    <t>96257:eng</t>
  </si>
  <si>
    <t>223078</t>
  </si>
  <si>
    <t>991001369549702656</t>
  </si>
  <si>
    <t>2262264670002656</t>
  </si>
  <si>
    <t>32285002160249</t>
  </si>
  <si>
    <t>893439083</t>
  </si>
  <si>
    <t>BF723.R46 C48 1989</t>
  </si>
  <si>
    <t>0                      BF 0723000R  46                 C  48          1989</t>
  </si>
  <si>
    <t>The Child in our times : studies in the development of resiliency / edited by Timothy F. Dugan and Robert Coles.</t>
  </si>
  <si>
    <t>New York : Brunner/Mazel, c1989.</t>
  </si>
  <si>
    <t>1997-04-01</t>
  </si>
  <si>
    <t>351679490:eng</t>
  </si>
  <si>
    <t>19126160</t>
  </si>
  <si>
    <t>991001434299702656</t>
  </si>
  <si>
    <t>2271054770002656</t>
  </si>
  <si>
    <t>9780876305287</t>
  </si>
  <si>
    <t>32285000936194</t>
  </si>
  <si>
    <t>893340432</t>
  </si>
  <si>
    <t>BF723.R53 C55 1986</t>
  </si>
  <si>
    <t>0                      BF 0723000R  53                 C  55          1986</t>
  </si>
  <si>
    <t>Children's intellectual rights / David Moshman, editor.</t>
  </si>
  <si>
    <t>San Francisco : Jossey-Bass, c1986.</t>
  </si>
  <si>
    <t>New directions for child development, 0195-2269 ; no. 33</t>
  </si>
  <si>
    <t>8512890:eng</t>
  </si>
  <si>
    <t>14223790</t>
  </si>
  <si>
    <t>991000924109702656</t>
  </si>
  <si>
    <t>2272304620002656</t>
  </si>
  <si>
    <t>9781555429966</t>
  </si>
  <si>
    <t>32285001616019</t>
  </si>
  <si>
    <t>893413806</t>
  </si>
  <si>
    <t>BF723.S28 K33</t>
  </si>
  <si>
    <t>0                      BF 0723000S  28                 K  33</t>
  </si>
  <si>
    <t>The second year : the emergence of self-awareness / Jerome Kagan, with Robin Mount ... [et al.].</t>
  </si>
  <si>
    <t>Cambridge, Mass. : Harvard University Press, 1981.</t>
  </si>
  <si>
    <t>1995-04-01</t>
  </si>
  <si>
    <t>430490:eng</t>
  </si>
  <si>
    <t>7459614</t>
  </si>
  <si>
    <t>991005112719702656</t>
  </si>
  <si>
    <t>2255206410002656</t>
  </si>
  <si>
    <t>9780674796621</t>
  </si>
  <si>
    <t>32285001058592</t>
  </si>
  <si>
    <t>893350731</t>
  </si>
  <si>
    <t>BF723.S28 S44</t>
  </si>
  <si>
    <t>0                      BF 0723000S  28                 S  44</t>
  </si>
  <si>
    <t>The Self-concept of the young child / edited by Thomas D. Yawkey.</t>
  </si>
  <si>
    <t>Provo, Utah : Brigham Young University Press, c1980.</t>
  </si>
  <si>
    <t>utu</t>
  </si>
  <si>
    <t>506328:eng</t>
  </si>
  <si>
    <t>6196712</t>
  </si>
  <si>
    <t>991004943869702656</t>
  </si>
  <si>
    <t>2266240230002656</t>
  </si>
  <si>
    <t>9780842518154</t>
  </si>
  <si>
    <t>32285001040699</t>
  </si>
  <si>
    <t>893901920</t>
  </si>
  <si>
    <t>BF723.S3 C6</t>
  </si>
  <si>
    <t>0                      BF 0723000S  3                  C  6</t>
  </si>
  <si>
    <t>The antecedents of self-esteem.</t>
  </si>
  <si>
    <t>Coopersmith, Stanley, 1926-</t>
  </si>
  <si>
    <t>San Francisco : W. H. Freeman, [1967]</t>
  </si>
  <si>
    <t>A Series of books in behavioral science</t>
  </si>
  <si>
    <t>1998-03-23</t>
  </si>
  <si>
    <t>1330434:eng</t>
  </si>
  <si>
    <t>223092</t>
  </si>
  <si>
    <t>991001369579702656</t>
  </si>
  <si>
    <t>2262262040002656</t>
  </si>
  <si>
    <t>9780716709121</t>
  </si>
  <si>
    <t>32285001444438</t>
  </si>
  <si>
    <t>893615015</t>
  </si>
  <si>
    <t>BF723.S3 F44</t>
  </si>
  <si>
    <t>0                      BF 0723000S  3                  F  44</t>
  </si>
  <si>
    <t>Building positive self-concepts / [by] Donald W. Felker.</t>
  </si>
  <si>
    <t>Felker, Donald W.</t>
  </si>
  <si>
    <t>Minneapolis : Burgess Publishing Co., [1974]</t>
  </si>
  <si>
    <t>The Burgess educational psychology series for the teacher</t>
  </si>
  <si>
    <t>1995-10-02</t>
  </si>
  <si>
    <t>1992-04-11</t>
  </si>
  <si>
    <t>465598:eng</t>
  </si>
  <si>
    <t>934828</t>
  </si>
  <si>
    <t>991003396889702656</t>
  </si>
  <si>
    <t>2271657300002656</t>
  </si>
  <si>
    <t>9780808706205</t>
  </si>
  <si>
    <t>32285001058584</t>
  </si>
  <si>
    <t>893499255</t>
  </si>
  <si>
    <t>BF723.S6 F56</t>
  </si>
  <si>
    <t>0                      BF 0723000S  6                  F  56</t>
  </si>
  <si>
    <t>Children's understanding of social interaction.</t>
  </si>
  <si>
    <t>Flapan, Dorothy.</t>
  </si>
  <si>
    <t>New York, Teachers College Press [1968]</t>
  </si>
  <si>
    <t>1999-11-09</t>
  </si>
  <si>
    <t>1993-01-06</t>
  </si>
  <si>
    <t>464872:eng</t>
  </si>
  <si>
    <t>223325</t>
  </si>
  <si>
    <t>991001370119702656</t>
  </si>
  <si>
    <t>2264128130002656</t>
  </si>
  <si>
    <t>32285001485381</t>
  </si>
  <si>
    <t>893444668</t>
  </si>
  <si>
    <t>BF723.S6 P44 1985</t>
  </si>
  <si>
    <t>0                      BF 0723000S  6                  P  44          1985</t>
  </si>
  <si>
    <t>Peer conflict and psychological growth / Marvin W. Berkowitz, editor.</t>
  </si>
  <si>
    <t>San Francisco : Jossey-Bass, 1985.</t>
  </si>
  <si>
    <t>New directions for child development ; no. 29</t>
  </si>
  <si>
    <t>1993-01-05</t>
  </si>
  <si>
    <t>10448587:eng</t>
  </si>
  <si>
    <t>15282704</t>
  </si>
  <si>
    <t>991000744449702656</t>
  </si>
  <si>
    <t>2262908290002656</t>
  </si>
  <si>
    <t>9780875897967</t>
  </si>
  <si>
    <t>32285001485282</t>
  </si>
  <si>
    <t>893333734</t>
  </si>
  <si>
    <t>BF723.S62 I57 1988</t>
  </si>
  <si>
    <t>0                      BF 0723000S  62                 I  57          1988</t>
  </si>
  <si>
    <t>Integrative processes and socialization : early to middle childhood / edited by Thomas D. Yawkey, James E. Johnson.</t>
  </si>
  <si>
    <t>1996-03-06</t>
  </si>
  <si>
    <t>349912320:eng</t>
  </si>
  <si>
    <t>15860634</t>
  </si>
  <si>
    <t>991001070609702656</t>
  </si>
  <si>
    <t>2259102110002656</t>
  </si>
  <si>
    <t>9780898596045</t>
  </si>
  <si>
    <t>32285000996149</t>
  </si>
  <si>
    <t>893438841</t>
  </si>
  <si>
    <t>BF723.S62 M33 1988</t>
  </si>
  <si>
    <t>0                      BF 0723000S  62                 M  33          1988</t>
  </si>
  <si>
    <t>Social and personality development : an evolutionary synthesis / Kevin B. MacDonald.</t>
  </si>
  <si>
    <t>MacDonald, Kevin B.</t>
  </si>
  <si>
    <t>New York : Plenum Press, c1988.</t>
  </si>
  <si>
    <t>Perspectives in developmental psychology</t>
  </si>
  <si>
    <t>1998-06-03</t>
  </si>
  <si>
    <t>1990-12-04</t>
  </si>
  <si>
    <t>312118735:eng</t>
  </si>
  <si>
    <t>18350413</t>
  </si>
  <si>
    <t>991001334919702656</t>
  </si>
  <si>
    <t>2262699250002656</t>
  </si>
  <si>
    <t>9780306428913</t>
  </si>
  <si>
    <t>32285000357607</t>
  </si>
  <si>
    <t>893522504</t>
  </si>
  <si>
    <t>BF723.S62 M37 1988</t>
  </si>
  <si>
    <t>0                      BF 0723000S  62                 M  37          1988</t>
  </si>
  <si>
    <t>Enhancing children's social skills : assessment and training / Johnny L. Matson, Thomas H. Ollendick.</t>
  </si>
  <si>
    <t>Matson, Johnny L.</t>
  </si>
  <si>
    <t>New York : Pergamon Press, 1988.</t>
  </si>
  <si>
    <t>Psychology practitioner guidebooks</t>
  </si>
  <si>
    <t>2007-11-06</t>
  </si>
  <si>
    <t>12477571:eng</t>
  </si>
  <si>
    <t>16526075</t>
  </si>
  <si>
    <t>991001115839702656</t>
  </si>
  <si>
    <t>2256369430002656</t>
  </si>
  <si>
    <t>9780080343075</t>
  </si>
  <si>
    <t>32285000119528</t>
  </si>
  <si>
    <t>893715191</t>
  </si>
  <si>
    <t>BF723.S63 L3813</t>
  </si>
  <si>
    <t>0                      BF 0723000S  63                 L  3813</t>
  </si>
  <si>
    <t>The development of the concept of space in the child [by] Monique Laurendeau and Adrien Pinard.</t>
  </si>
  <si>
    <t>Laurendeau-Bendavid, Monique.</t>
  </si>
  <si>
    <t>New York, International Universities Press [1970]</t>
  </si>
  <si>
    <t>1997-11-09</t>
  </si>
  <si>
    <t>3900993755:eng</t>
  </si>
  <si>
    <t>102043</t>
  </si>
  <si>
    <t>991000617739702656</t>
  </si>
  <si>
    <t>2261763850002656</t>
  </si>
  <si>
    <t>32285002256765</t>
  </si>
  <si>
    <t>893407367</t>
  </si>
  <si>
    <t>BF723.S75 J64 1986</t>
  </si>
  <si>
    <t>0                      BF 0723000S  75                 J  64          1986</t>
  </si>
  <si>
    <t>Life events as stressors in childhood and adolescence / James H. Johnson.</t>
  </si>
  <si>
    <t>Johnson, James H. (James Harmon), 1943-</t>
  </si>
  <si>
    <t>Beverly Hills : Sage Publications, c1986.</t>
  </si>
  <si>
    <t>Developmental clinical psychology and psychiatry series ; v. 8</t>
  </si>
  <si>
    <t>5859335:eng</t>
  </si>
  <si>
    <t>13185611</t>
  </si>
  <si>
    <t>991000795629702656</t>
  </si>
  <si>
    <t>2256143160002656</t>
  </si>
  <si>
    <t>9780803927261</t>
  </si>
  <si>
    <t>32285000147222</t>
  </si>
  <si>
    <t>893608290</t>
  </si>
  <si>
    <t>BF723.S75 K55</t>
  </si>
  <si>
    <t>0                      BF 0723000S  75                 K  55</t>
  </si>
  <si>
    <t>Psychological emergencies of childhood.</t>
  </si>
  <si>
    <t>Kliman, Gilbert.</t>
  </si>
  <si>
    <t>New York, Grune &amp; Stratton [1968]</t>
  </si>
  <si>
    <t>1999-10-22</t>
  </si>
  <si>
    <t>1752232:eng</t>
  </si>
  <si>
    <t>585793</t>
  </si>
  <si>
    <t>991003021129702656</t>
  </si>
  <si>
    <t>2269390970002656</t>
  </si>
  <si>
    <t>9780808902348</t>
  </si>
  <si>
    <t>32285002256773</t>
  </si>
  <si>
    <t>893623057</t>
  </si>
  <si>
    <t>BF723.T6 P53 1970</t>
  </si>
  <si>
    <t>0                      BF 0723000T  6                  P  53          1970</t>
  </si>
  <si>
    <t>The child's conception of time. Translated by A. J. Pomerans.</t>
  </si>
  <si>
    <t>New York, Basic Books [1970, c1969]</t>
  </si>
  <si>
    <t>2829677121:eng</t>
  </si>
  <si>
    <t>51852</t>
  </si>
  <si>
    <t>991000125529702656</t>
  </si>
  <si>
    <t>2256401340002656</t>
  </si>
  <si>
    <t>32285002256799</t>
  </si>
  <si>
    <t>893683179</t>
  </si>
  <si>
    <t>BF724 .A25 1980</t>
  </si>
  <si>
    <t>0                      BF 0724000A  25          1980</t>
  </si>
  <si>
    <t>Understanding adolescence : current developments in adolescent psychology / [edited by] James F. Adams.</t>
  </si>
  <si>
    <t>Adams, James Frederick, 1927-</t>
  </si>
  <si>
    <t>1998-04-13</t>
  </si>
  <si>
    <t>2001-10-18</t>
  </si>
  <si>
    <t>1312767:eng</t>
  </si>
  <si>
    <t>5676006</t>
  </si>
  <si>
    <t>991001772939702656</t>
  </si>
  <si>
    <t>2259967170002656</t>
  </si>
  <si>
    <t>9780205069316</t>
  </si>
  <si>
    <t>32285001616043</t>
  </si>
  <si>
    <t>893226115</t>
  </si>
  <si>
    <t>BF724 .B458</t>
  </si>
  <si>
    <t>0                      BF 0724000B  458</t>
  </si>
  <si>
    <t>Adolescent development / [by] Harold W. Bernard.</t>
  </si>
  <si>
    <t>Bernard, Harold W. (Harold Wright), 1908-1998.</t>
  </si>
  <si>
    <t>Scranton : Intext Educational Publishers, [1971]</t>
  </si>
  <si>
    <t>2002-07-30</t>
  </si>
  <si>
    <t>1993-08-20</t>
  </si>
  <si>
    <t>3855462186:eng</t>
  </si>
  <si>
    <t>140128</t>
  </si>
  <si>
    <t>991000804459702656</t>
  </si>
  <si>
    <t>2255544010002656</t>
  </si>
  <si>
    <t>9780700223213</t>
  </si>
  <si>
    <t>32285001760544</t>
  </si>
  <si>
    <t>893608301</t>
  </si>
  <si>
    <t>BF724 .B498</t>
  </si>
  <si>
    <t>0                      BF 0724000B  498</t>
  </si>
  <si>
    <t>The adolescent passage / by Peter Blos.</t>
  </si>
  <si>
    <t>Blos, Peter.</t>
  </si>
  <si>
    <t>New York : International Universities Press, [1979]</t>
  </si>
  <si>
    <t>74724:eng</t>
  </si>
  <si>
    <t>4491107</t>
  </si>
  <si>
    <t>991004645299702656</t>
  </si>
  <si>
    <t>2264037420002656</t>
  </si>
  <si>
    <t>9780823600953</t>
  </si>
  <si>
    <t>32285001616050</t>
  </si>
  <si>
    <t>893337955</t>
  </si>
  <si>
    <t>BF724 .F435</t>
  </si>
  <si>
    <t>0                      BF 0724000F  435</t>
  </si>
  <si>
    <t>Female adolescent development / edited by Max Sugar.</t>
  </si>
  <si>
    <t>New York : Brunner/Mazel, c1979.</t>
  </si>
  <si>
    <t>54268395:eng</t>
  </si>
  <si>
    <t>4570419</t>
  </si>
  <si>
    <t>991004681929702656</t>
  </si>
  <si>
    <t>2268281590002656</t>
  </si>
  <si>
    <t>9780876301920</t>
  </si>
  <si>
    <t>32285001406106</t>
  </si>
  <si>
    <t>893325643</t>
  </si>
  <si>
    <t>BF724 .F8 1986</t>
  </si>
  <si>
    <t>0                      BF 0724000F  8           1986</t>
  </si>
  <si>
    <t>Adolescence, adolescents / Barbara Schneider Fuhrmann ; photographs and illustrations by Gary L. Waynick.</t>
  </si>
  <si>
    <t>Fuhrmann, Barbara Schneider, 1940-</t>
  </si>
  <si>
    <t>Boston : Little, Brown, c1986.</t>
  </si>
  <si>
    <t>5028768:eng</t>
  </si>
  <si>
    <t>12370849</t>
  </si>
  <si>
    <t>991000678199702656</t>
  </si>
  <si>
    <t>2261441430002656</t>
  </si>
  <si>
    <t>9780316295642</t>
  </si>
  <si>
    <t>32285001012334</t>
  </si>
  <si>
    <t>893614398</t>
  </si>
  <si>
    <t>BF724 .G323 1975</t>
  </si>
  <si>
    <t>0                      BF 0724000G  323         1975</t>
  </si>
  <si>
    <t>Adolescence and individuality: a conceptual approach to adolescent psychology [by] Judith E. Gallatin.</t>
  </si>
  <si>
    <t>Gallatin, Judith E., 1942-</t>
  </si>
  <si>
    <t>New York, Harper &amp; Row [1974, c1975]</t>
  </si>
  <si>
    <t>1976388:eng</t>
  </si>
  <si>
    <t>1031369</t>
  </si>
  <si>
    <t>991003484069702656</t>
  </si>
  <si>
    <t>2265422940002656</t>
  </si>
  <si>
    <t>9780060422271</t>
  </si>
  <si>
    <t>32285002256922</t>
  </si>
  <si>
    <t>893686580</t>
  </si>
  <si>
    <t>BF724 .G625</t>
  </si>
  <si>
    <t>0                      BF 0724000G  625</t>
  </si>
  <si>
    <t>Adolescent development; readings in research and theory [by] Martin Gold and Elizabeth Douvan.</t>
  </si>
  <si>
    <t>Gold, Martin, 1931-, compiler.</t>
  </si>
  <si>
    <t>Boston, Allyn and Bacon [1971, c1969]</t>
  </si>
  <si>
    <t>1338226:eng</t>
  </si>
  <si>
    <t>186869</t>
  </si>
  <si>
    <t>991001162259702656</t>
  </si>
  <si>
    <t>2269478990002656</t>
  </si>
  <si>
    <t>32285002256955</t>
  </si>
  <si>
    <t>893432638</t>
  </si>
  <si>
    <t>BF724 .H33</t>
  </si>
  <si>
    <t>0                      BF 0724000H  33</t>
  </si>
  <si>
    <t>Handbooks of adolescent psychology / edited by Joseph Adelson.</t>
  </si>
  <si>
    <t>New York : Wiley, c1980.</t>
  </si>
  <si>
    <t>2009-06-22</t>
  </si>
  <si>
    <t>1993-01-28</t>
  </si>
  <si>
    <t>54328479:eng</t>
  </si>
  <si>
    <t>5496180</t>
  </si>
  <si>
    <t>991004840029702656</t>
  </si>
  <si>
    <t>2266230000002656</t>
  </si>
  <si>
    <t>9780471037934</t>
  </si>
  <si>
    <t>32285001479657</t>
  </si>
  <si>
    <t>893338188</t>
  </si>
  <si>
    <t>BF724 .H333 1987</t>
  </si>
  <si>
    <t>0                      BF 0724000H  333         1987</t>
  </si>
  <si>
    <t>Handbook of adolescent psychology / [edited by] Vincent B. Van Hasselt, Michel Hersen.</t>
  </si>
  <si>
    <t>New York : Pergamon Press, c1987.</t>
  </si>
  <si>
    <t>Pergamon general psychology series</t>
  </si>
  <si>
    <t>351152445:eng</t>
  </si>
  <si>
    <t>13760567</t>
  </si>
  <si>
    <t>991000867259702656</t>
  </si>
  <si>
    <t>2266262290002656</t>
  </si>
  <si>
    <t>9780080319230</t>
  </si>
  <si>
    <t>32285001012342</t>
  </si>
  <si>
    <t>893897291</t>
  </si>
  <si>
    <t>BF724 .I33 1977</t>
  </si>
  <si>
    <t>0                      BF 0724000I  33          1977</t>
  </si>
  <si>
    <t>Identity and adulthood / edited by Sudhir Kakar ; with an introductory lecture by Erik H. Erikson.</t>
  </si>
  <si>
    <t>Delhi : Oxford University Press, 1979.</t>
  </si>
  <si>
    <t xml:space="preserve">ii </t>
  </si>
  <si>
    <t>54358309:eng</t>
  </si>
  <si>
    <t>5877693</t>
  </si>
  <si>
    <t>991004891379702656</t>
  </si>
  <si>
    <t>2266345060002656</t>
  </si>
  <si>
    <t>32285000971746</t>
  </si>
  <si>
    <t>893782767</t>
  </si>
  <si>
    <t>BF724 .J4 1963</t>
  </si>
  <si>
    <t>0                      BF 0724000J  4           1963</t>
  </si>
  <si>
    <t>The psychology of adolescence.</t>
  </si>
  <si>
    <t>Jersild, Arthur T. (Arthur Thomas), 1902-1994.</t>
  </si>
  <si>
    <t>New York : Macmillan, [1963]</t>
  </si>
  <si>
    <t>1998-11-21</t>
  </si>
  <si>
    <t>158952214:eng</t>
  </si>
  <si>
    <t>418149</t>
  </si>
  <si>
    <t>991002733559702656</t>
  </si>
  <si>
    <t>2261098900002656</t>
  </si>
  <si>
    <t>32285002160264</t>
  </si>
  <si>
    <t>893691936</t>
  </si>
  <si>
    <t>BF724 .K565</t>
  </si>
  <si>
    <t>0                      BF 0724000K  565</t>
  </si>
  <si>
    <t>Search for acceptance : the adolescent and self-esteem / Janet Kizziar &amp; Judy Hagedorn.</t>
  </si>
  <si>
    <t>Kizziar, Janet W.</t>
  </si>
  <si>
    <t>Chicago : Nelson-Hall, c1979.</t>
  </si>
  <si>
    <t>2009-10-14</t>
  </si>
  <si>
    <t>425702725:eng</t>
  </si>
  <si>
    <t>4498290</t>
  </si>
  <si>
    <t>991004663079702656</t>
  </si>
  <si>
    <t>2262903050002656</t>
  </si>
  <si>
    <t>9780882293691</t>
  </si>
  <si>
    <t>32285000838218</t>
  </si>
  <si>
    <t>893618934</t>
  </si>
  <si>
    <t>BF724 .K58</t>
  </si>
  <si>
    <t>0                      BF 0724000K  58</t>
  </si>
  <si>
    <t>The child from 9 to 13 : the psychology of preadolescence &amp; early puberty.</t>
  </si>
  <si>
    <t>Kohen-Raz, Reuven.</t>
  </si>
  <si>
    <t>Chicago : Aldine-Atherton, [1971]</t>
  </si>
  <si>
    <t>1998-09-24</t>
  </si>
  <si>
    <t>889760550:eng</t>
  </si>
  <si>
    <t>209766</t>
  </si>
  <si>
    <t>991001263409702656</t>
  </si>
  <si>
    <t>2270871630002656</t>
  </si>
  <si>
    <t>32285001852739</t>
  </si>
  <si>
    <t>893444643</t>
  </si>
  <si>
    <t>BF724 .K8</t>
  </si>
  <si>
    <t>0                      BF 0724000K  8</t>
  </si>
  <si>
    <t>The psychology of adolescent development.</t>
  </si>
  <si>
    <t>Kuhlen, Raymond G. (Raymond Gerhardt), 1913-1967.</t>
  </si>
  <si>
    <t>2009-02-25</t>
  </si>
  <si>
    <t>199013243:eng</t>
  </si>
  <si>
    <t>223019</t>
  </si>
  <si>
    <t>991001369119702656</t>
  </si>
  <si>
    <t>2262299070002656</t>
  </si>
  <si>
    <t>32285002257011</t>
  </si>
  <si>
    <t>893522522</t>
  </si>
  <si>
    <t>BF724 .M27</t>
  </si>
  <si>
    <t>0                      BF 0724000M  27</t>
  </si>
  <si>
    <t>Adolescent development and the life tasks / Guy J. Manaster.</t>
  </si>
  <si>
    <t>Manaster, Guy J.</t>
  </si>
  <si>
    <t>Boston : Allyn and Bacon, c1977.</t>
  </si>
  <si>
    <t>2007-11-26</t>
  </si>
  <si>
    <t>1994-03-03</t>
  </si>
  <si>
    <t>5376528:eng</t>
  </si>
  <si>
    <t>2493355</t>
  </si>
  <si>
    <t>991004138749702656</t>
  </si>
  <si>
    <t>2256442190002656</t>
  </si>
  <si>
    <t>9780205055470</t>
  </si>
  <si>
    <t>32285001851624</t>
  </si>
  <si>
    <t>893687418</t>
  </si>
  <si>
    <t>BF724 .M75</t>
  </si>
  <si>
    <t>0                      BF 0724000M  75</t>
  </si>
  <si>
    <t>Foundations of developmental guidance [by] Harold L. Munson.</t>
  </si>
  <si>
    <t>Munson, Harold L.</t>
  </si>
  <si>
    <t>1999-11-07</t>
  </si>
  <si>
    <t>1188305:eng</t>
  </si>
  <si>
    <t>155939</t>
  </si>
  <si>
    <t>991000895889702656</t>
  </si>
  <si>
    <t>2256706880002656</t>
  </si>
  <si>
    <t>32285002257037</t>
  </si>
  <si>
    <t>893528479</t>
  </si>
  <si>
    <t>BF724 .M8 1974</t>
  </si>
  <si>
    <t>0                      BF 0724000M  8           1974</t>
  </si>
  <si>
    <t>Theories of adolescence [by] Rolf E. Muuss. Consulting editor: L. Joseph Stone.</t>
  </si>
  <si>
    <t>Muuss, Rolf Eduard Helmut, 1924-</t>
  </si>
  <si>
    <t>New York, Random House [1974, c1975]</t>
  </si>
  <si>
    <t>2004-10-03</t>
  </si>
  <si>
    <t>1323006:eng</t>
  </si>
  <si>
    <t>934703</t>
  </si>
  <si>
    <t>991003396309702656</t>
  </si>
  <si>
    <t>2271717400002656</t>
  </si>
  <si>
    <t>9780394318677</t>
  </si>
  <si>
    <t>32285002257045</t>
  </si>
  <si>
    <t>893535455</t>
  </si>
  <si>
    <t>BF724 .O35</t>
  </si>
  <si>
    <t>0                      BF 0724000O  35</t>
  </si>
  <si>
    <t>The psychological world of the teenager : a study of normal adolescent boys / with the collaboration of Melvin Sabshin, and the assistance of Judith L. Offer.</t>
  </si>
  <si>
    <t>Offer, Daniel.</t>
  </si>
  <si>
    <t>New York : Basic Books, [1969]</t>
  </si>
  <si>
    <t>250072:eng</t>
  </si>
  <si>
    <t>7739</t>
  </si>
  <si>
    <t>991000000319702656</t>
  </si>
  <si>
    <t>2268077950002656</t>
  </si>
  <si>
    <t>32285001616092</t>
  </si>
  <si>
    <t>893620081</t>
  </si>
  <si>
    <t>BF724 .R57 1977</t>
  </si>
  <si>
    <t>0                      BF 0724000R  57          1977</t>
  </si>
  <si>
    <t>Issues in adolescent psychology / [compiled by] Dorothy Rogers.</t>
  </si>
  <si>
    <t>Rogers, Dorothy, 1914-1986 compiler.</t>
  </si>
  <si>
    <t>Englewood Cliffs, N.J. : Prentice-Hall, c1977.</t>
  </si>
  <si>
    <t>1994-11-04</t>
  </si>
  <si>
    <t>1127927:eng</t>
  </si>
  <si>
    <t>2646209</t>
  </si>
  <si>
    <t>991004198709702656</t>
  </si>
  <si>
    <t>2254944880002656</t>
  </si>
  <si>
    <t>9780135064283</t>
  </si>
  <si>
    <t>32285001964310</t>
  </si>
  <si>
    <t>893800711</t>
  </si>
  <si>
    <t>BF724 .R6</t>
  </si>
  <si>
    <t>0                      BF 0724000R  6</t>
  </si>
  <si>
    <t>Society and the adolescent self-image.</t>
  </si>
  <si>
    <t>Princeton, N.J., Princeton University Press, 1965.</t>
  </si>
  <si>
    <t>1330487:eng</t>
  </si>
  <si>
    <t>223114</t>
  </si>
  <si>
    <t>991001369669702656</t>
  </si>
  <si>
    <t>2262335690002656</t>
  </si>
  <si>
    <t>32285002257086</t>
  </si>
  <si>
    <t>893244080</t>
  </si>
  <si>
    <t>BF724 .S3667</t>
  </si>
  <si>
    <t>0                      BF 0724000S  3667</t>
  </si>
  <si>
    <t>Personality development and adjustment in adolescence.</t>
  </si>
  <si>
    <t>Milwaukee : Bruce Pub. Co., [1960]</t>
  </si>
  <si>
    <t>2001-02-12</t>
  </si>
  <si>
    <t>376798714:eng</t>
  </si>
  <si>
    <t>1424682</t>
  </si>
  <si>
    <t>991003749959702656</t>
  </si>
  <si>
    <t>2271952110002656</t>
  </si>
  <si>
    <t>32285001595767</t>
  </si>
  <si>
    <t>893499648</t>
  </si>
  <si>
    <t>BF724 .S58</t>
  </si>
  <si>
    <t>0                      BF 0724000S  58</t>
  </si>
  <si>
    <t>Puberty and adolescence / Barbara Baker Sommer. --</t>
  </si>
  <si>
    <t>Sommer, Barbara Baker, 1938-</t>
  </si>
  <si>
    <t>New York : Oxford University Press, 1978.</t>
  </si>
  <si>
    <t>414979:eng</t>
  </si>
  <si>
    <t>3669329</t>
  </si>
  <si>
    <t>991004492019702656</t>
  </si>
  <si>
    <t>2262106150002656</t>
  </si>
  <si>
    <t>9780195023763</t>
  </si>
  <si>
    <t>32285001616118</t>
  </si>
  <si>
    <t>893888782</t>
  </si>
  <si>
    <t>BF724 .S8</t>
  </si>
  <si>
    <t>0                      BF 0724000S  8</t>
  </si>
  <si>
    <t>The adolescent views himself; a psychology of adolescence. Drawings by Sally Donaldson.</t>
  </si>
  <si>
    <t>Strang, Ruth May, 1895-1971.</t>
  </si>
  <si>
    <t>New York, McGraw-Hill, 1957.</t>
  </si>
  <si>
    <t>815146627:eng</t>
  </si>
  <si>
    <t>330895</t>
  </si>
  <si>
    <t>991002387609702656</t>
  </si>
  <si>
    <t>2258929020002656</t>
  </si>
  <si>
    <t>32285002257094</t>
  </si>
  <si>
    <t>893329008</t>
  </si>
  <si>
    <t>BF724.3.C6 M34 1984</t>
  </si>
  <si>
    <t>0                      BF 0724300C  6                  M  34          1984</t>
  </si>
  <si>
    <t>Skill-streaming the elementary school child : a guide for teaching prosocial skills / Ellen McGinnis &amp; Arnold P. Goldstein ; with Robert P. Sprafkin &amp; N. Jane Gershaw.</t>
  </si>
  <si>
    <t>McGinnis-Smith, Ellen.</t>
  </si>
  <si>
    <t>Champaign, Ill. : Research Press, 1984.</t>
  </si>
  <si>
    <t>2007-12-19</t>
  </si>
  <si>
    <t>2869510791:eng</t>
  </si>
  <si>
    <t>11503094</t>
  </si>
  <si>
    <t>991000544169702656</t>
  </si>
  <si>
    <t>2267418670002656</t>
  </si>
  <si>
    <t>9780878222353</t>
  </si>
  <si>
    <t>32285000214881</t>
  </si>
  <si>
    <t>893714681</t>
  </si>
  <si>
    <t>BF724.3.D43 A36 1986</t>
  </si>
  <si>
    <t>0                      BF 0724300D  43                 A  36          1986</t>
  </si>
  <si>
    <t>Adolescence and death / Charles A. Corr, Joan N. McNeil, editors.</t>
  </si>
  <si>
    <t>New York : Springer Pub. Co., c1986.</t>
  </si>
  <si>
    <t>355552895:eng</t>
  </si>
  <si>
    <t>13064677</t>
  </si>
  <si>
    <t>991001762699702656</t>
  </si>
  <si>
    <t>2255947580002656</t>
  </si>
  <si>
    <t>9780826149305</t>
  </si>
  <si>
    <t>32285001096295</t>
  </si>
  <si>
    <t>893590613</t>
  </si>
  <si>
    <t>BF724.5 .B44 1987</t>
  </si>
  <si>
    <t>0                      BF 0724500B  44          1987</t>
  </si>
  <si>
    <t>The journey of adulthood / Helen L. Bee.</t>
  </si>
  <si>
    <t>Bee, Helen L., 1939-</t>
  </si>
  <si>
    <t>New York : Macmillan ; London : Collier Macmillan, c1987.</t>
  </si>
  <si>
    <t>2002-11-06</t>
  </si>
  <si>
    <t>1991-08-01</t>
  </si>
  <si>
    <t>2545119:eng</t>
  </si>
  <si>
    <t>13269787</t>
  </si>
  <si>
    <t>991000803279702656</t>
  </si>
  <si>
    <t>2260689320002656</t>
  </si>
  <si>
    <t>9780023080906</t>
  </si>
  <si>
    <t>32285000680701</t>
  </si>
  <si>
    <t>893327600</t>
  </si>
  <si>
    <t>BF724.5 .B57 1976</t>
  </si>
  <si>
    <t>0                      BF 0724500B  57          1976</t>
  </si>
  <si>
    <t>Adult psychology / Ledford J. Bischof.</t>
  </si>
  <si>
    <t>Bischof, Ledford J.</t>
  </si>
  <si>
    <t>2008-11-23</t>
  </si>
  <si>
    <t>1135040:eng</t>
  </si>
  <si>
    <t>1529315</t>
  </si>
  <si>
    <t>991003803569702656</t>
  </si>
  <si>
    <t>2256871220002656</t>
  </si>
  <si>
    <t>9780060407193</t>
  </si>
  <si>
    <t>32285002257136</t>
  </si>
  <si>
    <t>893887941</t>
  </si>
  <si>
    <t>BF724.5 .C59</t>
  </si>
  <si>
    <t>0                      BF 0724500C  59</t>
  </si>
  <si>
    <t>Adult development, a new dimension in psychodynamic theory and practice / Calvin A. Colarusso and Robert A. Nemiroff.</t>
  </si>
  <si>
    <t>Colarusso, Calvin A.</t>
  </si>
  <si>
    <t>Critical issues in psychiatry</t>
  </si>
  <si>
    <t>2003-02-14</t>
  </si>
  <si>
    <t>437712:eng</t>
  </si>
  <si>
    <t>6602322</t>
  </si>
  <si>
    <t>991005010419702656</t>
  </si>
  <si>
    <t>2255708260002656</t>
  </si>
  <si>
    <t>9780306406195</t>
  </si>
  <si>
    <t>32285000905629</t>
  </si>
  <si>
    <t>893688465</t>
  </si>
  <si>
    <t>BF724.5 .H84</t>
  </si>
  <si>
    <t>0                      BF 0724500H  84</t>
  </si>
  <si>
    <t>Adult development and aging : a life-span perspective / David F. Hultsch, Francine Deutsch.</t>
  </si>
  <si>
    <t>Hultsch, David F.</t>
  </si>
  <si>
    <t>New York : McGraw Hill, c1981.</t>
  </si>
  <si>
    <t>2000-09-05</t>
  </si>
  <si>
    <t>328365084:eng</t>
  </si>
  <si>
    <t>6532919</t>
  </si>
  <si>
    <t>991004999119702656</t>
  </si>
  <si>
    <t>2262144200002656</t>
  </si>
  <si>
    <t>9780070311565</t>
  </si>
  <si>
    <t>32285001044410</t>
  </si>
  <si>
    <t>893526752</t>
  </si>
  <si>
    <t>BF724.5 .L66 1983</t>
  </si>
  <si>
    <t>0                      BF 0724500L  66          1983</t>
  </si>
  <si>
    <t>Longitudinal studies of adult psychological development / edited by K. Warner Schaie.</t>
  </si>
  <si>
    <t>New York : Guilford Press, c1983.</t>
  </si>
  <si>
    <t>Adult development and aging</t>
  </si>
  <si>
    <t>1995-12-05</t>
  </si>
  <si>
    <t>43353462:eng</t>
  </si>
  <si>
    <t>8907019</t>
  </si>
  <si>
    <t>991000091939702656</t>
  </si>
  <si>
    <t>2262993730002656</t>
  </si>
  <si>
    <t>9780898621310</t>
  </si>
  <si>
    <t>32285001616126</t>
  </si>
  <si>
    <t>893413068</t>
  </si>
  <si>
    <t>BF724.5 .N47 1990</t>
  </si>
  <si>
    <t>0                      BF 0724500N  47          1990</t>
  </si>
  <si>
    <t>New dimensions in adult development / Robert A. Nemiroff and Calvin A. Colarusso, editors.</t>
  </si>
  <si>
    <t>New York : Basic Books, c1990.</t>
  </si>
  <si>
    <t>1998-06-11</t>
  </si>
  <si>
    <t>354553028:eng</t>
  </si>
  <si>
    <t>21042104</t>
  </si>
  <si>
    <t>991001644879702656</t>
  </si>
  <si>
    <t>2269405310002656</t>
  </si>
  <si>
    <t>9780465050109</t>
  </si>
  <si>
    <t>32285001318897</t>
  </si>
  <si>
    <t>893529070</t>
  </si>
  <si>
    <t>BF724.5 .R57 1986</t>
  </si>
  <si>
    <t>0                      BF 0724500R  57          1986</t>
  </si>
  <si>
    <t>The adult years : an introduction to aging / Dorothy Rogers.</t>
  </si>
  <si>
    <t>Rogers, Dorothy, 1914-1986.</t>
  </si>
  <si>
    <t>Englewood Cliffs, N.J. : Prentice-Hall, 1986.</t>
  </si>
  <si>
    <t>1997-10-09</t>
  </si>
  <si>
    <t>1992-04-27</t>
  </si>
  <si>
    <t>410061:eng</t>
  </si>
  <si>
    <t>12943486</t>
  </si>
  <si>
    <t>991000752919702656</t>
  </si>
  <si>
    <t>2271823010002656</t>
  </si>
  <si>
    <t>9780130089397</t>
  </si>
  <si>
    <t>32285001088649</t>
  </si>
  <si>
    <t>893608248</t>
  </si>
  <si>
    <t>BF724.5 .S74</t>
  </si>
  <si>
    <t>0                      BF 0724500S  74</t>
  </si>
  <si>
    <t>Adult life : developmental processes / Judith Stevens-Long.</t>
  </si>
  <si>
    <t>Stevens-Long, Judith.</t>
  </si>
  <si>
    <t>Palo Alto, Calif. : Mayfield Pub. Co., 1979.</t>
  </si>
  <si>
    <t>2005-04-03</t>
  </si>
  <si>
    <t>3778211:eng</t>
  </si>
  <si>
    <t>5046108</t>
  </si>
  <si>
    <t>991004768859702656</t>
  </si>
  <si>
    <t>2257868720002656</t>
  </si>
  <si>
    <t>9780874844498</t>
  </si>
  <si>
    <t>32285000845288</t>
  </si>
  <si>
    <t>893782630</t>
  </si>
  <si>
    <t>BF724.5 .S86 1961</t>
  </si>
  <si>
    <t>0                      BF 0724500S  86          1961</t>
  </si>
  <si>
    <t>From adolescent to adult / by Percival M. Symonds, with Arthur R. Jensen.</t>
  </si>
  <si>
    <t>New York : Columbia University Press, 1961.</t>
  </si>
  <si>
    <t>1995-09-28</t>
  </si>
  <si>
    <t>501518:eng</t>
  </si>
  <si>
    <t>223395</t>
  </si>
  <si>
    <t>991001370299702656</t>
  </si>
  <si>
    <t>2264103630002656</t>
  </si>
  <si>
    <t>32285000322841</t>
  </si>
  <si>
    <t>893522524</t>
  </si>
  <si>
    <t>BF724.5 .W46</t>
  </si>
  <si>
    <t>0                      BF 0724500W  46</t>
  </si>
  <si>
    <t>Adult development : the differentiation of experience / Susan Krauss Whitbourne, Comilda S. Weinstock.</t>
  </si>
  <si>
    <t>Whitbourne, Susan Krauss.</t>
  </si>
  <si>
    <t>New York : Holt, Rinehart, and Winston, 1979.</t>
  </si>
  <si>
    <t>2999480257:eng</t>
  </si>
  <si>
    <t>4493821</t>
  </si>
  <si>
    <t>991004650769702656</t>
  </si>
  <si>
    <t>2260903620002656</t>
  </si>
  <si>
    <t>9780030177415</t>
  </si>
  <si>
    <t>32285001441095</t>
  </si>
  <si>
    <t>893700491</t>
  </si>
  <si>
    <t>BF724.55.A35 A33 1989</t>
  </si>
  <si>
    <t>0                      BF 0724550A  35                 A  33          1989</t>
  </si>
  <si>
    <t>Aging and motor behavior / edited by Andrew C. Ostrow.</t>
  </si>
  <si>
    <t>Indianapolis, Ind. : Benchmark Press, 1989.</t>
  </si>
  <si>
    <t>1995-11-06</t>
  </si>
  <si>
    <t>19065578:eng</t>
  </si>
  <si>
    <t>19083095</t>
  </si>
  <si>
    <t>991001429919702656</t>
  </si>
  <si>
    <t>2266558370002656</t>
  </si>
  <si>
    <t>9780936157108</t>
  </si>
  <si>
    <t>32285001616142</t>
  </si>
  <si>
    <t>893328133</t>
  </si>
  <si>
    <t>BF724.55.A35 A36</t>
  </si>
  <si>
    <t>0                      BF 0724550A  35                 A  36</t>
  </si>
  <si>
    <t>Aging in the 1980s : psychological issues / [edited by] Leonard W. Poon.</t>
  </si>
  <si>
    <t>Washington, D.C. : American Psychological Association, [1980]</t>
  </si>
  <si>
    <t>865284825:eng</t>
  </si>
  <si>
    <t>6487347</t>
  </si>
  <si>
    <t>991004991129702656</t>
  </si>
  <si>
    <t>2271821880002656</t>
  </si>
  <si>
    <t>9780912704159</t>
  </si>
  <si>
    <t>32285001616159</t>
  </si>
  <si>
    <t>893688446</t>
  </si>
  <si>
    <t>BF724.55.A35 A47</t>
  </si>
  <si>
    <t>0                      BF 0724550A  35                 A  47</t>
  </si>
  <si>
    <t>Aging : the process and the people / edited by Gene Usdin and Charles K. Hofling.</t>
  </si>
  <si>
    <t>American College of Psychiatrists.</t>
  </si>
  <si>
    <t>New York : Brunner/Mazel, c1978.</t>
  </si>
  <si>
    <t>533838:eng</t>
  </si>
  <si>
    <t>4004365</t>
  </si>
  <si>
    <t>991004565379702656</t>
  </si>
  <si>
    <t>2264925120002656</t>
  </si>
  <si>
    <t>9780876301784</t>
  </si>
  <si>
    <t>32285001616167</t>
  </si>
  <si>
    <t>893331774</t>
  </si>
  <si>
    <t>BF724.55.A35 B67 1984</t>
  </si>
  <si>
    <t>0                      BF 0724550A  35                 B  67          1984</t>
  </si>
  <si>
    <t>Aging and behavior : a comprehensive integration of research findings / Jack Botwinick.</t>
  </si>
  <si>
    <t>Botwinick, Jack.</t>
  </si>
  <si>
    <t>3rd ed., updated and expanded.</t>
  </si>
  <si>
    <t>815155527:eng</t>
  </si>
  <si>
    <t>10483910</t>
  </si>
  <si>
    <t>991000379459702656</t>
  </si>
  <si>
    <t>2259927850002656</t>
  </si>
  <si>
    <t>9780826114433</t>
  </si>
  <si>
    <t>32285001616183</t>
  </si>
  <si>
    <t>893521604</t>
  </si>
  <si>
    <t>BF724.55.A35 K38</t>
  </si>
  <si>
    <t>0                      BF 0724550A  35                 K  38</t>
  </si>
  <si>
    <t>Experimental psychology and human aging / Donald H. Kausler.</t>
  </si>
  <si>
    <t>Kausler, Donald H.</t>
  </si>
  <si>
    <t>3856848697:eng</t>
  </si>
  <si>
    <t>8031756</t>
  </si>
  <si>
    <t>991005192979702656</t>
  </si>
  <si>
    <t>2259502520002656</t>
  </si>
  <si>
    <t>9780471081630</t>
  </si>
  <si>
    <t>32285000680669</t>
  </si>
  <si>
    <t>893613278</t>
  </si>
  <si>
    <t>BF724.55.A35 L68 1990</t>
  </si>
  <si>
    <t>0                      BF 0724550A  35                 L  68          1990</t>
  </si>
  <si>
    <t>Change and continuity in adult life / Marjorie Fiske, David A. Chiriboga.</t>
  </si>
  <si>
    <t>Lowenthal, Marjorie Fiske.</t>
  </si>
  <si>
    <t>San Francisco : Jossey-Bass Publishers, 1990.</t>
  </si>
  <si>
    <t>2010-02-08</t>
  </si>
  <si>
    <t>23284366:eng</t>
  </si>
  <si>
    <t>21973696</t>
  </si>
  <si>
    <t>991001737239702656</t>
  </si>
  <si>
    <t>2266551160002656</t>
  </si>
  <si>
    <t>9781555422493</t>
  </si>
  <si>
    <t>32285000655158</t>
  </si>
  <si>
    <t>893322205</t>
  </si>
  <si>
    <t>BF724.55.A35 S33</t>
  </si>
  <si>
    <t>0                      BF 0724550A  35                 S  33</t>
  </si>
  <si>
    <t>Adult development and aging / K. Warner Schaie, James Geiwitz.</t>
  </si>
  <si>
    <t>Boston : Little, Brown, c1982.</t>
  </si>
  <si>
    <t>2010-09-28</t>
  </si>
  <si>
    <t>5563106:eng</t>
  </si>
  <si>
    <t>8475441</t>
  </si>
  <si>
    <t>991005248429702656</t>
  </si>
  <si>
    <t>2259504670002656</t>
  </si>
  <si>
    <t>9780316772716</t>
  </si>
  <si>
    <t>32285000127570</t>
  </si>
  <si>
    <t>893889925</t>
  </si>
  <si>
    <t>BF724.55.C63 P66 1989</t>
  </si>
  <si>
    <t>0                      BF 0724550C  63                 P  66          1989</t>
  </si>
  <si>
    <t>Everyday cognition in adulthood and late life / edited by Leonard W. Poon, David C. Rubin, Barbara A. Wilson.</t>
  </si>
  <si>
    <t>2006-10-31</t>
  </si>
  <si>
    <t>1991-02-20</t>
  </si>
  <si>
    <t>180144651:eng</t>
  </si>
  <si>
    <t>18559281</t>
  </si>
  <si>
    <t>991001367089702656</t>
  </si>
  <si>
    <t>2260818210002656</t>
  </si>
  <si>
    <t>9780521371483</t>
  </si>
  <si>
    <t>32285000490184</t>
  </si>
  <si>
    <t>893420271</t>
  </si>
  <si>
    <t>BF724.55.C63 R93 1986</t>
  </si>
  <si>
    <t>0                      BF 0724550C  63                 R  93          1986</t>
  </si>
  <si>
    <t>Adult cognition and aging : developmental changes in processing, knowing and thinking / John M. Rybash, William J. Hoyer, Paul A. Roodin.</t>
  </si>
  <si>
    <t>Rybash, John M.</t>
  </si>
  <si>
    <t>Pergamon general psychology series ; 139</t>
  </si>
  <si>
    <t>2006-10-01</t>
  </si>
  <si>
    <t>291265118:eng</t>
  </si>
  <si>
    <t>13524925</t>
  </si>
  <si>
    <t>991000839619702656</t>
  </si>
  <si>
    <t>2264142060002656</t>
  </si>
  <si>
    <t>9780080331669</t>
  </si>
  <si>
    <t>32285001085801</t>
  </si>
  <si>
    <t>893790907</t>
  </si>
  <si>
    <t>BF724.55.C63 S25 1985</t>
  </si>
  <si>
    <t>0                      BF 0724550C  63                 S  25          1985</t>
  </si>
  <si>
    <t>A theory of cognitive aging / Timothy Salthouse.</t>
  </si>
  <si>
    <t>Salthouse, Timothy A.</t>
  </si>
  <si>
    <t>Amsterdam ; New York : North-Holland ; New York, N.Y., U.S.A. : Sole distributors for the U.S.A. and Canada, Elsevier Science Pub. Co., 1985.</t>
  </si>
  <si>
    <t>Advances in psychology ; 28</t>
  </si>
  <si>
    <t>5030294:eng</t>
  </si>
  <si>
    <t>12419753</t>
  </si>
  <si>
    <t>991000684169702656</t>
  </si>
  <si>
    <t>2261830340002656</t>
  </si>
  <si>
    <t>9780444878274</t>
  </si>
  <si>
    <t>32285000680651</t>
  </si>
  <si>
    <t>893802995</t>
  </si>
  <si>
    <t>BF724.55.C63 S32 1996</t>
  </si>
  <si>
    <t>0                      BF 0724550C  63                 S  32          1996</t>
  </si>
  <si>
    <t>Intellectual development in adulthood : the Seattle longitudinal study / K. Warner Schaie ; foreword by Paul B. Baltes.</t>
  </si>
  <si>
    <t>Cambridge [England] ; New York : Cambridge University Press, 1996.</t>
  </si>
  <si>
    <t>1998-03-18</t>
  </si>
  <si>
    <t>1996-02-26</t>
  </si>
  <si>
    <t>2864318367:eng</t>
  </si>
  <si>
    <t>32272475</t>
  </si>
  <si>
    <t>991002477839702656</t>
  </si>
  <si>
    <t>2261054170002656</t>
  </si>
  <si>
    <t>9780521430142</t>
  </si>
  <si>
    <t>32285002138070</t>
  </si>
  <si>
    <t>893892595</t>
  </si>
  <si>
    <t>BF724.6 .B5</t>
  </si>
  <si>
    <t>0                      BF 0724600B  5</t>
  </si>
  <si>
    <t>The psychology of aging / [by] James E. Birren.</t>
  </si>
  <si>
    <t>Birren, James E.</t>
  </si>
  <si>
    <t>2002-11-30</t>
  </si>
  <si>
    <t>1467038:eng</t>
  </si>
  <si>
    <t>289395</t>
  </si>
  <si>
    <t>991002218279702656</t>
  </si>
  <si>
    <t>2261952480002656</t>
  </si>
  <si>
    <t>32285000322858</t>
  </si>
  <si>
    <t>893697488</t>
  </si>
  <si>
    <t>BF724.6 .S42 1978</t>
  </si>
  <si>
    <t>0                      BF 0724600S  42          1978</t>
  </si>
  <si>
    <t>The Seasons of a man's life / by Daniel J. Levinson ... [et al.].</t>
  </si>
  <si>
    <t>New York : Knopf, c1978.</t>
  </si>
  <si>
    <t>1992-07-30</t>
  </si>
  <si>
    <t>36316781:eng</t>
  </si>
  <si>
    <t>3361598</t>
  </si>
  <si>
    <t>991004415729702656</t>
  </si>
  <si>
    <t>2255450200002656</t>
  </si>
  <si>
    <t>9780394406947</t>
  </si>
  <si>
    <t>32285001240570</t>
  </si>
  <si>
    <t>893888672</t>
  </si>
  <si>
    <t>BF724.8 .A43 1973</t>
  </si>
  <si>
    <t>0                      BF 0724800A  43          1973</t>
  </si>
  <si>
    <t>The psychology of adult development and aging. Editors: Carl Eisdorfer and M. Powell Lawton.</t>
  </si>
  <si>
    <t>American Psychological Association. Task Force on Aging.</t>
  </si>
  <si>
    <t>Washington, American Psychological Association [1973]</t>
  </si>
  <si>
    <t>2002-04-23</t>
  </si>
  <si>
    <t>1635782:eng</t>
  </si>
  <si>
    <t>707110</t>
  </si>
  <si>
    <t>991005309289702656</t>
  </si>
  <si>
    <t>2269076200002656</t>
  </si>
  <si>
    <t>32285002257151</t>
  </si>
  <si>
    <t>893326551</t>
  </si>
  <si>
    <t>BF724.8 .B7</t>
  </si>
  <si>
    <t>0                      BF 0724800B  7</t>
  </si>
  <si>
    <t>The psychology of human ageing [by] D. B. Bromley.</t>
  </si>
  <si>
    <t>Bromley, D. B. (Dennis Basil), 1924-</t>
  </si>
  <si>
    <t>Harmondsworth, Penguin, 1966.</t>
  </si>
  <si>
    <t>Pelican books ; A848</t>
  </si>
  <si>
    <t>412989:eng</t>
  </si>
  <si>
    <t>341872</t>
  </si>
  <si>
    <t>991002416299702656</t>
  </si>
  <si>
    <t>2265677970002656</t>
  </si>
  <si>
    <t>32285002271129</t>
  </si>
  <si>
    <t>893879898</t>
  </si>
  <si>
    <t>BF724.8 .G4</t>
  </si>
  <si>
    <t>0                      BF 0724800G  4</t>
  </si>
  <si>
    <t>The psychological aspects of the aging process with sociological implications.</t>
  </si>
  <si>
    <t>Geist, Harold, 1916-1994.</t>
  </si>
  <si>
    <t>St. Louis : W.H. Green, [c1968]</t>
  </si>
  <si>
    <t>1996-02-07</t>
  </si>
  <si>
    <t>5701357:eng</t>
  </si>
  <si>
    <t>2793</t>
  </si>
  <si>
    <t>991005435089702656</t>
  </si>
  <si>
    <t>2262693100002656</t>
  </si>
  <si>
    <t>32285001968394</t>
  </si>
  <si>
    <t>893777476</t>
  </si>
  <si>
    <t>BF724.8 .H46 1979</t>
  </si>
  <si>
    <t>0                      BF 0724800H  46          1979</t>
  </si>
  <si>
    <t>Counseling elders and their families : practical techniques for applied gerontology / John J. Herr, John H. Weakland ; foreword by James E. Birren.</t>
  </si>
  <si>
    <t>Herr, John J.</t>
  </si>
  <si>
    <t>New York : Springer Pub. Co., c1979.</t>
  </si>
  <si>
    <t>Springer series on adulthood and aging ; v. 2</t>
  </si>
  <si>
    <t>2010-11-16</t>
  </si>
  <si>
    <t>889881615:eng</t>
  </si>
  <si>
    <t>4493613</t>
  </si>
  <si>
    <t>991001782679702656</t>
  </si>
  <si>
    <t>2260908950002656</t>
  </si>
  <si>
    <t>9780826125101</t>
  </si>
  <si>
    <t>32285001056505</t>
  </si>
  <si>
    <t>893898054</t>
  </si>
  <si>
    <t>BF724.8 .K3</t>
  </si>
  <si>
    <t>0                      BF 0724800K  3</t>
  </si>
  <si>
    <t>New thoughts on old age / the contributors: Ruth Aisenberg [and others]</t>
  </si>
  <si>
    <t>Kastenbaum, Robert editor.</t>
  </si>
  <si>
    <t>1392371:eng</t>
  </si>
  <si>
    <t>243277</t>
  </si>
  <si>
    <t>991001914229702656</t>
  </si>
  <si>
    <t>2270710770002656</t>
  </si>
  <si>
    <t>32285000322866</t>
  </si>
  <si>
    <t>893232370</t>
  </si>
  <si>
    <t>BF724.8 .M94 1984</t>
  </si>
  <si>
    <t>0                      BF 0724800M  94          1984</t>
  </si>
  <si>
    <t>Counseling older persons / Jane E. Myers.</t>
  </si>
  <si>
    <t>Myers, Jane E.</t>
  </si>
  <si>
    <t>Ann Arbor, Mich. : ERIC Counseling and Personnel Services Clearinghouse, 1984.</t>
  </si>
  <si>
    <t>Searchlight plus: relevant resources in high interest areas ; 58+</t>
  </si>
  <si>
    <t>1997-06-28</t>
  </si>
  <si>
    <t>6930321:eng</t>
  </si>
  <si>
    <t>14641843</t>
  </si>
  <si>
    <t>991000802159702656</t>
  </si>
  <si>
    <t>2268555420002656</t>
  </si>
  <si>
    <t>32285001337244</t>
  </si>
  <si>
    <t>893438612</t>
  </si>
  <si>
    <t>BF724.8 .S5</t>
  </si>
  <si>
    <t>0                      BF 0724800S  5</t>
  </si>
  <si>
    <t>Counseling older persons : careers, retirement, dying / Daniel Sinick.</t>
  </si>
  <si>
    <t>Sinick, Daniel.</t>
  </si>
  <si>
    <t>New York : Human Sciences Press, c1977.</t>
  </si>
  <si>
    <t>New vistas in counseling series ; v. 4</t>
  </si>
  <si>
    <t>308552104:eng</t>
  </si>
  <si>
    <t>3168772</t>
  </si>
  <si>
    <t>991001772249702656</t>
  </si>
  <si>
    <t>2260860150002656</t>
  </si>
  <si>
    <t>9780877053125</t>
  </si>
  <si>
    <t>32285002257227</t>
  </si>
  <si>
    <t>893785380</t>
  </si>
  <si>
    <t>BF724.8 .W5</t>
  </si>
  <si>
    <t>0                      BF 0724800W  5</t>
  </si>
  <si>
    <t>Lives through the years; styles of life and successful aging [by] Richard H. Williams [and] Claudine G. Wirths. Foreword by Talcott Parsons.</t>
  </si>
  <si>
    <t>Williams, Richard Hays, 1912-1988.</t>
  </si>
  <si>
    <t>New York, Atherton Press, 1965.</t>
  </si>
  <si>
    <t>321787488:eng</t>
  </si>
  <si>
    <t>224583</t>
  </si>
  <si>
    <t>991001374539702656</t>
  </si>
  <si>
    <t>2264285350002656</t>
  </si>
  <si>
    <t>32285002257235</t>
  </si>
  <si>
    <t>893709209</t>
  </si>
  <si>
    <t>BF724.85.C66 P78 1989</t>
  </si>
  <si>
    <t>0                      BF 0724850C  66                 P  78          1989</t>
  </si>
  <si>
    <t>Psychological perspectives of helplessness and control in the elderly / edited by Prem S. Fry.</t>
  </si>
  <si>
    <t>Amsterdam ; New York : North-Holland ; New York, N.Y., U.S.A. : Sole distributors for the U.S.A. and Canada, Elsevier Science Pub. Co., 1989.</t>
  </si>
  <si>
    <t>Advances in psychology ; 57</t>
  </si>
  <si>
    <t>1011503858:eng</t>
  </si>
  <si>
    <t>18523143</t>
  </si>
  <si>
    <t>991001362609702656</t>
  </si>
  <si>
    <t>2269365450002656</t>
  </si>
  <si>
    <t>9780444705464</t>
  </si>
  <si>
    <t>32285000662980</t>
  </si>
  <si>
    <t>893690556</t>
  </si>
  <si>
    <t>BF724.85.G73 O44 1989</t>
  </si>
  <si>
    <t>0                      BF 0724850G  73                 O  44          1989</t>
  </si>
  <si>
    <t>Older bereaved spouses : research with practical applications / edited by Dale A. Lund.</t>
  </si>
  <si>
    <t>New York : Hemisphere Pub. Corp., c1989.</t>
  </si>
  <si>
    <t>2005-04-23</t>
  </si>
  <si>
    <t>1991-04-30</t>
  </si>
  <si>
    <t>836752845:eng</t>
  </si>
  <si>
    <t>18834016</t>
  </si>
  <si>
    <t>991001403309702656</t>
  </si>
  <si>
    <t>2257613370002656</t>
  </si>
  <si>
    <t>9780891168034</t>
  </si>
  <si>
    <t>32285000570035</t>
  </si>
  <si>
    <t>893608842</t>
  </si>
  <si>
    <t>BF724.85.H86 H86 1986</t>
  </si>
  <si>
    <t>0                      BF 0724850H  86                 H  86          1986</t>
  </si>
  <si>
    <t>Humor and aging / edited by Lucille Nahemow, Kathleen A. McCluskey-Fawcett, Paul E. McGhee.</t>
  </si>
  <si>
    <t>Orlando [Fla.] : Academic Press, 1986.</t>
  </si>
  <si>
    <t>355751718:eng</t>
  </si>
  <si>
    <t>11972007</t>
  </si>
  <si>
    <t>991005405209702656</t>
  </si>
  <si>
    <t>2255652050002656</t>
  </si>
  <si>
    <t>9780125137904</t>
  </si>
  <si>
    <t>32285001616233</t>
  </si>
  <si>
    <t>893412846</t>
  </si>
  <si>
    <t>BF724.85.M45 L36 1988</t>
  </si>
  <si>
    <t>0                      BF 0724850M  45                 L  36          1988</t>
  </si>
  <si>
    <t>Language, memory, and aging / edited by Leah L. Light and Deborah M. Burke.</t>
  </si>
  <si>
    <t>New York : Cambridge University Press, 1988.</t>
  </si>
  <si>
    <t>1991-02-08</t>
  </si>
  <si>
    <t>350235427:eng</t>
  </si>
  <si>
    <t>17439482</t>
  </si>
  <si>
    <t>991001217269702656</t>
  </si>
  <si>
    <t>2265787260002656</t>
  </si>
  <si>
    <t>9780521329422</t>
  </si>
  <si>
    <t>32285000463280</t>
  </si>
  <si>
    <t>893808998</t>
  </si>
  <si>
    <t>BF724.85.P47 P47</t>
  </si>
  <si>
    <t>0                      BF 0724850P  47                 P  47</t>
  </si>
  <si>
    <t>Personality and adjustment in the aged / [by] R. D. Savage ... [et al.].</t>
  </si>
  <si>
    <t>2001-06-09</t>
  </si>
  <si>
    <t>11855540:eng</t>
  </si>
  <si>
    <t>3757504</t>
  </si>
  <si>
    <t>991004509989702656</t>
  </si>
  <si>
    <t>2270006030002656</t>
  </si>
  <si>
    <t>9780126195507</t>
  </si>
  <si>
    <t>32285001616241</t>
  </si>
  <si>
    <t>893343924</t>
  </si>
  <si>
    <t>BF724.85.R45 C64 1986</t>
  </si>
  <si>
    <t>0                      BF 0724850R  45                 C  64          1986</t>
  </si>
  <si>
    <t>Ageing and reminiscence processes : social and clinical implications / Peter G. Coleman.</t>
  </si>
  <si>
    <t>Coleman, Peter G.</t>
  </si>
  <si>
    <t>Chichester [West Sussex] ; New York : Wiley, c1986.</t>
  </si>
  <si>
    <t>2000-05-30</t>
  </si>
  <si>
    <t>836657832:eng</t>
  </si>
  <si>
    <t>13822907</t>
  </si>
  <si>
    <t>991005406749702656</t>
  </si>
  <si>
    <t>2265327470002656</t>
  </si>
  <si>
    <t>9780471910275</t>
  </si>
  <si>
    <t>32285001108611</t>
  </si>
  <si>
    <t>893789975</t>
  </si>
  <si>
    <t>BF727.P57 M3 1969</t>
  </si>
  <si>
    <t>0                      BF 0727000P  57                 M  3           1969</t>
  </si>
  <si>
    <t>Physical disability and human behavior, by James W. McDaniel.</t>
  </si>
  <si>
    <t>McDaniel, James W.</t>
  </si>
  <si>
    <t>New York, Pergamon Press [1969]</t>
  </si>
  <si>
    <t>2001-07-31</t>
  </si>
  <si>
    <t>1227751:eng</t>
  </si>
  <si>
    <t>64000</t>
  </si>
  <si>
    <t>991000190569702656</t>
  </si>
  <si>
    <t>2257140530002656</t>
  </si>
  <si>
    <t>9780080068664</t>
  </si>
  <si>
    <t>32285002257458</t>
  </si>
  <si>
    <t>893314759</t>
  </si>
  <si>
    <t>BF731 .C85</t>
  </si>
  <si>
    <t>0                      BF 0731000C  85</t>
  </si>
  <si>
    <t>The Cultural context of learning and thinking : an exploration in experimental anthropology / by Michael Cole [and others] in association with Thomas Ciborowski [and others]</t>
  </si>
  <si>
    <t>New York : Basic Books, [1971]</t>
  </si>
  <si>
    <t>1993-09-17</t>
  </si>
  <si>
    <t>807291939:eng</t>
  </si>
  <si>
    <t>207468</t>
  </si>
  <si>
    <t>991001238499702656</t>
  </si>
  <si>
    <t>2267225930002656</t>
  </si>
  <si>
    <t>9780465014989</t>
  </si>
  <si>
    <t>32285000322890</t>
  </si>
  <si>
    <t>893684181</t>
  </si>
  <si>
    <t>BF75 .P73 1987</t>
  </si>
  <si>
    <t>0                      BF 0075000P  73          1987</t>
  </si>
  <si>
    <t>Psychology as a profession : foundations of practice / Walter B. Pryzwansky, Robert N. Wendt.</t>
  </si>
  <si>
    <t>Pryzwansky, Walter B., 1939-</t>
  </si>
  <si>
    <t>2006-02-22</t>
  </si>
  <si>
    <t>1992-02-24</t>
  </si>
  <si>
    <t>836690756:eng</t>
  </si>
  <si>
    <t>14716519</t>
  </si>
  <si>
    <t>991000955119702656</t>
  </si>
  <si>
    <t>2255801400002656</t>
  </si>
  <si>
    <t>9780080331287</t>
  </si>
  <si>
    <t>32285000975366</t>
  </si>
  <si>
    <t>893225478</t>
  </si>
  <si>
    <t>BF75 .R445 1994</t>
  </si>
  <si>
    <t>0                      BF 0075000R  445         1994</t>
  </si>
  <si>
    <t>The psychologist's guide to an academic career / Harriet L. Rheingold.</t>
  </si>
  <si>
    <t>Rheingold, Harriet L. (Harriet Lange)</t>
  </si>
  <si>
    <t>Washington, DC : American Psychological Association, c1994.</t>
  </si>
  <si>
    <t>1995-05-24</t>
  </si>
  <si>
    <t>1047121:eng</t>
  </si>
  <si>
    <t>29753191</t>
  </si>
  <si>
    <t>991002294019702656</t>
  </si>
  <si>
    <t>2262077420002656</t>
  </si>
  <si>
    <t>9781557982278</t>
  </si>
  <si>
    <t>32285002047180</t>
  </si>
  <si>
    <t>893898583</t>
  </si>
  <si>
    <t>BF755.A5 P8</t>
  </si>
  <si>
    <t>0                      BF 0755000A  5                  P  8</t>
  </si>
  <si>
    <t>The adjusted American; normal neuroses in the individual and society [by] Snell Putney and Gail J. Putney.</t>
  </si>
  <si>
    <t>Putney, Snell.</t>
  </si>
  <si>
    <t>New York, Harper &amp; Row [1966, c1964]</t>
  </si>
  <si>
    <t>Harper colophon books ; CN95</t>
  </si>
  <si>
    <t>367510145:eng</t>
  </si>
  <si>
    <t>475402</t>
  </si>
  <si>
    <t>991002825779702656</t>
  </si>
  <si>
    <t>2255305570002656</t>
  </si>
  <si>
    <t>32285002257490</t>
  </si>
  <si>
    <t>893445388</t>
  </si>
  <si>
    <t>BF755.A5 R5</t>
  </si>
  <si>
    <t>0                      BF 0755000A  5                  R  5</t>
  </si>
  <si>
    <t>The lonely crowd : a study of the changing American character / by David Riesman in collaboration with Reuel Denney and Nathan Glazer.</t>
  </si>
  <si>
    <t>Riesman, David, 1909-2002.</t>
  </si>
  <si>
    <t>New Haven : Yale University Press, 1950.</t>
  </si>
  <si>
    <t>Studies in national policy ; 3</t>
  </si>
  <si>
    <t>2009-10-29</t>
  </si>
  <si>
    <t>197612135:eng</t>
  </si>
  <si>
    <t>634095</t>
  </si>
  <si>
    <t>991003082129702656</t>
  </si>
  <si>
    <t>2255586470002656</t>
  </si>
  <si>
    <t>32285000322908</t>
  </si>
  <si>
    <t>893805403</t>
  </si>
  <si>
    <t>BF755.J4 B37 1975</t>
  </si>
  <si>
    <t>0                      BF 0755000J  4                  B  37          1975</t>
  </si>
  <si>
    <t>Public and private self in Japan and the United States : communicative styles of two cultures / Dean C. Barnlund.</t>
  </si>
  <si>
    <t>Barnlund, Dean C.</t>
  </si>
  <si>
    <t>Tokyo : Simul Press ; [Portland, Ore. : distributed by ISBS], c1975, 1982 printing.</t>
  </si>
  <si>
    <t xml:space="preserve">ja </t>
  </si>
  <si>
    <t>2592806:eng</t>
  </si>
  <si>
    <t>1813304</t>
  </si>
  <si>
    <t>991003897229702656</t>
  </si>
  <si>
    <t>2258163260002656</t>
  </si>
  <si>
    <t>32285001440469</t>
  </si>
  <si>
    <t>893435638</t>
  </si>
  <si>
    <t>BF76 .W37</t>
  </si>
  <si>
    <t>0                      BF 0076000W  37</t>
  </si>
  <si>
    <t>The profession of psychology.</t>
  </si>
  <si>
    <t>Webb, Wilse B. editor.</t>
  </si>
  <si>
    <t>New York : Holt, Rinehart and Winston, [1962]</t>
  </si>
  <si>
    <t>2008-03-18</t>
  </si>
  <si>
    <t>1346588:eng</t>
  </si>
  <si>
    <t>189872</t>
  </si>
  <si>
    <t>991001179869702656</t>
  </si>
  <si>
    <t>2268490540002656</t>
  </si>
  <si>
    <t>32285001798353</t>
  </si>
  <si>
    <t>893420142</t>
  </si>
  <si>
    <t>BF76.5 .B695</t>
  </si>
  <si>
    <t>0                      BF 0076500B  695</t>
  </si>
  <si>
    <t>Studying behavior in natural settings [by] Richard M. Brandt.</t>
  </si>
  <si>
    <t>Brandt, Richard M. (Richard Martin), 1922-</t>
  </si>
  <si>
    <t>New York, Holt, Rinehart and Winston [c1972]</t>
  </si>
  <si>
    <t>483318:eng</t>
  </si>
  <si>
    <t>303853</t>
  </si>
  <si>
    <t>991002260079702656</t>
  </si>
  <si>
    <t>2272573100002656</t>
  </si>
  <si>
    <t>9780030848575</t>
  </si>
  <si>
    <t>32285002233822</t>
  </si>
  <si>
    <t>893866987</t>
  </si>
  <si>
    <t>BF76.5 .F3</t>
  </si>
  <si>
    <t>0                      BF 0076500F  3</t>
  </si>
  <si>
    <t>Taboo topics / foreword by Gordon W. Allport.</t>
  </si>
  <si>
    <t>Farberow, Norman L., editor.</t>
  </si>
  <si>
    <t>New York : Atherton Press, [1963]</t>
  </si>
  <si>
    <t>The Atherton Press behavioral science series</t>
  </si>
  <si>
    <t>2005-03-20</t>
  </si>
  <si>
    <t>1351098:eng</t>
  </si>
  <si>
    <t>191348</t>
  </si>
  <si>
    <t>991001197759702656</t>
  </si>
  <si>
    <t>2258821960002656</t>
  </si>
  <si>
    <t>32285001573129</t>
  </si>
  <si>
    <t>893715261</t>
  </si>
  <si>
    <t>BF76.5 .G46</t>
  </si>
  <si>
    <t>0                      BF 0076500G  46</t>
  </si>
  <si>
    <t>Genetic destiny : race as a scientific and social controversy / edited by Ethel Tobach and Harold M. Proshansky.</t>
  </si>
  <si>
    <t>New York : AMS Press, c1976.</t>
  </si>
  <si>
    <t>903182430:eng</t>
  </si>
  <si>
    <t>2726595</t>
  </si>
  <si>
    <t>991004225069702656</t>
  </si>
  <si>
    <t>2268850560002656</t>
  </si>
  <si>
    <t>9780404101305</t>
  </si>
  <si>
    <t>32285002233830</t>
  </si>
  <si>
    <t>893535869</t>
  </si>
  <si>
    <t>BF76.5 .H47 1976</t>
  </si>
  <si>
    <t>0                      BF 0076500H  47          1976</t>
  </si>
  <si>
    <t>Single case experimental designs : strategies for studying behavior change / by Michel Hersen and David H. Barlow.</t>
  </si>
  <si>
    <t>Hersen, Michel.</t>
  </si>
  <si>
    <t>Pergamon general psychology series ; 56</t>
  </si>
  <si>
    <t>796367844:eng</t>
  </si>
  <si>
    <t>1218461</t>
  </si>
  <si>
    <t>991003627929702656</t>
  </si>
  <si>
    <t>2271785180002656</t>
  </si>
  <si>
    <t>9780080195117</t>
  </si>
  <si>
    <t>32285002233855</t>
  </si>
  <si>
    <t>893592704</t>
  </si>
  <si>
    <t>BF76.5 .I8 1981</t>
  </si>
  <si>
    <t>0                      BF 0076500I  8           1981</t>
  </si>
  <si>
    <t>Handbook in research and evaluation : a collection of principles, methods, and strategies useful in the planning, design, and evaluation of studies in education and the behavioral sciences / Stephen Isaac and William B. Michael.</t>
  </si>
  <si>
    <t>Isaac, Stephen, 1925-</t>
  </si>
  <si>
    <t>San Diego, Calif. : EDITS Publishers, c1981, 1982 printing.</t>
  </si>
  <si>
    <t>1999-02-03</t>
  </si>
  <si>
    <t>1170900:eng</t>
  </si>
  <si>
    <t>7782773</t>
  </si>
  <si>
    <t>991005160689702656</t>
  </si>
  <si>
    <t>2265990730002656</t>
  </si>
  <si>
    <t>9780912736259</t>
  </si>
  <si>
    <t>32285000133594</t>
  </si>
  <si>
    <t>893332497</t>
  </si>
  <si>
    <t>BF76.5 .K32</t>
  </si>
  <si>
    <t>0                      BF 0076500K  32</t>
  </si>
  <si>
    <t>Research design in clinical psychology / Alan E. Kazdin.</t>
  </si>
  <si>
    <t>2009-08-19</t>
  </si>
  <si>
    <t>1993-03-24</t>
  </si>
  <si>
    <t>600706:eng</t>
  </si>
  <si>
    <t>5411357</t>
  </si>
  <si>
    <t>991004831509702656</t>
  </si>
  <si>
    <t>2256378000002656</t>
  </si>
  <si>
    <t>9780397474035</t>
  </si>
  <si>
    <t>32285001590529</t>
  </si>
  <si>
    <t>893870163</t>
  </si>
  <si>
    <t>BF76.5 .K33 1982</t>
  </si>
  <si>
    <t>0                      BF 0076500K  33          1982</t>
  </si>
  <si>
    <t>Single-case research designs : methods for clinical and applied settings / Alan E. Kazdin.</t>
  </si>
  <si>
    <t>1996-08-23</t>
  </si>
  <si>
    <t>852683028:eng</t>
  </si>
  <si>
    <t>7976550</t>
  </si>
  <si>
    <t>991005186489702656</t>
  </si>
  <si>
    <t>2262102800002656</t>
  </si>
  <si>
    <t>9780195030204</t>
  </si>
  <si>
    <t>32285001590537</t>
  </si>
  <si>
    <t>893883470</t>
  </si>
  <si>
    <t>BF76.5 .L47</t>
  </si>
  <si>
    <t>0                      BF 0076500L  47</t>
  </si>
  <si>
    <t>Understanding psychological research : the student researcher's handbook / Miriam Lewin.</t>
  </si>
  <si>
    <t>Lewin, Miriam, 1931-</t>
  </si>
  <si>
    <t>889846025:eng</t>
  </si>
  <si>
    <t>4549940</t>
  </si>
  <si>
    <t>991004678929702656</t>
  </si>
  <si>
    <t>2272463340002656</t>
  </si>
  <si>
    <t>9780471658375</t>
  </si>
  <si>
    <t>32285001590545</t>
  </si>
  <si>
    <t>893229695</t>
  </si>
  <si>
    <t>BF76.5 .L66</t>
  </si>
  <si>
    <t>0                      BF 0076500L  66</t>
  </si>
  <si>
    <t>Longitudinal research in the study of behavior and development / edited by John R. Nesselroade, Paul B. Baltes.</t>
  </si>
  <si>
    <t>2002-09-11</t>
  </si>
  <si>
    <t>351182045:eng</t>
  </si>
  <si>
    <t>5565023</t>
  </si>
  <si>
    <t>991004847129702656</t>
  </si>
  <si>
    <t>2268414090002656</t>
  </si>
  <si>
    <t>9780125156608</t>
  </si>
  <si>
    <t>32285001590552</t>
  </si>
  <si>
    <t>893248058</t>
  </si>
  <si>
    <t>BF76.5 .M44 1981</t>
  </si>
  <si>
    <t>0                      BF 0076500M  44          1981</t>
  </si>
  <si>
    <t>Behavioral research and government policy : civilian and military R&amp;D / David Meister.</t>
  </si>
  <si>
    <t>Meister, David.</t>
  </si>
  <si>
    <t>New York : Pergamon Press, c1981.</t>
  </si>
  <si>
    <t>Pergamon policy studies on science policy</t>
  </si>
  <si>
    <t>1993-04-14</t>
  </si>
  <si>
    <t>896419595:eng</t>
  </si>
  <si>
    <t>7555847</t>
  </si>
  <si>
    <t>991005129109702656</t>
  </si>
  <si>
    <t>2266256920002656</t>
  </si>
  <si>
    <t>9780080246598</t>
  </si>
  <si>
    <t>32285001590586</t>
  </si>
  <si>
    <t>893443443</t>
  </si>
  <si>
    <t>BF76.5 .M48 1978</t>
  </si>
  <si>
    <t>0                      BF 0076500M  48          1978</t>
  </si>
  <si>
    <t>Behavioral research : theory, procedure, and design / Lawrence S. Meyers and Neal E. Grossen.</t>
  </si>
  <si>
    <t>Meyers, Lawrence S.</t>
  </si>
  <si>
    <t>1994-12-03</t>
  </si>
  <si>
    <t>1675479:eng</t>
  </si>
  <si>
    <t>3706790</t>
  </si>
  <si>
    <t>991004498159702656</t>
  </si>
  <si>
    <t>2265027220002656</t>
  </si>
  <si>
    <t>9780716700494</t>
  </si>
  <si>
    <t>32285001590594</t>
  </si>
  <si>
    <t>893895061</t>
  </si>
  <si>
    <t>BF76.5 .R63</t>
  </si>
  <si>
    <t>0                      BF 0076500R  63</t>
  </si>
  <si>
    <t>Experimenter effects in behavioral research.</t>
  </si>
  <si>
    <t>New York, Appleton-Century-Crofts [1966]</t>
  </si>
  <si>
    <t>1999-02-17</t>
  </si>
  <si>
    <t>1351070:eng</t>
  </si>
  <si>
    <t>191335</t>
  </si>
  <si>
    <t>991001197329702656</t>
  </si>
  <si>
    <t>2258836490002656</t>
  </si>
  <si>
    <t>32285002233905</t>
  </si>
  <si>
    <t>893237933</t>
  </si>
  <si>
    <t>BF76.6.I5 K3 1999</t>
  </si>
  <si>
    <t>0                      BF 0076600I  5                  K  3           1999</t>
  </si>
  <si>
    <t>Psychology resources on the world wide web / Edward P. Kardas.</t>
  </si>
  <si>
    <t>Kardas, Edward P., 1949-</t>
  </si>
  <si>
    <t>Pacific Grove, CA : Brooks/Cole Publishing Co., c1999.</t>
  </si>
  <si>
    <t>1998-12-05</t>
  </si>
  <si>
    <t>1998-11-12</t>
  </si>
  <si>
    <t>42620507:eng</t>
  </si>
  <si>
    <t>39946428</t>
  </si>
  <si>
    <t>991004662209702656</t>
  </si>
  <si>
    <t>2264738070002656</t>
  </si>
  <si>
    <t>9780534359416</t>
  </si>
  <si>
    <t>32285003480380</t>
  </si>
  <si>
    <t>893241702</t>
  </si>
  <si>
    <t>BF76.6.I57 F73 2004</t>
  </si>
  <si>
    <t>0                      BF 0076600I  57                 F  73          2004</t>
  </si>
  <si>
    <t>How to conduct behavioral research over the internet : a beginner's guide to HTML and CGI/Perl / R. Chris Fraley.</t>
  </si>
  <si>
    <t>Fraley, R. Chris.</t>
  </si>
  <si>
    <t>New York : Guilford Press, c2004.</t>
  </si>
  <si>
    <t>2004</t>
  </si>
  <si>
    <t>Methodology in the social sciences</t>
  </si>
  <si>
    <t>2004-10-13</t>
  </si>
  <si>
    <t>2004-09-29</t>
  </si>
  <si>
    <t>800141861:eng</t>
  </si>
  <si>
    <t>53954180</t>
  </si>
  <si>
    <t>991004361209702656</t>
  </si>
  <si>
    <t>2255422000002656</t>
  </si>
  <si>
    <t>9781572309975</t>
  </si>
  <si>
    <t>32285004989751</t>
  </si>
  <si>
    <t>893706311</t>
  </si>
  <si>
    <t>BF76.6.O27 S84 1989</t>
  </si>
  <si>
    <t>0                      BF 0076600O  27                 S  84          1989</t>
  </si>
  <si>
    <t>Analyzing quantitative behavioral observation data / Hoi K. Suen and Donald Ary.</t>
  </si>
  <si>
    <t>Suen, Hoi K.</t>
  </si>
  <si>
    <t>Hillsdale, NJ : L. Erlbaum, c1989.</t>
  </si>
  <si>
    <t>1995-05-10</t>
  </si>
  <si>
    <t>16110161:eng</t>
  </si>
  <si>
    <t>17546141</t>
  </si>
  <si>
    <t>991001229979702656</t>
  </si>
  <si>
    <t>2267976070002656</t>
  </si>
  <si>
    <t>9780824090760</t>
  </si>
  <si>
    <t>32285002038858</t>
  </si>
  <si>
    <t>893772420</t>
  </si>
  <si>
    <t>BF76.8 .E4</t>
  </si>
  <si>
    <t>0                      BF 0076800E  4</t>
  </si>
  <si>
    <t>A guide to the documentation of psychology [by] C. K. Elliott.</t>
  </si>
  <si>
    <t>Elliott, C. K. (Charles Kenneth)</t>
  </si>
  <si>
    <t>[Hamden, Conn.] Linnet Books [1971]</t>
  </si>
  <si>
    <t>2003-02-21</t>
  </si>
  <si>
    <t>1258010:eng</t>
  </si>
  <si>
    <t>202816</t>
  </si>
  <si>
    <t>991001230039702656</t>
  </si>
  <si>
    <t>2258724970002656</t>
  </si>
  <si>
    <t>9780208010728</t>
  </si>
  <si>
    <t>32285002233921</t>
  </si>
  <si>
    <t>893407964</t>
  </si>
  <si>
    <t>BF761 .K2</t>
  </si>
  <si>
    <t>0                      BF 0761000K  2</t>
  </si>
  <si>
    <t>The dynamics of interviewing : theory, technique, and cases / by Robert L. Kahn [and] Charles F. Cannell.</t>
  </si>
  <si>
    <t>Kahn, Robert L., 1918-</t>
  </si>
  <si>
    <t>New York : Wiley, [1957]</t>
  </si>
  <si>
    <t>1918286:eng</t>
  </si>
  <si>
    <t>964621</t>
  </si>
  <si>
    <t>991003425989702656</t>
  </si>
  <si>
    <t>2261743590002656</t>
  </si>
  <si>
    <t>32285001616266</t>
  </si>
  <si>
    <t>893887447</t>
  </si>
  <si>
    <t>BF77 .T4 1988</t>
  </si>
  <si>
    <t>0                      BF 0077000T  4           1988</t>
  </si>
  <si>
    <t>Teaching a psychology of people : resources for gender and sociocultural awareness / edited by Phyllis Bronstein and Kathryn Quina.</t>
  </si>
  <si>
    <t>Washington, DC : American Psychological Association, c1988, 1989 printing.</t>
  </si>
  <si>
    <t>1995-05-09</t>
  </si>
  <si>
    <t>1989-11-16</t>
  </si>
  <si>
    <t>890794535:eng</t>
  </si>
  <si>
    <t>18072711</t>
  </si>
  <si>
    <t>991001303419702656</t>
  </si>
  <si>
    <t>2267013780002656</t>
  </si>
  <si>
    <t>9781557980397</t>
  </si>
  <si>
    <t>32285000013655</t>
  </si>
  <si>
    <t>893231893</t>
  </si>
  <si>
    <t>BF773 .R6</t>
  </si>
  <si>
    <t>0                      BF 0773000R  6</t>
  </si>
  <si>
    <t>Beliefs, attitudes, and values; a theory of organization and change.</t>
  </si>
  <si>
    <t>San Francisco, Jossey-Bass, 1968.</t>
  </si>
  <si>
    <t>151111607:eng</t>
  </si>
  <si>
    <t>223048</t>
  </si>
  <si>
    <t>991001762659702656</t>
  </si>
  <si>
    <t>2262274480002656</t>
  </si>
  <si>
    <t>32285002257599</t>
  </si>
  <si>
    <t>893334554</t>
  </si>
  <si>
    <t>BF773 .S36</t>
  </si>
  <si>
    <t>0                      BF 0773000S  36</t>
  </si>
  <si>
    <t>Beliefs and values [by] Karl E. Scheibe.</t>
  </si>
  <si>
    <t>Scheibe, Karl E., 1937-</t>
  </si>
  <si>
    <t>New York, Holt, Rinehart and Winston [1970]</t>
  </si>
  <si>
    <t>1996-09-28</t>
  </si>
  <si>
    <t>1227583:eng</t>
  </si>
  <si>
    <t>63916</t>
  </si>
  <si>
    <t>991000190279702656</t>
  </si>
  <si>
    <t>2255653330002656</t>
  </si>
  <si>
    <t>9780030792151</t>
  </si>
  <si>
    <t>32285002257607</t>
  </si>
  <si>
    <t>893865181</t>
  </si>
  <si>
    <t>BF774 .B5</t>
  </si>
  <si>
    <t>0                      BF 0774000B  5</t>
  </si>
  <si>
    <t>Role theory : concepts and research / edited by Bruce J. Biddle and Edwin J. Thomas.</t>
  </si>
  <si>
    <t>Biddle, Bruce J. (Bruce Jesse), 1928-, editor.</t>
  </si>
  <si>
    <t>1993-05-19</t>
  </si>
  <si>
    <t>502107642:eng</t>
  </si>
  <si>
    <t>711798</t>
  </si>
  <si>
    <t>991003181139702656</t>
  </si>
  <si>
    <t>2261859280002656</t>
  </si>
  <si>
    <t>32285001583029</t>
  </si>
  <si>
    <t>893780683</t>
  </si>
  <si>
    <t>BF774 .B52</t>
  </si>
  <si>
    <t>0                      BF 0774000B  52</t>
  </si>
  <si>
    <t>Role theory : expectations, identities, and behaviors / Bruce J. Biddle.</t>
  </si>
  <si>
    <t>Biddle, Bruce J. (Bruce Jesse), 1928-</t>
  </si>
  <si>
    <t>2009-10-06</t>
  </si>
  <si>
    <t>3857505315:eng</t>
  </si>
  <si>
    <t>5171868</t>
  </si>
  <si>
    <t>991004792979702656</t>
  </si>
  <si>
    <t>2259034780002656</t>
  </si>
  <si>
    <t>9780120959501</t>
  </si>
  <si>
    <t>32285001013860</t>
  </si>
  <si>
    <t>893319645</t>
  </si>
  <si>
    <t>BF774 .C625</t>
  </si>
  <si>
    <t>0                      BF 0774000C  625</t>
  </si>
  <si>
    <t>Conflict, conformity, and social status / Bernard P. Cohen and Hans Lee.</t>
  </si>
  <si>
    <t>Cohen, Bernard P.</t>
  </si>
  <si>
    <t>Amsterdam ; New York : Elsevier, 1975.</t>
  </si>
  <si>
    <t>Progress in mathematical social sciences ; v. 7</t>
  </si>
  <si>
    <t>2461424:eng</t>
  </si>
  <si>
    <t>1582361</t>
  </si>
  <si>
    <t>991003828139702656</t>
  </si>
  <si>
    <t>2270732760002656</t>
  </si>
  <si>
    <t>9780444412690</t>
  </si>
  <si>
    <t>32285000322924</t>
  </si>
  <si>
    <t>893337008</t>
  </si>
  <si>
    <t>BF774 .L48</t>
  </si>
  <si>
    <t>0                      BF 0774000L  48</t>
  </si>
  <si>
    <t>Why people change; the psychology of influence [by] William C. Lewis.</t>
  </si>
  <si>
    <t>Lewis, William C. (William Champlin), 1917-</t>
  </si>
  <si>
    <t>374004095:eng</t>
  </si>
  <si>
    <t>266759</t>
  </si>
  <si>
    <t>991002107869702656</t>
  </si>
  <si>
    <t>2269193840002656</t>
  </si>
  <si>
    <t>9780030860287</t>
  </si>
  <si>
    <t>32285002257615</t>
  </si>
  <si>
    <t>893809309</t>
  </si>
  <si>
    <t>BF778 .K34</t>
  </si>
  <si>
    <t>0                      BF 0778000K  34</t>
  </si>
  <si>
    <t>Exploring human values : psychological and philosophical considerations / Richard A. Kalish, Kenneth W. Collier.</t>
  </si>
  <si>
    <t>Kalish, Richard A.</t>
  </si>
  <si>
    <t>1997-02-04</t>
  </si>
  <si>
    <t>796297389:eng</t>
  </si>
  <si>
    <t>6708521</t>
  </si>
  <si>
    <t>991005028729702656</t>
  </si>
  <si>
    <t>2254922060002656</t>
  </si>
  <si>
    <t>9780818503313</t>
  </si>
  <si>
    <t>32285001616274</t>
  </si>
  <si>
    <t>893807725</t>
  </si>
  <si>
    <t>BF789.D4 B48</t>
  </si>
  <si>
    <t>0                      BF 0789000D  4                  B  48</t>
  </si>
  <si>
    <t>Between life and death / Robert Kastenbaum, editor.</t>
  </si>
  <si>
    <t>The Springer series on death and suicide ; v. 1</t>
  </si>
  <si>
    <t>1992-11-30</t>
  </si>
  <si>
    <t>1992-02-17</t>
  </si>
  <si>
    <t>365359319:eng</t>
  </si>
  <si>
    <t>5239852</t>
  </si>
  <si>
    <t>991001762639702656</t>
  </si>
  <si>
    <t>2264339380002656</t>
  </si>
  <si>
    <t>9780826125408</t>
  </si>
  <si>
    <t>32285000971068</t>
  </si>
  <si>
    <t>893256495</t>
  </si>
  <si>
    <t>BF789.D4 C87</t>
  </si>
  <si>
    <t>0                      BF 0789000D  4                  C  87</t>
  </si>
  <si>
    <t>Coming to terms with death : how to face the inevitable with wisdom and dignity.</t>
  </si>
  <si>
    <t>Cutter, Fred, 1924-</t>
  </si>
  <si>
    <t>Chicago : Nelson-Hall Co., [1974]</t>
  </si>
  <si>
    <t>1998-09-11</t>
  </si>
  <si>
    <t>556583:eng</t>
  </si>
  <si>
    <t>898187</t>
  </si>
  <si>
    <t>991003362619702656</t>
  </si>
  <si>
    <t>2259470900002656</t>
  </si>
  <si>
    <t>9780911012293</t>
  </si>
  <si>
    <t>32285000322940</t>
  </si>
  <si>
    <t>893610972</t>
  </si>
  <si>
    <t>BF789.D4 D44 1975</t>
  </si>
  <si>
    <t>0                      BF 0789000D  4                  D  44          1975</t>
  </si>
  <si>
    <t>Death, the final stage of growth / Elisabeth Kübler-Ross.</t>
  </si>
  <si>
    <t>Kübler-Ross, Elisabeth.</t>
  </si>
  <si>
    <t>Englewood Cliffs, N. J. : Prentice-Hall, [c1975]</t>
  </si>
  <si>
    <t>2009-11-05</t>
  </si>
  <si>
    <t>2452571864:eng</t>
  </si>
  <si>
    <t>1670197</t>
  </si>
  <si>
    <t>991001650559702656</t>
  </si>
  <si>
    <t>2265794340002656</t>
  </si>
  <si>
    <t>9780131969988</t>
  </si>
  <si>
    <t>32285004389788</t>
  </si>
  <si>
    <t>893420473</t>
  </si>
  <si>
    <t>BF789.D4 D7</t>
  </si>
  <si>
    <t>0                      BF 0789000D  4                  D  7</t>
  </si>
  <si>
    <t>Grief counseling and sudden death : a manual and guide / by Polly Doyle.</t>
  </si>
  <si>
    <t>Doyle, Polly.</t>
  </si>
  <si>
    <t>Springfield, Ill. : Thomas, c1980.</t>
  </si>
  <si>
    <t>1999-10-15</t>
  </si>
  <si>
    <t>1027454661:eng</t>
  </si>
  <si>
    <t>5946483</t>
  </si>
  <si>
    <t>991004905319702656</t>
  </si>
  <si>
    <t>2257588200002656</t>
  </si>
  <si>
    <t>9780398040604</t>
  </si>
  <si>
    <t>32285000822709</t>
  </si>
  <si>
    <t>893795382</t>
  </si>
  <si>
    <t>BF789.D4 D86</t>
  </si>
  <si>
    <t>0                      BF 0789000D  4                  D  86</t>
  </si>
  <si>
    <t>The American view of death: acceptance or denial? By Richard G. Dumont and Dennis C. Foss.</t>
  </si>
  <si>
    <t>Dumont, Richard G.</t>
  </si>
  <si>
    <t>Cambridge, Mass., Schenkman Pub. Co.; distributed by General Learning Press, [Morristown, N.J., 1972]</t>
  </si>
  <si>
    <t>1490419:eng</t>
  </si>
  <si>
    <t>417919</t>
  </si>
  <si>
    <t>991002732899702656</t>
  </si>
  <si>
    <t>2258266830002656</t>
  </si>
  <si>
    <t>32285001068898</t>
  </si>
  <si>
    <t>893880337</t>
  </si>
  <si>
    <t>BF789.D4 F148 1974</t>
  </si>
  <si>
    <t>0                      BF 0789000D  4                  F  148         1974</t>
  </si>
  <si>
    <t>Fears related to death and suicide / papers by Marvin J. Feldman, Paul J. Handal, Hyman S. Barahal, et al.</t>
  </si>
  <si>
    <t>New York : MSS Information Corp., 1974.</t>
  </si>
  <si>
    <t>MSS' series on attitudes toward death</t>
  </si>
  <si>
    <t>506111:eng</t>
  </si>
  <si>
    <t>694021</t>
  </si>
  <si>
    <t>991003090849702656</t>
  </si>
  <si>
    <t>2262085460002656</t>
  </si>
  <si>
    <t>9780842271493</t>
  </si>
  <si>
    <t>32285003560785</t>
  </si>
  <si>
    <t>893623149</t>
  </si>
  <si>
    <t>BF789.D4 F8 1976</t>
  </si>
  <si>
    <t>0                      BF 0789000D  4                  F  8           1976</t>
  </si>
  <si>
    <t>Death and identity / Robert Fulton, editor, in collaboration with Robert Bendiksen.</t>
  </si>
  <si>
    <t>Fulton, Robert, 1926- editor.</t>
  </si>
  <si>
    <t>Bowie, Md. : Charles Press, c1976.</t>
  </si>
  <si>
    <t>2000-10-29</t>
  </si>
  <si>
    <t>355194295:eng</t>
  </si>
  <si>
    <t>2318294</t>
  </si>
  <si>
    <t>991001761829702656</t>
  </si>
  <si>
    <t>2263976470002656</t>
  </si>
  <si>
    <t>9780913486788</t>
  </si>
  <si>
    <t>32285001574341</t>
  </si>
  <si>
    <t>893503665</t>
  </si>
  <si>
    <t>BF789.D4 G5</t>
  </si>
  <si>
    <t>0                      BF 0789000D  4                  G  5</t>
  </si>
  <si>
    <t>Awareness of dying / by Barney G. Glaser and Anselm L. Strauss.</t>
  </si>
  <si>
    <t>Glaser, Barney G.</t>
  </si>
  <si>
    <t>Chicago : Aldine Pub. Co., [1965]</t>
  </si>
  <si>
    <t>Observations</t>
  </si>
  <si>
    <t>2009-10-19</t>
  </si>
  <si>
    <t>1993-08-09</t>
  </si>
  <si>
    <t>417276:eng</t>
  </si>
  <si>
    <t>223063</t>
  </si>
  <si>
    <t>991001369379702656</t>
  </si>
  <si>
    <t>2262268220002656</t>
  </si>
  <si>
    <t>9780202300016</t>
  </si>
  <si>
    <t>32285001751428</t>
  </si>
  <si>
    <t>893516149</t>
  </si>
  <si>
    <t>BF789.D4 K36</t>
  </si>
  <si>
    <t>0                      BF 0789000D  4                  K  36</t>
  </si>
  <si>
    <t>Death, society, &amp; human experience / Robert J. Kastenbaum.</t>
  </si>
  <si>
    <t>Saint Louis : Mosby, 1977.</t>
  </si>
  <si>
    <t>2000-04-07</t>
  </si>
  <si>
    <t>600725:eng</t>
  </si>
  <si>
    <t>2645371</t>
  </si>
  <si>
    <t>991005253819702656</t>
  </si>
  <si>
    <t>2256744020002656</t>
  </si>
  <si>
    <t>9780801626173</t>
  </si>
  <si>
    <t>32285000322973</t>
  </si>
  <si>
    <t>893332668</t>
  </si>
  <si>
    <t>BF789.D4 L54</t>
  </si>
  <si>
    <t>0                      BF 0789000D  4                  L  54</t>
  </si>
  <si>
    <t>Six lives, six deaths : portraits from modern Japan / Robert Jay Lifton, Shūichi Katō, and Michael R. Reich.</t>
  </si>
  <si>
    <t>Lifton, Robert Jay, 1926-</t>
  </si>
  <si>
    <t>New Haven, Conn. : Yale University Press, 1979.</t>
  </si>
  <si>
    <t>906989830:eng</t>
  </si>
  <si>
    <t>4497595</t>
  </si>
  <si>
    <t>991004662239702656</t>
  </si>
  <si>
    <t>2266866080002656</t>
  </si>
  <si>
    <t>9780300022667</t>
  </si>
  <si>
    <t>32285001616290</t>
  </si>
  <si>
    <t>893795126</t>
  </si>
  <si>
    <t>BF789.D4 L63</t>
  </si>
  <si>
    <t>0                      BF 0789000D  4                  L  63</t>
  </si>
  <si>
    <t>The craft of dying : the modern face of death / Lyn H. Lofland.</t>
  </si>
  <si>
    <t>Lofland, Lyn H.</t>
  </si>
  <si>
    <t>Beverly Hills : Sage Publications, c1978.</t>
  </si>
  <si>
    <t>2002-06-20</t>
  </si>
  <si>
    <t>1990-02-20</t>
  </si>
  <si>
    <t>20534494:eng</t>
  </si>
  <si>
    <t>4495591</t>
  </si>
  <si>
    <t>991004656729702656</t>
  </si>
  <si>
    <t>2268140040002656</t>
  </si>
  <si>
    <t>9780809310999</t>
  </si>
  <si>
    <t>32285000055516</t>
  </si>
  <si>
    <t>893901487</t>
  </si>
  <si>
    <t>BF789.D4 L65 1986</t>
  </si>
  <si>
    <t>0                      BF 0789000D  4                  L  65          1986</t>
  </si>
  <si>
    <t>Death anxiety / Richard Lonetto, Donald I. Templer.</t>
  </si>
  <si>
    <t>New York : Hemisphere Pub. Corp., c1986.</t>
  </si>
  <si>
    <t>The Series in health psychology and behavioral medicine</t>
  </si>
  <si>
    <t>2005-03-16</t>
  </si>
  <si>
    <t>1990-07-16</t>
  </si>
  <si>
    <t>7078455:eng</t>
  </si>
  <si>
    <t>13216404</t>
  </si>
  <si>
    <t>991000799099702656</t>
  </si>
  <si>
    <t>2263814450002656</t>
  </si>
  <si>
    <t>9780891165545</t>
  </si>
  <si>
    <t>32285000208586</t>
  </si>
  <si>
    <t>893407524</t>
  </si>
  <si>
    <t>BF789.D4 N42 1984</t>
  </si>
  <si>
    <t>0                      BF 0789000D  4                  N  42          1984</t>
  </si>
  <si>
    <t>The Near-death experience : problems, prospects, perspectives / edited by Bruce Greyson and Charles P. Flynn ; with a foreword by Michael B. Sabom.</t>
  </si>
  <si>
    <t>Springfield, Ill., U.S.A. : C.C. Thomas, c1984.</t>
  </si>
  <si>
    <t>351870082:eng</t>
  </si>
  <si>
    <t>10458252</t>
  </si>
  <si>
    <t>991000375409702656</t>
  </si>
  <si>
    <t>2265933810002656</t>
  </si>
  <si>
    <t>9780398050085</t>
  </si>
  <si>
    <t>32285000982388</t>
  </si>
  <si>
    <t>893333407</t>
  </si>
  <si>
    <t>BF789.D4 P47 1984</t>
  </si>
  <si>
    <t>0                      BF 0789000D  4                  P  47          1984</t>
  </si>
  <si>
    <t>Personal meanings of death : applications of personal construct theory to clinical practice / edited by Franz R. Epting and Robert A. Neimeyer.</t>
  </si>
  <si>
    <t>Washington [D.C.] : Hemisphere Pub. Corp., c1984.</t>
  </si>
  <si>
    <t>2002-03-26</t>
  </si>
  <si>
    <t>54570443:eng</t>
  </si>
  <si>
    <t>9557799</t>
  </si>
  <si>
    <t>991000216249702656</t>
  </si>
  <si>
    <t>2266818420002656</t>
  </si>
  <si>
    <t>9780891163633</t>
  </si>
  <si>
    <t>32285001616308</t>
  </si>
  <si>
    <t>893683251</t>
  </si>
  <si>
    <t>BF789.D4 P477 1989</t>
  </si>
  <si>
    <t>0                      BF 0789000D  4                  P  477         1989</t>
  </si>
  <si>
    <t>Perspectives on death and dying : cross-cultural and multi-disciplinary views / edited by Arthur Berger ... [et al.].</t>
  </si>
  <si>
    <t>Philadelphia : Charles Press, c1989.</t>
  </si>
  <si>
    <t>2004-07-14</t>
  </si>
  <si>
    <t>1082455:eng</t>
  </si>
  <si>
    <t>19676104</t>
  </si>
  <si>
    <t>991001488729702656</t>
  </si>
  <si>
    <t>2266924010002656</t>
  </si>
  <si>
    <t>9780914783275</t>
  </si>
  <si>
    <t>32285000003698</t>
  </si>
  <si>
    <t>893897818</t>
  </si>
  <si>
    <t>BF789.D4 R5</t>
  </si>
  <si>
    <t>0                      BF 0789000D  4                  R  5</t>
  </si>
  <si>
    <t>The mother, anxiety, and death : the catastrophic death complex / [by] Joseph C. Rheingold.</t>
  </si>
  <si>
    <t>Rheingold, Joseph C.</t>
  </si>
  <si>
    <t>Boston : Little, Brown, [1967]</t>
  </si>
  <si>
    <t>2003-04-14</t>
  </si>
  <si>
    <t>1547697:eng</t>
  </si>
  <si>
    <t>398654</t>
  </si>
  <si>
    <t>991002681859702656</t>
  </si>
  <si>
    <t>2259542450002656</t>
  </si>
  <si>
    <t>32285000062447</t>
  </si>
  <si>
    <t>893504688</t>
  </si>
  <si>
    <t>BF789.D4 R55 1985</t>
  </si>
  <si>
    <t>0                      BF 0789000D  4                  R  55          1985</t>
  </si>
  <si>
    <t>Heading toward omega : in search of the meaning of the near-death experience / Kenneth Ring.</t>
  </si>
  <si>
    <t>Ring, Kenneth.</t>
  </si>
  <si>
    <t>New York : W. Morrow, 1985, c1984.</t>
  </si>
  <si>
    <t>1st Quill ed.</t>
  </si>
  <si>
    <t>2001-04-05</t>
  </si>
  <si>
    <t>2860157:eng</t>
  </si>
  <si>
    <t>12929384</t>
  </si>
  <si>
    <t>991000751099702656</t>
  </si>
  <si>
    <t>2260721150002656</t>
  </si>
  <si>
    <t>9780688062682</t>
  </si>
  <si>
    <t>32285000070028</t>
  </si>
  <si>
    <t>893444451</t>
  </si>
  <si>
    <t>BF789.D4 R56</t>
  </si>
  <si>
    <t>0                      BF 0789000D  4                  R  56</t>
  </si>
  <si>
    <t>Life at death : a scientific investigation of the near-death experience / Kenneth Ring.</t>
  </si>
  <si>
    <t>New York : Coward, McCann &amp; Geoghegan, c1980.</t>
  </si>
  <si>
    <t>1994-12-06</t>
  </si>
  <si>
    <t>435250:eng</t>
  </si>
  <si>
    <t>5894206</t>
  </si>
  <si>
    <t>991004896379702656</t>
  </si>
  <si>
    <t>2264322070002656</t>
  </si>
  <si>
    <t>9780698110328</t>
  </si>
  <si>
    <t>32285000070036</t>
  </si>
  <si>
    <t>893536261</t>
  </si>
  <si>
    <t>BF789.D4 S36</t>
  </si>
  <si>
    <t>0                      BF 0789000D  4                  S  36</t>
  </si>
  <si>
    <t>The psychology of death, dying, and bereavement / Richard Schulz.</t>
  </si>
  <si>
    <t>Schulz, Richard, 1947-</t>
  </si>
  <si>
    <t>2001-07-01</t>
  </si>
  <si>
    <t>461193:eng</t>
  </si>
  <si>
    <t>3806909</t>
  </si>
  <si>
    <t>991005253809702656</t>
  </si>
  <si>
    <t>2261608520002656</t>
  </si>
  <si>
    <t>9780201073287</t>
  </si>
  <si>
    <t>32285000076801</t>
  </si>
  <si>
    <t>893594726</t>
  </si>
  <si>
    <t>BF789.D4 S65 1985</t>
  </si>
  <si>
    <t>0                      BF 0789000D  4                  S  65          1985</t>
  </si>
  <si>
    <t>Dying in the human life cycle : psychological, biomedical, and social perspectives / Walter J. Smith.</t>
  </si>
  <si>
    <t>Smith, Walter J.</t>
  </si>
  <si>
    <t>New York : Holt, Rinehart and Winston, 1985.</t>
  </si>
  <si>
    <t>2008-11-11</t>
  </si>
  <si>
    <t>1995-04-20</t>
  </si>
  <si>
    <t>197667615:eng</t>
  </si>
  <si>
    <t>11867244</t>
  </si>
  <si>
    <t>991001630079702656</t>
  </si>
  <si>
    <t>2262759380002656</t>
  </si>
  <si>
    <t>9780030717420</t>
  </si>
  <si>
    <t>32285000076819</t>
  </si>
  <si>
    <t>893516330</t>
  </si>
  <si>
    <t>BF789.D4 S735 1985</t>
  </si>
  <si>
    <t>0                      BF 0789000D  4                  S  735         1985</t>
  </si>
  <si>
    <t>Death, grief, and mourning : individual and social realities / John S. Stephenson.</t>
  </si>
  <si>
    <t>Stephenson, John S. (John Samuel), 1936-</t>
  </si>
  <si>
    <t>New York : Free Press ; London : Collier Macmillan, c1985.</t>
  </si>
  <si>
    <t>2001-09-19</t>
  </si>
  <si>
    <t>143918051:eng</t>
  </si>
  <si>
    <t>11677467</t>
  </si>
  <si>
    <t>991001629669702656</t>
  </si>
  <si>
    <t>2255212660002656</t>
  </si>
  <si>
    <t>9780029313305</t>
  </si>
  <si>
    <t>32285000838176</t>
  </si>
  <si>
    <t>893803726</t>
  </si>
  <si>
    <t>BF789.D4 S75 1985</t>
  </si>
  <si>
    <t>0                      BF 0789000D  4                  S  75          1985</t>
  </si>
  <si>
    <t>Death and the sexes : an examination of differential longevity, attitudes, behaviors, and coping skills / Judith M. Stillion.</t>
  </si>
  <si>
    <t>Stillion, Judith M., 1937-</t>
  </si>
  <si>
    <t>Washington : Hemisphere Pub. Corp., c1985.</t>
  </si>
  <si>
    <t>1994-05-11</t>
  </si>
  <si>
    <t>292252246:eng</t>
  </si>
  <si>
    <t>10780473</t>
  </si>
  <si>
    <t>991005253799702656</t>
  </si>
  <si>
    <t>2255242580002656</t>
  </si>
  <si>
    <t>9780891163138</t>
  </si>
  <si>
    <t>32285001910669</t>
  </si>
  <si>
    <t>893795867</t>
  </si>
  <si>
    <t>BF789.D4 W38 1985</t>
  </si>
  <si>
    <t>0                      BF 0789000D  4                  W  38          1985</t>
  </si>
  <si>
    <t>About mourning : support and guidance for the bereaved / Savine Gross Weizman and Phyllis Kamm.</t>
  </si>
  <si>
    <t>Weizman, Savine Gross.</t>
  </si>
  <si>
    <t>New York, N.Y. : Human Sciences Press, c1985.</t>
  </si>
  <si>
    <t>2000-07-05</t>
  </si>
  <si>
    <t>13633042:eng</t>
  </si>
  <si>
    <t>9685704</t>
  </si>
  <si>
    <t>991000242779702656</t>
  </si>
  <si>
    <t>2263175650002656</t>
  </si>
  <si>
    <t>9780898851366</t>
  </si>
  <si>
    <t>32285000134675</t>
  </si>
  <si>
    <t>893320930</t>
  </si>
  <si>
    <t>BF789.D4 W4</t>
  </si>
  <si>
    <t>0                      BF 0789000D  4                  W  4</t>
  </si>
  <si>
    <t>On dying and denying : a psychiatric study of terminality / Avery D. Weisman ; foreword by Herman Feifel.</t>
  </si>
  <si>
    <t>Weisman, Avery D.</t>
  </si>
  <si>
    <t>New York : Behavioral Publications, 1972.</t>
  </si>
  <si>
    <t>Gerontology series</t>
  </si>
  <si>
    <t>1996-04-30</t>
  </si>
  <si>
    <t>1468015:eng</t>
  </si>
  <si>
    <t>456509</t>
  </si>
  <si>
    <t>991002811989702656</t>
  </si>
  <si>
    <t>2260863080002656</t>
  </si>
  <si>
    <t>9780877050681</t>
  </si>
  <si>
    <t>32285000129410</t>
  </si>
  <si>
    <t>893428072</t>
  </si>
  <si>
    <t>BF789.S6 D85</t>
  </si>
  <si>
    <t>0                      BF 0789000S  6                  D  85</t>
  </si>
  <si>
    <t>Smoking behavior : motives and incentives / edited by William L. Dunn, Jr.</t>
  </si>
  <si>
    <t>Dunn, William L.</t>
  </si>
  <si>
    <t>Washington : V.H. Winston ; distributed by the Halsted Press Division, Wiley, 1973.</t>
  </si>
  <si>
    <t>1998-10-26</t>
  </si>
  <si>
    <t>346947168:eng</t>
  </si>
  <si>
    <t>538858</t>
  </si>
  <si>
    <t>991002950999702656</t>
  </si>
  <si>
    <t>2262492900002656</t>
  </si>
  <si>
    <t>9780470227466</t>
  </si>
  <si>
    <t>32285000322999</t>
  </si>
  <si>
    <t>893867925</t>
  </si>
  <si>
    <t>BF789.S8 .M24 1990</t>
  </si>
  <si>
    <t>0                      BF 0789000S  8                  M  24          1990</t>
  </si>
  <si>
    <t>Suffering : a caregiver's guide / John L. Maes.</t>
  </si>
  <si>
    <t>Maes, John L., 1923-</t>
  </si>
  <si>
    <t>Nashville : Abingdon Press, c1990.</t>
  </si>
  <si>
    <t>22323626:eng</t>
  </si>
  <si>
    <t>20422859</t>
  </si>
  <si>
    <t>991001575639702656</t>
  </si>
  <si>
    <t>2265053470002656</t>
  </si>
  <si>
    <t>9780687405701</t>
  </si>
  <si>
    <t>32285000115575</t>
  </si>
  <si>
    <t>893891653</t>
  </si>
  <si>
    <t>BF789.S8 R56 1986</t>
  </si>
  <si>
    <t>0                      BF 0789000S  8                  R  56          1986</t>
  </si>
  <si>
    <t>Growing strong at broken places / Paula Ripple.</t>
  </si>
  <si>
    <t>Notre Dame, Ind. : Ave Maria Press, c1986.</t>
  </si>
  <si>
    <t>2009-06-15</t>
  </si>
  <si>
    <t>354807:eng</t>
  </si>
  <si>
    <t>14238268</t>
  </si>
  <si>
    <t>991000925039702656</t>
  </si>
  <si>
    <t>2264438800002656</t>
  </si>
  <si>
    <t>9780877933403</t>
  </si>
  <si>
    <t>32285000224047</t>
  </si>
  <si>
    <t>893515746</t>
  </si>
  <si>
    <t>BF798 .T47</t>
  </si>
  <si>
    <t>0                      BF 0798000T  47</t>
  </si>
  <si>
    <t>Temperament and development / Alexander Thomas and Stella Chess.</t>
  </si>
  <si>
    <t>Thomas, Alexander, 1914-2003.</t>
  </si>
  <si>
    <t>New York : Brunner/Mazel, c1977.</t>
  </si>
  <si>
    <t>1999-11-27</t>
  </si>
  <si>
    <t>533813:eng</t>
  </si>
  <si>
    <t>2655595</t>
  </si>
  <si>
    <t>991004202029702656</t>
  </si>
  <si>
    <t>2256441130002656</t>
  </si>
  <si>
    <t>9780876301395</t>
  </si>
  <si>
    <t>32285001380723</t>
  </si>
  <si>
    <t>893235181</t>
  </si>
  <si>
    <t>BF81 .B7 1965</t>
  </si>
  <si>
    <t>0                      BF 0081000B  7           1965</t>
  </si>
  <si>
    <t>Brett's History of psychology / edited and abridged by R. S. Peters.</t>
  </si>
  <si>
    <t>Brett, George Sidney, 1879-1944.</t>
  </si>
  <si>
    <t>Cambridge, Mass. : M.I.T. Press, [1965]</t>
  </si>
  <si>
    <t>[2d rev. ed.]</t>
  </si>
  <si>
    <t>The M.I.T. paperback series, MIT24</t>
  </si>
  <si>
    <t>1996-09-26</t>
  </si>
  <si>
    <t>1993-02-25</t>
  </si>
  <si>
    <t>4663581449:eng</t>
  </si>
  <si>
    <t>14478668</t>
  </si>
  <si>
    <t>991001197679702656</t>
  </si>
  <si>
    <t>2258838110002656</t>
  </si>
  <si>
    <t>32285001538551</t>
  </si>
  <si>
    <t>893327942</t>
  </si>
  <si>
    <t>BF81 .C43 1979</t>
  </si>
  <si>
    <t>0                      BF 0081000C  43          1979</t>
  </si>
  <si>
    <t>Systems and theories of psychology / James P. Chaplin, T. S. Krawiec.</t>
  </si>
  <si>
    <t>Chaplin, James P. (James Patrick), 1919-2010.</t>
  </si>
  <si>
    <t>New York : Holt, Rinehart and Winston, c1979.</t>
  </si>
  <si>
    <t>1995-03-24</t>
  </si>
  <si>
    <t>1990-02-19</t>
  </si>
  <si>
    <t>401093:eng</t>
  </si>
  <si>
    <t>4497183</t>
  </si>
  <si>
    <t>991004661609702656</t>
  </si>
  <si>
    <t>2266964970002656</t>
  </si>
  <si>
    <t>9780030202711</t>
  </si>
  <si>
    <t>32285000054253</t>
  </si>
  <si>
    <t>893325613</t>
  </si>
  <si>
    <t>BF81 .E8</t>
  </si>
  <si>
    <t>0                      BF 0081000E  8</t>
  </si>
  <si>
    <t>A history of psychology.</t>
  </si>
  <si>
    <t>Esper, Erwin A. (Erwin Allen), 1895-1972.</t>
  </si>
  <si>
    <t>Philadelphia : W. B. Saunders, 1964.</t>
  </si>
  <si>
    <t>1995-02-03</t>
  </si>
  <si>
    <t>1993-02-05</t>
  </si>
  <si>
    <t>227665037:eng</t>
  </si>
  <si>
    <t>191720</t>
  </si>
  <si>
    <t>991001204749702656</t>
  </si>
  <si>
    <t>2258945200002656</t>
  </si>
  <si>
    <t>32285001484335</t>
  </si>
  <si>
    <t>893509468</t>
  </si>
  <si>
    <t>BF81 .H33 1987</t>
  </si>
  <si>
    <t>0                      BF 0081000H  33          1987</t>
  </si>
  <si>
    <t>The shaping of modern psychology / L.S. Hearnshaw.</t>
  </si>
  <si>
    <t>Hearnshaw, L. S. (Leslie Spencer)</t>
  </si>
  <si>
    <t>London ; New York : Routledge &amp; Kegan Paul, 1987.</t>
  </si>
  <si>
    <t>7899643:eng</t>
  </si>
  <si>
    <t>13497019</t>
  </si>
  <si>
    <t>991000835999702656</t>
  </si>
  <si>
    <t>2262080460002656</t>
  </si>
  <si>
    <t>9780710205766</t>
  </si>
  <si>
    <t>32285000129337</t>
  </si>
  <si>
    <t>893808836</t>
  </si>
  <si>
    <t>BF81 .L4 1987</t>
  </si>
  <si>
    <t>0                      BF 0081000L  4           1987</t>
  </si>
  <si>
    <t>A history of psychology : main currents in psychological thought / Thomas Hardy Leahey.</t>
  </si>
  <si>
    <t>Leahey, Thomas Hardy.</t>
  </si>
  <si>
    <t>Englewood Cliffs, N.J. : Prentice-Hall, c1987.</t>
  </si>
  <si>
    <t>17944:eng</t>
  </si>
  <si>
    <t>13945929</t>
  </si>
  <si>
    <t>991000892729702656</t>
  </si>
  <si>
    <t>2258857020002656</t>
  </si>
  <si>
    <t>9780133917642</t>
  </si>
  <si>
    <t>32285000034909</t>
  </si>
  <si>
    <t>893808861</t>
  </si>
  <si>
    <t>BF81 .L85 1979</t>
  </si>
  <si>
    <t>0                      BF 0081000L  85          1979</t>
  </si>
  <si>
    <t>Theories and systems of psychology / Robert W. Lundin.</t>
  </si>
  <si>
    <t>Lundin, Robert W. (Robert William), 1920-2007.</t>
  </si>
  <si>
    <t>Lexington, Mass. : Heath, c1979.</t>
  </si>
  <si>
    <t>2008-07-10</t>
  </si>
  <si>
    <t>864893473:eng</t>
  </si>
  <si>
    <t>5103200</t>
  </si>
  <si>
    <t>991004779999702656</t>
  </si>
  <si>
    <t>2270614390002656</t>
  </si>
  <si>
    <t>9780669019155</t>
  </si>
  <si>
    <t>32285000034917</t>
  </si>
  <si>
    <t>893241833</t>
  </si>
  <si>
    <t>BF81 .S24</t>
  </si>
  <si>
    <t>0                      BF 0081000S  24</t>
  </si>
  <si>
    <t>History of psychology : a source book in systematic psychology / edited by William S. Sahakian.</t>
  </si>
  <si>
    <t>Sahakian, William S., compiler.</t>
  </si>
  <si>
    <t>Itasca, Ill. : F. E. Peacock Publishers, [1968]</t>
  </si>
  <si>
    <t>654362:eng</t>
  </si>
  <si>
    <t>182291</t>
  </si>
  <si>
    <t>991001094049702656</t>
  </si>
  <si>
    <t>2271509290002656</t>
  </si>
  <si>
    <t>32285001500791</t>
  </si>
  <si>
    <t>893243854</t>
  </si>
  <si>
    <t>BF81 .W35 1977</t>
  </si>
  <si>
    <t>0                      BF 0081000W  35          1977</t>
  </si>
  <si>
    <t>The great psychologists / Robert I. Watson, Sr.</t>
  </si>
  <si>
    <t>Philadelphia : Lippincott, 1977, c1978.</t>
  </si>
  <si>
    <t>2009-02-23</t>
  </si>
  <si>
    <t>1990-02-22</t>
  </si>
  <si>
    <t>2260901886:eng</t>
  </si>
  <si>
    <t>3293146</t>
  </si>
  <si>
    <t>991004399099702656</t>
  </si>
  <si>
    <t>2269048960002656</t>
  </si>
  <si>
    <t>9780397473755</t>
  </si>
  <si>
    <t>32285000060011</t>
  </si>
  <si>
    <t>893618622</t>
  </si>
  <si>
    <t>BF818 .R5</t>
  </si>
  <si>
    <t>0                      BF 0818000R  5</t>
  </si>
  <si>
    <t>Faces in the crowd : individual studies in character and politics / by David Riesman in collaboration with Nathan Glazer.</t>
  </si>
  <si>
    <t>New Haven : Yale University Press, 1952.</t>
  </si>
  <si>
    <t>Studies in national policy ; 4</t>
  </si>
  <si>
    <t>199061282:eng</t>
  </si>
  <si>
    <t>1071592</t>
  </si>
  <si>
    <t>991003514849702656</t>
  </si>
  <si>
    <t>2256760940002656</t>
  </si>
  <si>
    <t>32285000323013</t>
  </si>
  <si>
    <t>893805852</t>
  </si>
  <si>
    <t>BF831 .A4</t>
  </si>
  <si>
    <t>0                      BF 0831000A  4</t>
  </si>
  <si>
    <t>Understanding human nature, by Alfred Adler. Translated by Walter Béran Wolfe.</t>
  </si>
  <si>
    <t>Adler, Alfred, 1870-1937.</t>
  </si>
  <si>
    <t>New York, Greenberg [c1927]</t>
  </si>
  <si>
    <t>2007-08-21</t>
  </si>
  <si>
    <t>2607443599:eng</t>
  </si>
  <si>
    <t>930746</t>
  </si>
  <si>
    <t>991003392349702656</t>
  </si>
  <si>
    <t>2269668670002656</t>
  </si>
  <si>
    <t>32285002257730</t>
  </si>
  <si>
    <t>893611004</t>
  </si>
  <si>
    <t>BF868 .D3 1971</t>
  </si>
  <si>
    <t>0                      BF 0868000D  3           1971</t>
  </si>
  <si>
    <t>Phrenology, fad and science : a 19th-century American crusade / by John D. Davies.</t>
  </si>
  <si>
    <t>Davies, John (John Dunn), 1918-1994.</t>
  </si>
  <si>
    <t>[Hamden, Conn.] : Archon Books, 1971 [c1955]</t>
  </si>
  <si>
    <t>60406123:eng</t>
  </si>
  <si>
    <t>131395</t>
  </si>
  <si>
    <t>991000772369702656</t>
  </si>
  <si>
    <t>2255168440002656</t>
  </si>
  <si>
    <t>9780208009524</t>
  </si>
  <si>
    <t>32285000040666</t>
  </si>
  <si>
    <t>893790833</t>
  </si>
  <si>
    <t>BF891 .B833</t>
  </si>
  <si>
    <t>0                      BF 0891000B  833</t>
  </si>
  <si>
    <t>Handwriting analysis : the art and science of reading character by grapho analysis.</t>
  </si>
  <si>
    <t>Bunker, M. N. (Milton Newman), 1892-</t>
  </si>
  <si>
    <t>Chicago : Nelson-Hall, [1959]</t>
  </si>
  <si>
    <t>2006-10-05</t>
  </si>
  <si>
    <t>3768476965:eng</t>
  </si>
  <si>
    <t>1065338</t>
  </si>
  <si>
    <t>991005253839702656</t>
  </si>
  <si>
    <t>2270481200002656</t>
  </si>
  <si>
    <t>32285000941400</t>
  </si>
  <si>
    <t>893902373</t>
  </si>
  <si>
    <t>BF891 .H814</t>
  </si>
  <si>
    <t>0                      BF 0891000H  814</t>
  </si>
  <si>
    <t>Handwriting in psychological interpretations / by Arthur G. Holt.</t>
  </si>
  <si>
    <t>Holt, Arthur G.</t>
  </si>
  <si>
    <t>Springfield, Ill. : Thomas, [1965]</t>
  </si>
  <si>
    <t>2006-09-26</t>
  </si>
  <si>
    <t>573790:eng</t>
  </si>
  <si>
    <t>218028</t>
  </si>
  <si>
    <t>991001290919702656</t>
  </si>
  <si>
    <t>2258671140002656</t>
  </si>
  <si>
    <t>32285000131648</t>
  </si>
  <si>
    <t>893496984</t>
  </si>
  <si>
    <t>BF891 .M25 1989</t>
  </si>
  <si>
    <t>0                      BF 0891000M  25          1989</t>
  </si>
  <si>
    <t>Handwriting and personality : how graphology reveals what makes people tick / Ann Mahony.</t>
  </si>
  <si>
    <t>Mahony, Ann.</t>
  </si>
  <si>
    <t>New York : Holt, c1989.</t>
  </si>
  <si>
    <t>2006-09-25</t>
  </si>
  <si>
    <t>1990-03-08</t>
  </si>
  <si>
    <t>793053751:eng</t>
  </si>
  <si>
    <t>17108357</t>
  </si>
  <si>
    <t>991001181169702656</t>
  </si>
  <si>
    <t>2259423890002656</t>
  </si>
  <si>
    <t>9780805005868</t>
  </si>
  <si>
    <t>32285000078419</t>
  </si>
  <si>
    <t>893340225</t>
  </si>
  <si>
    <t>BF891 .S63 1973</t>
  </si>
  <si>
    <t>0                      BF 0891000S  63          1973</t>
  </si>
  <si>
    <t>How to really know yourself through your handwriting.</t>
  </si>
  <si>
    <t>Solomon, Shirl.</t>
  </si>
  <si>
    <t>New York : Taplinger Pub. Co., [1973]</t>
  </si>
  <si>
    <t>1154821:eng</t>
  </si>
  <si>
    <t>763423</t>
  </si>
  <si>
    <t>991003240139702656</t>
  </si>
  <si>
    <t>2266588520002656</t>
  </si>
  <si>
    <t>9780800839666</t>
  </si>
  <si>
    <t>32285000081454</t>
  </si>
  <si>
    <t>893252178</t>
  </si>
  <si>
    <t>BF891 .T53</t>
  </si>
  <si>
    <t>0                      BF 0891000T  53</t>
  </si>
  <si>
    <t>Psychology and pathology of handwriting / by Magdalene Kintzel-Thumm ; tr. from the German by Magdalene Kintzel-Thumm.</t>
  </si>
  <si>
    <t>Thumm, Magdalene Kintzel-</t>
  </si>
  <si>
    <t>New York : Fowler &amp; Wells co.; [etc., etc., c1905]</t>
  </si>
  <si>
    <t>475084370:eng</t>
  </si>
  <si>
    <t>4927365</t>
  </si>
  <si>
    <t>991004748519702656</t>
  </si>
  <si>
    <t>2262916500002656</t>
  </si>
  <si>
    <t>32285000877224</t>
  </si>
  <si>
    <t>893338092</t>
  </si>
  <si>
    <t>BF893 .S3413</t>
  </si>
  <si>
    <t>0                      BF 0893000S  3413</t>
  </si>
  <si>
    <t>Graphology and psychoanalysis : the handwriting of Sigmund Freud and his circle / by Fritz Schweighofer ; translated by Susan Ray.</t>
  </si>
  <si>
    <t>Schweighofer, Fritz, 1916-</t>
  </si>
  <si>
    <t>New York : Springer, c1979.</t>
  </si>
  <si>
    <t>3901719590:eng</t>
  </si>
  <si>
    <t>5286056</t>
  </si>
  <si>
    <t>991004812149702656</t>
  </si>
  <si>
    <t>2271781580002656</t>
  </si>
  <si>
    <t>9780826129901</t>
  </si>
  <si>
    <t>32285000053917</t>
  </si>
  <si>
    <t>893520072</t>
  </si>
  <si>
    <t>BF921 .W55 1971</t>
  </si>
  <si>
    <t>0                      BF 0921000W  55          1971</t>
  </si>
  <si>
    <t>The complete book of palmistry / by Joyce Wilson.</t>
  </si>
  <si>
    <t>Wilson, Joyce.</t>
  </si>
  <si>
    <t>New York : Bantam Books, 1971.</t>
  </si>
  <si>
    <t>2005-07-20</t>
  </si>
  <si>
    <t>1996-05-22</t>
  </si>
  <si>
    <t>5480475:eng</t>
  </si>
  <si>
    <t>2578861</t>
  </si>
  <si>
    <t>991004170029702656</t>
  </si>
  <si>
    <t>2257483250002656</t>
  </si>
  <si>
    <t>32285002177383</t>
  </si>
  <si>
    <t>893325021</t>
  </si>
  <si>
    <t>BF95 .B6 1957</t>
  </si>
  <si>
    <t>0                      BF 0095000B  6           1957</t>
  </si>
  <si>
    <t>A history of experimental psychology.</t>
  </si>
  <si>
    <t>New York : Appleton-Century-Crofts, c1957</t>
  </si>
  <si>
    <t>1992-09-03</t>
  </si>
  <si>
    <t>4417699911:eng</t>
  </si>
  <si>
    <t>1367273</t>
  </si>
  <si>
    <t>991003722929702656</t>
  </si>
  <si>
    <t>2256869500002656</t>
  </si>
  <si>
    <t>32285001279412</t>
  </si>
  <si>
    <t>893324392</t>
  </si>
  <si>
    <t>BF95 .F5 1964</t>
  </si>
  <si>
    <t>0                      BF 0095000F  5           1964</t>
  </si>
  <si>
    <t>A hundred years of psychology, 1833-1933 / by J.C. Flugel. With an additional part: 1933-1963, by Donald J. West.</t>
  </si>
  <si>
    <t>Flugel, J. C. (John Carl), 1884-1955.</t>
  </si>
  <si>
    <t>New York : Basic Books, [1964]</t>
  </si>
  <si>
    <t>The Hundred years series</t>
  </si>
  <si>
    <t>1999-03-01</t>
  </si>
  <si>
    <t>4535577805:eng</t>
  </si>
  <si>
    <t>1441585</t>
  </si>
  <si>
    <t>991003758129702656</t>
  </si>
  <si>
    <t>2257556230002656</t>
  </si>
  <si>
    <t>32285001484277</t>
  </si>
  <si>
    <t>893900315</t>
  </si>
  <si>
    <t>BF95 .T67 1985</t>
  </si>
  <si>
    <t>0                      BF 0095000T  67          1985</t>
  </si>
  <si>
    <t>Topics in the history of psychology / edited by Gregory A. Kimble, Kurt Schlesinger.</t>
  </si>
  <si>
    <t>2864781341:eng</t>
  </si>
  <si>
    <t>11444308</t>
  </si>
  <si>
    <t>991000535289702656</t>
  </si>
  <si>
    <t>2260071840002656</t>
  </si>
  <si>
    <t>9780898593129</t>
  </si>
  <si>
    <t>32285000280536</t>
  </si>
  <si>
    <t>893508873</t>
  </si>
  <si>
    <t>32285000053883</t>
  </si>
  <si>
    <t>893528133</t>
  </si>
  <si>
    <t>BF 1078 B715c 1962</t>
  </si>
  <si>
    <t>0                      BF 1078000B  715c        1962</t>
  </si>
  <si>
    <t>The clinical use of dreams / foreword by Montague Ullman.</t>
  </si>
  <si>
    <t>Bonime, Walter, 1909-2001.</t>
  </si>
  <si>
    <t>New York : Basic Books, [1962]</t>
  </si>
  <si>
    <t>1997-07-23</t>
  </si>
  <si>
    <t>1987-09-03</t>
  </si>
  <si>
    <t>BF 109.A1 Z96n 1984</t>
  </si>
  <si>
    <t>0                      BF 0109000A  1                  Z  96n         1984</t>
  </si>
  <si>
    <t>Biographical dictionary of psychology / Leonard Zusne.</t>
  </si>
  <si>
    <t>Zusne, Leonard, 1924-2003.</t>
  </si>
  <si>
    <t>Westport, Conn. : Greenwood Press, c1984.</t>
  </si>
  <si>
    <t>xxu</t>
  </si>
  <si>
    <t>2002-09-05</t>
  </si>
  <si>
    <t>1987-08-28</t>
  </si>
  <si>
    <t>BF 1166 C567s 1956</t>
  </si>
  <si>
    <t>0                      BF 1166000C  567s        1956</t>
  </si>
  <si>
    <t>Ciba Foundation symposium on extrasensory perception / editors for the Ciba Foundation: G. E. W. Wolstenholme and Elaine C. P. Millar.</t>
  </si>
  <si>
    <t>Ciba Foundation.</t>
  </si>
  <si>
    <t>Boston : Little, Brown, 1956.</t>
  </si>
  <si>
    <t>BF 1171 E33t 1948</t>
  </si>
  <si>
    <t>0                      BF 1171000E  33t         1948</t>
  </si>
  <si>
    <t>Telepathy and medical psychology.</t>
  </si>
  <si>
    <t>New York : Norton, 1948.</t>
  </si>
  <si>
    <t>BF 121 C737 1994</t>
  </si>
  <si>
    <t>0                      BF 0121000C  737         1994</t>
  </si>
  <si>
    <t>Companion encyclopedia of psychology / edited by Andrew M. Colman.</t>
  </si>
  <si>
    <t>London : Routledge, c1994.</t>
  </si>
  <si>
    <t>1994-07-13</t>
  </si>
  <si>
    <t>BF 121 H918 1994</t>
  </si>
  <si>
    <t>0                      BF 0121000H  918         1994</t>
  </si>
  <si>
    <t>Human behavior : an introduction for medical students / edited by Alan Stoudemire ; 27 contributors.</t>
  </si>
  <si>
    <t>Philadelphia : J.B. Lippincott, c1994.</t>
  </si>
  <si>
    <t>2006-01-03</t>
  </si>
  <si>
    <t>1995-08-14</t>
  </si>
  <si>
    <t>BF 121 H918 1998</t>
  </si>
  <si>
    <t>0                      BF 0121000H  918         1998</t>
  </si>
  <si>
    <t>Human behavior : an introduction for medical students / edited by Alan Stoudemire.</t>
  </si>
  <si>
    <t>Philadelphia, PA: Lippincott-Raven, c1998.</t>
  </si>
  <si>
    <t>2007-12-12</t>
  </si>
  <si>
    <t>1999-01-19</t>
  </si>
  <si>
    <t>BF 121 L183p 1992</t>
  </si>
  <si>
    <t>0                      BF 0121000L  183p        1992</t>
  </si>
  <si>
    <t>Psychology : an introduction / Benjamin B. Lahey.</t>
  </si>
  <si>
    <t>Lahey, Benjamin B.</t>
  </si>
  <si>
    <t>Dubuque, Iowa : Wm. C. Brown Publishers, c1992.</t>
  </si>
  <si>
    <t>2005-02-27</t>
  </si>
  <si>
    <t>BF 121 L188p 1992</t>
  </si>
  <si>
    <t>0                      BF 0121000L  188p        1992</t>
  </si>
  <si>
    <t>Psychology / James D. Laird, Nicholas S. Thompson.</t>
  </si>
  <si>
    <t>Laird, James D.</t>
  </si>
  <si>
    <t>Boston : Houghton Mifflin, c1992.</t>
  </si>
  <si>
    <t>1999-03-21</t>
  </si>
  <si>
    <t>BF 121 M134u 1992</t>
  </si>
  <si>
    <t>0                      BF 0121000M  134u        1992</t>
  </si>
  <si>
    <t>Understanding human behavior / James V. McConnell, Ronald P. Philipchalk.</t>
  </si>
  <si>
    <t>McConnell, James V.</t>
  </si>
  <si>
    <t>Fort Worth : Harcourt Brace Jovanovich College Publishers, c1992.</t>
  </si>
  <si>
    <t>7th ed.</t>
  </si>
  <si>
    <t>1998-07-16</t>
  </si>
  <si>
    <t>BF 173 E68w 1987</t>
  </si>
  <si>
    <t>0                      BF 0173000E  68w         1987</t>
  </si>
  <si>
    <t>A way of looking at things : selected papers from 1930-1980 / Erik H. Erikson ; edited by Stephen Schlein.</t>
  </si>
  <si>
    <t>New York : Norton, c1987.</t>
  </si>
  <si>
    <t>1992-10-09</t>
  </si>
  <si>
    <t>1987-11-17</t>
  </si>
  <si>
    <t>BF 176 G881h 1984</t>
  </si>
  <si>
    <t>0                      BF 0176000G  881h        1984</t>
  </si>
  <si>
    <t>New York, N.Y. : Van Nostrand Reinhold, c1984.</t>
  </si>
  <si>
    <t>2008-01-06</t>
  </si>
  <si>
    <t>BF 311 G815g 1997</t>
  </si>
  <si>
    <t>0                      BF 0311000G  815g        1997</t>
  </si>
  <si>
    <t>The growth of the mind : and the endangered origins of intelligence / Stanley I. Greenspan with Beryl Lieff Benderly.</t>
  </si>
  <si>
    <t>Reading, Mass. : Perseus Books, c1997.</t>
  </si>
  <si>
    <t>2007-08-31</t>
  </si>
  <si>
    <t>1999-08-18</t>
  </si>
  <si>
    <t>BF 311 R989a 1986</t>
  </si>
  <si>
    <t>0                      BF 0311000R  989a        1986</t>
  </si>
  <si>
    <t>Adult cognition and aging : developmental changes in processing, thinking, and knowing / John M. Rybash, William J. Hoyer, Paul A. Roodin.</t>
  </si>
  <si>
    <t>2000-03-15</t>
  </si>
  <si>
    <t>BF 335 C748c 1969</t>
  </si>
  <si>
    <t>0                      BF 0335000C  748c        1969</t>
  </si>
  <si>
    <t>Coping and adaptation / edited by George V. Coelho, David A. Hamburg, John E. Adams.</t>
  </si>
  <si>
    <t>New York : Basic Books, c1974.</t>
  </si>
  <si>
    <t>1994-09-09</t>
  </si>
  <si>
    <t>1987-08-14</t>
  </si>
  <si>
    <t>BF 335 C7828 1987</t>
  </si>
  <si>
    <t>0                      BF 0335000C  7828        1987</t>
  </si>
  <si>
    <t>Coping with negative life events : clinical and social psychological perspectives / edited by C.R. Snyder and Carol E. Ford.</t>
  </si>
  <si>
    <t>New York : Plenum Press, c1987.</t>
  </si>
  <si>
    <t>The Plenum series on stress and coping.</t>
  </si>
  <si>
    <t>1997-09-23</t>
  </si>
  <si>
    <t>1987-10-28</t>
  </si>
  <si>
    <t>BF 371 E93 1984</t>
  </si>
  <si>
    <t>0                      BF 0371000E  93          1984</t>
  </si>
  <si>
    <t>Everyday memory : actions and absent-mindedness / edited by J.E. Harris, P.E. Morris.</t>
  </si>
  <si>
    <t>London ; Orlando : Academic Press, c1984.</t>
  </si>
  <si>
    <t>BF 371 P895 1987</t>
  </si>
  <si>
    <t>0                      BF 0371000P  895         1987</t>
  </si>
  <si>
    <t>Practical aspects of memory : current research and issues / edited by M.M. Gruneberg, P.E. Morris, R.N. Sykes.</t>
  </si>
  <si>
    <t>1989-02-24</t>
  </si>
  <si>
    <t>1994-04-13</t>
  </si>
  <si>
    <t>BF 378.S54 N532 2008</t>
  </si>
  <si>
    <t>0                      BF 0378000S  54                 N  532         2008</t>
  </si>
  <si>
    <t>New research on short-term memory / Noah B. Johansen, editor.</t>
  </si>
  <si>
    <t>New York : Nova Biomedical Books, c2008.</t>
  </si>
  <si>
    <t>2008</t>
  </si>
  <si>
    <t>2009-05-21</t>
  </si>
  <si>
    <t>BF 39 H859s 1997</t>
  </si>
  <si>
    <t>0                      BF 0039000H  859s        1997</t>
  </si>
  <si>
    <t>Statistical methods for psychology / David C. Howell.</t>
  </si>
  <si>
    <t>Howell, David C.</t>
  </si>
  <si>
    <t>Belmont, CA : Duxbury Press, c1997.</t>
  </si>
  <si>
    <t>2001-03-23</t>
  </si>
  <si>
    <t>BF 408 D287¿ 1971</t>
  </si>
  <si>
    <t>0                      BF 0408000                                                           D287¿ 1971</t>
  </si>
  <si>
    <t>Lateral thinking for management : a handbook of creativity / Edward de Bono.</t>
  </si>
  <si>
    <t>-- New York : American Management Association, c1971.</t>
  </si>
  <si>
    <t>1988-10-19</t>
  </si>
  <si>
    <t>1987-12-29</t>
  </si>
  <si>
    <t>BF 431 A291A 1987</t>
  </si>
  <si>
    <t>0                      BF 0431000A  291A        1987</t>
  </si>
  <si>
    <t>Assessment of intellectual functioning / Lewis R. Aiken.</t>
  </si>
  <si>
    <t>Aiken, Lewis R., 1931-</t>
  </si>
  <si>
    <t>Boston : Allyn and Bacon, c1987.</t>
  </si>
  <si>
    <t>1988-01-05</t>
  </si>
  <si>
    <t>BF 431 F199I 1985</t>
  </si>
  <si>
    <t>0                      BF 0431000F  199I        1985</t>
  </si>
  <si>
    <t>The intelligence men : makers of the I.Q. controversy / Raymond E. Fancher.</t>
  </si>
  <si>
    <t>Fancher, Raymond E.</t>
  </si>
  <si>
    <t>New York : Norton, c1985.</t>
  </si>
  <si>
    <t>BF 431 T319m 1916</t>
  </si>
  <si>
    <t>0                      BF 0431000T  319m        1916</t>
  </si>
  <si>
    <t>The measurement of intelligence; an explanation of and a complete guide for the use of the Stanford Revision and Extension of the Binet-Simon Intelligence Scale / by Lewis M. Terman.</t>
  </si>
  <si>
    <t>Terman, Lewis M.</t>
  </si>
  <si>
    <t>Boston : Houghton Mifflin, c1916.</t>
  </si>
  <si>
    <t>1916</t>
  </si>
  <si>
    <t>1996-02-19</t>
  </si>
  <si>
    <t>1989-06-09</t>
  </si>
  <si>
    <t>BF 432.A1 R118 1975</t>
  </si>
  <si>
    <t>0                      BF 0432000A  1                  R  118         1975</t>
  </si>
  <si>
    <t>Race and IQ / edited by Ashley Montagu.</t>
  </si>
  <si>
    <t>New York : Oxford University Press, 1975.</t>
  </si>
  <si>
    <t>BF 441 E21c 2008</t>
  </si>
  <si>
    <t>0                      BF 0441000E  21c         2008</t>
  </si>
  <si>
    <t>Computing the mind : how the mind really works / Shimon Edelman.</t>
  </si>
  <si>
    <t>Edelman, Shimon.</t>
  </si>
  <si>
    <t>Oxford ; New York : Oxford University Press, c2008.</t>
  </si>
  <si>
    <t>2009-08-18</t>
  </si>
  <si>
    <t>2009-06-29</t>
  </si>
  <si>
    <t>BF 441 K77u 1991</t>
  </si>
  <si>
    <t>0                      BF 0441000K  77u         1991</t>
  </si>
  <si>
    <t>The universal traveler : a soft-systems guide to creativity, problem-solving &amp; process of reaching goals / by Don Koberg &amp; Jim Bagnall.</t>
  </si>
  <si>
    <t>Koberg, Don, 1930-</t>
  </si>
  <si>
    <t>Los Altos, Calif. : Crisp Publications, c1991.</t>
  </si>
  <si>
    <t>New horizons ed.</t>
  </si>
  <si>
    <t>2000-02-16</t>
  </si>
  <si>
    <t>1997-01-22</t>
  </si>
  <si>
    <t>BF 449 F664s 1995</t>
  </si>
  <si>
    <t>0                      BF 0449000F  664s        1995</t>
  </si>
  <si>
    <t>Strategies for creative problem solving / H. Scott Fogler, Steven E. LeBlanc.</t>
  </si>
  <si>
    <t>Fogler, H. Scott.</t>
  </si>
  <si>
    <t>Upper Saddle River, N.J. : PTR Prentice Hall, c1995.</t>
  </si>
  <si>
    <t>1995</t>
  </si>
  <si>
    <t>2004-04-29</t>
  </si>
  <si>
    <t>BF 511 A256 1979</t>
  </si>
  <si>
    <t>0                      BF 0511000A  256         1979</t>
  </si>
  <si>
    <t>Affect--psychoanalytic theory and practice / edited by Morton B. Cantor and Myron L. Glucksman.</t>
  </si>
  <si>
    <t>Wiley-Interscience publication</t>
  </si>
  <si>
    <t>1998-05-29</t>
  </si>
  <si>
    <t>BF 511 S989e 1960</t>
  </si>
  <si>
    <t>0                      BF 0511000S  989e        1960</t>
  </si>
  <si>
    <t>Expression of the emotions in man : [symposium held at the meeting of the American Association for the Advancement of Science in New York on December 29-30, 1960] / Edited by Peter H. Knapp.</t>
  </si>
  <si>
    <t>Symposium on Expression of the Emotions in Man (1960 : New York, N.Y.)</t>
  </si>
  <si>
    <t>New York : International Universities Press, c1963.</t>
  </si>
  <si>
    <t>1988-02-29</t>
  </si>
  <si>
    <t>BF 531 H236 2008</t>
  </si>
  <si>
    <t>0                      BF 0531000H  236         2008</t>
  </si>
  <si>
    <t>Handbook of emotions / edited by Michael Lewis, Jeannette M. Haviland-Jones, and Lisa Feldman Barrett.</t>
  </si>
  <si>
    <t>New York : Guilford Press, c2008.</t>
  </si>
  <si>
    <t>2009-09-21</t>
  </si>
  <si>
    <t>BF 575. G7 L438d 1994</t>
  </si>
  <si>
    <t>0                      BF 0575000G  7                  L  438d        1994</t>
  </si>
  <si>
    <t>Death notification : a practical guide to the process / by R. Moroni Leash.</t>
  </si>
  <si>
    <t>Leash, R. Moroni (Russell Moroni), 1958-</t>
  </si>
  <si>
    <t>Hinesburg, Vt. : Upper Access, c1994.</t>
  </si>
  <si>
    <t>vtu</t>
  </si>
  <si>
    <t>2005-01-28</t>
  </si>
  <si>
    <t>BF 575.A3 V215p 1981</t>
  </si>
  <si>
    <t>0                      BF 0575000A  3                  V  215p        1981</t>
  </si>
  <si>
    <t>Psychobiology of aggression and violence / Luigi Valzelli.</t>
  </si>
  <si>
    <t>Valzelli, Luigi, 1927-</t>
  </si>
  <si>
    <t>New York : Raven Press, c1981.</t>
  </si>
  <si>
    <t>2003-10-03</t>
  </si>
  <si>
    <t>BF 575.A3 V7947 1985</t>
  </si>
  <si>
    <t>0                      BF 0575000A  3                  V  7947        1985</t>
  </si>
  <si>
    <t>Violence in America : a public health approach / edited by Mark L. Rosenberg and Mary Ann Fenley.</t>
  </si>
  <si>
    <t>New York : Oxford University Press, c1991.</t>
  </si>
  <si>
    <t>1992-01-09</t>
  </si>
  <si>
    <t>BF 575.A3 W919 2004</t>
  </si>
  <si>
    <t>0                      BF 0575000A  3                  W  919         2004</t>
  </si>
  <si>
    <t>Working with dangerous people : the psychotherapy of violence / edited by David Jones ; forewords by Christopher Cordess and Terry A. Kupers.</t>
  </si>
  <si>
    <t>Oxford ; San Francisco : Radcliffe Medical Press ; 2004.</t>
  </si>
  <si>
    <t>2004-09-14</t>
  </si>
  <si>
    <t>BF 575.A6 P558d</t>
  </si>
  <si>
    <t>0                      BF 0575000A  6                  P  558d</t>
  </si>
  <si>
    <t>Day to day anxiety management / E. Lakin Phillips.</t>
  </si>
  <si>
    <t>Phillips, E. Lakin (Ewing Lakin), 1915-1994.</t>
  </si>
  <si>
    <t>-- Huntington, N.Y. : R. E. Krieger Pub. Co., 1977.</t>
  </si>
  <si>
    <t>2003-12-09</t>
  </si>
  <si>
    <t>BF 575.E55 E548 1994</t>
  </si>
  <si>
    <t>0                      BF 0575000E  55                 E  548         1994</t>
  </si>
  <si>
    <t>The empathic practitioner : empathy, gender, and medicine / edited by Ellen Singer More and Maureen A. Milligan.</t>
  </si>
  <si>
    <t>New Brunswick, N.J. : Rutgers University Press, c1994.</t>
  </si>
  <si>
    <t>1999-02-18</t>
  </si>
  <si>
    <t>BF 575.E55 E555 1990</t>
  </si>
  <si>
    <t>0                      BF 0575000E  55                 E  555         1990</t>
  </si>
  <si>
    <t>Empathy in the helping relationship / Ruth C. MacKay, Jean R. Hughes, E. Joyce Carver, editors.</t>
  </si>
  <si>
    <t>New York, NY : Springer Pub. Co., c1990.</t>
  </si>
  <si>
    <t>2009-06-25</t>
  </si>
  <si>
    <t>1990-06-15</t>
  </si>
  <si>
    <t>BF 575.G7 F692 1990</t>
  </si>
  <si>
    <t>0                      BF 0575000G  7                  F  692         1990</t>
  </si>
  <si>
    <t>For the bereaved : the road to recovery / edited by Austin H. Kutscher ... [et al.].</t>
  </si>
  <si>
    <t>Philadelphia : Charles Press, c1990.</t>
  </si>
  <si>
    <t>1998-04-08</t>
  </si>
  <si>
    <t>1993-06-14</t>
  </si>
  <si>
    <t>BF 575.G7 J69a 1987</t>
  </si>
  <si>
    <t>0                      BF 0575000G  7                  J  69a         1987</t>
  </si>
  <si>
    <t>After a child dies : counseling bereaved families / Sherry E. Johnson.</t>
  </si>
  <si>
    <t>Johnson, Sherry E.</t>
  </si>
  <si>
    <t>New York, NY : Springer Pub. Co., c1987.</t>
  </si>
  <si>
    <t>1988-02-19</t>
  </si>
  <si>
    <t>BF 575.G7 K63p 1988</t>
  </si>
  <si>
    <t>0                      BF 0575000G  7                  K  63p         1988</t>
  </si>
  <si>
    <t>Parental grief : solace and resolution / Dennis Klass.</t>
  </si>
  <si>
    <t>Klass, Dennis.</t>
  </si>
  <si>
    <t>New York : Springer Pub. Co., c1988.</t>
  </si>
  <si>
    <t>The Springer series on death and suicide ; v. 9.</t>
  </si>
  <si>
    <t>1988-12-28</t>
  </si>
  <si>
    <t>BF 575.G7 L881 1986</t>
  </si>
  <si>
    <t>0                      BF 0575000G  7                  L  881         1986</t>
  </si>
  <si>
    <t>Loss and anticipatory grief / edited by Therese A. Rando ; foreword by Robert Fulton.</t>
  </si>
  <si>
    <t>Lexington, Mass. : Lexington Books, c1986.</t>
  </si>
  <si>
    <t>1991-07-29</t>
  </si>
  <si>
    <t>BF 575.G7 N842 1974</t>
  </si>
  <si>
    <t>0                      BF 0575000G  7                  N  842         1974</t>
  </si>
  <si>
    <t>Normal &amp; pathological responses to bereavement / papers by John Ellard, Vamik Volkan, and Norman L. Paul.</t>
  </si>
  <si>
    <t>New York : MSS Information Corp., [1974]</t>
  </si>
  <si>
    <t>1995-10-23</t>
  </si>
  <si>
    <t>1987-11-03</t>
  </si>
  <si>
    <t>BF 575.G7 S333b 1977</t>
  </si>
  <si>
    <t>0                      BF 0575000G  7                  S  333b        1977</t>
  </si>
  <si>
    <t>The bereaved parent / Harriet Sarnoff Schiff.</t>
  </si>
  <si>
    <t>Schiff, Harriet Sarnoff.</t>
  </si>
  <si>
    <t>New York : Crown Publishers, 1977.</t>
  </si>
  <si>
    <t>BF 575.G7 S359s 1984</t>
  </si>
  <si>
    <t>0                      BF 0575000G  7                  S  359s        1984</t>
  </si>
  <si>
    <t>Stress, loss, and grief : understanding their origins and growth potential / by John Schneider.</t>
  </si>
  <si>
    <t>Schneider, John, 1939-</t>
  </si>
  <si>
    <t>BF 575.L3 B498¿ 1956</t>
  </si>
  <si>
    <t>0                      BF 0575000L  3                                                       B498¿ 1956</t>
  </si>
  <si>
    <t>Laughter and the sense of humor / Edmund Bergler.</t>
  </si>
  <si>
    <t>Bergler, Edmund, 1899-1962.</t>
  </si>
  <si>
    <t>New York : Intercontinental Medical Book Corp., c1956.</t>
  </si>
  <si>
    <t>1996-01-29</t>
  </si>
  <si>
    <t>BF 575.S75  C477 1984</t>
  </si>
  <si>
    <t>0                      BF 0575000S  75                 C  477         1984</t>
  </si>
  <si>
    <t>New York, NY : Ballantine, c1984.</t>
  </si>
  <si>
    <t>Rev. and update ed.</t>
  </si>
  <si>
    <t>1999-04-28</t>
  </si>
  <si>
    <t>BF 575.S75 B654c 1996</t>
  </si>
  <si>
    <t>0                      BF 0575000S  75                 B  654c        1996</t>
  </si>
  <si>
    <t>Coping with stress in a changing world / Richard Blonna.</t>
  </si>
  <si>
    <t>Blonna, Richard.</t>
  </si>
  <si>
    <t>St. Louis, Mo. : Mosby, c1996.</t>
  </si>
  <si>
    <t>2003-11-24</t>
  </si>
  <si>
    <t>1996-03-15</t>
  </si>
  <si>
    <t>BF 637 K91r 1965</t>
  </si>
  <si>
    <t>0                      BF 0637000K  91r         1965</t>
  </si>
  <si>
    <t>Research in behavior modification : new developments and implications / edited and introduced by Leonard Krasner and Leonard P. Ullmann.</t>
  </si>
  <si>
    <t>New York : Holt, Rinehart &amp; Winston, 1965.</t>
  </si>
  <si>
    <t>1993-10-02</t>
  </si>
  <si>
    <t>BF 637.C45 L654 2008</t>
  </si>
  <si>
    <t>0                      BF 0637000C  45                 L  654         2008</t>
  </si>
  <si>
    <t>The Communication Skills Workbook Self-assessments, Exercises &amp; Educational Handouts / [by] Esther A. Leutenberg [and] John J. Liptak, illustrated by Amy L. Brodsky.</t>
  </si>
  <si>
    <t>Leutenberg, Ester A.</t>
  </si>
  <si>
    <t>Duluth, Minn. : Whole Person Associates, 2008.</t>
  </si>
  <si>
    <t>2010-09-21</t>
  </si>
  <si>
    <t>2009-08-06</t>
  </si>
  <si>
    <t>BF 637.H4 B815h 1999</t>
  </si>
  <si>
    <t>0                      BF 0637000H  4                  B  815h        1999</t>
  </si>
  <si>
    <t>The helping relationship : process and skills / Lawrence M. Brammer, Ginger MacDonald.</t>
  </si>
  <si>
    <t>Boston : Allyn and Bacon, c1999.</t>
  </si>
  <si>
    <t>1999-04-01</t>
  </si>
  <si>
    <t>BF 637.I5 I95i 1994</t>
  </si>
  <si>
    <t>0                      BF 0637000I  5                  I  95i         1994</t>
  </si>
  <si>
    <t>Intentional interviewing and counseling : facilitating client development in a multicultural society / Allen E. Ivey.</t>
  </si>
  <si>
    <t>Ivey, Allen E.</t>
  </si>
  <si>
    <t>2003-11-16</t>
  </si>
  <si>
    <t>BF 637.S8 L192h 1974</t>
  </si>
  <si>
    <t>0                      BF 0637000S  8                  L  192h        1974</t>
  </si>
  <si>
    <t>How to get control of your time and your life / by Alan Lakein.</t>
  </si>
  <si>
    <t>Lakein, Alan.</t>
  </si>
  <si>
    <t>New York : New American Library, 1974, c1973.</t>
  </si>
  <si>
    <t>1995-11-27</t>
  </si>
  <si>
    <t>BF 683 H221c 1983</t>
  </si>
  <si>
    <t>0                      BF 0683000H  221c        1983</t>
  </si>
  <si>
    <t>BF 698 M397m</t>
  </si>
  <si>
    <t>0                      BF 0698000M  397m</t>
  </si>
  <si>
    <t>Motivation and personality.</t>
  </si>
  <si>
    <t>Maslow, Abraham H. (Abraham Harold)</t>
  </si>
  <si>
    <t>New York : Harper, c1954.</t>
  </si>
  <si>
    <t>1995-06-08</t>
  </si>
  <si>
    <t>BF 713 H918 1985-86</t>
  </si>
  <si>
    <t>0                      BF 0713000H  918         1985                                        -86</t>
  </si>
  <si>
    <t>Human development 85/86 / Hiram E. Fitzgerald, editor ; Thomas H. Carr, editor.</t>
  </si>
  <si>
    <t>Guilford, Conn. : Dushkin Publishing Group, c1985.</t>
  </si>
  <si>
    <t>13th ed.</t>
  </si>
  <si>
    <t>Annual editions series</t>
  </si>
  <si>
    <t>BF 713 K18e 1982</t>
  </si>
  <si>
    <t>0                      BF 0713000K  18e         1982</t>
  </si>
  <si>
    <t>Experiencing the life cycle : a social psychology of aging / by David A. Karp and William C. Yoels.</t>
  </si>
  <si>
    <t>Karp, David A.</t>
  </si>
  <si>
    <t>Springfield, Ill. : Thomas, c1982.</t>
  </si>
  <si>
    <t>BF 713 P213h 1998</t>
  </si>
  <si>
    <t>0                      BF 0713000P  213h        1998</t>
  </si>
  <si>
    <t>Human development / Diane E. Papalia, Sally Wendkos Olds, Ruth Duskin Feldman.</t>
  </si>
  <si>
    <t>Papalia, Diane E.</t>
  </si>
  <si>
    <t>New York : McGraw-Hill, c1998.</t>
  </si>
  <si>
    <t>2003-02-02</t>
  </si>
  <si>
    <t>1997-08-29</t>
  </si>
  <si>
    <t>BF 723.C8 C975 1986</t>
  </si>
  <si>
    <t>0                      BF 0723000C  8                  C  975         1986</t>
  </si>
  <si>
    <t>Curiosity, imagination, and play : on the development of spontaneous cognitive and motivational processes / [edited by] Dietmar Görlitz, Joachim F. Wohlwill.</t>
  </si>
  <si>
    <t>Hillsdale, NJ : L. Erlbaum Associates, c1986.</t>
  </si>
  <si>
    <t>BF 723.P25 P228 1985</t>
  </si>
  <si>
    <t>0                      BF 0723000P  25                 P  228         1985</t>
  </si>
  <si>
    <t>Parental belief systems : the psychological consequences for children / edited by Irving E. Sigel.</t>
  </si>
  <si>
    <t>1994-10-04</t>
  </si>
  <si>
    <t>BF 723.S3 C788a 1981</t>
  </si>
  <si>
    <t>0                      BF 0723000S  3                  C  788a        1981</t>
  </si>
  <si>
    <t>The antecedents of self-esteem / Stanley Coopersmith.</t>
  </si>
  <si>
    <t>Palo Alto, CA : Consulting Psychologists Press, c1981.</t>
  </si>
  <si>
    <t>Reprint ed.</t>
  </si>
  <si>
    <t>2002-11-09</t>
  </si>
  <si>
    <t>1990-11-28</t>
  </si>
  <si>
    <t>BF 724 B615 1987</t>
  </si>
  <si>
    <t>0                      BF 0724000B  615         1987</t>
  </si>
  <si>
    <t>Biological-psychosocial interactions in early adolescence / edited by Richard M. Lerner, Terryl T. Foch.</t>
  </si>
  <si>
    <t>Hillsdale, N.J. : L. Erlbaum Associates, c1987..</t>
  </si>
  <si>
    <t>Child psychology</t>
  </si>
  <si>
    <t>BF 724.5 L855 1983</t>
  </si>
  <si>
    <t>0                      BF 0724500L  855         1983</t>
  </si>
  <si>
    <t>1991-07-08</t>
  </si>
  <si>
    <t>BF 76.5 D776d 1985</t>
  </si>
  <si>
    <t>0                      BF 0076500D  776d        1985</t>
  </si>
  <si>
    <t>Designing and conducting behavioral research / Clifford J. Drew, Michael L. Hardman.</t>
  </si>
  <si>
    <t>Drew, Clifford J., 1943-</t>
  </si>
  <si>
    <t>Pergamon general psychology series ; 134</t>
  </si>
  <si>
    <t>1990-10-04</t>
  </si>
  <si>
    <t>1989-01-07</t>
  </si>
  <si>
    <t>BF 789.D4 A756c 1983</t>
  </si>
  <si>
    <t>0                      BF 0789000D  4                  A  756c        1983</t>
  </si>
  <si>
    <t>A child dies : a portrait of family grief / Joan Hagan Arnold, Penelope Buschman Gemma.</t>
  </si>
  <si>
    <t>Arnold, Joan Hagan.</t>
  </si>
  <si>
    <t>Rockville, Md. : Aspen Systems Corp., c1983.</t>
  </si>
  <si>
    <t>1988-04-14</t>
  </si>
  <si>
    <t>BF 789.D4 B126d 1982</t>
  </si>
  <si>
    <t>0                      BF 0789000D  4                  B  126d        1982</t>
  </si>
  <si>
    <t>Death and dying : individuals and institutions / Barbara A. Backer, Natalie Hannon, Noreen A. Russell.</t>
  </si>
  <si>
    <t>Backer, Barbara A.</t>
  </si>
  <si>
    <t>A Wiley medical publication</t>
  </si>
  <si>
    <t>2003-08-20</t>
  </si>
  <si>
    <t>BF 789.D4 B395d 1973</t>
  </si>
  <si>
    <t>0                      BF 0789000D  4                  B  395d        1973</t>
  </si>
  <si>
    <t>The denial of death.</t>
  </si>
  <si>
    <t>Becker, Ernest.</t>
  </si>
  <si>
    <t>New York : Free Press, 1973.</t>
  </si>
  <si>
    <t>BF 789.D4 C156f 1992</t>
  </si>
  <si>
    <t>0                      BF 0789000D  4                  C  156f        1992</t>
  </si>
  <si>
    <t>Final gifts : understanding the special awareness, needs, and communications of the dying / Maggie Callanan and Patricia Kelley.</t>
  </si>
  <si>
    <t>Callanan, Maggie.</t>
  </si>
  <si>
    <t>New York, N.Y. : Poseidon Press, c1992.</t>
  </si>
  <si>
    <t>2004-11-04</t>
  </si>
  <si>
    <t>1993-06-15</t>
  </si>
  <si>
    <t>BF 789.D4 D287 1975</t>
  </si>
  <si>
    <t>0                      BF 0789000D  4                  D  287         1975</t>
  </si>
  <si>
    <t>Death : the final stage of growth / [edited by] Elisabeth Kübler-Ross.</t>
  </si>
  <si>
    <t>2</t>
  </si>
  <si>
    <t>-- Englewood Cliffs, N.J. : Prentice-Hall, c1975.</t>
  </si>
  <si>
    <t>Human development books</t>
  </si>
  <si>
    <t>1997-04-02</t>
  </si>
  <si>
    <t>BF 789.D4 D536 1978</t>
  </si>
  <si>
    <t>0                      BF 0789000D  4                  D  536         1978</t>
  </si>
  <si>
    <t>Dialogues : the dying and the living / edited by Austin H. Kutscher, Lillian G. Kutscher, et al.</t>
  </si>
  <si>
    <t>New York : MSS Information Corp. : distributed by Arno Press, c1978.</t>
  </si>
  <si>
    <t>Continuing series on thanatology</t>
  </si>
  <si>
    <t>1997-11-24</t>
  </si>
  <si>
    <t>BF 789.D4 D994 1970</t>
  </si>
  <si>
    <t>0                      BF 0789000D  4                  D  994         1970</t>
  </si>
  <si>
    <t>The dying patient / Edited by Orville G. Brim, Jr. ... [et. al.]</t>
  </si>
  <si>
    <t>-- New York : Russell Sage Foundation, c1970.</t>
  </si>
  <si>
    <t>1996-11-29</t>
  </si>
  <si>
    <t>BF 789.D4 F141 1996</t>
  </si>
  <si>
    <t>0                      BF 0789000D  4                  F  141         1996</t>
  </si>
  <si>
    <t>Facing death : where culture, religion, and medicine meet / edited by Howard M. Spiro, Mary G. McCrea Curnen, and Lee Palmer Wandel.</t>
  </si>
  <si>
    <t>New Haven : Yale University Press, c1996.</t>
  </si>
  <si>
    <t>1997-06-04</t>
  </si>
  <si>
    <t>BF 789.D4 G875c 1974</t>
  </si>
  <si>
    <t>0                      BF 0789000D  4                  G  875c        1974</t>
  </si>
  <si>
    <t>Concerning death : a practical guide for the living / edited by Earl A. Grollman.</t>
  </si>
  <si>
    <t>Boston : Beacon Press, 1974.</t>
  </si>
  <si>
    <t>Beacon paperback ; 484</t>
  </si>
  <si>
    <t>BF 789.D4 H741f 1977</t>
  </si>
  <si>
    <t>0                      BF 0789000D  4                  H  741f        1977</t>
  </si>
  <si>
    <t>The family in mourning : a guide for health professionals / Charles E. Hollingsworth, Robert O. Pasnau, and contributors.</t>
  </si>
  <si>
    <t>Hollingsworth, Charles E.</t>
  </si>
  <si>
    <t>New York : Grune &amp; Stratton, c1977.</t>
  </si>
  <si>
    <t>Seminars in psychiatry</t>
  </si>
  <si>
    <t>1989-10-06</t>
  </si>
  <si>
    <t>BF 789.D4 K19p 1972</t>
  </si>
  <si>
    <t>0                      BF 0789000D  4                  K  19p         1972</t>
  </si>
  <si>
    <t>The psychology of death / Robert Kastenbaum and Ruth Aisenberg.</t>
  </si>
  <si>
    <t>New York : Springer Pub. Co., 1972.</t>
  </si>
  <si>
    <t>1999-09-05</t>
  </si>
  <si>
    <t>BF 789.D4 K95L 1981</t>
  </si>
  <si>
    <t>0                      BF 0789000D  4                  K  95L         1981</t>
  </si>
  <si>
    <t>Living with death and dying / Elisabeth Kübler-Ross.</t>
  </si>
  <si>
    <t>New York : Macmillan, c1981.</t>
  </si>
  <si>
    <t>BF 789.D4 L616d 1985</t>
  </si>
  <si>
    <t>0                      BF 0789000D  4                  L  616d        1985</t>
  </si>
  <si>
    <t>A death of one's own / by Gerda Lerner.</t>
  </si>
  <si>
    <t>Lerner, Gerda, 1920-2013.</t>
  </si>
  <si>
    <t>Madison, WI : University of Wisconsin Press, 1985, c1978.</t>
  </si>
  <si>
    <t>1998-03-17</t>
  </si>
  <si>
    <t>BF 789.D4 M3</t>
  </si>
  <si>
    <t>0                      BF 0789000D  4                  M  3</t>
  </si>
  <si>
    <t>To die with style!</t>
  </si>
  <si>
    <t>McCoy, Marjorie Casebier, 1934-</t>
  </si>
  <si>
    <t>Nashville : Abingdon Press, 1974.</t>
  </si>
  <si>
    <t>1995-11-16</t>
  </si>
  <si>
    <t>BF 789.D4 P856t 1981</t>
  </si>
  <si>
    <t>0                      BF 0789000D  4                  P  856t        1981</t>
  </si>
  <si>
    <t>Towards death with dignity : caring for dying people / Sylvia Poss.</t>
  </si>
  <si>
    <t>Poss, Sylvia.</t>
  </si>
  <si>
    <t>London ; Boston : Allen &amp; Unwin, c1981.</t>
  </si>
  <si>
    <t>National Institute social services library ; no. 41</t>
  </si>
  <si>
    <t>1999-03-04</t>
  </si>
  <si>
    <t>BF 789.D4 PE466c 1980</t>
  </si>
  <si>
    <t>0                      BF 0789000D  4                  PE 466c        1980</t>
  </si>
  <si>
    <t>Caring relationships : the dying and the bereaved / edited by Richard A. Kalish.</t>
  </si>
  <si>
    <t>Farmingdale, N.Y. : Baywood Pub. Co., c1980.</t>
  </si>
  <si>
    <t>Perspectives on death and dying series ; 2</t>
  </si>
  <si>
    <t>1998-01-30</t>
  </si>
  <si>
    <t>BF 789.D4 S631a 1985</t>
  </si>
  <si>
    <t>0                      BF 0789000D  4                  S  631a        1985</t>
  </si>
  <si>
    <t>Adapting to life-threatening illness / Andrew Edmund Slaby, Arvin Sigmund Glicksman.</t>
  </si>
  <si>
    <t>Slaby, Andrew Edmund.</t>
  </si>
  <si>
    <t>New York : Praeger, 1985.</t>
  </si>
  <si>
    <t>1998-05-20</t>
  </si>
  <si>
    <t>1988-12-14</t>
  </si>
  <si>
    <t>BF 789.D4 S663d 1985</t>
  </si>
  <si>
    <t>0                      BF 0789000D  4                  S  663d        1985</t>
  </si>
  <si>
    <t>New York : Holt, Rinehart and Winston, c1985.</t>
  </si>
  <si>
    <t>BF 789.D4 T378c 1981</t>
  </si>
  <si>
    <t>0                      BF 0789000D  4                  T  378c        1981</t>
  </si>
  <si>
    <t>A cross-cultural study of death anxiety and religious belief / by John Kuriako Thekkedam.</t>
  </si>
  <si>
    <t>Thekkedam, John Kuriako, 1940-</t>
  </si>
  <si>
    <t>2010-01-22</t>
  </si>
  <si>
    <t>1989-03-28</t>
  </si>
  <si>
    <t>BF 789.D4 V218c 1987</t>
  </si>
  <si>
    <t>0                      BF 0789000D  4                  V  218c        1987</t>
  </si>
  <si>
    <t>Choices : for people who have a terminal illness, their families, and their caregivers / Harry Van Bommel.</t>
  </si>
  <si>
    <t>Van Bommel, Harry.</t>
  </si>
  <si>
    <t>Toronto : NC Press ; Port Washington, N.Y. : Distributed in the U.S.A. by Independent Publishers Group, c1987.</t>
  </si>
  <si>
    <t>2nd rev. ed.</t>
  </si>
  <si>
    <t>onc</t>
  </si>
  <si>
    <t>1995-04-08</t>
  </si>
  <si>
    <t>1988-04-20</t>
  </si>
  <si>
    <t>BF 789.S8 S795h 1992</t>
  </si>
  <si>
    <t>0                      BF 0789000S  8                  S  795h        1992</t>
  </si>
  <si>
    <t>The hidden dimension of illness : human suffering / Patricia L. Starck and John P. McGovern, editors.</t>
  </si>
  <si>
    <t>Starck, Patricia L.</t>
  </si>
  <si>
    <t>New York : National League for Nursing; c1992.</t>
  </si>
  <si>
    <t>NLN pub. no. 15-2461.</t>
  </si>
  <si>
    <t>2007-11-30</t>
  </si>
  <si>
    <t>BF 798 C542t 1986</t>
  </si>
  <si>
    <t>0                      BF 0798000C  542t        1986</t>
  </si>
  <si>
    <t>Temperament in clinical practice / Stella Chess and Alexander Thomas.</t>
  </si>
  <si>
    <t>Chess, Stella.</t>
  </si>
  <si>
    <t>New York : Guilford Press, 1986.</t>
  </si>
  <si>
    <t>1999-01-27</t>
  </si>
  <si>
    <t>BF 81 H6731 2009</t>
  </si>
  <si>
    <t>0                      BF 0081000H  6731        2009</t>
  </si>
  <si>
    <t>A History of psychology : original sources and contemporary research / edited by Ludy T. Benjamin, Jr.</t>
  </si>
  <si>
    <t>Malden, MA ; Oxford : Blackwell Pub., 2009.</t>
  </si>
  <si>
    <t>2009</t>
  </si>
  <si>
    <t>2009-06-30</t>
  </si>
  <si>
    <t>BF 95 M978h 1972</t>
  </si>
  <si>
    <t>0                      BF 0095000M  978h        1972</t>
  </si>
  <si>
    <t>Historical introduction to modern psychology / Gardner Murphy, Joseph K. Kovach.</t>
  </si>
  <si>
    <t>New York : Harcourt Brace Jovanovich, c1972.</t>
  </si>
  <si>
    <t>1989-06-21</t>
  </si>
  <si>
    <t>1987-12-28</t>
  </si>
  <si>
    <t>BF121 .H58</t>
  </si>
  <si>
    <t>0                      BF 0121000H  58</t>
  </si>
  <si>
    <t>Behavioral science; a selective view [by] Frederick R. Hine, Eric Pfeiffer [and others] Foreword by Ewald W. Busse.</t>
  </si>
  <si>
    <t>Hine, Frederick R., 1925-</t>
  </si>
  <si>
    <t>Boston, Little, Brown [1972]</t>
  </si>
  <si>
    <t>1987-09-11</t>
  </si>
  <si>
    <t>BF121 C737 1994 V2</t>
  </si>
  <si>
    <t>0                      BF 0121000C  737         1994   V  2</t>
  </si>
  <si>
    <t>BF173 .F6173 1946</t>
  </si>
  <si>
    <t>0                      BF 0173000F  6173        1946</t>
  </si>
  <si>
    <t>The ego and the mechanisms of defence / Anna Freud, translated from the German by Cecil Baines.</t>
  </si>
  <si>
    <t>Freud, Anna, 1895-1982.</t>
  </si>
  <si>
    <t>New York, N.Y. : International Universities Press, inc., [1946]</t>
  </si>
  <si>
    <t>2008-03-24</t>
  </si>
  <si>
    <t>1987-12-10</t>
  </si>
  <si>
    <t>BF173 F6183 S217a 1985</t>
  </si>
  <si>
    <t>0                      BF 0173000F  6183               S  217a        1985</t>
  </si>
  <si>
    <t>The analysis of defense : the ego and the mechanisms of defense revisited / Joseph Sandler with Anna Freud.</t>
  </si>
  <si>
    <t>Sandler, Joseph.</t>
  </si>
  <si>
    <t>New York, N.Y. : International Universities Press, c1985.</t>
  </si>
  <si>
    <t>1995-09-23</t>
  </si>
  <si>
    <t>1991-06-17</t>
  </si>
  <si>
    <t>BF176 G618C 1979</t>
  </si>
  <si>
    <t>0                      BF 0176000G  618C        1979</t>
  </si>
  <si>
    <t>Clinical interpretation of objective psychological tests / Charles J. Golden.</t>
  </si>
  <si>
    <t>Golden, Charles J., 1949-</t>
  </si>
  <si>
    <t>New York : Grune &amp; Stratton, c1979.</t>
  </si>
  <si>
    <t>1999-06-28</t>
  </si>
  <si>
    <t>BF176 S423 2003</t>
  </si>
  <si>
    <t>0                      BF 0176000S  423         2003</t>
  </si>
  <si>
    <t>Score reliability : contemporary thinking on reliability issues / editor, Bruce Thompson.</t>
  </si>
  <si>
    <t>Thousand Oaks, Calif. : SAGE Publications, c2003.</t>
  </si>
  <si>
    <t>2003</t>
  </si>
  <si>
    <t>2002-10-01</t>
  </si>
  <si>
    <t>BF295 S249 2004</t>
  </si>
  <si>
    <t>0                      BF 0295000S  249         2004</t>
  </si>
  <si>
    <t>Motor learning and performance / Richard A. Schmidt, Craig A. Wrisberg.</t>
  </si>
  <si>
    <t>Champaign, IL : Human Kinetics, 2004.</t>
  </si>
  <si>
    <t>2004-11-02</t>
  </si>
  <si>
    <t>2004-11-01</t>
  </si>
  <si>
    <t>BF31 .E5 1994</t>
  </si>
  <si>
    <t>0                      BF 0031000E  5           1994</t>
  </si>
  <si>
    <t>Encyclopedia of human behavior / editor-in-chief V.S. Ramachandran.</t>
  </si>
  <si>
    <t>V. 4</t>
  </si>
  <si>
    <t>San Diego, CA : Academic Press, c1994.</t>
  </si>
  <si>
    <t>1994-09-14</t>
  </si>
  <si>
    <t>2004-10-24</t>
  </si>
  <si>
    <t>1994-09-13</t>
  </si>
  <si>
    <t>BF319.5.O6 F7</t>
  </si>
  <si>
    <t>0                      BF 0319500O  6                  F  7</t>
  </si>
  <si>
    <t>The planned society : an analysis of Skinner's proposals / by Anne E. Freedman.</t>
  </si>
  <si>
    <t>Freedman, Anne E.</t>
  </si>
  <si>
    <t>Kalamazoo, Mich. : Behaviordelia, 1972.</t>
  </si>
  <si>
    <t>2004-07-05</t>
  </si>
  <si>
    <t>1987-09-16</t>
  </si>
  <si>
    <t>BF323.E8 S75</t>
  </si>
  <si>
    <t>0                      BF 0323000E  8                  S  75</t>
  </si>
  <si>
    <t>The psychology of hope.</t>
  </si>
  <si>
    <t>Stotland, Ezra, 1924-</t>
  </si>
  <si>
    <t>San Francisco, Jossey-Bass, 1969.</t>
  </si>
  <si>
    <t>Jossey-Bass behavioral science series</t>
  </si>
  <si>
    <t>1990-02-18</t>
  </si>
  <si>
    <t>BF353 G162p 1993</t>
  </si>
  <si>
    <t>0                      BF 0353000G  162p        1993</t>
  </si>
  <si>
    <t>The power of place : how our surroundings shape our thoughts, emotions, and actions / Winifred Gallagher.</t>
  </si>
  <si>
    <t>Gallagher, Winifred.</t>
  </si>
  <si>
    <t>New York : Poseidon Press, c1993.</t>
  </si>
  <si>
    <t>2002-08-23</t>
  </si>
  <si>
    <t>BF431 .G783 1987</t>
  </si>
  <si>
    <t>0                      BF 0431000G  783         1987</t>
  </si>
  <si>
    <t>Adult intellectual assessment / Robert J. Gregory.</t>
  </si>
  <si>
    <t>Gregory, Robert J.</t>
  </si>
  <si>
    <t>BF431.5.U6 V152j 2000</t>
  </si>
  <si>
    <t>0                      BF 0431500U  6                  V  152j        2000</t>
  </si>
  <si>
    <t>Intelligence testing and minority students : foundations, performance factors, and assessment issues / Richard R. Valencia, Lisa A. Suzuki.</t>
  </si>
  <si>
    <t>Valencia, Richard R.</t>
  </si>
  <si>
    <t>Thousand Oaks, Calif. : Sage Publications, c2001.</t>
  </si>
  <si>
    <t>2001</t>
  </si>
  <si>
    <t>Racial and ethnic minority psychology series</t>
  </si>
  <si>
    <t>2006-05-25</t>
  </si>
  <si>
    <t>2006-04-20</t>
  </si>
  <si>
    <t>1987-08-20</t>
  </si>
  <si>
    <t>BF51 .F84 1986</t>
  </si>
  <si>
    <t>0                      BF 0051000F  84          1986</t>
  </si>
  <si>
    <t>Psychology and religion : eight points of view / Andrew Reid Fuller.</t>
  </si>
  <si>
    <t>Fuller, Andrew Reid.</t>
  </si>
  <si>
    <t>1992-03-01</t>
  </si>
  <si>
    <t>1987-08-21</t>
  </si>
  <si>
    <t>1987-12-02</t>
  </si>
  <si>
    <t>BF531 .O2</t>
  </si>
  <si>
    <t>0                      BF 0531000O  2</t>
  </si>
  <si>
    <t>Emotions and morals : their place and purpose in harmonious living.</t>
  </si>
  <si>
    <t>O'Brien, Patrick, 1917-</t>
  </si>
  <si>
    <t>New York : Grune &amp; Stratton, 1950.</t>
  </si>
  <si>
    <t>BF575 .G7 S979D 1970</t>
  </si>
  <si>
    <t>0                      BF 0575000G  7                  S  979D        1970</t>
  </si>
  <si>
    <t>The dynamics of grief / [by] David K. Switzer.</t>
  </si>
  <si>
    <t>Switzer, David K., 1925-</t>
  </si>
  <si>
    <t>Nashville : Abingdon Press, [1970]</t>
  </si>
  <si>
    <t>BF575 A3 B214a 1973</t>
  </si>
  <si>
    <t>0                      BF 0575000A  3                  B  214a        1973</t>
  </si>
  <si>
    <t>Aggression : a social learning analysis / Albert Bandura.</t>
  </si>
  <si>
    <t>Bandura, Albert, 1925-</t>
  </si>
  <si>
    <t>Englewood Cliffs, N.J. : Prentice-Hall, c1973.</t>
  </si>
  <si>
    <t>The Prentice-Hall series in social learning theory</t>
  </si>
  <si>
    <t>BF575.G7  D129a 2003</t>
  </si>
  <si>
    <t>0                      BF 0575000G  7                  D  129a        2003</t>
  </si>
  <si>
    <t>And the passenger was death : the drama and trauma of losing a child / Douglas Daher.</t>
  </si>
  <si>
    <t>Daher, Douglas, 1949-</t>
  </si>
  <si>
    <t>Amityville, N.Y. : Baywood Pub., c2003.</t>
  </si>
  <si>
    <t>2004-02-27</t>
  </si>
  <si>
    <t>BF575.G7 L232 2004</t>
  </si>
  <si>
    <t>0                      BF 0575000G  7                  L  232         2004</t>
  </si>
  <si>
    <t>Consolation : the spiritual journey beyond grief / Maurice Lamm.</t>
  </si>
  <si>
    <t>Lamm, Maurice.</t>
  </si>
  <si>
    <t>Philadelphia : The Jewish Publication Society, 2004.</t>
  </si>
  <si>
    <t>2008-08-25</t>
  </si>
  <si>
    <t>2006-04-27</t>
  </si>
  <si>
    <t>BF575.G7 P35 1986</t>
  </si>
  <si>
    <t>0                      BF 0575000G  7                  P  35          1986</t>
  </si>
  <si>
    <t>Parental loss of a child / edited by Therese A. Rando.</t>
  </si>
  <si>
    <t>Champaign, Ill. : Research Press Co., c1986.</t>
  </si>
  <si>
    <t>2000-03-03</t>
  </si>
  <si>
    <t>2002-03-21</t>
  </si>
  <si>
    <t>BF575.G7 P37</t>
  </si>
  <si>
    <t>0                      BF 0575000G  7                  P  37</t>
  </si>
  <si>
    <t>Bereavement : studies of grief in adult life / foreword by John Bowlby.</t>
  </si>
  <si>
    <t>Parkes, Colin Murray.</t>
  </si>
  <si>
    <t>2009-11-04</t>
  </si>
  <si>
    <t>BF575.G7 R35 1984</t>
  </si>
  <si>
    <t>0                      BF 0575000G  7                  R  35          1984</t>
  </si>
  <si>
    <t>Grief, dying, and death : clinical interventions for caregivers / Therese A. Rando ; foreword by J. William Worden.</t>
  </si>
  <si>
    <t>Rando, Therese A.</t>
  </si>
  <si>
    <t>Champaign, Ill. : Research Press Co., c1984.</t>
  </si>
  <si>
    <t>2005-06-26</t>
  </si>
  <si>
    <t>BF575.H27 C85 1990</t>
  </si>
  <si>
    <t>0                      BF 0575000H  27                 C  85          1990</t>
  </si>
  <si>
    <t>Flow : the psychology of optimal experience / Mihaly Csikszentmihalyi.</t>
  </si>
  <si>
    <t>New York : Harper &amp; Row, c1990.</t>
  </si>
  <si>
    <t>2004-02-18</t>
  </si>
  <si>
    <t>BF575.H27 J32e 2004</t>
  </si>
  <si>
    <t>0                      BF 0575000H  27                 J  32e         2004</t>
  </si>
  <si>
    <t>Exuberance : the passion for life / by Kay Redfield Jamison.</t>
  </si>
  <si>
    <t>Jamison, Kay R.</t>
  </si>
  <si>
    <t>New York : A.A. Knopf, 2004.</t>
  </si>
  <si>
    <t>2005-01-27</t>
  </si>
  <si>
    <t>1996-04-26</t>
  </si>
  <si>
    <t>1989-04-18</t>
  </si>
  <si>
    <t>BF575.S75 L32 1984</t>
  </si>
  <si>
    <t>0                      BF 0575000S  75                 L  32          1984</t>
  </si>
  <si>
    <t>Stress, appraisal, and coping / Richard S. Lazarus, Susan Folkman.</t>
  </si>
  <si>
    <t>New York : Springer Pub. Co., c1984.</t>
  </si>
  <si>
    <t>BF575.S75 S7739 1986</t>
  </si>
  <si>
    <t>0                      BF 0575000S  75                 S  7739        1986</t>
  </si>
  <si>
    <t>Stress, social support, and women / edited by Stevan E. Hobfoll.</t>
  </si>
  <si>
    <t>Washington : Hemisphere Pub. Corp., c1986.</t>
  </si>
  <si>
    <t>The Series in clinical and community psychology, 0146-0846</t>
  </si>
  <si>
    <t>1996-09-09</t>
  </si>
  <si>
    <t>1988-05-04</t>
  </si>
  <si>
    <t>1990-09-13</t>
  </si>
  <si>
    <t>1987-12-03</t>
  </si>
  <si>
    <t>1992-09-29</t>
  </si>
  <si>
    <t>2005-11-06</t>
  </si>
  <si>
    <t>1992-09-16</t>
  </si>
  <si>
    <t>BF697 .E7</t>
  </si>
  <si>
    <t>0                      BF 0697000E  7</t>
  </si>
  <si>
    <t>Identity, youth, and crisis / [by] Erik H. Erikson.</t>
  </si>
  <si>
    <t>New York : W. W. Norton, [1968]</t>
  </si>
  <si>
    <t>2002-01-22</t>
  </si>
  <si>
    <t>1987-12-07</t>
  </si>
  <si>
    <t>BF698.95 .G73 2004</t>
  </si>
  <si>
    <t>0                      BF 0698950G  73          2004</t>
  </si>
  <si>
    <t>The first idea : how symbols, language, and intelligence evolved from our primate ancestors to modern humans / Stanley I. Greenspan, Stuart G. Shanker.</t>
  </si>
  <si>
    <t>Cambridge, MA : Da Capo Press, 2004.</t>
  </si>
  <si>
    <t>1st Da Capo Press ed.</t>
  </si>
  <si>
    <t>2008-08-15</t>
  </si>
  <si>
    <t>1996-10-14</t>
  </si>
  <si>
    <t>1987-10-19</t>
  </si>
  <si>
    <t>BF713 P213h 2004</t>
  </si>
  <si>
    <t>0                      BF 0713000P  213h        2004</t>
  </si>
  <si>
    <t>Human development / Diane E. Papalia, Sally Wendkos Olds, Ruth Duskin Feldman ; in consultation with Dana Gross.</t>
  </si>
  <si>
    <t>Boston : McGraw-Hill, c2004.</t>
  </si>
  <si>
    <t>9th ed.</t>
  </si>
  <si>
    <t>2007-11-29</t>
  </si>
  <si>
    <t>2003-08-25</t>
  </si>
  <si>
    <t>BF722 .B76</t>
  </si>
  <si>
    <t>0                      BF 0722000B  76</t>
  </si>
  <si>
    <t>The ecology of human development : experiments by nature and design / Urie Bronfenbrenner.</t>
  </si>
  <si>
    <t>Bronfenbrenner, Urie, 1917-2005.</t>
  </si>
  <si>
    <t>Cambridge, Mass. : Harvard University Press, 1979.</t>
  </si>
  <si>
    <t>1987-12-31</t>
  </si>
  <si>
    <t>BF723.D7 P513 1967</t>
  </si>
  <si>
    <t>0                      BF 0723000D  7                  P  513         1967</t>
  </si>
  <si>
    <t>The child's conception of space, by Jean Piaget and Bärbel Inhelder. Translated from the French by F. J. Langdon &amp; J. L. Lunzer.</t>
  </si>
  <si>
    <t>New York, W. W. Norton [1967]</t>
  </si>
  <si>
    <t>The Norton library, no. 408</t>
  </si>
  <si>
    <t>1992-12-04</t>
  </si>
  <si>
    <t>1988-01-18</t>
  </si>
  <si>
    <t>1993-11-06</t>
  </si>
  <si>
    <t>1988-02-18</t>
  </si>
  <si>
    <t>1988-01-03</t>
  </si>
  <si>
    <t>1988-01-07</t>
  </si>
  <si>
    <t>BF724.55.A35 H36 1990</t>
  </si>
  <si>
    <t>0                      BF 0724550A  35                 H  36          1990</t>
  </si>
  <si>
    <t>Handbook of the psychology of aging / editors, James E. Birren and K. Warner Schaie ; associate editors, Margaret Gatz, Timothy A. Salthouse, and Carmi Schooler ; editorial coordinator, Donna E. Deutchman.</t>
  </si>
  <si>
    <t>San Diego : Academic Press, c1990.</t>
  </si>
  <si>
    <t>The Handbooks of aging</t>
  </si>
  <si>
    <t>2007-08-13</t>
  </si>
  <si>
    <t>1992-09-25</t>
  </si>
  <si>
    <t>1994-11-01</t>
  </si>
  <si>
    <t>1988-01-09</t>
  </si>
  <si>
    <t>BF76.4 .S74 1984</t>
  </si>
  <si>
    <t>0                      BF 0076400S  74          1984</t>
  </si>
  <si>
    <t>Ethical issues in psychology / Marion Steininger, J. David Newell, Luis T. Garcia.</t>
  </si>
  <si>
    <t>Steininger, Marion.</t>
  </si>
  <si>
    <t>Homewood, Ill. : Dorsey Press, c1984.</t>
  </si>
  <si>
    <t>2001-10-11</t>
  </si>
  <si>
    <t>1992-03-05</t>
  </si>
  <si>
    <t>BF789.D4 D385 2000</t>
  </si>
  <si>
    <t>0                      BF 0789000D  4                  D  385         2000</t>
  </si>
  <si>
    <t>Death and dying in ethnic America : a research study / conducted by The Cross Cultural Health Care Program, Seattle, Washington.</t>
  </si>
  <si>
    <t>Seattle, WA : CCHCP, c2000.</t>
  </si>
  <si>
    <t>2000</t>
  </si>
  <si>
    <t>2004-09-30</t>
  </si>
  <si>
    <t>BF789.D4 I68e 1993</t>
  </si>
  <si>
    <t>0                      BF 0789000D  4                  I  68e         1993</t>
  </si>
  <si>
    <t>Ethnic variations in dying, death, and grief : diversity in universality / edited by Donald P. Irish, Kathleen F. Lundquist, Vivian Jenkins Nelsen.</t>
  </si>
  <si>
    <t>Washington, DC : Taylor &amp; Francis, c1993.</t>
  </si>
  <si>
    <t>2005-08-23</t>
  </si>
  <si>
    <t>BF789.D4 K8</t>
  </si>
  <si>
    <t>0                      BF 0789000D  4                  K  8</t>
  </si>
  <si>
    <t>On death and dying.</t>
  </si>
  <si>
    <t>[New York] Macmillan [1969]</t>
  </si>
  <si>
    <t>1987-09-14</t>
  </si>
  <si>
    <t>BF789.S8 B3</t>
  </si>
  <si>
    <t>0                      BF 0789000S  8                  B  3</t>
  </si>
  <si>
    <t>Disease, pain, &amp; sacrifice; toward a psychology of suffering.</t>
  </si>
  <si>
    <t>Bakan, David.</t>
  </si>
  <si>
    <t>Chicago, University of Chicago Press [1968]</t>
  </si>
  <si>
    <t>1987-09-04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</si>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</sst>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76C-DE67-4511-A126-1BB9E7A6DE4F}">
  <dimension ref="A1:BD1459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52.5" customHeight="1" x14ac:dyDescent="0.25"/>
  <cols>
    <col min="1" max="1" width="11.85546875" customWidth="1"/>
    <col min="2" max="2" width="19.7109375" customWidth="1"/>
    <col min="3" max="3" width="0" hidden="1" customWidth="1"/>
    <col min="4" max="4" width="42.140625" customWidth="1"/>
    <col min="6" max="10" width="0" hidden="1" customWidth="1"/>
    <col min="11" max="11" width="29.140625" customWidth="1"/>
    <col min="12" max="12" width="21.14062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4.5703125" customWidth="1"/>
    <col min="32" max="41" width="0" hidden="1" customWidth="1"/>
    <col min="42" max="44" width="10.28515625" customWidth="1"/>
    <col min="47" max="56" width="0" hidden="1" customWidth="1"/>
  </cols>
  <sheetData>
    <row r="1" spans="1:56" ht="52.5" customHeight="1" x14ac:dyDescent="0.25">
      <c r="A1" s="8" t="s">
        <v>17129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52.5" customHeight="1" x14ac:dyDescent="0.25">
      <c r="A2" s="7" t="s">
        <v>59</v>
      </c>
      <c r="B2" s="2" t="s">
        <v>55</v>
      </c>
      <c r="C2" s="2" t="s">
        <v>56</v>
      </c>
      <c r="D2" s="2" t="s">
        <v>57</v>
      </c>
      <c r="E2" s="3" t="s">
        <v>58</v>
      </c>
      <c r="F2" s="3" t="s">
        <v>59</v>
      </c>
      <c r="G2" s="3" t="s">
        <v>60</v>
      </c>
      <c r="H2" s="3" t="s">
        <v>59</v>
      </c>
      <c r="I2" s="3" t="s">
        <v>59</v>
      </c>
      <c r="J2" s="3" t="s">
        <v>61</v>
      </c>
      <c r="K2" s="2" t="s">
        <v>62</v>
      </c>
      <c r="L2" s="2" t="s">
        <v>63</v>
      </c>
      <c r="M2" s="3" t="s">
        <v>64</v>
      </c>
      <c r="O2" s="3" t="s">
        <v>65</v>
      </c>
      <c r="P2" s="3" t="s">
        <v>66</v>
      </c>
      <c r="Q2" s="2" t="s">
        <v>67</v>
      </c>
      <c r="R2" s="3" t="s">
        <v>68</v>
      </c>
      <c r="S2" s="4">
        <v>3</v>
      </c>
      <c r="T2" s="4">
        <v>3</v>
      </c>
      <c r="U2" s="5" t="s">
        <v>69</v>
      </c>
      <c r="V2" s="5" t="s">
        <v>69</v>
      </c>
      <c r="W2" s="5" t="s">
        <v>70</v>
      </c>
      <c r="X2" s="5" t="s">
        <v>70</v>
      </c>
      <c r="Y2" s="4">
        <v>306</v>
      </c>
      <c r="Z2" s="4">
        <v>260</v>
      </c>
      <c r="AA2" s="4">
        <v>262</v>
      </c>
      <c r="AB2" s="4">
        <v>4</v>
      </c>
      <c r="AC2" s="4">
        <v>4</v>
      </c>
      <c r="AD2" s="4">
        <v>8</v>
      </c>
      <c r="AE2" s="4">
        <v>8</v>
      </c>
      <c r="AF2" s="4">
        <v>1</v>
      </c>
      <c r="AG2" s="4">
        <v>1</v>
      </c>
      <c r="AH2" s="4">
        <v>1</v>
      </c>
      <c r="AI2" s="4">
        <v>1</v>
      </c>
      <c r="AJ2" s="4">
        <v>4</v>
      </c>
      <c r="AK2" s="4">
        <v>4</v>
      </c>
      <c r="AL2" s="4">
        <v>3</v>
      </c>
      <c r="AM2" s="4">
        <v>3</v>
      </c>
      <c r="AN2" s="4">
        <v>0</v>
      </c>
      <c r="AO2" s="4">
        <v>0</v>
      </c>
      <c r="AP2" s="3" t="s">
        <v>59</v>
      </c>
      <c r="AQ2" s="3" t="s">
        <v>71</v>
      </c>
      <c r="AR2" s="6" t="str">
        <f>HYPERLINK("http://catalog.hathitrust.org/Record/004419243","HathiTrust Record")</f>
        <v>HathiTrust Record</v>
      </c>
      <c r="AS2" s="6" t="str">
        <f>HYPERLINK("https://creighton-primo.hosted.exlibrisgroup.com/primo-explore/search?tab=default_tab&amp;search_scope=EVERYTHING&amp;vid=01CRU&amp;lang=en_US&amp;offset=0&amp;query=any,contains,991002985579702656","Catalog Record")</f>
        <v>Catalog Record</v>
      </c>
      <c r="AT2" s="6" t="str">
        <f>HYPERLINK("http://www.worldcat.org/oclc/874332070","WorldCat Record")</f>
        <v>WorldCat Record</v>
      </c>
      <c r="AU2" s="3" t="s">
        <v>72</v>
      </c>
      <c r="AV2" s="3" t="s">
        <v>73</v>
      </c>
      <c r="AW2" s="3" t="s">
        <v>74</v>
      </c>
      <c r="AX2" s="3" t="s">
        <v>74</v>
      </c>
      <c r="AY2" s="3" t="s">
        <v>75</v>
      </c>
      <c r="AZ2" s="3" t="s">
        <v>76</v>
      </c>
      <c r="BC2" s="3" t="s">
        <v>77</v>
      </c>
      <c r="BD2" s="3" t="s">
        <v>78</v>
      </c>
    </row>
    <row r="3" spans="1:56" ht="52.5" customHeight="1" x14ac:dyDescent="0.25">
      <c r="A3" s="7" t="s">
        <v>59</v>
      </c>
      <c r="B3" s="2" t="s">
        <v>79</v>
      </c>
      <c r="C3" s="2" t="s">
        <v>80</v>
      </c>
      <c r="D3" s="2" t="s">
        <v>81</v>
      </c>
      <c r="E3" s="3" t="s">
        <v>82</v>
      </c>
      <c r="F3" s="3" t="s">
        <v>59</v>
      </c>
      <c r="G3" s="3" t="s">
        <v>60</v>
      </c>
      <c r="H3" s="3" t="s">
        <v>59</v>
      </c>
      <c r="I3" s="3" t="s">
        <v>59</v>
      </c>
      <c r="J3" s="3" t="s">
        <v>61</v>
      </c>
      <c r="K3" s="2" t="s">
        <v>83</v>
      </c>
      <c r="L3" s="2" t="s">
        <v>84</v>
      </c>
      <c r="M3" s="3" t="s">
        <v>85</v>
      </c>
      <c r="O3" s="3" t="s">
        <v>65</v>
      </c>
      <c r="P3" s="3" t="s">
        <v>66</v>
      </c>
      <c r="Q3" s="2" t="s">
        <v>86</v>
      </c>
      <c r="R3" s="3" t="s">
        <v>68</v>
      </c>
      <c r="S3" s="4">
        <v>1</v>
      </c>
      <c r="T3" s="4">
        <v>1</v>
      </c>
      <c r="U3" s="5" t="s">
        <v>87</v>
      </c>
      <c r="V3" s="5" t="s">
        <v>87</v>
      </c>
      <c r="W3" s="5" t="s">
        <v>70</v>
      </c>
      <c r="X3" s="5" t="s">
        <v>70</v>
      </c>
      <c r="Y3" s="4">
        <v>324</v>
      </c>
      <c r="Z3" s="4">
        <v>272</v>
      </c>
      <c r="AA3" s="4">
        <v>283</v>
      </c>
      <c r="AB3" s="4">
        <v>1</v>
      </c>
      <c r="AC3" s="4">
        <v>1</v>
      </c>
      <c r="AD3" s="4">
        <v>11</v>
      </c>
      <c r="AE3" s="4">
        <v>11</v>
      </c>
      <c r="AF3" s="4">
        <v>3</v>
      </c>
      <c r="AG3" s="4">
        <v>3</v>
      </c>
      <c r="AH3" s="4">
        <v>4</v>
      </c>
      <c r="AI3" s="4">
        <v>4</v>
      </c>
      <c r="AJ3" s="4">
        <v>8</v>
      </c>
      <c r="AK3" s="4">
        <v>8</v>
      </c>
      <c r="AL3" s="4">
        <v>0</v>
      </c>
      <c r="AM3" s="4">
        <v>0</v>
      </c>
      <c r="AN3" s="4">
        <v>0</v>
      </c>
      <c r="AO3" s="4">
        <v>0</v>
      </c>
      <c r="AP3" s="3" t="s">
        <v>71</v>
      </c>
      <c r="AQ3" s="3" t="s">
        <v>59</v>
      </c>
      <c r="AR3" s="6" t="str">
        <f>HYPERLINK("http://catalog.hathitrust.org/Record/001685058","HathiTrust Record")</f>
        <v>HathiTrust Record</v>
      </c>
      <c r="AS3" s="6" t="str">
        <f>HYPERLINK("https://creighton-primo.hosted.exlibrisgroup.com/primo-explore/search?tab=default_tab&amp;search_scope=EVERYTHING&amp;vid=01CRU&amp;lang=en_US&amp;offset=0&amp;query=any,contains,991003160799702656","Catalog Record")</f>
        <v>Catalog Record</v>
      </c>
      <c r="AT3" s="6" t="str">
        <f>HYPERLINK("http://www.worldcat.org/oclc/700094","WorldCat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76</v>
      </c>
      <c r="BC3" s="3" t="s">
        <v>92</v>
      </c>
      <c r="BD3" s="3" t="s">
        <v>93</v>
      </c>
    </row>
    <row r="4" spans="1:56" ht="52.5" customHeight="1" x14ac:dyDescent="0.25">
      <c r="A4" s="7" t="s">
        <v>59</v>
      </c>
      <c r="B4" s="2" t="s">
        <v>94</v>
      </c>
      <c r="C4" s="2" t="s">
        <v>95</v>
      </c>
      <c r="D4" s="2" t="s">
        <v>96</v>
      </c>
      <c r="E4" s="3" t="s">
        <v>97</v>
      </c>
      <c r="F4" s="3" t="s">
        <v>59</v>
      </c>
      <c r="G4" s="3" t="s">
        <v>60</v>
      </c>
      <c r="H4" s="3" t="s">
        <v>59</v>
      </c>
      <c r="I4" s="3" t="s">
        <v>59</v>
      </c>
      <c r="J4" s="3" t="s">
        <v>61</v>
      </c>
      <c r="K4" s="2" t="s">
        <v>98</v>
      </c>
      <c r="L4" s="2" t="s">
        <v>99</v>
      </c>
      <c r="M4" s="3" t="s">
        <v>100</v>
      </c>
      <c r="O4" s="3" t="s">
        <v>65</v>
      </c>
      <c r="P4" s="3" t="s">
        <v>66</v>
      </c>
      <c r="Q4" s="2" t="s">
        <v>101</v>
      </c>
      <c r="R4" s="3" t="s">
        <v>68</v>
      </c>
      <c r="S4" s="4">
        <v>4</v>
      </c>
      <c r="T4" s="4">
        <v>4</v>
      </c>
      <c r="U4" s="5" t="s">
        <v>102</v>
      </c>
      <c r="V4" s="5" t="s">
        <v>102</v>
      </c>
      <c r="W4" s="5" t="s">
        <v>70</v>
      </c>
      <c r="X4" s="5" t="s">
        <v>70</v>
      </c>
      <c r="Y4" s="4">
        <v>344</v>
      </c>
      <c r="Z4" s="4">
        <v>289</v>
      </c>
      <c r="AA4" s="4">
        <v>292</v>
      </c>
      <c r="AB4" s="4">
        <v>4</v>
      </c>
      <c r="AC4" s="4">
        <v>4</v>
      </c>
      <c r="AD4" s="4">
        <v>12</v>
      </c>
      <c r="AE4" s="4">
        <v>12</v>
      </c>
      <c r="AF4" s="4">
        <v>1</v>
      </c>
      <c r="AG4" s="4">
        <v>1</v>
      </c>
      <c r="AH4" s="4">
        <v>5</v>
      </c>
      <c r="AI4" s="4">
        <v>5</v>
      </c>
      <c r="AJ4" s="4">
        <v>7</v>
      </c>
      <c r="AK4" s="4">
        <v>7</v>
      </c>
      <c r="AL4" s="4">
        <v>3</v>
      </c>
      <c r="AM4" s="4">
        <v>3</v>
      </c>
      <c r="AN4" s="4">
        <v>0</v>
      </c>
      <c r="AO4" s="4">
        <v>0</v>
      </c>
      <c r="AP4" s="3" t="s">
        <v>59</v>
      </c>
      <c r="AQ4" s="3" t="s">
        <v>71</v>
      </c>
      <c r="AR4" s="6" t="str">
        <f>HYPERLINK("http://catalog.hathitrust.org/Record/000658327","HathiTrust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HYPERLINK("https://creighton-primo.hosted.exlibrisgroup.com/primo-explore/search?tab=default_tab&amp;search_scope=EVERYTHING&amp;vid=01CRU&amp;lang=en_US&amp;offset=0&amp;query=any,contains,991000832199702656","Catalog Record")</f>
        <v>Catalog Record</v>
      </c>
      <c r="AT4" s="6" t="str">
        <f>HYPERLINK("http://www.worldcat.org/oclc/148197","WorldCat Record")</f>
        <v>WorldCat Record</v>
      </c>
      <c r="AU4" s="3" t="s">
        <v>103</v>
      </c>
      <c r="AV4" s="3" t="s">
        <v>104</v>
      </c>
      <c r="AW4" s="3" t="s">
        <v>105</v>
      </c>
      <c r="AX4" s="3" t="s">
        <v>105</v>
      </c>
      <c r="AY4" s="3" t="s">
        <v>106</v>
      </c>
      <c r="AZ4" s="3" t="s">
        <v>76</v>
      </c>
      <c r="BC4" s="3" t="s">
        <v>107</v>
      </c>
      <c r="BD4" s="3" t="s">
        <v>108</v>
      </c>
    </row>
    <row r="5" spans="1:56" ht="52.5" customHeight="1" x14ac:dyDescent="0.25">
      <c r="A5" s="7" t="s">
        <v>59</v>
      </c>
      <c r="B5" s="2" t="s">
        <v>109</v>
      </c>
      <c r="C5" s="2" t="s">
        <v>110</v>
      </c>
      <c r="D5" s="2" t="s">
        <v>111</v>
      </c>
      <c r="E5" s="3" t="s">
        <v>112</v>
      </c>
      <c r="F5" s="3" t="s">
        <v>59</v>
      </c>
      <c r="G5" s="3" t="s">
        <v>60</v>
      </c>
      <c r="H5" s="3" t="s">
        <v>59</v>
      </c>
      <c r="I5" s="3" t="s">
        <v>59</v>
      </c>
      <c r="J5" s="3" t="s">
        <v>61</v>
      </c>
      <c r="K5" s="2" t="s">
        <v>113</v>
      </c>
      <c r="L5" s="2" t="s">
        <v>114</v>
      </c>
      <c r="M5" s="3" t="s">
        <v>115</v>
      </c>
      <c r="O5" s="3" t="s">
        <v>65</v>
      </c>
      <c r="P5" s="3" t="s">
        <v>66</v>
      </c>
      <c r="Q5" s="2" t="s">
        <v>116</v>
      </c>
      <c r="R5" s="3" t="s">
        <v>68</v>
      </c>
      <c r="S5" s="4">
        <v>1</v>
      </c>
      <c r="T5" s="4">
        <v>1</v>
      </c>
      <c r="U5" s="5" t="s">
        <v>117</v>
      </c>
      <c r="V5" s="5" t="s">
        <v>117</v>
      </c>
      <c r="W5" s="5" t="s">
        <v>70</v>
      </c>
      <c r="X5" s="5" t="s">
        <v>70</v>
      </c>
      <c r="Y5" s="4">
        <v>258</v>
      </c>
      <c r="Z5" s="4">
        <v>215</v>
      </c>
      <c r="AA5" s="4">
        <v>218</v>
      </c>
      <c r="AB5" s="4">
        <v>4</v>
      </c>
      <c r="AC5" s="4">
        <v>4</v>
      </c>
      <c r="AD5" s="4">
        <v>10</v>
      </c>
      <c r="AE5" s="4">
        <v>10</v>
      </c>
      <c r="AF5" s="4">
        <v>2</v>
      </c>
      <c r="AG5" s="4">
        <v>2</v>
      </c>
      <c r="AH5" s="4">
        <v>3</v>
      </c>
      <c r="AI5" s="4">
        <v>3</v>
      </c>
      <c r="AJ5" s="4">
        <v>5</v>
      </c>
      <c r="AK5" s="4">
        <v>5</v>
      </c>
      <c r="AL5" s="4">
        <v>3</v>
      </c>
      <c r="AM5" s="4">
        <v>3</v>
      </c>
      <c r="AN5" s="4">
        <v>0</v>
      </c>
      <c r="AO5" s="4">
        <v>0</v>
      </c>
      <c r="AP5" s="3" t="s">
        <v>59</v>
      </c>
      <c r="AQ5" s="3" t="s">
        <v>71</v>
      </c>
      <c r="AR5" s="6" t="str">
        <f>HYPERLINK("http://catalog.hathitrust.org/Record/001578239","HathiTrust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HYPERLINK("https://creighton-primo.hosted.exlibrisgroup.com/primo-explore/search?tab=default_tab&amp;search_scope=EVERYTHING&amp;vid=01CRU&amp;lang=en_US&amp;offset=0&amp;query=any,contains,991002344769702656","Catalog Record")</f>
        <v>Catalog Record</v>
      </c>
      <c r="AT5" s="6" t="str">
        <f>HYPERLINK("http://www.worldcat.org/oclc/324461","WorldCat Record")</f>
        <v>WorldCat Record</v>
      </c>
      <c r="AU5" s="3" t="s">
        <v>118</v>
      </c>
      <c r="AV5" s="3" t="s">
        <v>119</v>
      </c>
      <c r="AW5" s="3" t="s">
        <v>120</v>
      </c>
      <c r="AX5" s="3" t="s">
        <v>120</v>
      </c>
      <c r="AY5" s="3" t="s">
        <v>121</v>
      </c>
      <c r="AZ5" s="3" t="s">
        <v>76</v>
      </c>
      <c r="BB5" s="3" t="s">
        <v>122</v>
      </c>
      <c r="BC5" s="3" t="s">
        <v>123</v>
      </c>
      <c r="BD5" s="3" t="s">
        <v>124</v>
      </c>
    </row>
    <row r="6" spans="1:56" ht="52.5" customHeight="1" x14ac:dyDescent="0.25">
      <c r="A6" s="7" t="s">
        <v>59</v>
      </c>
      <c r="B6" s="2" t="s">
        <v>125</v>
      </c>
      <c r="C6" s="2" t="s">
        <v>126</v>
      </c>
      <c r="D6" s="2" t="s">
        <v>127</v>
      </c>
      <c r="E6" s="3" t="s">
        <v>128</v>
      </c>
      <c r="F6" s="3" t="s">
        <v>59</v>
      </c>
      <c r="G6" s="3" t="s">
        <v>60</v>
      </c>
      <c r="H6" s="3" t="s">
        <v>59</v>
      </c>
      <c r="I6" s="3" t="s">
        <v>59</v>
      </c>
      <c r="J6" s="3" t="s">
        <v>61</v>
      </c>
      <c r="K6" s="2" t="s">
        <v>129</v>
      </c>
      <c r="L6" s="2" t="s">
        <v>130</v>
      </c>
      <c r="M6" s="3" t="s">
        <v>131</v>
      </c>
      <c r="O6" s="3" t="s">
        <v>65</v>
      </c>
      <c r="P6" s="3" t="s">
        <v>66</v>
      </c>
      <c r="Q6" s="2" t="s">
        <v>132</v>
      </c>
      <c r="R6" s="3" t="s">
        <v>68</v>
      </c>
      <c r="S6" s="4">
        <v>1</v>
      </c>
      <c r="T6" s="4">
        <v>1</v>
      </c>
      <c r="U6" s="5" t="s">
        <v>133</v>
      </c>
      <c r="V6" s="5" t="s">
        <v>133</v>
      </c>
      <c r="W6" s="5" t="s">
        <v>134</v>
      </c>
      <c r="X6" s="5" t="s">
        <v>134</v>
      </c>
      <c r="Y6" s="4">
        <v>380</v>
      </c>
      <c r="Z6" s="4">
        <v>301</v>
      </c>
      <c r="AA6" s="4">
        <v>308</v>
      </c>
      <c r="AB6" s="4">
        <v>4</v>
      </c>
      <c r="AC6" s="4">
        <v>4</v>
      </c>
      <c r="AD6" s="4">
        <v>17</v>
      </c>
      <c r="AE6" s="4">
        <v>17</v>
      </c>
      <c r="AF6" s="4">
        <v>4</v>
      </c>
      <c r="AG6" s="4">
        <v>4</v>
      </c>
      <c r="AH6" s="4">
        <v>6</v>
      </c>
      <c r="AI6" s="4">
        <v>6</v>
      </c>
      <c r="AJ6" s="4">
        <v>9</v>
      </c>
      <c r="AK6" s="4">
        <v>9</v>
      </c>
      <c r="AL6" s="4">
        <v>3</v>
      </c>
      <c r="AM6" s="4">
        <v>3</v>
      </c>
      <c r="AN6" s="4">
        <v>0</v>
      </c>
      <c r="AO6" s="4">
        <v>0</v>
      </c>
      <c r="AP6" s="3" t="s">
        <v>59</v>
      </c>
      <c r="AQ6" s="3" t="s">
        <v>71</v>
      </c>
      <c r="AR6" s="6" t="str">
        <f>HYPERLINK("http://catalog.hathitrust.org/Record/001685062","HathiTrust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HYPERLINK("https://creighton-primo.hosted.exlibrisgroup.com/primo-explore/search?tab=default_tab&amp;search_scope=EVERYTHING&amp;vid=01CRU&amp;lang=en_US&amp;offset=0&amp;query=any,contains,991003092499702656","Catalog Record")</f>
        <v>Catalog Record</v>
      </c>
      <c r="AT6" s="6" t="str">
        <f>HYPERLINK("http://www.worldcat.org/oclc/866635","WorldCat Record")</f>
        <v>WorldCat Record</v>
      </c>
      <c r="AU6" s="3" t="s">
        <v>135</v>
      </c>
      <c r="AV6" s="3" t="s">
        <v>136</v>
      </c>
      <c r="AW6" s="3" t="s">
        <v>137</v>
      </c>
      <c r="AX6" s="3" t="s">
        <v>137</v>
      </c>
      <c r="AY6" s="3" t="s">
        <v>138</v>
      </c>
      <c r="AZ6" s="3" t="s">
        <v>76</v>
      </c>
      <c r="BB6" s="3" t="s">
        <v>139</v>
      </c>
      <c r="BC6" s="3" t="s">
        <v>140</v>
      </c>
      <c r="BD6" s="3" t="s">
        <v>141</v>
      </c>
    </row>
    <row r="7" spans="1:56" ht="52.5" customHeight="1" x14ac:dyDescent="0.25">
      <c r="A7" s="7" t="s">
        <v>59</v>
      </c>
      <c r="B7" s="2" t="s">
        <v>142</v>
      </c>
      <c r="C7" s="2" t="s">
        <v>143</v>
      </c>
      <c r="D7" s="2" t="s">
        <v>144</v>
      </c>
      <c r="E7" s="3" t="s">
        <v>145</v>
      </c>
      <c r="F7" s="3" t="s">
        <v>59</v>
      </c>
      <c r="G7" s="3" t="s">
        <v>60</v>
      </c>
      <c r="H7" s="3" t="s">
        <v>59</v>
      </c>
      <c r="I7" s="3" t="s">
        <v>59</v>
      </c>
      <c r="J7" s="3" t="s">
        <v>61</v>
      </c>
      <c r="K7" s="2" t="s">
        <v>146</v>
      </c>
      <c r="L7" s="2" t="s">
        <v>147</v>
      </c>
      <c r="M7" s="3" t="s">
        <v>148</v>
      </c>
      <c r="O7" s="3" t="s">
        <v>65</v>
      </c>
      <c r="P7" s="3" t="s">
        <v>66</v>
      </c>
      <c r="Q7" s="2" t="s">
        <v>149</v>
      </c>
      <c r="R7" s="3" t="s">
        <v>68</v>
      </c>
      <c r="S7" s="4">
        <v>1</v>
      </c>
      <c r="T7" s="4">
        <v>1</v>
      </c>
      <c r="U7" s="5" t="s">
        <v>150</v>
      </c>
      <c r="V7" s="5" t="s">
        <v>150</v>
      </c>
      <c r="W7" s="5" t="s">
        <v>134</v>
      </c>
      <c r="X7" s="5" t="s">
        <v>134</v>
      </c>
      <c r="Y7" s="4">
        <v>397</v>
      </c>
      <c r="Z7" s="4">
        <v>332</v>
      </c>
      <c r="AA7" s="4">
        <v>344</v>
      </c>
      <c r="AB7" s="4">
        <v>4</v>
      </c>
      <c r="AC7" s="4">
        <v>4</v>
      </c>
      <c r="AD7" s="4">
        <v>17</v>
      </c>
      <c r="AE7" s="4">
        <v>17</v>
      </c>
      <c r="AF7" s="4">
        <v>4</v>
      </c>
      <c r="AG7" s="4">
        <v>4</v>
      </c>
      <c r="AH7" s="4">
        <v>3</v>
      </c>
      <c r="AI7" s="4">
        <v>3</v>
      </c>
      <c r="AJ7" s="4">
        <v>10</v>
      </c>
      <c r="AK7" s="4">
        <v>10</v>
      </c>
      <c r="AL7" s="4">
        <v>3</v>
      </c>
      <c r="AM7" s="4">
        <v>3</v>
      </c>
      <c r="AN7" s="4">
        <v>0</v>
      </c>
      <c r="AO7" s="4">
        <v>0</v>
      </c>
      <c r="AP7" s="3" t="s">
        <v>59</v>
      </c>
      <c r="AQ7" s="3" t="s">
        <v>71</v>
      </c>
      <c r="AR7" s="6" t="str">
        <f>HYPERLINK("http://catalog.hathitrust.org/Record/007113352","HathiTrust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HYPERLINK("https://creighton-primo.hosted.exlibrisgroup.com/primo-explore/search?tab=default_tab&amp;search_scope=EVERYTHING&amp;vid=01CRU&amp;lang=en_US&amp;offset=0&amp;query=any,contains,991003112349702656","Catalog Record")</f>
        <v>Catalog Record</v>
      </c>
      <c r="AT7" s="6" t="str">
        <f>HYPERLINK("http://www.worldcat.org/oclc/2202416","WorldCat Record")</f>
        <v>WorldCat Record</v>
      </c>
      <c r="AU7" s="3" t="s">
        <v>151</v>
      </c>
      <c r="AV7" s="3" t="s">
        <v>152</v>
      </c>
      <c r="AW7" s="3" t="s">
        <v>153</v>
      </c>
      <c r="AX7" s="3" t="s">
        <v>153</v>
      </c>
      <c r="AY7" s="3" t="s">
        <v>154</v>
      </c>
      <c r="AZ7" s="3" t="s">
        <v>76</v>
      </c>
      <c r="BB7" s="3" t="s">
        <v>155</v>
      </c>
      <c r="BC7" s="3" t="s">
        <v>156</v>
      </c>
      <c r="BD7" s="3" t="s">
        <v>157</v>
      </c>
    </row>
    <row r="8" spans="1:56" ht="52.5" customHeight="1" x14ac:dyDescent="0.25">
      <c r="A8" s="7" t="s">
        <v>59</v>
      </c>
      <c r="B8" s="2" t="s">
        <v>158</v>
      </c>
      <c r="C8" s="2" t="s">
        <v>159</v>
      </c>
      <c r="D8" s="2" t="s">
        <v>160</v>
      </c>
      <c r="E8" s="3" t="s">
        <v>161</v>
      </c>
      <c r="F8" s="3" t="s">
        <v>59</v>
      </c>
      <c r="G8" s="3" t="s">
        <v>60</v>
      </c>
      <c r="H8" s="3" t="s">
        <v>59</v>
      </c>
      <c r="I8" s="3" t="s">
        <v>59</v>
      </c>
      <c r="J8" s="3" t="s">
        <v>61</v>
      </c>
      <c r="K8" s="2" t="s">
        <v>162</v>
      </c>
      <c r="L8" s="2" t="s">
        <v>163</v>
      </c>
      <c r="M8" s="3" t="s">
        <v>164</v>
      </c>
      <c r="O8" s="3" t="s">
        <v>65</v>
      </c>
      <c r="P8" s="3" t="s">
        <v>66</v>
      </c>
      <c r="Q8" s="2" t="s">
        <v>165</v>
      </c>
      <c r="R8" s="3" t="s">
        <v>68</v>
      </c>
      <c r="S8" s="4">
        <v>1</v>
      </c>
      <c r="T8" s="4">
        <v>1</v>
      </c>
      <c r="U8" s="5" t="s">
        <v>166</v>
      </c>
      <c r="V8" s="5" t="s">
        <v>166</v>
      </c>
      <c r="W8" s="5" t="s">
        <v>134</v>
      </c>
      <c r="X8" s="5" t="s">
        <v>134</v>
      </c>
      <c r="Y8" s="4">
        <v>398</v>
      </c>
      <c r="Z8" s="4">
        <v>327</v>
      </c>
      <c r="AA8" s="4">
        <v>370</v>
      </c>
      <c r="AB8" s="4">
        <v>4</v>
      </c>
      <c r="AC8" s="4">
        <v>4</v>
      </c>
      <c r="AD8" s="4">
        <v>18</v>
      </c>
      <c r="AE8" s="4">
        <v>21</v>
      </c>
      <c r="AF8" s="4">
        <v>4</v>
      </c>
      <c r="AG8" s="4">
        <v>6</v>
      </c>
      <c r="AH8" s="4">
        <v>4</v>
      </c>
      <c r="AI8" s="4">
        <v>4</v>
      </c>
      <c r="AJ8" s="4">
        <v>10</v>
      </c>
      <c r="AK8" s="4">
        <v>13</v>
      </c>
      <c r="AL8" s="4">
        <v>3</v>
      </c>
      <c r="AM8" s="4">
        <v>3</v>
      </c>
      <c r="AN8" s="4">
        <v>0</v>
      </c>
      <c r="AO8" s="4">
        <v>0</v>
      </c>
      <c r="AP8" s="3" t="s">
        <v>59</v>
      </c>
      <c r="AQ8" s="3" t="s">
        <v>71</v>
      </c>
      <c r="AR8" s="6" t="str">
        <f>HYPERLINK("http://catalog.hathitrust.org/Record/000687089","HathiTrust Record")</f>
        <v>HathiTrust Record</v>
      </c>
      <c r="AS8" s="6" t="str">
        <f>HYPERLINK("https://creighton-primo.hosted.exlibrisgroup.com/primo-explore/search?tab=default_tab&amp;search_scope=EVERYTHING&amp;vid=01CRU&amp;lang=en_US&amp;offset=0&amp;query=any,contains,991003142689702656","Catalog Record")</f>
        <v>Catalog Record</v>
      </c>
      <c r="AT8" s="6" t="str">
        <f>HYPERLINK("http://www.worldcat.org/oclc/5990571","WorldCat Record")</f>
        <v>WorldCat Record</v>
      </c>
      <c r="AU8" s="3" t="s">
        <v>167</v>
      </c>
      <c r="AV8" s="3" t="s">
        <v>168</v>
      </c>
      <c r="AW8" s="3" t="s">
        <v>169</v>
      </c>
      <c r="AX8" s="3" t="s">
        <v>169</v>
      </c>
      <c r="AY8" s="3" t="s">
        <v>170</v>
      </c>
      <c r="AZ8" s="3" t="s">
        <v>76</v>
      </c>
      <c r="BB8" s="3" t="s">
        <v>171</v>
      </c>
      <c r="BC8" s="3" t="s">
        <v>172</v>
      </c>
      <c r="BD8" s="3" t="s">
        <v>173</v>
      </c>
    </row>
    <row r="9" spans="1:56" ht="52.5" customHeight="1" x14ac:dyDescent="0.25">
      <c r="A9" s="7" t="s">
        <v>59</v>
      </c>
      <c r="B9" s="2" t="s">
        <v>174</v>
      </c>
      <c r="C9" s="2" t="s">
        <v>175</v>
      </c>
      <c r="D9" s="2" t="s">
        <v>176</v>
      </c>
      <c r="E9" s="3" t="s">
        <v>177</v>
      </c>
      <c r="F9" s="3" t="s">
        <v>59</v>
      </c>
      <c r="G9" s="3" t="s">
        <v>60</v>
      </c>
      <c r="H9" s="3" t="s">
        <v>59</v>
      </c>
      <c r="I9" s="3" t="s">
        <v>59</v>
      </c>
      <c r="J9" s="3" t="s">
        <v>61</v>
      </c>
      <c r="K9" s="2" t="s">
        <v>178</v>
      </c>
      <c r="L9" s="2" t="s">
        <v>179</v>
      </c>
      <c r="M9" s="3" t="s">
        <v>180</v>
      </c>
      <c r="O9" s="3" t="s">
        <v>65</v>
      </c>
      <c r="P9" s="3" t="s">
        <v>66</v>
      </c>
      <c r="Q9" s="2" t="s">
        <v>181</v>
      </c>
      <c r="R9" s="3" t="s">
        <v>68</v>
      </c>
      <c r="S9" s="4">
        <v>4</v>
      </c>
      <c r="T9" s="4">
        <v>4</v>
      </c>
      <c r="U9" s="5" t="s">
        <v>182</v>
      </c>
      <c r="V9" s="5" t="s">
        <v>182</v>
      </c>
      <c r="W9" s="5" t="s">
        <v>70</v>
      </c>
      <c r="X9" s="5" t="s">
        <v>70</v>
      </c>
      <c r="Y9" s="4">
        <v>539</v>
      </c>
      <c r="Z9" s="4">
        <v>454</v>
      </c>
      <c r="AA9" s="4">
        <v>465</v>
      </c>
      <c r="AB9" s="4">
        <v>4</v>
      </c>
      <c r="AC9" s="4">
        <v>4</v>
      </c>
      <c r="AD9" s="4">
        <v>28</v>
      </c>
      <c r="AE9" s="4">
        <v>28</v>
      </c>
      <c r="AF9" s="4">
        <v>9</v>
      </c>
      <c r="AG9" s="4">
        <v>9</v>
      </c>
      <c r="AH9" s="4">
        <v>8</v>
      </c>
      <c r="AI9" s="4">
        <v>8</v>
      </c>
      <c r="AJ9" s="4">
        <v>16</v>
      </c>
      <c r="AK9" s="4">
        <v>16</v>
      </c>
      <c r="AL9" s="4">
        <v>3</v>
      </c>
      <c r="AM9" s="4">
        <v>3</v>
      </c>
      <c r="AN9" s="4">
        <v>0</v>
      </c>
      <c r="AO9" s="4">
        <v>0</v>
      </c>
      <c r="AP9" s="3" t="s">
        <v>59</v>
      </c>
      <c r="AQ9" s="3" t="s">
        <v>71</v>
      </c>
      <c r="AR9" s="6" t="str">
        <f>HYPERLINK("http://catalog.hathitrust.org/Record/000428086","HathiTrust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HYPERLINK("https://creighton-primo.hosted.exlibrisgroup.com/primo-explore/search?tab=default_tab&amp;search_scope=EVERYTHING&amp;vid=01CRU&amp;lang=en_US&amp;offset=0&amp;query=any,contains,991004207779702656","Catalog Record")</f>
        <v>Catalog Record</v>
      </c>
      <c r="AT9" s="6" t="str">
        <f>HYPERLINK("http://www.worldcat.org/oclc/2672362","WorldCat Record")</f>
        <v>WorldCat Record</v>
      </c>
      <c r="AU9" s="3" t="s">
        <v>183</v>
      </c>
      <c r="AV9" s="3" t="s">
        <v>184</v>
      </c>
      <c r="AW9" s="3" t="s">
        <v>185</v>
      </c>
      <c r="AX9" s="3" t="s">
        <v>185</v>
      </c>
      <c r="AY9" s="3" t="s">
        <v>186</v>
      </c>
      <c r="AZ9" s="3" t="s">
        <v>76</v>
      </c>
      <c r="BC9" s="3" t="s">
        <v>187</v>
      </c>
      <c r="BD9" s="3" t="s">
        <v>188</v>
      </c>
    </row>
    <row r="10" spans="1:56" ht="52.5" customHeight="1" x14ac:dyDescent="0.25">
      <c r="A10" s="7" t="s">
        <v>59</v>
      </c>
      <c r="B10" s="2" t="s">
        <v>189</v>
      </c>
      <c r="C10" s="2" t="s">
        <v>190</v>
      </c>
      <c r="D10" s="2" t="s">
        <v>191</v>
      </c>
      <c r="E10" s="3" t="s">
        <v>192</v>
      </c>
      <c r="F10" s="3" t="s">
        <v>59</v>
      </c>
      <c r="G10" s="3" t="s">
        <v>60</v>
      </c>
      <c r="H10" s="3" t="s">
        <v>59</v>
      </c>
      <c r="I10" s="3" t="s">
        <v>59</v>
      </c>
      <c r="J10" s="3" t="s">
        <v>61</v>
      </c>
      <c r="K10" s="2" t="s">
        <v>193</v>
      </c>
      <c r="L10" s="2" t="s">
        <v>194</v>
      </c>
      <c r="M10" s="3" t="s">
        <v>195</v>
      </c>
      <c r="O10" s="3" t="s">
        <v>65</v>
      </c>
      <c r="P10" s="3" t="s">
        <v>66</v>
      </c>
      <c r="Q10" s="2" t="s">
        <v>196</v>
      </c>
      <c r="R10" s="3" t="s">
        <v>68</v>
      </c>
      <c r="S10" s="4">
        <v>2</v>
      </c>
      <c r="T10" s="4">
        <v>2</v>
      </c>
      <c r="U10" s="5" t="s">
        <v>197</v>
      </c>
      <c r="V10" s="5" t="s">
        <v>197</v>
      </c>
      <c r="W10" s="5" t="s">
        <v>134</v>
      </c>
      <c r="X10" s="5" t="s">
        <v>134</v>
      </c>
      <c r="Y10" s="4">
        <v>379</v>
      </c>
      <c r="Z10" s="4">
        <v>312</v>
      </c>
      <c r="AA10" s="4">
        <v>314</v>
      </c>
      <c r="AB10" s="4">
        <v>5</v>
      </c>
      <c r="AC10" s="4">
        <v>5</v>
      </c>
      <c r="AD10" s="4">
        <v>10</v>
      </c>
      <c r="AE10" s="4">
        <v>10</v>
      </c>
      <c r="AF10" s="4">
        <v>1</v>
      </c>
      <c r="AG10" s="4">
        <v>1</v>
      </c>
      <c r="AH10" s="4">
        <v>2</v>
      </c>
      <c r="AI10" s="4">
        <v>2</v>
      </c>
      <c r="AJ10" s="4">
        <v>6</v>
      </c>
      <c r="AK10" s="4">
        <v>6</v>
      </c>
      <c r="AL10" s="4">
        <v>3</v>
      </c>
      <c r="AM10" s="4">
        <v>3</v>
      </c>
      <c r="AN10" s="4">
        <v>0</v>
      </c>
      <c r="AO10" s="4">
        <v>0</v>
      </c>
      <c r="AP10" s="3" t="s">
        <v>59</v>
      </c>
      <c r="AQ10" s="3" t="s">
        <v>71</v>
      </c>
      <c r="AR10" s="6" t="str">
        <f>HYPERLINK("http://catalog.hathitrust.org/Record/000228742","HathiTrust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HYPERLINK("https://creighton-primo.hosted.exlibrisgroup.com/primo-explore/search?tab=default_tab&amp;search_scope=EVERYTHING&amp;vid=01CRU&amp;lang=en_US&amp;offset=0&amp;query=any,contains,991003157249702656","Catalog Record")</f>
        <v>Catalog Record</v>
      </c>
      <c r="AT10" s="6" t="str">
        <f>HYPERLINK("http://www.worldcat.org/oclc/8115050","WorldCat Record")</f>
        <v>WorldCat Record</v>
      </c>
      <c r="AU10" s="3" t="s">
        <v>198</v>
      </c>
      <c r="AV10" s="3" t="s">
        <v>199</v>
      </c>
      <c r="AW10" s="3" t="s">
        <v>200</v>
      </c>
      <c r="AX10" s="3" t="s">
        <v>200</v>
      </c>
      <c r="AY10" s="3" t="s">
        <v>201</v>
      </c>
      <c r="AZ10" s="3" t="s">
        <v>76</v>
      </c>
      <c r="BB10" s="3" t="s">
        <v>202</v>
      </c>
      <c r="BC10" s="3" t="s">
        <v>203</v>
      </c>
      <c r="BD10" s="3" t="s">
        <v>204</v>
      </c>
    </row>
    <row r="11" spans="1:56" ht="52.5" customHeight="1" x14ac:dyDescent="0.25">
      <c r="A11" s="7" t="s">
        <v>59</v>
      </c>
      <c r="B11" s="2" t="s">
        <v>205</v>
      </c>
      <c r="C11" s="2" t="s">
        <v>206</v>
      </c>
      <c r="D11" s="2" t="s">
        <v>207</v>
      </c>
      <c r="E11" s="3" t="s">
        <v>208</v>
      </c>
      <c r="F11" s="3" t="s">
        <v>59</v>
      </c>
      <c r="G11" s="3" t="s">
        <v>60</v>
      </c>
      <c r="H11" s="3" t="s">
        <v>59</v>
      </c>
      <c r="I11" s="3" t="s">
        <v>59</v>
      </c>
      <c r="J11" s="3" t="s">
        <v>61</v>
      </c>
      <c r="K11" s="2" t="s">
        <v>209</v>
      </c>
      <c r="L11" s="2" t="s">
        <v>210</v>
      </c>
      <c r="M11" s="3" t="s">
        <v>180</v>
      </c>
      <c r="O11" s="3" t="s">
        <v>65</v>
      </c>
      <c r="P11" s="3" t="s">
        <v>66</v>
      </c>
      <c r="Q11" s="2" t="s">
        <v>211</v>
      </c>
      <c r="R11" s="3" t="s">
        <v>68</v>
      </c>
      <c r="S11" s="4">
        <v>2</v>
      </c>
      <c r="T11" s="4">
        <v>2</v>
      </c>
      <c r="U11" s="5" t="s">
        <v>212</v>
      </c>
      <c r="V11" s="5" t="s">
        <v>212</v>
      </c>
      <c r="W11" s="5" t="s">
        <v>70</v>
      </c>
      <c r="X11" s="5" t="s">
        <v>70</v>
      </c>
      <c r="Y11" s="4">
        <v>294</v>
      </c>
      <c r="Z11" s="4">
        <v>250</v>
      </c>
      <c r="AA11" s="4">
        <v>334</v>
      </c>
      <c r="AB11" s="4">
        <v>3</v>
      </c>
      <c r="AC11" s="4">
        <v>4</v>
      </c>
      <c r="AD11" s="4">
        <v>13</v>
      </c>
      <c r="AE11" s="4">
        <v>19</v>
      </c>
      <c r="AF11" s="4">
        <v>2</v>
      </c>
      <c r="AG11" s="4">
        <v>4</v>
      </c>
      <c r="AH11" s="4">
        <v>4</v>
      </c>
      <c r="AI11" s="4">
        <v>4</v>
      </c>
      <c r="AJ11" s="4">
        <v>7</v>
      </c>
      <c r="AK11" s="4">
        <v>10</v>
      </c>
      <c r="AL11" s="4">
        <v>2</v>
      </c>
      <c r="AM11" s="4">
        <v>3</v>
      </c>
      <c r="AN11" s="4">
        <v>0</v>
      </c>
      <c r="AO11" s="4">
        <v>0</v>
      </c>
      <c r="AP11" s="3" t="s">
        <v>71</v>
      </c>
      <c r="AQ11" s="3" t="s">
        <v>59</v>
      </c>
      <c r="AR11" s="6" t="str">
        <f>HYPERLINK("http://catalog.hathitrust.org/Record/002093191","HathiTrust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HYPERLINK("https://creighton-primo.hosted.exlibrisgroup.com/primo-explore/search?tab=default_tab&amp;search_scope=EVERYTHING&amp;vid=01CRU&amp;lang=en_US&amp;offset=0&amp;query=any,contains,991001902919702656","Catalog Record")</f>
        <v>Catalog Record</v>
      </c>
      <c r="AT11" s="6" t="str">
        <f>HYPERLINK("http://www.worldcat.org/oclc/239401","WorldCat Record")</f>
        <v>WorldCat Record</v>
      </c>
      <c r="AU11" s="3" t="s">
        <v>213</v>
      </c>
      <c r="AV11" s="3" t="s">
        <v>214</v>
      </c>
      <c r="AW11" s="3" t="s">
        <v>215</v>
      </c>
      <c r="AX11" s="3" t="s">
        <v>215</v>
      </c>
      <c r="AY11" s="3" t="s">
        <v>216</v>
      </c>
      <c r="AZ11" s="3" t="s">
        <v>76</v>
      </c>
      <c r="BC11" s="3" t="s">
        <v>217</v>
      </c>
      <c r="BD11" s="3" t="s">
        <v>218</v>
      </c>
    </row>
    <row r="12" spans="1:56" ht="52.5" customHeight="1" x14ac:dyDescent="0.25">
      <c r="A12" s="7" t="s">
        <v>59</v>
      </c>
      <c r="B12" s="2" t="s">
        <v>219</v>
      </c>
      <c r="C12" s="2" t="s">
        <v>220</v>
      </c>
      <c r="D12" s="2" t="s">
        <v>221</v>
      </c>
      <c r="F12" s="3" t="s">
        <v>59</v>
      </c>
      <c r="G12" s="3" t="s">
        <v>60</v>
      </c>
      <c r="H12" s="3" t="s">
        <v>59</v>
      </c>
      <c r="I12" s="3" t="s">
        <v>59</v>
      </c>
      <c r="J12" s="3" t="s">
        <v>61</v>
      </c>
      <c r="K12" s="2" t="s">
        <v>222</v>
      </c>
      <c r="L12" s="2" t="s">
        <v>223</v>
      </c>
      <c r="M12" s="3" t="s">
        <v>224</v>
      </c>
      <c r="O12" s="3" t="s">
        <v>65</v>
      </c>
      <c r="P12" s="3" t="s">
        <v>66</v>
      </c>
      <c r="Q12" s="2" t="s">
        <v>225</v>
      </c>
      <c r="R12" s="3" t="s">
        <v>68</v>
      </c>
      <c r="S12" s="4">
        <v>5</v>
      </c>
      <c r="T12" s="4">
        <v>5</v>
      </c>
      <c r="U12" s="5" t="s">
        <v>226</v>
      </c>
      <c r="V12" s="5" t="s">
        <v>226</v>
      </c>
      <c r="W12" s="5" t="s">
        <v>227</v>
      </c>
      <c r="X12" s="5" t="s">
        <v>227</v>
      </c>
      <c r="Y12" s="4">
        <v>64</v>
      </c>
      <c r="Z12" s="4">
        <v>57</v>
      </c>
      <c r="AA12" s="4">
        <v>341</v>
      </c>
      <c r="AB12" s="4">
        <v>1</v>
      </c>
      <c r="AC12" s="4">
        <v>2</v>
      </c>
      <c r="AD12" s="4">
        <v>0</v>
      </c>
      <c r="AE12" s="4">
        <v>12</v>
      </c>
      <c r="AF12" s="4">
        <v>0</v>
      </c>
      <c r="AG12" s="4">
        <v>4</v>
      </c>
      <c r="AH12" s="4">
        <v>0</v>
      </c>
      <c r="AI12" s="4">
        <v>1</v>
      </c>
      <c r="AJ12" s="4">
        <v>0</v>
      </c>
      <c r="AK12" s="4">
        <v>9</v>
      </c>
      <c r="AL12" s="4">
        <v>0</v>
      </c>
      <c r="AM12" s="4">
        <v>1</v>
      </c>
      <c r="AN12" s="4">
        <v>0</v>
      </c>
      <c r="AO12" s="4">
        <v>0</v>
      </c>
      <c r="AP12" s="3" t="s">
        <v>59</v>
      </c>
      <c r="AQ12" s="3" t="s">
        <v>59</v>
      </c>
      <c r="AS12" s="6" t="str">
        <f>HYPERLINK("https://creighton-primo.hosted.exlibrisgroup.com/primo-explore/search?tab=default_tab&amp;search_scope=EVERYTHING&amp;vid=01CRU&amp;lang=en_US&amp;offset=0&amp;query=any,contains,991003704499702656","Catalog Record")</f>
        <v>Catalog Record</v>
      </c>
      <c r="AT12" s="6" t="str">
        <f>HYPERLINK("http://www.worldcat.org/oclc/1341365","WorldCat Record")</f>
        <v>WorldCat Record</v>
      </c>
      <c r="AU12" s="3" t="s">
        <v>228</v>
      </c>
      <c r="AV12" s="3" t="s">
        <v>229</v>
      </c>
      <c r="AW12" s="3" t="s">
        <v>230</v>
      </c>
      <c r="AX12" s="3" t="s">
        <v>230</v>
      </c>
      <c r="AY12" s="3" t="s">
        <v>231</v>
      </c>
      <c r="AZ12" s="3" t="s">
        <v>76</v>
      </c>
      <c r="BB12" s="3" t="s">
        <v>232</v>
      </c>
      <c r="BC12" s="3" t="s">
        <v>233</v>
      </c>
      <c r="BD12" s="3" t="s">
        <v>234</v>
      </c>
    </row>
    <row r="13" spans="1:56" ht="52.5" customHeight="1" x14ac:dyDescent="0.25">
      <c r="A13" s="7" t="s">
        <v>59</v>
      </c>
      <c r="B13" s="2" t="s">
        <v>235</v>
      </c>
      <c r="C13" s="2" t="s">
        <v>236</v>
      </c>
      <c r="D13" s="2" t="s">
        <v>237</v>
      </c>
      <c r="F13" s="3" t="s">
        <v>59</v>
      </c>
      <c r="G13" s="3" t="s">
        <v>60</v>
      </c>
      <c r="H13" s="3" t="s">
        <v>59</v>
      </c>
      <c r="I13" s="3" t="s">
        <v>59</v>
      </c>
      <c r="J13" s="3" t="s">
        <v>61</v>
      </c>
      <c r="K13" s="2" t="s">
        <v>238</v>
      </c>
      <c r="L13" s="2" t="s">
        <v>239</v>
      </c>
      <c r="M13" s="3" t="s">
        <v>195</v>
      </c>
      <c r="O13" s="3" t="s">
        <v>65</v>
      </c>
      <c r="P13" s="3" t="s">
        <v>66</v>
      </c>
      <c r="R13" s="3" t="s">
        <v>68</v>
      </c>
      <c r="S13" s="4">
        <v>1</v>
      </c>
      <c r="T13" s="4">
        <v>1</v>
      </c>
      <c r="U13" s="5" t="s">
        <v>240</v>
      </c>
      <c r="V13" s="5" t="s">
        <v>240</v>
      </c>
      <c r="W13" s="5" t="s">
        <v>241</v>
      </c>
      <c r="X13" s="5" t="s">
        <v>241</v>
      </c>
      <c r="Y13" s="4">
        <v>692</v>
      </c>
      <c r="Z13" s="4">
        <v>576</v>
      </c>
      <c r="AA13" s="4">
        <v>742</v>
      </c>
      <c r="AB13" s="4">
        <v>5</v>
      </c>
      <c r="AC13" s="4">
        <v>5</v>
      </c>
      <c r="AD13" s="4">
        <v>30</v>
      </c>
      <c r="AE13" s="4">
        <v>31</v>
      </c>
      <c r="AF13" s="4">
        <v>13</v>
      </c>
      <c r="AG13" s="4">
        <v>14</v>
      </c>
      <c r="AH13" s="4">
        <v>5</v>
      </c>
      <c r="AI13" s="4">
        <v>5</v>
      </c>
      <c r="AJ13" s="4">
        <v>17</v>
      </c>
      <c r="AK13" s="4">
        <v>17</v>
      </c>
      <c r="AL13" s="4">
        <v>4</v>
      </c>
      <c r="AM13" s="4">
        <v>4</v>
      </c>
      <c r="AN13" s="4">
        <v>0</v>
      </c>
      <c r="AO13" s="4">
        <v>0</v>
      </c>
      <c r="AP13" s="3" t="s">
        <v>59</v>
      </c>
      <c r="AQ13" s="3" t="s">
        <v>59</v>
      </c>
      <c r="AS13" s="6" t="str">
        <f>HYPERLINK("https://creighton-primo.hosted.exlibrisgroup.com/primo-explore/search?tab=default_tab&amp;search_scope=EVERYTHING&amp;vid=01CRU&amp;lang=en_US&amp;offset=0&amp;query=any,contains,991005153339702656","Catalog Record")</f>
        <v>Catalog Record</v>
      </c>
      <c r="AT13" s="6" t="str">
        <f>HYPERLINK("http://www.worldcat.org/oclc/7736047","WorldCat Record")</f>
        <v>WorldCat Record</v>
      </c>
      <c r="AU13" s="3" t="s">
        <v>242</v>
      </c>
      <c r="AV13" s="3" t="s">
        <v>243</v>
      </c>
      <c r="AW13" s="3" t="s">
        <v>244</v>
      </c>
      <c r="AX13" s="3" t="s">
        <v>244</v>
      </c>
      <c r="AY13" s="3" t="s">
        <v>245</v>
      </c>
      <c r="AZ13" s="3" t="s">
        <v>76</v>
      </c>
      <c r="BB13" s="3" t="s">
        <v>246</v>
      </c>
      <c r="BC13" s="3" t="s">
        <v>247</v>
      </c>
      <c r="BD13" s="3" t="s">
        <v>248</v>
      </c>
    </row>
    <row r="14" spans="1:56" ht="52.5" customHeight="1" x14ac:dyDescent="0.25">
      <c r="A14" s="7" t="s">
        <v>59</v>
      </c>
      <c r="B14" s="2" t="s">
        <v>249</v>
      </c>
      <c r="C14" s="2" t="s">
        <v>250</v>
      </c>
      <c r="D14" s="2" t="s">
        <v>251</v>
      </c>
      <c r="F14" s="3" t="s">
        <v>59</v>
      </c>
      <c r="G14" s="3" t="s">
        <v>60</v>
      </c>
      <c r="H14" s="3" t="s">
        <v>59</v>
      </c>
      <c r="I14" s="3" t="s">
        <v>59</v>
      </c>
      <c r="J14" s="3" t="s">
        <v>61</v>
      </c>
      <c r="K14" s="2" t="s">
        <v>252</v>
      </c>
      <c r="L14" s="2" t="s">
        <v>253</v>
      </c>
      <c r="M14" s="3" t="s">
        <v>254</v>
      </c>
      <c r="O14" s="3" t="s">
        <v>65</v>
      </c>
      <c r="P14" s="3" t="s">
        <v>66</v>
      </c>
      <c r="Q14" s="2" t="s">
        <v>255</v>
      </c>
      <c r="R14" s="3" t="s">
        <v>68</v>
      </c>
      <c r="S14" s="4">
        <v>8</v>
      </c>
      <c r="T14" s="4">
        <v>8</v>
      </c>
      <c r="U14" s="5" t="s">
        <v>256</v>
      </c>
      <c r="V14" s="5" t="s">
        <v>256</v>
      </c>
      <c r="W14" s="5" t="s">
        <v>227</v>
      </c>
      <c r="X14" s="5" t="s">
        <v>227</v>
      </c>
      <c r="Y14" s="4">
        <v>206</v>
      </c>
      <c r="Z14" s="4">
        <v>178</v>
      </c>
      <c r="AA14" s="4">
        <v>299</v>
      </c>
      <c r="AB14" s="4">
        <v>3</v>
      </c>
      <c r="AC14" s="4">
        <v>3</v>
      </c>
      <c r="AD14" s="4">
        <v>9</v>
      </c>
      <c r="AE14" s="4">
        <v>13</v>
      </c>
      <c r="AF14" s="4">
        <v>3</v>
      </c>
      <c r="AG14" s="4">
        <v>4</v>
      </c>
      <c r="AH14" s="4">
        <v>2</v>
      </c>
      <c r="AI14" s="4">
        <v>4</v>
      </c>
      <c r="AJ14" s="4">
        <v>5</v>
      </c>
      <c r="AK14" s="4">
        <v>8</v>
      </c>
      <c r="AL14" s="4">
        <v>1</v>
      </c>
      <c r="AM14" s="4">
        <v>1</v>
      </c>
      <c r="AN14" s="4">
        <v>0</v>
      </c>
      <c r="AO14" s="4">
        <v>0</v>
      </c>
      <c r="AP14" s="3" t="s">
        <v>59</v>
      </c>
      <c r="AQ14" s="3" t="s">
        <v>71</v>
      </c>
      <c r="AR14" s="6" t="str">
        <f>HYPERLINK("http://catalog.hathitrust.org/Record/000011544","HathiTrust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HYPERLINK("https://creighton-primo.hosted.exlibrisgroup.com/primo-explore/search?tab=default_tab&amp;search_scope=EVERYTHING&amp;vid=01CRU&amp;lang=en_US&amp;offset=0&amp;query=any,contains,991003259659702656","Catalog Record")</f>
        <v>Catalog Record</v>
      </c>
      <c r="AT14" s="6" t="str">
        <f>HYPERLINK("http://www.worldcat.org/oclc/785295","WorldCat Record")</f>
        <v>WorldCat Record</v>
      </c>
      <c r="AU14" s="3" t="s">
        <v>257</v>
      </c>
      <c r="AV14" s="3" t="s">
        <v>258</v>
      </c>
      <c r="AW14" s="3" t="s">
        <v>259</v>
      </c>
      <c r="AX14" s="3" t="s">
        <v>259</v>
      </c>
      <c r="AY14" s="3" t="s">
        <v>260</v>
      </c>
      <c r="AZ14" s="3" t="s">
        <v>76</v>
      </c>
      <c r="BC14" s="3" t="s">
        <v>261</v>
      </c>
      <c r="BD14" s="3" t="s">
        <v>262</v>
      </c>
    </row>
    <row r="15" spans="1:56" ht="52.5" customHeight="1" x14ac:dyDescent="0.25">
      <c r="A15" s="7" t="s">
        <v>59</v>
      </c>
      <c r="B15" s="2" t="s">
        <v>263</v>
      </c>
      <c r="C15" s="2" t="s">
        <v>264</v>
      </c>
      <c r="D15" s="2" t="s">
        <v>265</v>
      </c>
      <c r="F15" s="3" t="s">
        <v>59</v>
      </c>
      <c r="G15" s="3" t="s">
        <v>60</v>
      </c>
      <c r="H15" s="3" t="s">
        <v>59</v>
      </c>
      <c r="I15" s="3" t="s">
        <v>59</v>
      </c>
      <c r="J15" s="3" t="s">
        <v>61</v>
      </c>
      <c r="K15" s="2" t="s">
        <v>266</v>
      </c>
      <c r="L15" s="2" t="s">
        <v>267</v>
      </c>
      <c r="M15" s="3" t="s">
        <v>224</v>
      </c>
      <c r="O15" s="3" t="s">
        <v>65</v>
      </c>
      <c r="P15" s="3" t="s">
        <v>66</v>
      </c>
      <c r="R15" s="3" t="s">
        <v>68</v>
      </c>
      <c r="S15" s="4">
        <v>4</v>
      </c>
      <c r="T15" s="4">
        <v>4</v>
      </c>
      <c r="U15" s="5" t="s">
        <v>268</v>
      </c>
      <c r="V15" s="5" t="s">
        <v>268</v>
      </c>
      <c r="W15" s="5" t="s">
        <v>269</v>
      </c>
      <c r="X15" s="5" t="s">
        <v>269</v>
      </c>
      <c r="Y15" s="4">
        <v>166</v>
      </c>
      <c r="Z15" s="4">
        <v>160</v>
      </c>
      <c r="AA15" s="4">
        <v>190</v>
      </c>
      <c r="AB15" s="4">
        <v>2</v>
      </c>
      <c r="AC15" s="4">
        <v>2</v>
      </c>
      <c r="AD15" s="4">
        <v>7</v>
      </c>
      <c r="AE15" s="4">
        <v>7</v>
      </c>
      <c r="AF15" s="4">
        <v>1</v>
      </c>
      <c r="AG15" s="4">
        <v>1</v>
      </c>
      <c r="AH15" s="4">
        <v>1</v>
      </c>
      <c r="AI15" s="4">
        <v>1</v>
      </c>
      <c r="AJ15" s="4">
        <v>4</v>
      </c>
      <c r="AK15" s="4">
        <v>4</v>
      </c>
      <c r="AL15" s="4">
        <v>1</v>
      </c>
      <c r="AM15" s="4">
        <v>1</v>
      </c>
      <c r="AN15" s="4">
        <v>0</v>
      </c>
      <c r="AO15" s="4">
        <v>0</v>
      </c>
      <c r="AP15" s="3" t="s">
        <v>59</v>
      </c>
      <c r="AQ15" s="3" t="s">
        <v>71</v>
      </c>
      <c r="AR15" s="6" t="str">
        <f>HYPERLINK("http://catalog.hathitrust.org/Record/000023690","HathiTrust Record")</f>
        <v>HathiTrust Record</v>
      </c>
      <c r="AS15" s="6" t="str">
        <f>HYPERLINK("https://creighton-primo.hosted.exlibrisgroup.com/primo-explore/search?tab=default_tab&amp;search_scope=EVERYTHING&amp;vid=01CRU&amp;lang=en_US&amp;offset=0&amp;query=any,contains,991003746909702656","Catalog Record")</f>
        <v>Catalog Record</v>
      </c>
      <c r="AT15" s="6" t="str">
        <f>HYPERLINK("http://www.worldcat.org/oclc/1418863","WorldCat Record")</f>
        <v>WorldCat Record</v>
      </c>
      <c r="AU15" s="3" t="s">
        <v>270</v>
      </c>
      <c r="AV15" s="3" t="s">
        <v>271</v>
      </c>
      <c r="AW15" s="3" t="s">
        <v>272</v>
      </c>
      <c r="AX15" s="3" t="s">
        <v>272</v>
      </c>
      <c r="AY15" s="3" t="s">
        <v>273</v>
      </c>
      <c r="AZ15" s="3" t="s">
        <v>76</v>
      </c>
      <c r="BB15" s="3" t="s">
        <v>274</v>
      </c>
      <c r="BC15" s="3" t="s">
        <v>275</v>
      </c>
      <c r="BD15" s="3" t="s">
        <v>276</v>
      </c>
    </row>
    <row r="16" spans="1:56" ht="52.5" customHeight="1" x14ac:dyDescent="0.25">
      <c r="A16" s="7" t="s">
        <v>59</v>
      </c>
      <c r="B16" s="2" t="s">
        <v>277</v>
      </c>
      <c r="C16" s="2" t="s">
        <v>278</v>
      </c>
      <c r="D16" s="2" t="s">
        <v>279</v>
      </c>
      <c r="F16" s="3" t="s">
        <v>59</v>
      </c>
      <c r="G16" s="3" t="s">
        <v>60</v>
      </c>
      <c r="H16" s="3" t="s">
        <v>59</v>
      </c>
      <c r="I16" s="3" t="s">
        <v>59</v>
      </c>
      <c r="J16" s="3" t="s">
        <v>61</v>
      </c>
      <c r="K16" s="2" t="s">
        <v>280</v>
      </c>
      <c r="L16" s="2" t="s">
        <v>281</v>
      </c>
      <c r="M16" s="3" t="s">
        <v>282</v>
      </c>
      <c r="O16" s="3" t="s">
        <v>65</v>
      </c>
      <c r="P16" s="3" t="s">
        <v>283</v>
      </c>
      <c r="R16" s="3" t="s">
        <v>68</v>
      </c>
      <c r="S16" s="4">
        <v>3</v>
      </c>
      <c r="T16" s="4">
        <v>3</v>
      </c>
      <c r="U16" s="5" t="s">
        <v>226</v>
      </c>
      <c r="V16" s="5" t="s">
        <v>226</v>
      </c>
      <c r="W16" s="5" t="s">
        <v>227</v>
      </c>
      <c r="X16" s="5" t="s">
        <v>227</v>
      </c>
      <c r="Y16" s="4">
        <v>27</v>
      </c>
      <c r="Z16" s="4">
        <v>25</v>
      </c>
      <c r="AA16" s="4">
        <v>25</v>
      </c>
      <c r="AB16" s="4">
        <v>1</v>
      </c>
      <c r="AC16" s="4">
        <v>1</v>
      </c>
      <c r="AD16" s="4">
        <v>4</v>
      </c>
      <c r="AE16" s="4">
        <v>4</v>
      </c>
      <c r="AF16" s="4">
        <v>0</v>
      </c>
      <c r="AG16" s="4">
        <v>0</v>
      </c>
      <c r="AH16" s="4">
        <v>1</v>
      </c>
      <c r="AI16" s="4">
        <v>1</v>
      </c>
      <c r="AJ16" s="4">
        <v>3</v>
      </c>
      <c r="AK16" s="4">
        <v>3</v>
      </c>
      <c r="AL16" s="4">
        <v>0</v>
      </c>
      <c r="AM16" s="4">
        <v>0</v>
      </c>
      <c r="AN16" s="4">
        <v>0</v>
      </c>
      <c r="AO16" s="4">
        <v>0</v>
      </c>
      <c r="AP16" s="3" t="s">
        <v>59</v>
      </c>
      <c r="AQ16" s="3" t="s">
        <v>59</v>
      </c>
      <c r="AS16" s="6" t="str">
        <f>HYPERLINK("https://creighton-primo.hosted.exlibrisgroup.com/primo-explore/search?tab=default_tab&amp;search_scope=EVERYTHING&amp;vid=01CRU&amp;lang=en_US&amp;offset=0&amp;query=any,contains,991004168209702656","Catalog Record")</f>
        <v>Catalog Record</v>
      </c>
      <c r="AT16" s="6" t="str">
        <f>HYPERLINK("http://www.worldcat.org/oclc/2571572","WorldCat Record")</f>
        <v>WorldCat Record</v>
      </c>
      <c r="AU16" s="3" t="s">
        <v>284</v>
      </c>
      <c r="AV16" s="3" t="s">
        <v>285</v>
      </c>
      <c r="AW16" s="3" t="s">
        <v>286</v>
      </c>
      <c r="AX16" s="3" t="s">
        <v>286</v>
      </c>
      <c r="AY16" s="3" t="s">
        <v>287</v>
      </c>
      <c r="AZ16" s="3" t="s">
        <v>76</v>
      </c>
      <c r="BC16" s="3" t="s">
        <v>288</v>
      </c>
      <c r="BD16" s="3" t="s">
        <v>289</v>
      </c>
    </row>
    <row r="17" spans="1:56" ht="52.5" customHeight="1" x14ac:dyDescent="0.25">
      <c r="A17" s="7" t="s">
        <v>59</v>
      </c>
      <c r="B17" s="2" t="s">
        <v>290</v>
      </c>
      <c r="C17" s="2" t="s">
        <v>291</v>
      </c>
      <c r="D17" s="2" t="s">
        <v>292</v>
      </c>
      <c r="F17" s="3" t="s">
        <v>59</v>
      </c>
      <c r="G17" s="3" t="s">
        <v>60</v>
      </c>
      <c r="H17" s="3" t="s">
        <v>59</v>
      </c>
      <c r="I17" s="3" t="s">
        <v>59</v>
      </c>
      <c r="J17" s="3" t="s">
        <v>61</v>
      </c>
      <c r="K17" s="2" t="s">
        <v>293</v>
      </c>
      <c r="L17" s="2" t="s">
        <v>294</v>
      </c>
      <c r="M17" s="3" t="s">
        <v>295</v>
      </c>
      <c r="O17" s="3" t="s">
        <v>65</v>
      </c>
      <c r="P17" s="3" t="s">
        <v>296</v>
      </c>
      <c r="R17" s="3" t="s">
        <v>68</v>
      </c>
      <c r="S17" s="4">
        <v>7</v>
      </c>
      <c r="T17" s="4">
        <v>7</v>
      </c>
      <c r="U17" s="5" t="s">
        <v>297</v>
      </c>
      <c r="V17" s="5" t="s">
        <v>297</v>
      </c>
      <c r="W17" s="5" t="s">
        <v>269</v>
      </c>
      <c r="X17" s="5" t="s">
        <v>269</v>
      </c>
      <c r="Y17" s="4">
        <v>135</v>
      </c>
      <c r="Z17" s="4">
        <v>122</v>
      </c>
      <c r="AA17" s="4">
        <v>125</v>
      </c>
      <c r="AB17" s="4">
        <v>1</v>
      </c>
      <c r="AC17" s="4">
        <v>1</v>
      </c>
      <c r="AD17" s="4">
        <v>4</v>
      </c>
      <c r="AE17" s="4">
        <v>4</v>
      </c>
      <c r="AF17" s="4">
        <v>2</v>
      </c>
      <c r="AG17" s="4">
        <v>2</v>
      </c>
      <c r="AH17" s="4">
        <v>0</v>
      </c>
      <c r="AI17" s="4">
        <v>0</v>
      </c>
      <c r="AJ17" s="4">
        <v>2</v>
      </c>
      <c r="AK17" s="4">
        <v>2</v>
      </c>
      <c r="AL17" s="4">
        <v>0</v>
      </c>
      <c r="AM17" s="4">
        <v>0</v>
      </c>
      <c r="AN17" s="4">
        <v>0</v>
      </c>
      <c r="AO17" s="4">
        <v>0</v>
      </c>
      <c r="AP17" s="3" t="s">
        <v>59</v>
      </c>
      <c r="AQ17" s="3" t="s">
        <v>71</v>
      </c>
      <c r="AR17" s="6" t="str">
        <f>HYPERLINK("http://catalog.hathitrust.org/Record/000473475","HathiTrust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HYPERLINK("https://creighton-primo.hosted.exlibrisgroup.com/primo-explore/search?tab=default_tab&amp;search_scope=EVERYTHING&amp;vid=01CRU&amp;lang=en_US&amp;offset=0&amp;query=any,contains,991003944379702656","Catalog Record")</f>
        <v>Catalog Record</v>
      </c>
      <c r="AT17" s="6" t="str">
        <f>HYPERLINK("http://www.worldcat.org/oclc/1942593","WorldCat Record")</f>
        <v>WorldCat Record</v>
      </c>
      <c r="AU17" s="3" t="s">
        <v>298</v>
      </c>
      <c r="AV17" s="3" t="s">
        <v>299</v>
      </c>
      <c r="AW17" s="3" t="s">
        <v>300</v>
      </c>
      <c r="AX17" s="3" t="s">
        <v>300</v>
      </c>
      <c r="AY17" s="3" t="s">
        <v>301</v>
      </c>
      <c r="AZ17" s="3" t="s">
        <v>76</v>
      </c>
      <c r="BC17" s="3" t="s">
        <v>302</v>
      </c>
      <c r="BD17" s="3" t="s">
        <v>303</v>
      </c>
    </row>
    <row r="18" spans="1:56" ht="52.5" customHeight="1" x14ac:dyDescent="0.25">
      <c r="A18" s="7" t="s">
        <v>59</v>
      </c>
      <c r="B18" s="2" t="s">
        <v>304</v>
      </c>
      <c r="C18" s="2" t="s">
        <v>305</v>
      </c>
      <c r="D18" s="2" t="s">
        <v>306</v>
      </c>
      <c r="F18" s="3" t="s">
        <v>59</v>
      </c>
      <c r="G18" s="3" t="s">
        <v>60</v>
      </c>
      <c r="H18" s="3" t="s">
        <v>59</v>
      </c>
      <c r="I18" s="3" t="s">
        <v>59</v>
      </c>
      <c r="J18" s="3" t="s">
        <v>61</v>
      </c>
      <c r="K18" s="2" t="s">
        <v>307</v>
      </c>
      <c r="L18" s="2" t="s">
        <v>308</v>
      </c>
      <c r="M18" s="3" t="s">
        <v>309</v>
      </c>
      <c r="O18" s="3" t="s">
        <v>65</v>
      </c>
      <c r="P18" s="3" t="s">
        <v>66</v>
      </c>
      <c r="R18" s="3" t="s">
        <v>68</v>
      </c>
      <c r="S18" s="4">
        <v>6</v>
      </c>
      <c r="T18" s="4">
        <v>6</v>
      </c>
      <c r="U18" s="5" t="s">
        <v>310</v>
      </c>
      <c r="V18" s="5" t="s">
        <v>310</v>
      </c>
      <c r="W18" s="5" t="s">
        <v>311</v>
      </c>
      <c r="X18" s="5" t="s">
        <v>311</v>
      </c>
      <c r="Y18" s="4">
        <v>552</v>
      </c>
      <c r="Z18" s="4">
        <v>486</v>
      </c>
      <c r="AA18" s="4">
        <v>493</v>
      </c>
      <c r="AB18" s="4">
        <v>6</v>
      </c>
      <c r="AC18" s="4">
        <v>6</v>
      </c>
      <c r="AD18" s="4">
        <v>11</v>
      </c>
      <c r="AE18" s="4">
        <v>11</v>
      </c>
      <c r="AF18" s="4">
        <v>4</v>
      </c>
      <c r="AG18" s="4">
        <v>4</v>
      </c>
      <c r="AH18" s="4">
        <v>2</v>
      </c>
      <c r="AI18" s="4">
        <v>2</v>
      </c>
      <c r="AJ18" s="4">
        <v>3</v>
      </c>
      <c r="AK18" s="4">
        <v>3</v>
      </c>
      <c r="AL18" s="4">
        <v>4</v>
      </c>
      <c r="AM18" s="4">
        <v>4</v>
      </c>
      <c r="AN18" s="4">
        <v>0</v>
      </c>
      <c r="AO18" s="4">
        <v>0</v>
      </c>
      <c r="AP18" s="3" t="s">
        <v>59</v>
      </c>
      <c r="AQ18" s="3" t="s">
        <v>71</v>
      </c>
      <c r="AR18" s="6" t="str">
        <f>HYPERLINK("http://catalog.hathitrust.org/Record/000093193","HathiTrust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HYPERLINK("https://creighton-primo.hosted.exlibrisgroup.com/primo-explore/search?tab=default_tab&amp;search_scope=EVERYTHING&amp;vid=01CRU&amp;lang=en_US&amp;offset=0&amp;query=any,contains,991004490549702656","Catalog Record")</f>
        <v>Catalog Record</v>
      </c>
      <c r="AT18" s="6" t="str">
        <f>HYPERLINK("http://www.worldcat.org/oclc/3658376","WorldCat Record")</f>
        <v>WorldCat Record</v>
      </c>
      <c r="AU18" s="3" t="s">
        <v>312</v>
      </c>
      <c r="AV18" s="3" t="s">
        <v>313</v>
      </c>
      <c r="AW18" s="3" t="s">
        <v>314</v>
      </c>
      <c r="AX18" s="3" t="s">
        <v>314</v>
      </c>
      <c r="AY18" s="3" t="s">
        <v>315</v>
      </c>
      <c r="AZ18" s="3" t="s">
        <v>76</v>
      </c>
      <c r="BB18" s="3" t="s">
        <v>316</v>
      </c>
      <c r="BC18" s="3" t="s">
        <v>317</v>
      </c>
      <c r="BD18" s="3" t="s">
        <v>318</v>
      </c>
    </row>
    <row r="19" spans="1:56" ht="52.5" customHeight="1" x14ac:dyDescent="0.25">
      <c r="A19" s="7" t="s">
        <v>59</v>
      </c>
      <c r="B19" s="2" t="s">
        <v>319</v>
      </c>
      <c r="C19" s="2" t="s">
        <v>320</v>
      </c>
      <c r="D19" s="2" t="s">
        <v>321</v>
      </c>
      <c r="F19" s="3" t="s">
        <v>59</v>
      </c>
      <c r="G19" s="3" t="s">
        <v>60</v>
      </c>
      <c r="H19" s="3" t="s">
        <v>59</v>
      </c>
      <c r="I19" s="3" t="s">
        <v>59</v>
      </c>
      <c r="J19" s="3" t="s">
        <v>61</v>
      </c>
      <c r="L19" s="2" t="s">
        <v>322</v>
      </c>
      <c r="M19" s="3" t="s">
        <v>195</v>
      </c>
      <c r="O19" s="3" t="s">
        <v>65</v>
      </c>
      <c r="P19" s="3" t="s">
        <v>323</v>
      </c>
      <c r="R19" s="3" t="s">
        <v>68</v>
      </c>
      <c r="S19" s="4">
        <v>13</v>
      </c>
      <c r="T19" s="4">
        <v>13</v>
      </c>
      <c r="U19" s="5" t="s">
        <v>310</v>
      </c>
      <c r="V19" s="5" t="s">
        <v>310</v>
      </c>
      <c r="W19" s="5" t="s">
        <v>324</v>
      </c>
      <c r="X19" s="5" t="s">
        <v>324</v>
      </c>
      <c r="Y19" s="4">
        <v>305</v>
      </c>
      <c r="Z19" s="4">
        <v>255</v>
      </c>
      <c r="AA19" s="4">
        <v>306</v>
      </c>
      <c r="AB19" s="4">
        <v>3</v>
      </c>
      <c r="AC19" s="4">
        <v>3</v>
      </c>
      <c r="AD19" s="4">
        <v>11</v>
      </c>
      <c r="AE19" s="4">
        <v>12</v>
      </c>
      <c r="AF19" s="4">
        <v>3</v>
      </c>
      <c r="AG19" s="4">
        <v>4</v>
      </c>
      <c r="AH19" s="4">
        <v>0</v>
      </c>
      <c r="AI19" s="4">
        <v>1</v>
      </c>
      <c r="AJ19" s="4">
        <v>8</v>
      </c>
      <c r="AK19" s="4">
        <v>8</v>
      </c>
      <c r="AL19" s="4">
        <v>2</v>
      </c>
      <c r="AM19" s="4">
        <v>2</v>
      </c>
      <c r="AN19" s="4">
        <v>0</v>
      </c>
      <c r="AO19" s="4">
        <v>0</v>
      </c>
      <c r="AP19" s="3" t="s">
        <v>59</v>
      </c>
      <c r="AQ19" s="3" t="s">
        <v>59</v>
      </c>
      <c r="AS19" s="6" t="str">
        <f>HYPERLINK("https://creighton-primo.hosted.exlibrisgroup.com/primo-explore/search?tab=default_tab&amp;search_scope=EVERYTHING&amp;vid=01CRU&amp;lang=en_US&amp;offset=0&amp;query=any,contains,991000093129702656","Catalog Record")</f>
        <v>Catalog Record</v>
      </c>
      <c r="AT19" s="6" t="str">
        <f>HYPERLINK("http://www.worldcat.org/oclc/8916419","WorldCat Record")</f>
        <v>WorldCat Record</v>
      </c>
      <c r="AU19" s="3" t="s">
        <v>325</v>
      </c>
      <c r="AV19" s="3" t="s">
        <v>326</v>
      </c>
      <c r="AW19" s="3" t="s">
        <v>327</v>
      </c>
      <c r="AX19" s="3" t="s">
        <v>327</v>
      </c>
      <c r="AY19" s="3" t="s">
        <v>328</v>
      </c>
      <c r="AZ19" s="3" t="s">
        <v>76</v>
      </c>
      <c r="BC19" s="3" t="s">
        <v>329</v>
      </c>
      <c r="BD19" s="3" t="s">
        <v>330</v>
      </c>
    </row>
    <row r="20" spans="1:56" ht="52.5" customHeight="1" x14ac:dyDescent="0.25">
      <c r="A20" s="7" t="s">
        <v>59</v>
      </c>
      <c r="B20" s="2" t="s">
        <v>331</v>
      </c>
      <c r="C20" s="2" t="s">
        <v>332</v>
      </c>
      <c r="D20" s="2" t="s">
        <v>333</v>
      </c>
      <c r="F20" s="3" t="s">
        <v>59</v>
      </c>
      <c r="G20" s="3" t="s">
        <v>60</v>
      </c>
      <c r="H20" s="3" t="s">
        <v>59</v>
      </c>
      <c r="I20" s="3" t="s">
        <v>59</v>
      </c>
      <c r="J20" s="3" t="s">
        <v>61</v>
      </c>
      <c r="K20" s="2" t="s">
        <v>334</v>
      </c>
      <c r="L20" s="2" t="s">
        <v>335</v>
      </c>
      <c r="M20" s="3" t="s">
        <v>309</v>
      </c>
      <c r="N20" s="2" t="s">
        <v>336</v>
      </c>
      <c r="O20" s="3" t="s">
        <v>65</v>
      </c>
      <c r="P20" s="3" t="s">
        <v>66</v>
      </c>
      <c r="R20" s="3" t="s">
        <v>68</v>
      </c>
      <c r="S20" s="4">
        <v>4</v>
      </c>
      <c r="T20" s="4">
        <v>4</v>
      </c>
      <c r="U20" s="5" t="s">
        <v>337</v>
      </c>
      <c r="V20" s="5" t="s">
        <v>337</v>
      </c>
      <c r="W20" s="5" t="s">
        <v>338</v>
      </c>
      <c r="X20" s="5" t="s">
        <v>338</v>
      </c>
      <c r="Y20" s="4">
        <v>209</v>
      </c>
      <c r="Z20" s="4">
        <v>197</v>
      </c>
      <c r="AA20" s="4">
        <v>225</v>
      </c>
      <c r="AB20" s="4">
        <v>4</v>
      </c>
      <c r="AC20" s="4">
        <v>4</v>
      </c>
      <c r="AD20" s="4">
        <v>3</v>
      </c>
      <c r="AE20" s="4">
        <v>4</v>
      </c>
      <c r="AF20" s="4">
        <v>1</v>
      </c>
      <c r="AG20" s="4">
        <v>1</v>
      </c>
      <c r="AH20" s="4">
        <v>1</v>
      </c>
      <c r="AI20" s="4">
        <v>1</v>
      </c>
      <c r="AJ20" s="4">
        <v>2</v>
      </c>
      <c r="AK20" s="4">
        <v>3</v>
      </c>
      <c r="AL20" s="4">
        <v>0</v>
      </c>
      <c r="AM20" s="4">
        <v>0</v>
      </c>
      <c r="AN20" s="4">
        <v>0</v>
      </c>
      <c r="AO20" s="4">
        <v>0</v>
      </c>
      <c r="AP20" s="3" t="s">
        <v>59</v>
      </c>
      <c r="AQ20" s="3" t="s">
        <v>59</v>
      </c>
      <c r="AS20" s="6" t="str">
        <f>HYPERLINK("https://creighton-primo.hosted.exlibrisgroup.com/primo-explore/search?tab=default_tab&amp;search_scope=EVERYTHING&amp;vid=01CRU&amp;lang=en_US&amp;offset=0&amp;query=any,contains,991004679819702656","Catalog Record")</f>
        <v>Catalog Record</v>
      </c>
      <c r="AT20" s="6" t="str">
        <f>HYPERLINK("http://www.worldcat.org/oclc/4555662","WorldCat Record")</f>
        <v>WorldCat Record</v>
      </c>
      <c r="AU20" s="3" t="s">
        <v>339</v>
      </c>
      <c r="AV20" s="3" t="s">
        <v>340</v>
      </c>
      <c r="AW20" s="3" t="s">
        <v>341</v>
      </c>
      <c r="AX20" s="3" t="s">
        <v>341</v>
      </c>
      <c r="AY20" s="3" t="s">
        <v>342</v>
      </c>
      <c r="AZ20" s="3" t="s">
        <v>76</v>
      </c>
      <c r="BB20" s="3" t="s">
        <v>343</v>
      </c>
      <c r="BC20" s="3" t="s">
        <v>344</v>
      </c>
      <c r="BD20" s="3" t="s">
        <v>345</v>
      </c>
    </row>
    <row r="21" spans="1:56" ht="52.5" customHeight="1" x14ac:dyDescent="0.25">
      <c r="A21" s="7" t="s">
        <v>59</v>
      </c>
      <c r="B21" s="2" t="s">
        <v>346</v>
      </c>
      <c r="C21" s="2" t="s">
        <v>347</v>
      </c>
      <c r="D21" s="2" t="s">
        <v>348</v>
      </c>
      <c r="F21" s="3" t="s">
        <v>59</v>
      </c>
      <c r="G21" s="3" t="s">
        <v>60</v>
      </c>
      <c r="H21" s="3" t="s">
        <v>59</v>
      </c>
      <c r="I21" s="3" t="s">
        <v>59</v>
      </c>
      <c r="J21" s="3" t="s">
        <v>61</v>
      </c>
      <c r="L21" s="2" t="s">
        <v>349</v>
      </c>
      <c r="M21" s="3" t="s">
        <v>350</v>
      </c>
      <c r="O21" s="3" t="s">
        <v>65</v>
      </c>
      <c r="P21" s="3" t="s">
        <v>66</v>
      </c>
      <c r="R21" s="3" t="s">
        <v>68</v>
      </c>
      <c r="S21" s="4">
        <v>12</v>
      </c>
      <c r="T21" s="4">
        <v>12</v>
      </c>
      <c r="U21" s="5" t="s">
        <v>351</v>
      </c>
      <c r="V21" s="5" t="s">
        <v>351</v>
      </c>
      <c r="W21" s="5" t="s">
        <v>352</v>
      </c>
      <c r="X21" s="5" t="s">
        <v>352</v>
      </c>
      <c r="Y21" s="4">
        <v>996</v>
      </c>
      <c r="Z21" s="4">
        <v>863</v>
      </c>
      <c r="AA21" s="4">
        <v>1011</v>
      </c>
      <c r="AB21" s="4">
        <v>10</v>
      </c>
      <c r="AC21" s="4">
        <v>10</v>
      </c>
      <c r="AD21" s="4">
        <v>36</v>
      </c>
      <c r="AE21" s="4">
        <v>40</v>
      </c>
      <c r="AF21" s="4">
        <v>17</v>
      </c>
      <c r="AG21" s="4">
        <v>19</v>
      </c>
      <c r="AH21" s="4">
        <v>7</v>
      </c>
      <c r="AI21" s="4">
        <v>8</v>
      </c>
      <c r="AJ21" s="4">
        <v>15</v>
      </c>
      <c r="AK21" s="4">
        <v>17</v>
      </c>
      <c r="AL21" s="4">
        <v>6</v>
      </c>
      <c r="AM21" s="4">
        <v>6</v>
      </c>
      <c r="AN21" s="4">
        <v>0</v>
      </c>
      <c r="AO21" s="4">
        <v>0</v>
      </c>
      <c r="AP21" s="3" t="s">
        <v>59</v>
      </c>
      <c r="AQ21" s="3" t="s">
        <v>71</v>
      </c>
      <c r="AR21" s="6" t="str">
        <f>HYPERLINK("http://catalog.hathitrust.org/Record/000251343","HathiTrust Record")</f>
        <v>HathiTrust Record</v>
      </c>
      <c r="AS21" s="6" t="str">
        <f>HYPERLINK("https://creighton-primo.hosted.exlibrisgroup.com/primo-explore/search?tab=default_tab&amp;search_scope=EVERYTHING&amp;vid=01CRU&amp;lang=en_US&amp;offset=0&amp;query=any,contains,991004314499702656","Catalog Record")</f>
        <v>Catalog Record</v>
      </c>
      <c r="AT21" s="6" t="str">
        <f>HYPERLINK("http://www.worldcat.org/oclc/3003119","WorldCat Record")</f>
        <v>WorldCat Record</v>
      </c>
      <c r="AU21" s="3" t="s">
        <v>353</v>
      </c>
      <c r="AV21" s="3" t="s">
        <v>354</v>
      </c>
      <c r="AW21" s="3" t="s">
        <v>355</v>
      </c>
      <c r="AX21" s="3" t="s">
        <v>355</v>
      </c>
      <c r="AY21" s="3" t="s">
        <v>356</v>
      </c>
      <c r="AZ21" s="3" t="s">
        <v>76</v>
      </c>
      <c r="BB21" s="3" t="s">
        <v>357</v>
      </c>
      <c r="BC21" s="3" t="s">
        <v>358</v>
      </c>
      <c r="BD21" s="3" t="s">
        <v>359</v>
      </c>
    </row>
    <row r="22" spans="1:56" ht="52.5" customHeight="1" x14ac:dyDescent="0.25">
      <c r="A22" s="7" t="s">
        <v>59</v>
      </c>
      <c r="B22" s="2" t="s">
        <v>360</v>
      </c>
      <c r="C22" s="2" t="s">
        <v>361</v>
      </c>
      <c r="D22" s="2" t="s">
        <v>362</v>
      </c>
      <c r="F22" s="3" t="s">
        <v>59</v>
      </c>
      <c r="G22" s="3" t="s">
        <v>60</v>
      </c>
      <c r="H22" s="3" t="s">
        <v>59</v>
      </c>
      <c r="I22" s="3" t="s">
        <v>59</v>
      </c>
      <c r="J22" s="3" t="s">
        <v>61</v>
      </c>
      <c r="K22" s="2" t="s">
        <v>363</v>
      </c>
      <c r="L22" s="2" t="s">
        <v>364</v>
      </c>
      <c r="M22" s="3" t="s">
        <v>365</v>
      </c>
      <c r="O22" s="3" t="s">
        <v>65</v>
      </c>
      <c r="P22" s="3" t="s">
        <v>66</v>
      </c>
      <c r="R22" s="3" t="s">
        <v>68</v>
      </c>
      <c r="S22" s="4">
        <v>21</v>
      </c>
      <c r="T22" s="4">
        <v>21</v>
      </c>
      <c r="U22" s="5" t="s">
        <v>226</v>
      </c>
      <c r="V22" s="5" t="s">
        <v>226</v>
      </c>
      <c r="W22" s="5" t="s">
        <v>366</v>
      </c>
      <c r="X22" s="5" t="s">
        <v>366</v>
      </c>
      <c r="Y22" s="4">
        <v>332</v>
      </c>
      <c r="Z22" s="4">
        <v>285</v>
      </c>
      <c r="AA22" s="4">
        <v>288</v>
      </c>
      <c r="AB22" s="4">
        <v>3</v>
      </c>
      <c r="AC22" s="4">
        <v>3</v>
      </c>
      <c r="AD22" s="4">
        <v>7</v>
      </c>
      <c r="AE22" s="4">
        <v>7</v>
      </c>
      <c r="AF22" s="4">
        <v>1</v>
      </c>
      <c r="AG22" s="4">
        <v>1</v>
      </c>
      <c r="AH22" s="4">
        <v>1</v>
      </c>
      <c r="AI22" s="4">
        <v>1</v>
      </c>
      <c r="AJ22" s="4">
        <v>4</v>
      </c>
      <c r="AK22" s="4">
        <v>4</v>
      </c>
      <c r="AL22" s="4">
        <v>2</v>
      </c>
      <c r="AM22" s="4">
        <v>2</v>
      </c>
      <c r="AN22" s="4">
        <v>0</v>
      </c>
      <c r="AO22" s="4">
        <v>0</v>
      </c>
      <c r="AP22" s="3" t="s">
        <v>59</v>
      </c>
      <c r="AQ22" s="3" t="s">
        <v>71</v>
      </c>
      <c r="AR22" s="6" t="str">
        <f>HYPERLINK("http://catalog.hathitrust.org/Record/001825348","HathiTrust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HYPERLINK("https://creighton-primo.hosted.exlibrisgroup.com/primo-explore/search?tab=default_tab&amp;search_scope=EVERYTHING&amp;vid=01CRU&amp;lang=en_US&amp;offset=0&amp;query=any,contains,991001445279702656","Catalog Record")</f>
        <v>Catalog Record</v>
      </c>
      <c r="AT22" s="6" t="str">
        <f>HYPERLINK("http://www.worldcat.org/oclc/19269609","WorldCat Record")</f>
        <v>WorldCat Record</v>
      </c>
      <c r="AU22" s="3" t="s">
        <v>367</v>
      </c>
      <c r="AV22" s="3" t="s">
        <v>368</v>
      </c>
      <c r="AW22" s="3" t="s">
        <v>369</v>
      </c>
      <c r="AX22" s="3" t="s">
        <v>369</v>
      </c>
      <c r="AY22" s="3" t="s">
        <v>370</v>
      </c>
      <c r="AZ22" s="3" t="s">
        <v>76</v>
      </c>
      <c r="BB22" s="3" t="s">
        <v>371</v>
      </c>
      <c r="BC22" s="3" t="s">
        <v>372</v>
      </c>
      <c r="BD22" s="3" t="s">
        <v>373</v>
      </c>
    </row>
    <row r="23" spans="1:56" ht="52.5" customHeight="1" x14ac:dyDescent="0.25">
      <c r="A23" s="7" t="s">
        <v>59</v>
      </c>
      <c r="B23" s="2" t="s">
        <v>374</v>
      </c>
      <c r="C23" s="2" t="s">
        <v>375</v>
      </c>
      <c r="D23" s="2" t="s">
        <v>376</v>
      </c>
      <c r="F23" s="3" t="s">
        <v>59</v>
      </c>
      <c r="G23" s="3" t="s">
        <v>60</v>
      </c>
      <c r="H23" s="3" t="s">
        <v>59</v>
      </c>
      <c r="I23" s="3" t="s">
        <v>59</v>
      </c>
      <c r="J23" s="3" t="s">
        <v>61</v>
      </c>
      <c r="K23" s="2" t="s">
        <v>377</v>
      </c>
      <c r="L23" s="2" t="s">
        <v>378</v>
      </c>
      <c r="M23" s="3" t="s">
        <v>180</v>
      </c>
      <c r="O23" s="3" t="s">
        <v>65</v>
      </c>
      <c r="P23" s="3" t="s">
        <v>66</v>
      </c>
      <c r="R23" s="3" t="s">
        <v>68</v>
      </c>
      <c r="S23" s="4">
        <v>13</v>
      </c>
      <c r="T23" s="4">
        <v>13</v>
      </c>
      <c r="U23" s="5" t="s">
        <v>379</v>
      </c>
      <c r="V23" s="5" t="s">
        <v>379</v>
      </c>
      <c r="W23" s="5" t="s">
        <v>269</v>
      </c>
      <c r="X23" s="5" t="s">
        <v>269</v>
      </c>
      <c r="Y23" s="4">
        <v>522</v>
      </c>
      <c r="Z23" s="4">
        <v>479</v>
      </c>
      <c r="AA23" s="4">
        <v>709</v>
      </c>
      <c r="AB23" s="4">
        <v>4</v>
      </c>
      <c r="AC23" s="4">
        <v>6</v>
      </c>
      <c r="AD23" s="4">
        <v>19</v>
      </c>
      <c r="AE23" s="4">
        <v>26</v>
      </c>
      <c r="AF23" s="4">
        <v>7</v>
      </c>
      <c r="AG23" s="4">
        <v>9</v>
      </c>
      <c r="AH23" s="4">
        <v>3</v>
      </c>
      <c r="AI23" s="4">
        <v>5</v>
      </c>
      <c r="AJ23" s="4">
        <v>11</v>
      </c>
      <c r="AK23" s="4">
        <v>14</v>
      </c>
      <c r="AL23" s="4">
        <v>3</v>
      </c>
      <c r="AM23" s="4">
        <v>4</v>
      </c>
      <c r="AN23" s="4">
        <v>0</v>
      </c>
      <c r="AO23" s="4">
        <v>0</v>
      </c>
      <c r="AP23" s="3" t="s">
        <v>59</v>
      </c>
      <c r="AQ23" s="3" t="s">
        <v>59</v>
      </c>
      <c r="AR23" s="6" t="str">
        <f>HYPERLINK("http://catalog.hathitrust.org/Record/000473499","HathiTrust Record")</f>
        <v>HathiTrust Record</v>
      </c>
      <c r="AS23" s="6" t="str">
        <f>HYPERLINK("https://creighton-primo.hosted.exlibrisgroup.com/primo-explore/search?tab=default_tab&amp;search_scope=EVERYTHING&amp;vid=01CRU&amp;lang=en_US&amp;offset=0&amp;query=any,contains,991001373069702656","Catalog Record")</f>
        <v>Catalog Record</v>
      </c>
      <c r="AT23" s="6" t="str">
        <f>HYPERLINK("http://www.worldcat.org/oclc/224205","WorldCat Record")</f>
        <v>WorldCat Record</v>
      </c>
      <c r="AU23" s="3" t="s">
        <v>380</v>
      </c>
      <c r="AV23" s="3" t="s">
        <v>381</v>
      </c>
      <c r="AW23" s="3" t="s">
        <v>382</v>
      </c>
      <c r="AX23" s="3" t="s">
        <v>382</v>
      </c>
      <c r="AY23" s="3" t="s">
        <v>383</v>
      </c>
      <c r="AZ23" s="3" t="s">
        <v>76</v>
      </c>
      <c r="BC23" s="3" t="s">
        <v>384</v>
      </c>
      <c r="BD23" s="3" t="s">
        <v>385</v>
      </c>
    </row>
    <row r="24" spans="1:56" ht="52.5" customHeight="1" x14ac:dyDescent="0.25">
      <c r="A24" s="7" t="s">
        <v>59</v>
      </c>
      <c r="B24" s="2" t="s">
        <v>386</v>
      </c>
      <c r="C24" s="2" t="s">
        <v>387</v>
      </c>
      <c r="D24" s="2" t="s">
        <v>388</v>
      </c>
      <c r="F24" s="3" t="s">
        <v>59</v>
      </c>
      <c r="G24" s="3" t="s">
        <v>60</v>
      </c>
      <c r="H24" s="3" t="s">
        <v>59</v>
      </c>
      <c r="I24" s="3" t="s">
        <v>59</v>
      </c>
      <c r="J24" s="3" t="s">
        <v>61</v>
      </c>
      <c r="K24" s="2" t="s">
        <v>389</v>
      </c>
      <c r="L24" s="2" t="s">
        <v>390</v>
      </c>
      <c r="M24" s="3" t="s">
        <v>131</v>
      </c>
      <c r="O24" s="3" t="s">
        <v>65</v>
      </c>
      <c r="P24" s="3" t="s">
        <v>66</v>
      </c>
      <c r="Q24" s="2" t="s">
        <v>391</v>
      </c>
      <c r="R24" s="3" t="s">
        <v>68</v>
      </c>
      <c r="S24" s="4">
        <v>2</v>
      </c>
      <c r="T24" s="4">
        <v>2</v>
      </c>
      <c r="U24" s="5" t="s">
        <v>392</v>
      </c>
      <c r="V24" s="5" t="s">
        <v>392</v>
      </c>
      <c r="W24" s="5" t="s">
        <v>393</v>
      </c>
      <c r="X24" s="5" t="s">
        <v>393</v>
      </c>
      <c r="Y24" s="4">
        <v>681</v>
      </c>
      <c r="Z24" s="4">
        <v>624</v>
      </c>
      <c r="AA24" s="4">
        <v>755</v>
      </c>
      <c r="AB24" s="4">
        <v>4</v>
      </c>
      <c r="AC24" s="4">
        <v>4</v>
      </c>
      <c r="AD24" s="4">
        <v>30</v>
      </c>
      <c r="AE24" s="4">
        <v>30</v>
      </c>
      <c r="AF24" s="4">
        <v>13</v>
      </c>
      <c r="AG24" s="4">
        <v>13</v>
      </c>
      <c r="AH24" s="4">
        <v>6</v>
      </c>
      <c r="AI24" s="4">
        <v>6</v>
      </c>
      <c r="AJ24" s="4">
        <v>14</v>
      </c>
      <c r="AK24" s="4">
        <v>14</v>
      </c>
      <c r="AL24" s="4">
        <v>3</v>
      </c>
      <c r="AM24" s="4">
        <v>3</v>
      </c>
      <c r="AN24" s="4">
        <v>0</v>
      </c>
      <c r="AO24" s="4">
        <v>0</v>
      </c>
      <c r="AP24" s="3" t="s">
        <v>59</v>
      </c>
      <c r="AQ24" s="3" t="s">
        <v>71</v>
      </c>
      <c r="AR24" s="6" t="str">
        <f>HYPERLINK("http://catalog.hathitrust.org/Record/000473518","HathiTrust Record")</f>
        <v>HathiTrust Record</v>
      </c>
      <c r="AS24" s="6" t="str">
        <f>HYPERLINK("https://creighton-primo.hosted.exlibrisgroup.com/primo-explore/search?tab=default_tab&amp;search_scope=EVERYTHING&amp;vid=01CRU&amp;lang=en_US&amp;offset=0&amp;query=any,contains,991003327959702656","Catalog Record")</f>
        <v>Catalog Record</v>
      </c>
      <c r="AT24" s="6" t="str">
        <f>HYPERLINK("http://www.worldcat.org/oclc/858234","WorldCat Record")</f>
        <v>WorldCat Record</v>
      </c>
      <c r="AU24" s="3" t="s">
        <v>394</v>
      </c>
      <c r="AV24" s="3" t="s">
        <v>395</v>
      </c>
      <c r="AW24" s="3" t="s">
        <v>396</v>
      </c>
      <c r="AX24" s="3" t="s">
        <v>396</v>
      </c>
      <c r="AY24" s="3" t="s">
        <v>397</v>
      </c>
      <c r="AZ24" s="3" t="s">
        <v>76</v>
      </c>
      <c r="BB24" s="3" t="s">
        <v>398</v>
      </c>
      <c r="BC24" s="3" t="s">
        <v>399</v>
      </c>
      <c r="BD24" s="3" t="s">
        <v>400</v>
      </c>
    </row>
    <row r="25" spans="1:56" ht="52.5" customHeight="1" x14ac:dyDescent="0.25">
      <c r="A25" s="7" t="s">
        <v>59</v>
      </c>
      <c r="B25" s="2" t="s">
        <v>401</v>
      </c>
      <c r="C25" s="2" t="s">
        <v>402</v>
      </c>
      <c r="D25" s="2" t="s">
        <v>403</v>
      </c>
      <c r="F25" s="3" t="s">
        <v>59</v>
      </c>
      <c r="G25" s="3" t="s">
        <v>60</v>
      </c>
      <c r="H25" s="3" t="s">
        <v>59</v>
      </c>
      <c r="I25" s="3" t="s">
        <v>59</v>
      </c>
      <c r="J25" s="3" t="s">
        <v>61</v>
      </c>
      <c r="L25" s="2" t="s">
        <v>404</v>
      </c>
      <c r="M25" s="3" t="s">
        <v>405</v>
      </c>
      <c r="O25" s="3" t="s">
        <v>65</v>
      </c>
      <c r="P25" s="3" t="s">
        <v>406</v>
      </c>
      <c r="R25" s="3" t="s">
        <v>68</v>
      </c>
      <c r="S25" s="4">
        <v>9</v>
      </c>
      <c r="T25" s="4">
        <v>9</v>
      </c>
      <c r="U25" s="5" t="s">
        <v>268</v>
      </c>
      <c r="V25" s="5" t="s">
        <v>268</v>
      </c>
      <c r="W25" s="5" t="s">
        <v>407</v>
      </c>
      <c r="X25" s="5" t="s">
        <v>407</v>
      </c>
      <c r="Y25" s="4">
        <v>227</v>
      </c>
      <c r="Z25" s="4">
        <v>199</v>
      </c>
      <c r="AA25" s="4">
        <v>203</v>
      </c>
      <c r="AB25" s="4">
        <v>4</v>
      </c>
      <c r="AC25" s="4">
        <v>4</v>
      </c>
      <c r="AD25" s="4">
        <v>6</v>
      </c>
      <c r="AE25" s="4">
        <v>6</v>
      </c>
      <c r="AF25" s="4">
        <v>2</v>
      </c>
      <c r="AG25" s="4">
        <v>2</v>
      </c>
      <c r="AH25" s="4">
        <v>0</v>
      </c>
      <c r="AI25" s="4">
        <v>0</v>
      </c>
      <c r="AJ25" s="4">
        <v>1</v>
      </c>
      <c r="AK25" s="4">
        <v>1</v>
      </c>
      <c r="AL25" s="4">
        <v>3</v>
      </c>
      <c r="AM25" s="4">
        <v>3</v>
      </c>
      <c r="AN25" s="4">
        <v>0</v>
      </c>
      <c r="AO25" s="4">
        <v>0</v>
      </c>
      <c r="AP25" s="3" t="s">
        <v>59</v>
      </c>
      <c r="AQ25" s="3" t="s">
        <v>71</v>
      </c>
      <c r="AR25" s="6" t="str">
        <f>HYPERLINK("http://catalog.hathitrust.org/Record/000875052","HathiTrust Record")</f>
        <v>HathiTrust Record</v>
      </c>
      <c r="AS25" s="6" t="str">
        <f>HYPERLINK("https://creighton-primo.hosted.exlibrisgroup.com/primo-explore/search?tab=default_tab&amp;search_scope=EVERYTHING&amp;vid=01CRU&amp;lang=en_US&amp;offset=0&amp;query=any,contains,991001106679702656","Catalog Record")</f>
        <v>Catalog Record</v>
      </c>
      <c r="AT25" s="6" t="str">
        <f>HYPERLINK("http://www.worldcat.org/oclc/16405768","WorldCat Record")</f>
        <v>WorldCat Record</v>
      </c>
      <c r="AU25" s="3" t="s">
        <v>408</v>
      </c>
      <c r="AV25" s="3" t="s">
        <v>409</v>
      </c>
      <c r="AW25" s="3" t="s">
        <v>410</v>
      </c>
      <c r="AX25" s="3" t="s">
        <v>410</v>
      </c>
      <c r="AY25" s="3" t="s">
        <v>411</v>
      </c>
      <c r="AZ25" s="3" t="s">
        <v>76</v>
      </c>
      <c r="BB25" s="3" t="s">
        <v>412</v>
      </c>
      <c r="BC25" s="3" t="s">
        <v>413</v>
      </c>
      <c r="BD25" s="3" t="s">
        <v>414</v>
      </c>
    </row>
    <row r="26" spans="1:56" ht="52.5" customHeight="1" x14ac:dyDescent="0.25">
      <c r="A26" s="7" t="s">
        <v>59</v>
      </c>
      <c r="B26" s="2" t="s">
        <v>415</v>
      </c>
      <c r="C26" s="2" t="s">
        <v>416</v>
      </c>
      <c r="D26" s="2" t="s">
        <v>417</v>
      </c>
      <c r="F26" s="3" t="s">
        <v>59</v>
      </c>
      <c r="G26" s="3" t="s">
        <v>60</v>
      </c>
      <c r="H26" s="3" t="s">
        <v>59</v>
      </c>
      <c r="I26" s="3" t="s">
        <v>59</v>
      </c>
      <c r="J26" s="3" t="s">
        <v>61</v>
      </c>
      <c r="K26" s="2" t="s">
        <v>418</v>
      </c>
      <c r="L26" s="2" t="s">
        <v>419</v>
      </c>
      <c r="M26" s="3" t="s">
        <v>131</v>
      </c>
      <c r="O26" s="3" t="s">
        <v>65</v>
      </c>
      <c r="P26" s="3" t="s">
        <v>420</v>
      </c>
      <c r="R26" s="3" t="s">
        <v>68</v>
      </c>
      <c r="S26" s="4">
        <v>4</v>
      </c>
      <c r="T26" s="4">
        <v>4</v>
      </c>
      <c r="U26" s="5" t="s">
        <v>421</v>
      </c>
      <c r="V26" s="5" t="s">
        <v>421</v>
      </c>
      <c r="W26" s="5" t="s">
        <v>269</v>
      </c>
      <c r="X26" s="5" t="s">
        <v>269</v>
      </c>
      <c r="Y26" s="4">
        <v>384</v>
      </c>
      <c r="Z26" s="4">
        <v>357</v>
      </c>
      <c r="AA26" s="4">
        <v>404</v>
      </c>
      <c r="AB26" s="4">
        <v>2</v>
      </c>
      <c r="AC26" s="4">
        <v>2</v>
      </c>
      <c r="AD26" s="4">
        <v>7</v>
      </c>
      <c r="AE26" s="4">
        <v>9</v>
      </c>
      <c r="AF26" s="4">
        <v>4</v>
      </c>
      <c r="AG26" s="4">
        <v>6</v>
      </c>
      <c r="AH26" s="4">
        <v>1</v>
      </c>
      <c r="AI26" s="4">
        <v>1</v>
      </c>
      <c r="AJ26" s="4">
        <v>1</v>
      </c>
      <c r="AK26" s="4">
        <v>1</v>
      </c>
      <c r="AL26" s="4">
        <v>1</v>
      </c>
      <c r="AM26" s="4">
        <v>1</v>
      </c>
      <c r="AN26" s="4">
        <v>0</v>
      </c>
      <c r="AO26" s="4">
        <v>0</v>
      </c>
      <c r="AP26" s="3" t="s">
        <v>59</v>
      </c>
      <c r="AQ26" s="3" t="s">
        <v>59</v>
      </c>
      <c r="AS26" s="6" t="str">
        <f>HYPERLINK("https://creighton-primo.hosted.exlibrisgroup.com/primo-explore/search?tab=default_tab&amp;search_scope=EVERYTHING&amp;vid=01CRU&amp;lang=en_US&amp;offset=0&amp;query=any,contains,991003549939702656","Catalog Record")</f>
        <v>Catalog Record</v>
      </c>
      <c r="AT26" s="6" t="str">
        <f>HYPERLINK("http://www.worldcat.org/oclc/1118434","WorldCat Record")</f>
        <v>WorldCat Record</v>
      </c>
      <c r="AU26" s="3" t="s">
        <v>422</v>
      </c>
      <c r="AV26" s="3" t="s">
        <v>423</v>
      </c>
      <c r="AW26" s="3" t="s">
        <v>424</v>
      </c>
      <c r="AX26" s="3" t="s">
        <v>424</v>
      </c>
      <c r="AY26" s="3" t="s">
        <v>425</v>
      </c>
      <c r="AZ26" s="3" t="s">
        <v>76</v>
      </c>
      <c r="BB26" s="3" t="s">
        <v>426</v>
      </c>
      <c r="BC26" s="3" t="s">
        <v>427</v>
      </c>
      <c r="BD26" s="3" t="s">
        <v>428</v>
      </c>
    </row>
    <row r="27" spans="1:56" ht="52.5" customHeight="1" x14ac:dyDescent="0.25">
      <c r="A27" s="7" t="s">
        <v>59</v>
      </c>
      <c r="B27" s="2" t="s">
        <v>429</v>
      </c>
      <c r="C27" s="2" t="s">
        <v>430</v>
      </c>
      <c r="D27" s="2" t="s">
        <v>431</v>
      </c>
      <c r="F27" s="3" t="s">
        <v>59</v>
      </c>
      <c r="G27" s="3" t="s">
        <v>60</v>
      </c>
      <c r="H27" s="3" t="s">
        <v>59</v>
      </c>
      <c r="I27" s="3" t="s">
        <v>59</v>
      </c>
      <c r="J27" s="3" t="s">
        <v>61</v>
      </c>
      <c r="K27" s="2" t="s">
        <v>432</v>
      </c>
      <c r="L27" s="2" t="s">
        <v>433</v>
      </c>
      <c r="M27" s="3" t="s">
        <v>434</v>
      </c>
      <c r="N27" s="2" t="s">
        <v>435</v>
      </c>
      <c r="O27" s="3" t="s">
        <v>65</v>
      </c>
      <c r="P27" s="3" t="s">
        <v>66</v>
      </c>
      <c r="Q27" s="2" t="s">
        <v>436</v>
      </c>
      <c r="R27" s="3" t="s">
        <v>68</v>
      </c>
      <c r="S27" s="4">
        <v>1</v>
      </c>
      <c r="T27" s="4">
        <v>1</v>
      </c>
      <c r="U27" s="5" t="s">
        <v>437</v>
      </c>
      <c r="V27" s="5" t="s">
        <v>437</v>
      </c>
      <c r="W27" s="5" t="s">
        <v>227</v>
      </c>
      <c r="X27" s="5" t="s">
        <v>227</v>
      </c>
      <c r="Y27" s="4">
        <v>738</v>
      </c>
      <c r="Z27" s="4">
        <v>677</v>
      </c>
      <c r="AA27" s="4">
        <v>778</v>
      </c>
      <c r="AB27" s="4">
        <v>4</v>
      </c>
      <c r="AC27" s="4">
        <v>5</v>
      </c>
      <c r="AD27" s="4">
        <v>28</v>
      </c>
      <c r="AE27" s="4">
        <v>31</v>
      </c>
      <c r="AF27" s="4">
        <v>13</v>
      </c>
      <c r="AG27" s="4">
        <v>15</v>
      </c>
      <c r="AH27" s="4">
        <v>3</v>
      </c>
      <c r="AI27" s="4">
        <v>4</v>
      </c>
      <c r="AJ27" s="4">
        <v>14</v>
      </c>
      <c r="AK27" s="4">
        <v>16</v>
      </c>
      <c r="AL27" s="4">
        <v>3</v>
      </c>
      <c r="AM27" s="4">
        <v>3</v>
      </c>
      <c r="AN27" s="4">
        <v>0</v>
      </c>
      <c r="AO27" s="4">
        <v>0</v>
      </c>
      <c r="AP27" s="3" t="s">
        <v>59</v>
      </c>
      <c r="AQ27" s="3" t="s">
        <v>71</v>
      </c>
      <c r="AR27" s="6" t="str">
        <f>HYPERLINK("http://catalog.hathitrust.org/Record/000473654","HathiTrust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HYPERLINK("https://creighton-primo.hosted.exlibrisgroup.com/primo-explore/search?tab=default_tab&amp;search_scope=EVERYTHING&amp;vid=01CRU&amp;lang=en_US&amp;offset=0&amp;query=any,contains,991001369189702656","Catalog Record")</f>
        <v>Catalog Record</v>
      </c>
      <c r="AT27" s="6" t="str">
        <f>HYPERLINK("http://www.worldcat.org/oclc/223024","WorldCat Record")</f>
        <v>WorldCat Record</v>
      </c>
      <c r="AU27" s="3" t="s">
        <v>438</v>
      </c>
      <c r="AV27" s="3" t="s">
        <v>439</v>
      </c>
      <c r="AW27" s="3" t="s">
        <v>440</v>
      </c>
      <c r="AX27" s="3" t="s">
        <v>440</v>
      </c>
      <c r="AY27" s="3" t="s">
        <v>441</v>
      </c>
      <c r="AZ27" s="3" t="s">
        <v>76</v>
      </c>
      <c r="BC27" s="3" t="s">
        <v>442</v>
      </c>
      <c r="BD27" s="3" t="s">
        <v>443</v>
      </c>
    </row>
    <row r="28" spans="1:56" ht="52.5" customHeight="1" x14ac:dyDescent="0.25">
      <c r="A28" s="7" t="s">
        <v>59</v>
      </c>
      <c r="B28" s="2" t="s">
        <v>444</v>
      </c>
      <c r="C28" s="2" t="s">
        <v>445</v>
      </c>
      <c r="D28" s="2" t="s">
        <v>446</v>
      </c>
      <c r="F28" s="3" t="s">
        <v>59</v>
      </c>
      <c r="G28" s="3" t="s">
        <v>60</v>
      </c>
      <c r="H28" s="3" t="s">
        <v>59</v>
      </c>
      <c r="I28" s="3" t="s">
        <v>59</v>
      </c>
      <c r="J28" s="3" t="s">
        <v>61</v>
      </c>
      <c r="K28" s="2" t="s">
        <v>447</v>
      </c>
      <c r="L28" s="2" t="s">
        <v>448</v>
      </c>
      <c r="M28" s="3" t="s">
        <v>164</v>
      </c>
      <c r="O28" s="3" t="s">
        <v>65</v>
      </c>
      <c r="P28" s="3" t="s">
        <v>66</v>
      </c>
      <c r="Q28" s="2" t="s">
        <v>449</v>
      </c>
      <c r="R28" s="3" t="s">
        <v>68</v>
      </c>
      <c r="S28" s="4">
        <v>4</v>
      </c>
      <c r="T28" s="4">
        <v>4</v>
      </c>
      <c r="U28" s="5" t="s">
        <v>450</v>
      </c>
      <c r="V28" s="5" t="s">
        <v>450</v>
      </c>
      <c r="W28" s="5" t="s">
        <v>311</v>
      </c>
      <c r="X28" s="5" t="s">
        <v>311</v>
      </c>
      <c r="Y28" s="4">
        <v>285</v>
      </c>
      <c r="Z28" s="4">
        <v>233</v>
      </c>
      <c r="AA28" s="4">
        <v>282</v>
      </c>
      <c r="AB28" s="4">
        <v>3</v>
      </c>
      <c r="AC28" s="4">
        <v>3</v>
      </c>
      <c r="AD28" s="4">
        <v>10</v>
      </c>
      <c r="AE28" s="4">
        <v>10</v>
      </c>
      <c r="AF28" s="4">
        <v>4</v>
      </c>
      <c r="AG28" s="4">
        <v>4</v>
      </c>
      <c r="AH28" s="4">
        <v>0</v>
      </c>
      <c r="AI28" s="4">
        <v>0</v>
      </c>
      <c r="AJ28" s="4">
        <v>5</v>
      </c>
      <c r="AK28" s="4">
        <v>5</v>
      </c>
      <c r="AL28" s="4">
        <v>2</v>
      </c>
      <c r="AM28" s="4">
        <v>2</v>
      </c>
      <c r="AN28" s="4">
        <v>0</v>
      </c>
      <c r="AO28" s="4">
        <v>0</v>
      </c>
      <c r="AP28" s="3" t="s">
        <v>59</v>
      </c>
      <c r="AQ28" s="3" t="s">
        <v>59</v>
      </c>
      <c r="AS28" s="6" t="str">
        <f>HYPERLINK("https://creighton-primo.hosted.exlibrisgroup.com/primo-explore/search?tab=default_tab&amp;search_scope=EVERYTHING&amp;vid=01CRU&amp;lang=en_US&amp;offset=0&amp;query=any,contains,991005011799702656","Catalog Record")</f>
        <v>Catalog Record</v>
      </c>
      <c r="AT28" s="6" t="str">
        <f>HYPERLINK("http://www.worldcat.org/oclc/6603189","WorldCat Record")</f>
        <v>WorldCat Record</v>
      </c>
      <c r="AU28" s="3" t="s">
        <v>451</v>
      </c>
      <c r="AV28" s="3" t="s">
        <v>452</v>
      </c>
      <c r="AW28" s="3" t="s">
        <v>453</v>
      </c>
      <c r="AX28" s="3" t="s">
        <v>453</v>
      </c>
      <c r="AY28" s="3" t="s">
        <v>454</v>
      </c>
      <c r="AZ28" s="3" t="s">
        <v>76</v>
      </c>
      <c r="BB28" s="3" t="s">
        <v>455</v>
      </c>
      <c r="BC28" s="3" t="s">
        <v>456</v>
      </c>
      <c r="BD28" s="3" t="s">
        <v>457</v>
      </c>
    </row>
    <row r="29" spans="1:56" ht="52.5" customHeight="1" x14ac:dyDescent="0.25">
      <c r="A29" s="7" t="s">
        <v>59</v>
      </c>
      <c r="B29" s="2" t="s">
        <v>458</v>
      </c>
      <c r="C29" s="2" t="s">
        <v>459</v>
      </c>
      <c r="D29" s="2" t="s">
        <v>460</v>
      </c>
      <c r="F29" s="3" t="s">
        <v>59</v>
      </c>
      <c r="G29" s="3" t="s">
        <v>60</v>
      </c>
      <c r="H29" s="3" t="s">
        <v>59</v>
      </c>
      <c r="I29" s="3" t="s">
        <v>59</v>
      </c>
      <c r="J29" s="3" t="s">
        <v>61</v>
      </c>
      <c r="K29" s="2" t="s">
        <v>461</v>
      </c>
      <c r="L29" s="2" t="s">
        <v>462</v>
      </c>
      <c r="M29" s="3" t="s">
        <v>131</v>
      </c>
      <c r="O29" s="3" t="s">
        <v>65</v>
      </c>
      <c r="P29" s="3" t="s">
        <v>66</v>
      </c>
      <c r="R29" s="3" t="s">
        <v>68</v>
      </c>
      <c r="S29" s="4">
        <v>4</v>
      </c>
      <c r="T29" s="4">
        <v>4</v>
      </c>
      <c r="U29" s="5" t="s">
        <v>310</v>
      </c>
      <c r="V29" s="5" t="s">
        <v>310</v>
      </c>
      <c r="W29" s="5" t="s">
        <v>463</v>
      </c>
      <c r="X29" s="5" t="s">
        <v>463</v>
      </c>
      <c r="Y29" s="4">
        <v>464</v>
      </c>
      <c r="Z29" s="4">
        <v>426</v>
      </c>
      <c r="AA29" s="4">
        <v>485</v>
      </c>
      <c r="AB29" s="4">
        <v>4</v>
      </c>
      <c r="AC29" s="4">
        <v>4</v>
      </c>
      <c r="AD29" s="4">
        <v>13</v>
      </c>
      <c r="AE29" s="4">
        <v>13</v>
      </c>
      <c r="AF29" s="4">
        <v>6</v>
      </c>
      <c r="AG29" s="4">
        <v>6</v>
      </c>
      <c r="AH29" s="4">
        <v>0</v>
      </c>
      <c r="AI29" s="4">
        <v>0</v>
      </c>
      <c r="AJ29" s="4">
        <v>6</v>
      </c>
      <c r="AK29" s="4">
        <v>6</v>
      </c>
      <c r="AL29" s="4">
        <v>3</v>
      </c>
      <c r="AM29" s="4">
        <v>3</v>
      </c>
      <c r="AN29" s="4">
        <v>0</v>
      </c>
      <c r="AO29" s="4">
        <v>0</v>
      </c>
      <c r="AP29" s="3" t="s">
        <v>59</v>
      </c>
      <c r="AQ29" s="3" t="s">
        <v>71</v>
      </c>
      <c r="AR29" s="6" t="str">
        <f>HYPERLINK("http://catalog.hathitrust.org/Record/009920501","HathiTrust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HYPERLINK("https://creighton-primo.hosted.exlibrisgroup.com/primo-explore/search?tab=default_tab&amp;search_scope=EVERYTHING&amp;vid=01CRU&amp;lang=en_US&amp;offset=0&amp;query=any,contains,991003443669702656","Catalog Record")</f>
        <v>Catalog Record</v>
      </c>
      <c r="AT29" s="6" t="str">
        <f>HYPERLINK("http://www.worldcat.org/oclc/979430","WorldCat Record")</f>
        <v>WorldCat Record</v>
      </c>
      <c r="AU29" s="3" t="s">
        <v>464</v>
      </c>
      <c r="AV29" s="3" t="s">
        <v>465</v>
      </c>
      <c r="AW29" s="3" t="s">
        <v>466</v>
      </c>
      <c r="AX29" s="3" t="s">
        <v>466</v>
      </c>
      <c r="AY29" s="3" t="s">
        <v>467</v>
      </c>
      <c r="AZ29" s="3" t="s">
        <v>76</v>
      </c>
      <c r="BB29" s="3" t="s">
        <v>468</v>
      </c>
      <c r="BC29" s="3" t="s">
        <v>469</v>
      </c>
      <c r="BD29" s="3" t="s">
        <v>470</v>
      </c>
    </row>
    <row r="30" spans="1:56" ht="52.5" customHeight="1" x14ac:dyDescent="0.25">
      <c r="A30" s="7" t="s">
        <v>59</v>
      </c>
      <c r="B30" s="2" t="s">
        <v>471</v>
      </c>
      <c r="C30" s="2" t="s">
        <v>472</v>
      </c>
      <c r="D30" s="2" t="s">
        <v>473</v>
      </c>
      <c r="F30" s="3" t="s">
        <v>59</v>
      </c>
      <c r="G30" s="3" t="s">
        <v>60</v>
      </c>
      <c r="H30" s="3" t="s">
        <v>59</v>
      </c>
      <c r="I30" s="3" t="s">
        <v>59</v>
      </c>
      <c r="J30" s="3" t="s">
        <v>61</v>
      </c>
      <c r="L30" s="2" t="s">
        <v>474</v>
      </c>
      <c r="M30" s="3" t="s">
        <v>475</v>
      </c>
      <c r="O30" s="3" t="s">
        <v>65</v>
      </c>
      <c r="P30" s="3" t="s">
        <v>323</v>
      </c>
      <c r="R30" s="3" t="s">
        <v>68</v>
      </c>
      <c r="S30" s="4">
        <v>6</v>
      </c>
      <c r="T30" s="4">
        <v>6</v>
      </c>
      <c r="U30" s="5" t="s">
        <v>476</v>
      </c>
      <c r="V30" s="5" t="s">
        <v>476</v>
      </c>
      <c r="W30" s="5" t="s">
        <v>477</v>
      </c>
      <c r="X30" s="5" t="s">
        <v>477</v>
      </c>
      <c r="Y30" s="4">
        <v>304</v>
      </c>
      <c r="Z30" s="4">
        <v>278</v>
      </c>
      <c r="AA30" s="4">
        <v>312</v>
      </c>
      <c r="AB30" s="4">
        <v>1</v>
      </c>
      <c r="AC30" s="4">
        <v>2</v>
      </c>
      <c r="AD30" s="4">
        <v>13</v>
      </c>
      <c r="AE30" s="4">
        <v>14</v>
      </c>
      <c r="AF30" s="4">
        <v>4</v>
      </c>
      <c r="AG30" s="4">
        <v>4</v>
      </c>
      <c r="AH30" s="4">
        <v>2</v>
      </c>
      <c r="AI30" s="4">
        <v>2</v>
      </c>
      <c r="AJ30" s="4">
        <v>10</v>
      </c>
      <c r="AK30" s="4">
        <v>10</v>
      </c>
      <c r="AL30" s="4">
        <v>0</v>
      </c>
      <c r="AM30" s="4">
        <v>1</v>
      </c>
      <c r="AN30" s="4">
        <v>0</v>
      </c>
      <c r="AO30" s="4">
        <v>0</v>
      </c>
      <c r="AP30" s="3" t="s">
        <v>59</v>
      </c>
      <c r="AQ30" s="3" t="s">
        <v>71</v>
      </c>
      <c r="AR30" s="6" t="str">
        <f>HYPERLINK("http://catalog.hathitrust.org/Record/000315288","HathiTrust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HYPERLINK("https://creighton-primo.hosted.exlibrisgroup.com/primo-explore/search?tab=default_tab&amp;search_scope=EVERYTHING&amp;vid=01CRU&amp;lang=en_US&amp;offset=0&amp;query=any,contains,991000218459702656","Catalog Record")</f>
        <v>Catalog Record</v>
      </c>
      <c r="AT30" s="6" t="str">
        <f>HYPERLINK("http://www.worldcat.org/oclc/9575295","WorldCat Record")</f>
        <v>WorldCat Record</v>
      </c>
      <c r="AU30" s="3" t="s">
        <v>478</v>
      </c>
      <c r="AV30" s="3" t="s">
        <v>479</v>
      </c>
      <c r="AW30" s="3" t="s">
        <v>480</v>
      </c>
      <c r="AX30" s="3" t="s">
        <v>480</v>
      </c>
      <c r="AY30" s="3" t="s">
        <v>481</v>
      </c>
      <c r="AZ30" s="3" t="s">
        <v>76</v>
      </c>
      <c r="BB30" s="3" t="s">
        <v>482</v>
      </c>
      <c r="BC30" s="3" t="s">
        <v>483</v>
      </c>
      <c r="BD30" s="3" t="s">
        <v>484</v>
      </c>
    </row>
    <row r="31" spans="1:56" ht="52.5" customHeight="1" x14ac:dyDescent="0.25">
      <c r="A31" s="7" t="s">
        <v>59</v>
      </c>
      <c r="B31" s="2" t="s">
        <v>485</v>
      </c>
      <c r="C31" s="2" t="s">
        <v>486</v>
      </c>
      <c r="D31" s="2" t="s">
        <v>487</v>
      </c>
      <c r="F31" s="3" t="s">
        <v>59</v>
      </c>
      <c r="G31" s="3" t="s">
        <v>60</v>
      </c>
      <c r="H31" s="3" t="s">
        <v>59</v>
      </c>
      <c r="I31" s="3" t="s">
        <v>59</v>
      </c>
      <c r="J31" s="3" t="s">
        <v>61</v>
      </c>
      <c r="K31" s="2" t="s">
        <v>488</v>
      </c>
      <c r="L31" s="2" t="s">
        <v>489</v>
      </c>
      <c r="M31" s="3" t="s">
        <v>490</v>
      </c>
      <c r="O31" s="3" t="s">
        <v>65</v>
      </c>
      <c r="P31" s="3" t="s">
        <v>491</v>
      </c>
      <c r="R31" s="3" t="s">
        <v>68</v>
      </c>
      <c r="S31" s="4">
        <v>1</v>
      </c>
      <c r="T31" s="4">
        <v>1</v>
      </c>
      <c r="U31" s="5" t="s">
        <v>492</v>
      </c>
      <c r="V31" s="5" t="s">
        <v>492</v>
      </c>
      <c r="W31" s="5" t="s">
        <v>227</v>
      </c>
      <c r="X31" s="5" t="s">
        <v>227</v>
      </c>
      <c r="Y31" s="4">
        <v>91</v>
      </c>
      <c r="Z31" s="4">
        <v>81</v>
      </c>
      <c r="AA31" s="4">
        <v>192</v>
      </c>
      <c r="AB31" s="4">
        <v>1</v>
      </c>
      <c r="AC31" s="4">
        <v>2</v>
      </c>
      <c r="AD31" s="4">
        <v>2</v>
      </c>
      <c r="AE31" s="4">
        <v>6</v>
      </c>
      <c r="AF31" s="4">
        <v>1</v>
      </c>
      <c r="AG31" s="4">
        <v>2</v>
      </c>
      <c r="AH31" s="4">
        <v>0</v>
      </c>
      <c r="AI31" s="4">
        <v>1</v>
      </c>
      <c r="AJ31" s="4">
        <v>2</v>
      </c>
      <c r="AK31" s="4">
        <v>4</v>
      </c>
      <c r="AL31" s="4">
        <v>0</v>
      </c>
      <c r="AM31" s="4">
        <v>1</v>
      </c>
      <c r="AN31" s="4">
        <v>0</v>
      </c>
      <c r="AO31" s="4">
        <v>0</v>
      </c>
      <c r="AP31" s="3" t="s">
        <v>71</v>
      </c>
      <c r="AQ31" s="3" t="s">
        <v>59</v>
      </c>
      <c r="AR31" s="6" t="str">
        <f>HYPERLINK("http://catalog.hathitrust.org/Record/000475025","HathiTrust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HYPERLINK("https://creighton-primo.hosted.exlibrisgroup.com/primo-explore/search?tab=default_tab&amp;search_scope=EVERYTHING&amp;vid=01CRU&amp;lang=en_US&amp;offset=0&amp;query=any,contains,991004501859702656","Catalog Record")</f>
        <v>Catalog Record</v>
      </c>
      <c r="AT31" s="6" t="str">
        <f>HYPERLINK("http://www.worldcat.org/oclc/3724216","WorldCat Record")</f>
        <v>WorldCat Record</v>
      </c>
      <c r="AU31" s="3" t="s">
        <v>493</v>
      </c>
      <c r="AV31" s="3" t="s">
        <v>494</v>
      </c>
      <c r="AW31" s="3" t="s">
        <v>495</v>
      </c>
      <c r="AX31" s="3" t="s">
        <v>495</v>
      </c>
      <c r="AY31" s="3" t="s">
        <v>496</v>
      </c>
      <c r="AZ31" s="3" t="s">
        <v>76</v>
      </c>
      <c r="BC31" s="3" t="s">
        <v>497</v>
      </c>
      <c r="BD31" s="3" t="s">
        <v>498</v>
      </c>
    </row>
    <row r="32" spans="1:56" ht="52.5" customHeight="1" x14ac:dyDescent="0.25">
      <c r="A32" s="7" t="s">
        <v>59</v>
      </c>
      <c r="B32" s="2" t="s">
        <v>499</v>
      </c>
      <c r="C32" s="2" t="s">
        <v>500</v>
      </c>
      <c r="D32" s="2" t="s">
        <v>501</v>
      </c>
      <c r="F32" s="3" t="s">
        <v>59</v>
      </c>
      <c r="G32" s="3" t="s">
        <v>60</v>
      </c>
      <c r="H32" s="3" t="s">
        <v>59</v>
      </c>
      <c r="I32" s="3" t="s">
        <v>59</v>
      </c>
      <c r="J32" s="3" t="s">
        <v>61</v>
      </c>
      <c r="L32" s="2" t="s">
        <v>502</v>
      </c>
      <c r="M32" s="3" t="s">
        <v>100</v>
      </c>
      <c r="O32" s="3" t="s">
        <v>65</v>
      </c>
      <c r="P32" s="3" t="s">
        <v>406</v>
      </c>
      <c r="R32" s="3" t="s">
        <v>68</v>
      </c>
      <c r="S32" s="4">
        <v>8</v>
      </c>
      <c r="T32" s="4">
        <v>8</v>
      </c>
      <c r="U32" s="5" t="s">
        <v>476</v>
      </c>
      <c r="V32" s="5" t="s">
        <v>476</v>
      </c>
      <c r="W32" s="5" t="s">
        <v>227</v>
      </c>
      <c r="X32" s="5" t="s">
        <v>227</v>
      </c>
      <c r="Y32" s="4">
        <v>480</v>
      </c>
      <c r="Z32" s="4">
        <v>429</v>
      </c>
      <c r="AA32" s="4">
        <v>436</v>
      </c>
      <c r="AB32" s="4">
        <v>3</v>
      </c>
      <c r="AC32" s="4">
        <v>3</v>
      </c>
      <c r="AD32" s="4">
        <v>12</v>
      </c>
      <c r="AE32" s="4">
        <v>12</v>
      </c>
      <c r="AF32" s="4">
        <v>4</v>
      </c>
      <c r="AG32" s="4">
        <v>4</v>
      </c>
      <c r="AH32" s="4">
        <v>2</v>
      </c>
      <c r="AI32" s="4">
        <v>2</v>
      </c>
      <c r="AJ32" s="4">
        <v>7</v>
      </c>
      <c r="AK32" s="4">
        <v>7</v>
      </c>
      <c r="AL32" s="4">
        <v>2</v>
      </c>
      <c r="AM32" s="4">
        <v>2</v>
      </c>
      <c r="AN32" s="4">
        <v>0</v>
      </c>
      <c r="AO32" s="4">
        <v>0</v>
      </c>
      <c r="AP32" s="3" t="s">
        <v>59</v>
      </c>
      <c r="AQ32" s="3" t="s">
        <v>71</v>
      </c>
      <c r="AR32" s="6" t="str">
        <f>HYPERLINK("http://catalog.hathitrust.org/Record/000475052","HathiTrust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HYPERLINK("https://creighton-primo.hosted.exlibrisgroup.com/primo-explore/search?tab=default_tab&amp;search_scope=EVERYTHING&amp;vid=01CRU&amp;lang=en_US&amp;offset=0&amp;query=any,contains,991000821059702656","Catalog Record")</f>
        <v>Catalog Record</v>
      </c>
      <c r="AT32" s="6" t="str">
        <f>HYPERLINK("http://www.worldcat.org/oclc/144891","WorldCat Record")</f>
        <v>WorldCat Record</v>
      </c>
      <c r="AU32" s="3" t="s">
        <v>503</v>
      </c>
      <c r="AV32" s="3" t="s">
        <v>504</v>
      </c>
      <c r="AW32" s="3" t="s">
        <v>505</v>
      </c>
      <c r="AX32" s="3" t="s">
        <v>505</v>
      </c>
      <c r="AY32" s="3" t="s">
        <v>506</v>
      </c>
      <c r="AZ32" s="3" t="s">
        <v>76</v>
      </c>
      <c r="BC32" s="3" t="s">
        <v>507</v>
      </c>
      <c r="BD32" s="3" t="s">
        <v>508</v>
      </c>
    </row>
    <row r="33" spans="1:56" ht="52.5" customHeight="1" x14ac:dyDescent="0.25">
      <c r="A33" s="7" t="s">
        <v>59</v>
      </c>
      <c r="B33" s="2" t="s">
        <v>509</v>
      </c>
      <c r="C33" s="2" t="s">
        <v>510</v>
      </c>
      <c r="D33" s="2" t="s">
        <v>511</v>
      </c>
      <c r="F33" s="3" t="s">
        <v>59</v>
      </c>
      <c r="G33" s="3" t="s">
        <v>60</v>
      </c>
      <c r="H33" s="3" t="s">
        <v>59</v>
      </c>
      <c r="I33" s="3" t="s">
        <v>59</v>
      </c>
      <c r="J33" s="3" t="s">
        <v>61</v>
      </c>
      <c r="K33" s="2" t="s">
        <v>512</v>
      </c>
      <c r="L33" s="2" t="s">
        <v>513</v>
      </c>
      <c r="M33" s="3" t="s">
        <v>514</v>
      </c>
      <c r="O33" s="3" t="s">
        <v>65</v>
      </c>
      <c r="P33" s="3" t="s">
        <v>296</v>
      </c>
      <c r="R33" s="3" t="s">
        <v>68</v>
      </c>
      <c r="S33" s="4">
        <v>10</v>
      </c>
      <c r="T33" s="4">
        <v>10</v>
      </c>
      <c r="U33" s="5" t="s">
        <v>268</v>
      </c>
      <c r="V33" s="5" t="s">
        <v>268</v>
      </c>
      <c r="W33" s="5" t="s">
        <v>227</v>
      </c>
      <c r="X33" s="5" t="s">
        <v>227</v>
      </c>
      <c r="Y33" s="4">
        <v>290</v>
      </c>
      <c r="Z33" s="4">
        <v>247</v>
      </c>
      <c r="AA33" s="4">
        <v>249</v>
      </c>
      <c r="AB33" s="4">
        <v>1</v>
      </c>
      <c r="AC33" s="4">
        <v>1</v>
      </c>
      <c r="AD33" s="4">
        <v>9</v>
      </c>
      <c r="AE33" s="4">
        <v>9</v>
      </c>
      <c r="AF33" s="4">
        <v>4</v>
      </c>
      <c r="AG33" s="4">
        <v>4</v>
      </c>
      <c r="AH33" s="4">
        <v>1</v>
      </c>
      <c r="AI33" s="4">
        <v>1</v>
      </c>
      <c r="AJ33" s="4">
        <v>5</v>
      </c>
      <c r="AK33" s="4">
        <v>5</v>
      </c>
      <c r="AL33" s="4">
        <v>0</v>
      </c>
      <c r="AM33" s="4">
        <v>0</v>
      </c>
      <c r="AN33" s="4">
        <v>0</v>
      </c>
      <c r="AO33" s="4">
        <v>0</v>
      </c>
      <c r="AP33" s="3" t="s">
        <v>59</v>
      </c>
      <c r="AQ33" s="3" t="s">
        <v>71</v>
      </c>
      <c r="AR33" s="6" t="str">
        <f>HYPERLINK("http://catalog.hathitrust.org/Record/000473676","HathiTrust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HYPERLINK("https://creighton-primo.hosted.exlibrisgroup.com/primo-explore/search?tab=default_tab&amp;search_scope=EVERYTHING&amp;vid=01CRU&amp;lang=en_US&amp;offset=0&amp;query=any,contains,991003473649702656","Catalog Record")</f>
        <v>Catalog Record</v>
      </c>
      <c r="AT33" s="6" t="str">
        <f>HYPERLINK("http://www.worldcat.org/oclc/1017076","WorldCat Record")</f>
        <v>WorldCat Record</v>
      </c>
      <c r="AU33" s="3" t="s">
        <v>515</v>
      </c>
      <c r="AV33" s="3" t="s">
        <v>516</v>
      </c>
      <c r="AW33" s="3" t="s">
        <v>517</v>
      </c>
      <c r="AX33" s="3" t="s">
        <v>517</v>
      </c>
      <c r="AY33" s="3" t="s">
        <v>518</v>
      </c>
      <c r="AZ33" s="3" t="s">
        <v>76</v>
      </c>
      <c r="BC33" s="3" t="s">
        <v>519</v>
      </c>
      <c r="BD33" s="3" t="s">
        <v>520</v>
      </c>
    </row>
    <row r="34" spans="1:56" ht="52.5" customHeight="1" x14ac:dyDescent="0.25">
      <c r="A34" s="7" t="s">
        <v>59</v>
      </c>
      <c r="B34" s="2" t="s">
        <v>521</v>
      </c>
      <c r="C34" s="2" t="s">
        <v>522</v>
      </c>
      <c r="D34" s="2" t="s">
        <v>523</v>
      </c>
      <c r="F34" s="3" t="s">
        <v>59</v>
      </c>
      <c r="G34" s="3" t="s">
        <v>60</v>
      </c>
      <c r="H34" s="3" t="s">
        <v>59</v>
      </c>
      <c r="I34" s="3" t="s">
        <v>59</v>
      </c>
      <c r="J34" s="3" t="s">
        <v>61</v>
      </c>
      <c r="K34" s="2" t="s">
        <v>524</v>
      </c>
      <c r="L34" s="2" t="s">
        <v>525</v>
      </c>
      <c r="M34" s="3" t="s">
        <v>64</v>
      </c>
      <c r="O34" s="3" t="s">
        <v>65</v>
      </c>
      <c r="P34" s="3" t="s">
        <v>283</v>
      </c>
      <c r="R34" s="3" t="s">
        <v>68</v>
      </c>
      <c r="S34" s="4">
        <v>16</v>
      </c>
      <c r="T34" s="4">
        <v>16</v>
      </c>
      <c r="U34" s="5" t="s">
        <v>526</v>
      </c>
      <c r="V34" s="5" t="s">
        <v>526</v>
      </c>
      <c r="W34" s="5" t="s">
        <v>527</v>
      </c>
      <c r="X34" s="5" t="s">
        <v>527</v>
      </c>
      <c r="Y34" s="4">
        <v>358</v>
      </c>
      <c r="Z34" s="4">
        <v>333</v>
      </c>
      <c r="AA34" s="4">
        <v>771</v>
      </c>
      <c r="AB34" s="4">
        <v>5</v>
      </c>
      <c r="AC34" s="4">
        <v>8</v>
      </c>
      <c r="AD34" s="4">
        <v>12</v>
      </c>
      <c r="AE34" s="4">
        <v>26</v>
      </c>
      <c r="AF34" s="4">
        <v>3</v>
      </c>
      <c r="AG34" s="4">
        <v>9</v>
      </c>
      <c r="AH34" s="4">
        <v>1</v>
      </c>
      <c r="AI34" s="4">
        <v>3</v>
      </c>
      <c r="AJ34" s="4">
        <v>7</v>
      </c>
      <c r="AK34" s="4">
        <v>14</v>
      </c>
      <c r="AL34" s="4">
        <v>3</v>
      </c>
      <c r="AM34" s="4">
        <v>5</v>
      </c>
      <c r="AN34" s="4">
        <v>0</v>
      </c>
      <c r="AO34" s="4">
        <v>0</v>
      </c>
      <c r="AP34" s="3" t="s">
        <v>59</v>
      </c>
      <c r="AQ34" s="3" t="s">
        <v>71</v>
      </c>
      <c r="AR34" s="6" t="str">
        <f>HYPERLINK("http://catalog.hathitrust.org/Record/101870161","HathiTrust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HYPERLINK("https://creighton-primo.hosted.exlibrisgroup.com/primo-explore/search?tab=default_tab&amp;search_scope=EVERYTHING&amp;vid=01CRU&amp;lang=en_US&amp;offset=0&amp;query=any,contains,991003104599702656","Catalog Record")</f>
        <v>Catalog Record</v>
      </c>
      <c r="AT34" s="6" t="str">
        <f>HYPERLINK("http://www.worldcat.org/oclc/653398","WorldCat Record")</f>
        <v>WorldCat Record</v>
      </c>
      <c r="AU34" s="3" t="s">
        <v>528</v>
      </c>
      <c r="AV34" s="3" t="s">
        <v>529</v>
      </c>
      <c r="AW34" s="3" t="s">
        <v>530</v>
      </c>
      <c r="AX34" s="3" t="s">
        <v>530</v>
      </c>
      <c r="AY34" s="3" t="s">
        <v>531</v>
      </c>
      <c r="AZ34" s="3" t="s">
        <v>76</v>
      </c>
      <c r="BC34" s="3" t="s">
        <v>532</v>
      </c>
      <c r="BD34" s="3" t="s">
        <v>533</v>
      </c>
    </row>
    <row r="35" spans="1:56" ht="52.5" customHeight="1" x14ac:dyDescent="0.25">
      <c r="A35" s="7" t="s">
        <v>59</v>
      </c>
      <c r="B35" s="2" t="s">
        <v>534</v>
      </c>
      <c r="C35" s="2" t="s">
        <v>535</v>
      </c>
      <c r="D35" s="2" t="s">
        <v>536</v>
      </c>
      <c r="F35" s="3" t="s">
        <v>59</v>
      </c>
      <c r="G35" s="3" t="s">
        <v>60</v>
      </c>
      <c r="H35" s="3" t="s">
        <v>59</v>
      </c>
      <c r="I35" s="3" t="s">
        <v>59</v>
      </c>
      <c r="J35" s="3" t="s">
        <v>61</v>
      </c>
      <c r="K35" s="2" t="s">
        <v>524</v>
      </c>
      <c r="L35" s="2" t="s">
        <v>537</v>
      </c>
      <c r="M35" s="3" t="s">
        <v>538</v>
      </c>
      <c r="O35" s="3" t="s">
        <v>65</v>
      </c>
      <c r="P35" s="3" t="s">
        <v>296</v>
      </c>
      <c r="R35" s="3" t="s">
        <v>68</v>
      </c>
      <c r="S35" s="4">
        <v>9</v>
      </c>
      <c r="T35" s="4">
        <v>9</v>
      </c>
      <c r="U35" s="5" t="s">
        <v>268</v>
      </c>
      <c r="V35" s="5" t="s">
        <v>268</v>
      </c>
      <c r="W35" s="5" t="s">
        <v>269</v>
      </c>
      <c r="X35" s="5" t="s">
        <v>269</v>
      </c>
      <c r="Y35" s="4">
        <v>627</v>
      </c>
      <c r="Z35" s="4">
        <v>576</v>
      </c>
      <c r="AA35" s="4">
        <v>938</v>
      </c>
      <c r="AB35" s="4">
        <v>4</v>
      </c>
      <c r="AC35" s="4">
        <v>9</v>
      </c>
      <c r="AD35" s="4">
        <v>16</v>
      </c>
      <c r="AE35" s="4">
        <v>37</v>
      </c>
      <c r="AF35" s="4">
        <v>8</v>
      </c>
      <c r="AG35" s="4">
        <v>18</v>
      </c>
      <c r="AH35" s="4">
        <v>0</v>
      </c>
      <c r="AI35" s="4">
        <v>4</v>
      </c>
      <c r="AJ35" s="4">
        <v>8</v>
      </c>
      <c r="AK35" s="4">
        <v>14</v>
      </c>
      <c r="AL35" s="4">
        <v>3</v>
      </c>
      <c r="AM35" s="4">
        <v>8</v>
      </c>
      <c r="AN35" s="4">
        <v>0</v>
      </c>
      <c r="AO35" s="4">
        <v>0</v>
      </c>
      <c r="AP35" s="3" t="s">
        <v>71</v>
      </c>
      <c r="AQ35" s="3" t="s">
        <v>59</v>
      </c>
      <c r="AR35" s="6" t="str">
        <f>HYPERLINK("http://catalog.hathitrust.org/Record/000473701","HathiTrust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HYPERLINK("https://creighton-primo.hosted.exlibrisgroup.com/primo-explore/search?tab=default_tab&amp;search_scope=EVERYTHING&amp;vid=01CRU&amp;lang=en_US&amp;offset=0&amp;query=any,contains,991001073899702656","Catalog Record")</f>
        <v>Catalog Record</v>
      </c>
      <c r="AT35" s="6" t="str">
        <f>HYPERLINK("http://www.worldcat.org/oclc/179209","WorldCat Record")</f>
        <v>WorldCat Record</v>
      </c>
      <c r="AU35" s="3" t="s">
        <v>539</v>
      </c>
      <c r="AV35" s="3" t="s">
        <v>540</v>
      </c>
      <c r="AW35" s="3" t="s">
        <v>541</v>
      </c>
      <c r="AX35" s="3" t="s">
        <v>541</v>
      </c>
      <c r="AY35" s="3" t="s">
        <v>542</v>
      </c>
      <c r="AZ35" s="3" t="s">
        <v>76</v>
      </c>
      <c r="BC35" s="3" t="s">
        <v>543</v>
      </c>
      <c r="BD35" s="3" t="s">
        <v>544</v>
      </c>
    </row>
    <row r="36" spans="1:56" ht="52.5" customHeight="1" x14ac:dyDescent="0.25">
      <c r="A36" s="7" t="s">
        <v>59</v>
      </c>
      <c r="B36" s="2" t="s">
        <v>545</v>
      </c>
      <c r="C36" s="2" t="s">
        <v>546</v>
      </c>
      <c r="D36" s="2" t="s">
        <v>547</v>
      </c>
      <c r="F36" s="3" t="s">
        <v>59</v>
      </c>
      <c r="G36" s="3" t="s">
        <v>60</v>
      </c>
      <c r="H36" s="3" t="s">
        <v>59</v>
      </c>
      <c r="I36" s="3" t="s">
        <v>59</v>
      </c>
      <c r="J36" s="3" t="s">
        <v>61</v>
      </c>
      <c r="L36" s="2" t="s">
        <v>548</v>
      </c>
      <c r="M36" s="3" t="s">
        <v>549</v>
      </c>
      <c r="O36" s="3" t="s">
        <v>65</v>
      </c>
      <c r="P36" s="3" t="s">
        <v>66</v>
      </c>
      <c r="R36" s="3" t="s">
        <v>68</v>
      </c>
      <c r="S36" s="4">
        <v>10</v>
      </c>
      <c r="T36" s="4">
        <v>10</v>
      </c>
      <c r="U36" s="5" t="s">
        <v>550</v>
      </c>
      <c r="V36" s="5" t="s">
        <v>550</v>
      </c>
      <c r="W36" s="5" t="s">
        <v>551</v>
      </c>
      <c r="X36" s="5" t="s">
        <v>551</v>
      </c>
      <c r="Y36" s="4">
        <v>762</v>
      </c>
      <c r="Z36" s="4">
        <v>678</v>
      </c>
      <c r="AA36" s="4">
        <v>678</v>
      </c>
      <c r="AB36" s="4">
        <v>5</v>
      </c>
      <c r="AC36" s="4">
        <v>5</v>
      </c>
      <c r="AD36" s="4">
        <v>21</v>
      </c>
      <c r="AE36" s="4">
        <v>21</v>
      </c>
      <c r="AF36" s="4">
        <v>6</v>
      </c>
      <c r="AG36" s="4">
        <v>6</v>
      </c>
      <c r="AH36" s="4">
        <v>5</v>
      </c>
      <c r="AI36" s="4">
        <v>5</v>
      </c>
      <c r="AJ36" s="4">
        <v>10</v>
      </c>
      <c r="AK36" s="4">
        <v>10</v>
      </c>
      <c r="AL36" s="4">
        <v>4</v>
      </c>
      <c r="AM36" s="4">
        <v>4</v>
      </c>
      <c r="AN36" s="4">
        <v>0</v>
      </c>
      <c r="AO36" s="4">
        <v>0</v>
      </c>
      <c r="AP36" s="3" t="s">
        <v>59</v>
      </c>
      <c r="AQ36" s="3" t="s">
        <v>59</v>
      </c>
      <c r="AS36" s="6" t="str">
        <f>HYPERLINK("https://creighton-primo.hosted.exlibrisgroup.com/primo-explore/search?tab=default_tab&amp;search_scope=EVERYTHING&amp;vid=01CRU&amp;lang=en_US&amp;offset=0&amp;query=any,contains,991000736819702656","Catalog Record")</f>
        <v>Catalog Record</v>
      </c>
      <c r="AT36" s="6" t="str">
        <f>HYPERLINK("http://www.worldcat.org/oclc/12791286","WorldCat Record")</f>
        <v>WorldCat Record</v>
      </c>
      <c r="AU36" s="3" t="s">
        <v>552</v>
      </c>
      <c r="AV36" s="3" t="s">
        <v>553</v>
      </c>
      <c r="AW36" s="3" t="s">
        <v>554</v>
      </c>
      <c r="AX36" s="3" t="s">
        <v>554</v>
      </c>
      <c r="AY36" s="3" t="s">
        <v>555</v>
      </c>
      <c r="AZ36" s="3" t="s">
        <v>76</v>
      </c>
      <c r="BB36" s="3" t="s">
        <v>556</v>
      </c>
      <c r="BC36" s="3" t="s">
        <v>557</v>
      </c>
      <c r="BD36" s="3" t="s">
        <v>558</v>
      </c>
    </row>
    <row r="37" spans="1:56" ht="52.5" customHeight="1" x14ac:dyDescent="0.25">
      <c r="A37" s="7" t="s">
        <v>59</v>
      </c>
      <c r="B37" s="2" t="s">
        <v>559</v>
      </c>
      <c r="C37" s="2" t="s">
        <v>560</v>
      </c>
      <c r="D37" s="2" t="s">
        <v>561</v>
      </c>
      <c r="F37" s="3" t="s">
        <v>59</v>
      </c>
      <c r="G37" s="3" t="s">
        <v>60</v>
      </c>
      <c r="H37" s="3" t="s">
        <v>59</v>
      </c>
      <c r="I37" s="3" t="s">
        <v>59</v>
      </c>
      <c r="J37" s="3" t="s">
        <v>61</v>
      </c>
      <c r="K37" s="2" t="s">
        <v>562</v>
      </c>
      <c r="L37" s="2" t="s">
        <v>563</v>
      </c>
      <c r="M37" s="3" t="s">
        <v>538</v>
      </c>
      <c r="O37" s="3" t="s">
        <v>65</v>
      </c>
      <c r="P37" s="3" t="s">
        <v>491</v>
      </c>
      <c r="R37" s="3" t="s">
        <v>68</v>
      </c>
      <c r="S37" s="4">
        <v>6</v>
      </c>
      <c r="T37" s="4">
        <v>6</v>
      </c>
      <c r="U37" s="5" t="s">
        <v>564</v>
      </c>
      <c r="V37" s="5" t="s">
        <v>564</v>
      </c>
      <c r="W37" s="5" t="s">
        <v>227</v>
      </c>
      <c r="X37" s="5" t="s">
        <v>227</v>
      </c>
      <c r="Y37" s="4">
        <v>98</v>
      </c>
      <c r="Z37" s="4">
        <v>87</v>
      </c>
      <c r="AA37" s="4">
        <v>164</v>
      </c>
      <c r="AB37" s="4">
        <v>2</v>
      </c>
      <c r="AC37" s="4">
        <v>2</v>
      </c>
      <c r="AD37" s="4">
        <v>15</v>
      </c>
      <c r="AE37" s="4">
        <v>21</v>
      </c>
      <c r="AF37" s="4">
        <v>6</v>
      </c>
      <c r="AG37" s="4">
        <v>8</v>
      </c>
      <c r="AH37" s="4">
        <v>3</v>
      </c>
      <c r="AI37" s="4">
        <v>4</v>
      </c>
      <c r="AJ37" s="4">
        <v>10</v>
      </c>
      <c r="AK37" s="4">
        <v>15</v>
      </c>
      <c r="AL37" s="4">
        <v>0</v>
      </c>
      <c r="AM37" s="4">
        <v>0</v>
      </c>
      <c r="AN37" s="4">
        <v>0</v>
      </c>
      <c r="AO37" s="4">
        <v>0</v>
      </c>
      <c r="AP37" s="3" t="s">
        <v>59</v>
      </c>
      <c r="AQ37" s="3" t="s">
        <v>71</v>
      </c>
      <c r="AR37" s="6" t="str">
        <f>HYPERLINK("http://catalog.hathitrust.org/Record/102580413","HathiTrust Record")</f>
        <v>HathiTrust Record</v>
      </c>
      <c r="AS37" s="6" t="str">
        <f>HYPERLINK("https://creighton-primo.hosted.exlibrisgroup.com/primo-explore/search?tab=default_tab&amp;search_scope=EVERYTHING&amp;vid=01CRU&amp;lang=en_US&amp;offset=0&amp;query=any,contains,991005253849702656","Catalog Record")</f>
        <v>Catalog Record</v>
      </c>
      <c r="AT37" s="6" t="str">
        <f>HYPERLINK("http://www.worldcat.org/oclc/2658620","WorldCat Record")</f>
        <v>WorldCat Record</v>
      </c>
      <c r="AU37" s="3" t="s">
        <v>565</v>
      </c>
      <c r="AV37" s="3" t="s">
        <v>566</v>
      </c>
      <c r="AW37" s="3" t="s">
        <v>567</v>
      </c>
      <c r="AX37" s="3" t="s">
        <v>567</v>
      </c>
      <c r="AY37" s="3" t="s">
        <v>568</v>
      </c>
      <c r="AZ37" s="3" t="s">
        <v>76</v>
      </c>
      <c r="BC37" s="3" t="s">
        <v>569</v>
      </c>
      <c r="BD37" s="3" t="s">
        <v>570</v>
      </c>
    </row>
    <row r="38" spans="1:56" ht="52.5" customHeight="1" x14ac:dyDescent="0.25">
      <c r="A38" s="7" t="s">
        <v>59</v>
      </c>
      <c r="B38" s="2" t="s">
        <v>571</v>
      </c>
      <c r="C38" s="2" t="s">
        <v>572</v>
      </c>
      <c r="D38" s="2" t="s">
        <v>573</v>
      </c>
      <c r="F38" s="3" t="s">
        <v>59</v>
      </c>
      <c r="G38" s="3" t="s">
        <v>60</v>
      </c>
      <c r="H38" s="3" t="s">
        <v>59</v>
      </c>
      <c r="I38" s="3" t="s">
        <v>59</v>
      </c>
      <c r="J38" s="3" t="s">
        <v>61</v>
      </c>
      <c r="K38" s="2" t="s">
        <v>574</v>
      </c>
      <c r="L38" s="2" t="s">
        <v>575</v>
      </c>
      <c r="M38" s="3" t="s">
        <v>115</v>
      </c>
      <c r="O38" s="3" t="s">
        <v>65</v>
      </c>
      <c r="P38" s="3" t="s">
        <v>296</v>
      </c>
      <c r="R38" s="3" t="s">
        <v>68</v>
      </c>
      <c r="S38" s="4">
        <v>11</v>
      </c>
      <c r="T38" s="4">
        <v>11</v>
      </c>
      <c r="U38" s="5" t="s">
        <v>526</v>
      </c>
      <c r="V38" s="5" t="s">
        <v>526</v>
      </c>
      <c r="W38" s="5" t="s">
        <v>576</v>
      </c>
      <c r="X38" s="5" t="s">
        <v>576</v>
      </c>
      <c r="Y38" s="4">
        <v>251</v>
      </c>
      <c r="Z38" s="4">
        <v>220</v>
      </c>
      <c r="AA38" s="4">
        <v>227</v>
      </c>
      <c r="AB38" s="4">
        <v>3</v>
      </c>
      <c r="AC38" s="4">
        <v>3</v>
      </c>
      <c r="AD38" s="4">
        <v>7</v>
      </c>
      <c r="AE38" s="4">
        <v>7</v>
      </c>
      <c r="AF38" s="4">
        <v>3</v>
      </c>
      <c r="AG38" s="4">
        <v>3</v>
      </c>
      <c r="AH38" s="4">
        <v>0</v>
      </c>
      <c r="AI38" s="4">
        <v>0</v>
      </c>
      <c r="AJ38" s="4">
        <v>2</v>
      </c>
      <c r="AK38" s="4">
        <v>2</v>
      </c>
      <c r="AL38" s="4">
        <v>2</v>
      </c>
      <c r="AM38" s="4">
        <v>2</v>
      </c>
      <c r="AN38" s="4">
        <v>0</v>
      </c>
      <c r="AO38" s="4">
        <v>0</v>
      </c>
      <c r="AP38" s="3" t="s">
        <v>59</v>
      </c>
      <c r="AQ38" s="3" t="s">
        <v>71</v>
      </c>
      <c r="AR38" s="6" t="str">
        <f>HYPERLINK("http://catalog.hathitrust.org/Record/000472431","HathiTrust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HYPERLINK("https://creighton-primo.hosted.exlibrisgroup.com/primo-explore/search?tab=default_tab&amp;search_scope=EVERYTHING&amp;vid=01CRU&amp;lang=en_US&amp;offset=0&amp;query=any,contains,991003201539702656","Catalog Record")</f>
        <v>Catalog Record</v>
      </c>
      <c r="AT38" s="6" t="str">
        <f>HYPERLINK("http://www.worldcat.org/oclc/726591","WorldCat Record")</f>
        <v>WorldCat Record</v>
      </c>
      <c r="AU38" s="3" t="s">
        <v>577</v>
      </c>
      <c r="AV38" s="3" t="s">
        <v>578</v>
      </c>
      <c r="AW38" s="3" t="s">
        <v>579</v>
      </c>
      <c r="AX38" s="3" t="s">
        <v>579</v>
      </c>
      <c r="AY38" s="3" t="s">
        <v>580</v>
      </c>
      <c r="AZ38" s="3" t="s">
        <v>76</v>
      </c>
      <c r="BB38" s="3" t="s">
        <v>581</v>
      </c>
      <c r="BC38" s="3" t="s">
        <v>582</v>
      </c>
      <c r="BD38" s="3" t="s">
        <v>583</v>
      </c>
    </row>
    <row r="39" spans="1:56" ht="52.5" customHeight="1" x14ac:dyDescent="0.25">
      <c r="A39" s="7" t="s">
        <v>59</v>
      </c>
      <c r="B39" s="2" t="s">
        <v>584</v>
      </c>
      <c r="C39" s="2" t="s">
        <v>585</v>
      </c>
      <c r="D39" s="2" t="s">
        <v>586</v>
      </c>
      <c r="F39" s="3" t="s">
        <v>59</v>
      </c>
      <c r="G39" s="3" t="s">
        <v>60</v>
      </c>
      <c r="H39" s="3" t="s">
        <v>59</v>
      </c>
      <c r="I39" s="3" t="s">
        <v>59</v>
      </c>
      <c r="J39" s="3" t="s">
        <v>61</v>
      </c>
      <c r="K39" s="2" t="s">
        <v>587</v>
      </c>
      <c r="L39" s="2" t="s">
        <v>588</v>
      </c>
      <c r="M39" s="3" t="s">
        <v>131</v>
      </c>
      <c r="O39" s="3" t="s">
        <v>65</v>
      </c>
      <c r="P39" s="3" t="s">
        <v>491</v>
      </c>
      <c r="R39" s="3" t="s">
        <v>68</v>
      </c>
      <c r="S39" s="4">
        <v>3</v>
      </c>
      <c r="T39" s="4">
        <v>3</v>
      </c>
      <c r="U39" s="5" t="s">
        <v>589</v>
      </c>
      <c r="V39" s="5" t="s">
        <v>589</v>
      </c>
      <c r="W39" s="5" t="s">
        <v>590</v>
      </c>
      <c r="X39" s="5" t="s">
        <v>590</v>
      </c>
      <c r="Y39" s="4">
        <v>21</v>
      </c>
      <c r="Z39" s="4">
        <v>19</v>
      </c>
      <c r="AA39" s="4">
        <v>481</v>
      </c>
      <c r="AB39" s="4">
        <v>1</v>
      </c>
      <c r="AC39" s="4">
        <v>2</v>
      </c>
      <c r="AD39" s="4">
        <v>2</v>
      </c>
      <c r="AE39" s="4">
        <v>17</v>
      </c>
      <c r="AF39" s="4">
        <v>0</v>
      </c>
      <c r="AG39" s="4">
        <v>8</v>
      </c>
      <c r="AH39" s="4">
        <v>0</v>
      </c>
      <c r="AI39" s="4">
        <v>4</v>
      </c>
      <c r="AJ39" s="4">
        <v>2</v>
      </c>
      <c r="AK39" s="4">
        <v>8</v>
      </c>
      <c r="AL39" s="4">
        <v>0</v>
      </c>
      <c r="AM39" s="4">
        <v>1</v>
      </c>
      <c r="AN39" s="4">
        <v>0</v>
      </c>
      <c r="AO39" s="4">
        <v>0</v>
      </c>
      <c r="AP39" s="3" t="s">
        <v>59</v>
      </c>
      <c r="AQ39" s="3" t="s">
        <v>71</v>
      </c>
      <c r="AR39" s="6" t="str">
        <f>HYPERLINK("http://catalog.hathitrust.org/Record/007045012","HathiTrust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HYPERLINK("https://creighton-primo.hosted.exlibrisgroup.com/primo-explore/search?tab=default_tab&amp;search_scope=EVERYTHING&amp;vid=01CRU&amp;lang=en_US&amp;offset=0&amp;query=any,contains,991003709679702656","Catalog Record")</f>
        <v>Catalog Record</v>
      </c>
      <c r="AT39" s="6" t="str">
        <f>HYPERLINK("http://www.worldcat.org/oclc/1348564","WorldCat Record")</f>
        <v>WorldCat Record</v>
      </c>
      <c r="AU39" s="3" t="s">
        <v>591</v>
      </c>
      <c r="AV39" s="3" t="s">
        <v>592</v>
      </c>
      <c r="AW39" s="3" t="s">
        <v>593</v>
      </c>
      <c r="AX39" s="3" t="s">
        <v>593</v>
      </c>
      <c r="AY39" s="3" t="s">
        <v>594</v>
      </c>
      <c r="AZ39" s="3" t="s">
        <v>76</v>
      </c>
      <c r="BC39" s="3" t="s">
        <v>595</v>
      </c>
      <c r="BD39" s="3" t="s">
        <v>596</v>
      </c>
    </row>
    <row r="40" spans="1:56" ht="52.5" customHeight="1" x14ac:dyDescent="0.25">
      <c r="A40" s="7" t="s">
        <v>59</v>
      </c>
      <c r="B40" s="2" t="s">
        <v>597</v>
      </c>
      <c r="C40" s="2" t="s">
        <v>598</v>
      </c>
      <c r="D40" s="2" t="s">
        <v>599</v>
      </c>
      <c r="F40" s="3" t="s">
        <v>59</v>
      </c>
      <c r="G40" s="3" t="s">
        <v>60</v>
      </c>
      <c r="H40" s="3" t="s">
        <v>59</v>
      </c>
      <c r="I40" s="3" t="s">
        <v>59</v>
      </c>
      <c r="J40" s="3" t="s">
        <v>61</v>
      </c>
      <c r="K40" s="2" t="s">
        <v>600</v>
      </c>
      <c r="L40" s="2" t="s">
        <v>601</v>
      </c>
      <c r="M40" s="3" t="s">
        <v>602</v>
      </c>
      <c r="O40" s="3" t="s">
        <v>65</v>
      </c>
      <c r="P40" s="3" t="s">
        <v>603</v>
      </c>
      <c r="R40" s="3" t="s">
        <v>68</v>
      </c>
      <c r="S40" s="4">
        <v>4</v>
      </c>
      <c r="T40" s="4">
        <v>4</v>
      </c>
      <c r="U40" s="5" t="s">
        <v>604</v>
      </c>
      <c r="V40" s="5" t="s">
        <v>604</v>
      </c>
      <c r="W40" s="5" t="s">
        <v>227</v>
      </c>
      <c r="X40" s="5" t="s">
        <v>227</v>
      </c>
      <c r="Y40" s="4">
        <v>81</v>
      </c>
      <c r="Z40" s="4">
        <v>60</v>
      </c>
      <c r="AA40" s="4">
        <v>85</v>
      </c>
      <c r="AB40" s="4">
        <v>1</v>
      </c>
      <c r="AC40" s="4">
        <v>2</v>
      </c>
      <c r="AD40" s="4">
        <v>10</v>
      </c>
      <c r="AE40" s="4">
        <v>11</v>
      </c>
      <c r="AF40" s="4">
        <v>1</v>
      </c>
      <c r="AG40" s="4">
        <v>1</v>
      </c>
      <c r="AH40" s="4">
        <v>3</v>
      </c>
      <c r="AI40" s="4">
        <v>3</v>
      </c>
      <c r="AJ40" s="4">
        <v>7</v>
      </c>
      <c r="AK40" s="4">
        <v>7</v>
      </c>
      <c r="AL40" s="4">
        <v>0</v>
      </c>
      <c r="AM40" s="4">
        <v>1</v>
      </c>
      <c r="AN40" s="4">
        <v>0</v>
      </c>
      <c r="AO40" s="4">
        <v>0</v>
      </c>
      <c r="AP40" s="3" t="s">
        <v>71</v>
      </c>
      <c r="AQ40" s="3" t="s">
        <v>59</v>
      </c>
      <c r="AR40" s="6" t="str">
        <f>HYPERLINK("http://catalog.hathitrust.org/Record/100133540","HathiTrust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HYPERLINK("https://creighton-primo.hosted.exlibrisgroup.com/primo-explore/search?tab=default_tab&amp;search_scope=EVERYTHING&amp;vid=01CRU&amp;lang=en_US&amp;offset=0&amp;query=any,contains,991004809829702656","Catalog Record")</f>
        <v>Catalog Record</v>
      </c>
      <c r="AT40" s="6" t="str">
        <f>HYPERLINK("http://www.worldcat.org/oclc/5268119","WorldCat Record")</f>
        <v>WorldCat Record</v>
      </c>
      <c r="AU40" s="3" t="s">
        <v>605</v>
      </c>
      <c r="AV40" s="3" t="s">
        <v>606</v>
      </c>
      <c r="AW40" s="3" t="s">
        <v>607</v>
      </c>
      <c r="AX40" s="3" t="s">
        <v>607</v>
      </c>
      <c r="AY40" s="3" t="s">
        <v>608</v>
      </c>
      <c r="AZ40" s="3" t="s">
        <v>76</v>
      </c>
      <c r="BC40" s="3" t="s">
        <v>609</v>
      </c>
      <c r="BD40" s="3" t="s">
        <v>610</v>
      </c>
    </row>
    <row r="41" spans="1:56" ht="52.5" customHeight="1" x14ac:dyDescent="0.25">
      <c r="A41" s="7" t="s">
        <v>59</v>
      </c>
      <c r="B41" s="2" t="s">
        <v>611</v>
      </c>
      <c r="C41" s="2" t="s">
        <v>612</v>
      </c>
      <c r="D41" s="2" t="s">
        <v>613</v>
      </c>
      <c r="F41" s="3" t="s">
        <v>59</v>
      </c>
      <c r="G41" s="3" t="s">
        <v>60</v>
      </c>
      <c r="H41" s="3" t="s">
        <v>59</v>
      </c>
      <c r="I41" s="3" t="s">
        <v>59</v>
      </c>
      <c r="J41" s="3" t="s">
        <v>61</v>
      </c>
      <c r="K41" s="2" t="s">
        <v>614</v>
      </c>
      <c r="L41" s="2" t="s">
        <v>615</v>
      </c>
      <c r="M41" s="3" t="s">
        <v>616</v>
      </c>
      <c r="O41" s="3" t="s">
        <v>65</v>
      </c>
      <c r="P41" s="3" t="s">
        <v>66</v>
      </c>
      <c r="R41" s="3" t="s">
        <v>68</v>
      </c>
      <c r="S41" s="4">
        <v>19</v>
      </c>
      <c r="T41" s="4">
        <v>19</v>
      </c>
      <c r="U41" s="5" t="s">
        <v>617</v>
      </c>
      <c r="V41" s="5" t="s">
        <v>617</v>
      </c>
      <c r="W41" s="5" t="s">
        <v>618</v>
      </c>
      <c r="X41" s="5" t="s">
        <v>618</v>
      </c>
      <c r="Y41" s="4">
        <v>363</v>
      </c>
      <c r="Z41" s="4">
        <v>309</v>
      </c>
      <c r="AA41" s="4">
        <v>547</v>
      </c>
      <c r="AB41" s="4">
        <v>4</v>
      </c>
      <c r="AC41" s="4">
        <v>7</v>
      </c>
      <c r="AD41" s="4">
        <v>11</v>
      </c>
      <c r="AE41" s="4">
        <v>18</v>
      </c>
      <c r="AF41" s="4">
        <v>3</v>
      </c>
      <c r="AG41" s="4">
        <v>5</v>
      </c>
      <c r="AH41" s="4">
        <v>2</v>
      </c>
      <c r="AI41" s="4">
        <v>4</v>
      </c>
      <c r="AJ41" s="4">
        <v>6</v>
      </c>
      <c r="AK41" s="4">
        <v>9</v>
      </c>
      <c r="AL41" s="4">
        <v>3</v>
      </c>
      <c r="AM41" s="4">
        <v>5</v>
      </c>
      <c r="AN41" s="4">
        <v>0</v>
      </c>
      <c r="AO41" s="4">
        <v>0</v>
      </c>
      <c r="AP41" s="3" t="s">
        <v>59</v>
      </c>
      <c r="AQ41" s="3" t="s">
        <v>71</v>
      </c>
      <c r="AR41" s="6" t="str">
        <f>HYPERLINK("http://catalog.hathitrust.org/Record/000925120","HathiTrust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HYPERLINK("https://creighton-primo.hosted.exlibrisgroup.com/primo-explore/search?tab=default_tab&amp;search_scope=EVERYTHING&amp;vid=01CRU&amp;lang=en_US&amp;offset=0&amp;query=any,contains,991001220939702656","Catalog Record")</f>
        <v>Catalog Record</v>
      </c>
      <c r="AT41" s="6" t="str">
        <f>HYPERLINK("http://www.worldcat.org/oclc/17462273","WorldCat Record")</f>
        <v>WorldCat Record</v>
      </c>
      <c r="AU41" s="3" t="s">
        <v>619</v>
      </c>
      <c r="AV41" s="3" t="s">
        <v>620</v>
      </c>
      <c r="AW41" s="3" t="s">
        <v>621</v>
      </c>
      <c r="AX41" s="3" t="s">
        <v>621</v>
      </c>
      <c r="AY41" s="3" t="s">
        <v>622</v>
      </c>
      <c r="AZ41" s="3" t="s">
        <v>76</v>
      </c>
      <c r="BB41" s="3" t="s">
        <v>623</v>
      </c>
      <c r="BC41" s="3" t="s">
        <v>624</v>
      </c>
      <c r="BD41" s="3" t="s">
        <v>625</v>
      </c>
    </row>
    <row r="42" spans="1:56" ht="52.5" customHeight="1" x14ac:dyDescent="0.25">
      <c r="A42" s="7" t="s">
        <v>59</v>
      </c>
      <c r="B42" s="2" t="s">
        <v>626</v>
      </c>
      <c r="C42" s="2" t="s">
        <v>627</v>
      </c>
      <c r="D42" s="2" t="s">
        <v>628</v>
      </c>
      <c r="F42" s="3" t="s">
        <v>59</v>
      </c>
      <c r="G42" s="3" t="s">
        <v>60</v>
      </c>
      <c r="H42" s="3" t="s">
        <v>59</v>
      </c>
      <c r="I42" s="3" t="s">
        <v>59</v>
      </c>
      <c r="J42" s="3" t="s">
        <v>61</v>
      </c>
      <c r="K42" s="2" t="s">
        <v>629</v>
      </c>
      <c r="L42" s="2" t="s">
        <v>630</v>
      </c>
      <c r="M42" s="3" t="s">
        <v>631</v>
      </c>
      <c r="N42" s="2" t="s">
        <v>435</v>
      </c>
      <c r="O42" s="3" t="s">
        <v>65</v>
      </c>
      <c r="P42" s="3" t="s">
        <v>66</v>
      </c>
      <c r="R42" s="3" t="s">
        <v>68</v>
      </c>
      <c r="S42" s="4">
        <v>2</v>
      </c>
      <c r="T42" s="4">
        <v>2</v>
      </c>
      <c r="U42" s="5" t="s">
        <v>632</v>
      </c>
      <c r="V42" s="5" t="s">
        <v>632</v>
      </c>
      <c r="W42" s="5" t="s">
        <v>227</v>
      </c>
      <c r="X42" s="5" t="s">
        <v>227</v>
      </c>
      <c r="Y42" s="4">
        <v>168</v>
      </c>
      <c r="Z42" s="4">
        <v>151</v>
      </c>
      <c r="AA42" s="4">
        <v>221</v>
      </c>
      <c r="AB42" s="4">
        <v>1</v>
      </c>
      <c r="AC42" s="4">
        <v>1</v>
      </c>
      <c r="AD42" s="4">
        <v>7</v>
      </c>
      <c r="AE42" s="4">
        <v>8</v>
      </c>
      <c r="AF42" s="4">
        <v>2</v>
      </c>
      <c r="AG42" s="4">
        <v>2</v>
      </c>
      <c r="AH42" s="4">
        <v>2</v>
      </c>
      <c r="AI42" s="4">
        <v>3</v>
      </c>
      <c r="AJ42" s="4">
        <v>6</v>
      </c>
      <c r="AK42" s="4">
        <v>6</v>
      </c>
      <c r="AL42" s="4">
        <v>0</v>
      </c>
      <c r="AM42" s="4">
        <v>0</v>
      </c>
      <c r="AN42" s="4">
        <v>0</v>
      </c>
      <c r="AO42" s="4">
        <v>0</v>
      </c>
      <c r="AP42" s="3" t="s">
        <v>71</v>
      </c>
      <c r="AQ42" s="3" t="s">
        <v>59</v>
      </c>
      <c r="AR42" s="6" t="str">
        <f>HYPERLINK("http://catalog.hathitrust.org/Record/005921543","HathiTrust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HYPERLINK("https://creighton-primo.hosted.exlibrisgroup.com/primo-explore/search?tab=default_tab&amp;search_scope=EVERYTHING&amp;vid=01CRU&amp;lang=en_US&amp;offset=0&amp;query=any,contains,991003943939702656","Catalog Record")</f>
        <v>Catalog Record</v>
      </c>
      <c r="AT42" s="6" t="str">
        <f>HYPERLINK("http://www.worldcat.org/oclc/1940794","WorldCat Record")</f>
        <v>WorldCat Record</v>
      </c>
      <c r="AU42" s="3" t="s">
        <v>633</v>
      </c>
      <c r="AV42" s="3" t="s">
        <v>634</v>
      </c>
      <c r="AW42" s="3" t="s">
        <v>635</v>
      </c>
      <c r="AX42" s="3" t="s">
        <v>635</v>
      </c>
      <c r="AY42" s="3" t="s">
        <v>636</v>
      </c>
      <c r="AZ42" s="3" t="s">
        <v>76</v>
      </c>
      <c r="BC42" s="3" t="s">
        <v>637</v>
      </c>
      <c r="BD42" s="3" t="s">
        <v>638</v>
      </c>
    </row>
    <row r="43" spans="1:56" ht="52.5" customHeight="1" x14ac:dyDescent="0.25">
      <c r="A43" s="7" t="s">
        <v>59</v>
      </c>
      <c r="B43" s="2" t="s">
        <v>639</v>
      </c>
      <c r="C43" s="2" t="s">
        <v>640</v>
      </c>
      <c r="D43" s="2" t="s">
        <v>641</v>
      </c>
      <c r="F43" s="3" t="s">
        <v>59</v>
      </c>
      <c r="G43" s="3" t="s">
        <v>60</v>
      </c>
      <c r="H43" s="3" t="s">
        <v>59</v>
      </c>
      <c r="I43" s="3" t="s">
        <v>59</v>
      </c>
      <c r="J43" s="3" t="s">
        <v>61</v>
      </c>
      <c r="K43" s="2" t="s">
        <v>642</v>
      </c>
      <c r="L43" s="2" t="s">
        <v>643</v>
      </c>
      <c r="M43" s="3" t="s">
        <v>365</v>
      </c>
      <c r="O43" s="3" t="s">
        <v>65</v>
      </c>
      <c r="P43" s="3" t="s">
        <v>66</v>
      </c>
      <c r="R43" s="3" t="s">
        <v>68</v>
      </c>
      <c r="S43" s="4">
        <v>5</v>
      </c>
      <c r="T43" s="4">
        <v>5</v>
      </c>
      <c r="U43" s="5" t="s">
        <v>644</v>
      </c>
      <c r="V43" s="5" t="s">
        <v>644</v>
      </c>
      <c r="W43" s="5" t="s">
        <v>645</v>
      </c>
      <c r="X43" s="5" t="s">
        <v>645</v>
      </c>
      <c r="Y43" s="4">
        <v>407</v>
      </c>
      <c r="Z43" s="4">
        <v>356</v>
      </c>
      <c r="AA43" s="4">
        <v>358</v>
      </c>
      <c r="AB43" s="4">
        <v>3</v>
      </c>
      <c r="AC43" s="4">
        <v>3</v>
      </c>
      <c r="AD43" s="4">
        <v>12</v>
      </c>
      <c r="AE43" s="4">
        <v>12</v>
      </c>
      <c r="AF43" s="4">
        <v>3</v>
      </c>
      <c r="AG43" s="4">
        <v>3</v>
      </c>
      <c r="AH43" s="4">
        <v>3</v>
      </c>
      <c r="AI43" s="4">
        <v>3</v>
      </c>
      <c r="AJ43" s="4">
        <v>6</v>
      </c>
      <c r="AK43" s="4">
        <v>6</v>
      </c>
      <c r="AL43" s="4">
        <v>2</v>
      </c>
      <c r="AM43" s="4">
        <v>2</v>
      </c>
      <c r="AN43" s="4">
        <v>0</v>
      </c>
      <c r="AO43" s="4">
        <v>0</v>
      </c>
      <c r="AP43" s="3" t="s">
        <v>59</v>
      </c>
      <c r="AQ43" s="3" t="s">
        <v>71</v>
      </c>
      <c r="AR43" s="6" t="str">
        <f>HYPERLINK("http://catalog.hathitrust.org/Record/001828541","HathiTrust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HYPERLINK("https://creighton-primo.hosted.exlibrisgroup.com/primo-explore/search?tab=default_tab&amp;search_scope=EVERYTHING&amp;vid=01CRU&amp;lang=en_US&amp;offset=0&amp;query=any,contains,991001460799702656","Catalog Record")</f>
        <v>Catalog Record</v>
      </c>
      <c r="AT43" s="6" t="str">
        <f>HYPERLINK("http://www.worldcat.org/oclc/19455101","WorldCat Record")</f>
        <v>WorldCat Record</v>
      </c>
      <c r="AU43" s="3" t="s">
        <v>646</v>
      </c>
      <c r="AV43" s="3" t="s">
        <v>647</v>
      </c>
      <c r="AW43" s="3" t="s">
        <v>648</v>
      </c>
      <c r="AX43" s="3" t="s">
        <v>648</v>
      </c>
      <c r="AY43" s="3" t="s">
        <v>649</v>
      </c>
      <c r="AZ43" s="3" t="s">
        <v>76</v>
      </c>
      <c r="BB43" s="3" t="s">
        <v>650</v>
      </c>
      <c r="BC43" s="3" t="s">
        <v>651</v>
      </c>
      <c r="BD43" s="3" t="s">
        <v>652</v>
      </c>
    </row>
    <row r="44" spans="1:56" ht="52.5" customHeight="1" x14ac:dyDescent="0.25">
      <c r="A44" s="7" t="s">
        <v>59</v>
      </c>
      <c r="B44" s="2" t="s">
        <v>653</v>
      </c>
      <c r="C44" s="2" t="s">
        <v>654</v>
      </c>
      <c r="D44" s="2" t="s">
        <v>655</v>
      </c>
      <c r="F44" s="3" t="s">
        <v>59</v>
      </c>
      <c r="G44" s="3" t="s">
        <v>60</v>
      </c>
      <c r="H44" s="3" t="s">
        <v>59</v>
      </c>
      <c r="I44" s="3" t="s">
        <v>59</v>
      </c>
      <c r="J44" s="3" t="s">
        <v>61</v>
      </c>
      <c r="K44" s="2" t="s">
        <v>656</v>
      </c>
      <c r="L44" s="2" t="s">
        <v>657</v>
      </c>
      <c r="M44" s="3" t="s">
        <v>148</v>
      </c>
      <c r="O44" s="3" t="s">
        <v>65</v>
      </c>
      <c r="P44" s="3" t="s">
        <v>66</v>
      </c>
      <c r="R44" s="3" t="s">
        <v>68</v>
      </c>
      <c r="S44" s="4">
        <v>9</v>
      </c>
      <c r="T44" s="4">
        <v>9</v>
      </c>
      <c r="U44" s="5" t="s">
        <v>658</v>
      </c>
      <c r="V44" s="5" t="s">
        <v>658</v>
      </c>
      <c r="W44" s="5" t="s">
        <v>241</v>
      </c>
      <c r="X44" s="5" t="s">
        <v>241</v>
      </c>
      <c r="Y44" s="4">
        <v>424</v>
      </c>
      <c r="Z44" s="4">
        <v>352</v>
      </c>
      <c r="AA44" s="4">
        <v>819</v>
      </c>
      <c r="AB44" s="4">
        <v>4</v>
      </c>
      <c r="AC44" s="4">
        <v>7</v>
      </c>
      <c r="AD44" s="4">
        <v>17</v>
      </c>
      <c r="AE44" s="4">
        <v>37</v>
      </c>
      <c r="AF44" s="4">
        <v>6</v>
      </c>
      <c r="AG44" s="4">
        <v>14</v>
      </c>
      <c r="AH44" s="4">
        <v>2</v>
      </c>
      <c r="AI44" s="4">
        <v>9</v>
      </c>
      <c r="AJ44" s="4">
        <v>7</v>
      </c>
      <c r="AK44" s="4">
        <v>17</v>
      </c>
      <c r="AL44" s="4">
        <v>3</v>
      </c>
      <c r="AM44" s="4">
        <v>6</v>
      </c>
      <c r="AN44" s="4">
        <v>0</v>
      </c>
      <c r="AO44" s="4">
        <v>0</v>
      </c>
      <c r="AP44" s="3" t="s">
        <v>59</v>
      </c>
      <c r="AQ44" s="3" t="s">
        <v>71</v>
      </c>
      <c r="AR44" s="6" t="str">
        <f>HYPERLINK("http://catalog.hathitrust.org/Record/000040710","HathiTrust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HYPERLINK("https://creighton-primo.hosted.exlibrisgroup.com/primo-explore/search?tab=default_tab&amp;search_scope=EVERYTHING&amp;vid=01CRU&amp;lang=en_US&amp;offset=0&amp;query=any,contains,991003836599702656","Catalog Record")</f>
        <v>Catalog Record</v>
      </c>
      <c r="AT44" s="6" t="str">
        <f>HYPERLINK("http://www.worldcat.org/oclc/1602138","WorldCat Record")</f>
        <v>WorldCat Record</v>
      </c>
      <c r="AU44" s="3" t="s">
        <v>659</v>
      </c>
      <c r="AV44" s="3" t="s">
        <v>660</v>
      </c>
      <c r="AW44" s="3" t="s">
        <v>661</v>
      </c>
      <c r="AX44" s="3" t="s">
        <v>661</v>
      </c>
      <c r="AY44" s="3" t="s">
        <v>662</v>
      </c>
      <c r="AZ44" s="3" t="s">
        <v>76</v>
      </c>
      <c r="BB44" s="3" t="s">
        <v>663</v>
      </c>
      <c r="BC44" s="3" t="s">
        <v>664</v>
      </c>
      <c r="BD44" s="3" t="s">
        <v>665</v>
      </c>
    </row>
    <row r="45" spans="1:56" ht="52.5" customHeight="1" x14ac:dyDescent="0.25">
      <c r="A45" s="7" t="s">
        <v>59</v>
      </c>
      <c r="B45" s="2" t="s">
        <v>666</v>
      </c>
      <c r="C45" s="2" t="s">
        <v>667</v>
      </c>
      <c r="D45" s="2" t="s">
        <v>668</v>
      </c>
      <c r="F45" s="3" t="s">
        <v>59</v>
      </c>
      <c r="G45" s="3" t="s">
        <v>60</v>
      </c>
      <c r="H45" s="3" t="s">
        <v>59</v>
      </c>
      <c r="I45" s="3" t="s">
        <v>59</v>
      </c>
      <c r="J45" s="3" t="s">
        <v>61</v>
      </c>
      <c r="K45" s="2" t="s">
        <v>669</v>
      </c>
      <c r="L45" s="2" t="s">
        <v>670</v>
      </c>
      <c r="M45" s="3" t="s">
        <v>64</v>
      </c>
      <c r="N45" s="2" t="s">
        <v>671</v>
      </c>
      <c r="O45" s="3" t="s">
        <v>65</v>
      </c>
      <c r="P45" s="3" t="s">
        <v>66</v>
      </c>
      <c r="R45" s="3" t="s">
        <v>68</v>
      </c>
      <c r="S45" s="4">
        <v>1</v>
      </c>
      <c r="T45" s="4">
        <v>1</v>
      </c>
      <c r="U45" s="5" t="s">
        <v>240</v>
      </c>
      <c r="V45" s="5" t="s">
        <v>240</v>
      </c>
      <c r="W45" s="5" t="s">
        <v>672</v>
      </c>
      <c r="X45" s="5" t="s">
        <v>672</v>
      </c>
      <c r="Y45" s="4">
        <v>818</v>
      </c>
      <c r="Z45" s="4">
        <v>720</v>
      </c>
      <c r="AA45" s="4">
        <v>1113</v>
      </c>
      <c r="AB45" s="4">
        <v>4</v>
      </c>
      <c r="AC45" s="4">
        <v>5</v>
      </c>
      <c r="AD45" s="4">
        <v>24</v>
      </c>
      <c r="AE45" s="4">
        <v>42</v>
      </c>
      <c r="AF45" s="4">
        <v>10</v>
      </c>
      <c r="AG45" s="4">
        <v>18</v>
      </c>
      <c r="AH45" s="4">
        <v>3</v>
      </c>
      <c r="AI45" s="4">
        <v>6</v>
      </c>
      <c r="AJ45" s="4">
        <v>15</v>
      </c>
      <c r="AK45" s="4">
        <v>23</v>
      </c>
      <c r="AL45" s="4">
        <v>3</v>
      </c>
      <c r="AM45" s="4">
        <v>4</v>
      </c>
      <c r="AN45" s="4">
        <v>0</v>
      </c>
      <c r="AO45" s="4">
        <v>0</v>
      </c>
      <c r="AP45" s="3" t="s">
        <v>59</v>
      </c>
      <c r="AQ45" s="3" t="s">
        <v>71</v>
      </c>
      <c r="AR45" s="6" t="str">
        <f>HYPERLINK("http://catalog.hathitrust.org/Record/000581817","HathiTrust Record")</f>
        <v>HathiTrust Record</v>
      </c>
      <c r="AS45" s="6" t="str">
        <f>HYPERLINK("https://creighton-primo.hosted.exlibrisgroup.com/primo-explore/search?tab=default_tab&amp;search_scope=EVERYTHING&amp;vid=01CRU&amp;lang=en_US&amp;offset=0&amp;query=any,contains,991001204659702656","Catalog Record")</f>
        <v>Catalog Record</v>
      </c>
      <c r="AT45" s="6" t="str">
        <f>HYPERLINK("http://www.worldcat.org/oclc/191706","WorldCat Record")</f>
        <v>WorldCat Record</v>
      </c>
      <c r="AU45" s="3" t="s">
        <v>673</v>
      </c>
      <c r="AV45" s="3" t="s">
        <v>674</v>
      </c>
      <c r="AW45" s="3" t="s">
        <v>675</v>
      </c>
      <c r="AX45" s="3" t="s">
        <v>675</v>
      </c>
      <c r="AY45" s="3" t="s">
        <v>676</v>
      </c>
      <c r="AZ45" s="3" t="s">
        <v>76</v>
      </c>
      <c r="BC45" s="3" t="s">
        <v>677</v>
      </c>
      <c r="BD45" s="3" t="s">
        <v>678</v>
      </c>
    </row>
    <row r="46" spans="1:56" ht="52.5" customHeight="1" x14ac:dyDescent="0.25">
      <c r="A46" s="7" t="s">
        <v>59</v>
      </c>
      <c r="B46" s="2" t="s">
        <v>679</v>
      </c>
      <c r="C46" s="2" t="s">
        <v>680</v>
      </c>
      <c r="D46" s="2" t="s">
        <v>681</v>
      </c>
      <c r="F46" s="3" t="s">
        <v>59</v>
      </c>
      <c r="G46" s="3" t="s">
        <v>60</v>
      </c>
      <c r="H46" s="3" t="s">
        <v>59</v>
      </c>
      <c r="I46" s="3" t="s">
        <v>59</v>
      </c>
      <c r="J46" s="3" t="s">
        <v>61</v>
      </c>
      <c r="K46" s="2" t="s">
        <v>682</v>
      </c>
      <c r="L46" s="2" t="s">
        <v>683</v>
      </c>
      <c r="M46" s="3" t="s">
        <v>684</v>
      </c>
      <c r="O46" s="3" t="s">
        <v>65</v>
      </c>
      <c r="P46" s="3" t="s">
        <v>283</v>
      </c>
      <c r="R46" s="3" t="s">
        <v>68</v>
      </c>
      <c r="S46" s="4">
        <v>41</v>
      </c>
      <c r="T46" s="4">
        <v>41</v>
      </c>
      <c r="U46" s="5" t="s">
        <v>685</v>
      </c>
      <c r="V46" s="5" t="s">
        <v>685</v>
      </c>
      <c r="W46" s="5" t="s">
        <v>686</v>
      </c>
      <c r="X46" s="5" t="s">
        <v>686</v>
      </c>
      <c r="Y46" s="4">
        <v>374</v>
      </c>
      <c r="Z46" s="4">
        <v>348</v>
      </c>
      <c r="AA46" s="4">
        <v>355</v>
      </c>
      <c r="AB46" s="4">
        <v>4</v>
      </c>
      <c r="AC46" s="4">
        <v>4</v>
      </c>
      <c r="AD46" s="4">
        <v>3</v>
      </c>
      <c r="AE46" s="4">
        <v>3</v>
      </c>
      <c r="AF46" s="4">
        <v>3</v>
      </c>
      <c r="AG46" s="4">
        <v>3</v>
      </c>
      <c r="AH46" s="4">
        <v>0</v>
      </c>
      <c r="AI46" s="4">
        <v>0</v>
      </c>
      <c r="AJ46" s="4">
        <v>1</v>
      </c>
      <c r="AK46" s="4">
        <v>1</v>
      </c>
      <c r="AL46" s="4">
        <v>0</v>
      </c>
      <c r="AM46" s="4">
        <v>0</v>
      </c>
      <c r="AN46" s="4">
        <v>0</v>
      </c>
      <c r="AO46" s="4">
        <v>0</v>
      </c>
      <c r="AP46" s="3" t="s">
        <v>59</v>
      </c>
      <c r="AQ46" s="3" t="s">
        <v>71</v>
      </c>
      <c r="AR46" s="6" t="str">
        <f>HYPERLINK("http://catalog.hathitrust.org/Record/102219543","HathiTrust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HYPERLINK("https://creighton-primo.hosted.exlibrisgroup.com/primo-explore/search?tab=default_tab&amp;search_scope=EVERYTHING&amp;vid=01CRU&amp;lang=en_US&amp;offset=0&amp;query=any,contains,991005088599702656","Catalog Record")</f>
        <v>Catalog Record</v>
      </c>
      <c r="AT46" s="6" t="str">
        <f>HYPERLINK("http://www.worldcat.org/oclc/7203606","WorldCat Record")</f>
        <v>WorldCat Record</v>
      </c>
      <c r="AU46" s="3" t="s">
        <v>687</v>
      </c>
      <c r="AV46" s="3" t="s">
        <v>688</v>
      </c>
      <c r="AW46" s="3" t="s">
        <v>689</v>
      </c>
      <c r="AX46" s="3" t="s">
        <v>689</v>
      </c>
      <c r="AY46" s="3" t="s">
        <v>690</v>
      </c>
      <c r="AZ46" s="3" t="s">
        <v>76</v>
      </c>
      <c r="BB46" s="3" t="s">
        <v>691</v>
      </c>
      <c r="BC46" s="3" t="s">
        <v>692</v>
      </c>
      <c r="BD46" s="3" t="s">
        <v>693</v>
      </c>
    </row>
    <row r="47" spans="1:56" ht="52.5" customHeight="1" x14ac:dyDescent="0.25">
      <c r="A47" s="7" t="s">
        <v>59</v>
      </c>
      <c r="B47" s="2" t="s">
        <v>694</v>
      </c>
      <c r="C47" s="2" t="s">
        <v>695</v>
      </c>
      <c r="D47" s="2" t="s">
        <v>696</v>
      </c>
      <c r="F47" s="3" t="s">
        <v>59</v>
      </c>
      <c r="G47" s="3" t="s">
        <v>60</v>
      </c>
      <c r="H47" s="3" t="s">
        <v>59</v>
      </c>
      <c r="I47" s="3" t="s">
        <v>59</v>
      </c>
      <c r="J47" s="3" t="s">
        <v>61</v>
      </c>
      <c r="K47" s="2" t="s">
        <v>697</v>
      </c>
      <c r="L47" s="2" t="s">
        <v>698</v>
      </c>
      <c r="M47" s="3" t="s">
        <v>684</v>
      </c>
      <c r="O47" s="3" t="s">
        <v>65</v>
      </c>
      <c r="P47" s="3" t="s">
        <v>699</v>
      </c>
      <c r="R47" s="3" t="s">
        <v>68</v>
      </c>
      <c r="S47" s="4">
        <v>12</v>
      </c>
      <c r="T47" s="4">
        <v>12</v>
      </c>
      <c r="U47" s="5" t="s">
        <v>700</v>
      </c>
      <c r="V47" s="5" t="s">
        <v>700</v>
      </c>
      <c r="W47" s="5" t="s">
        <v>477</v>
      </c>
      <c r="X47" s="5" t="s">
        <v>477</v>
      </c>
      <c r="Y47" s="4">
        <v>299</v>
      </c>
      <c r="Z47" s="4">
        <v>238</v>
      </c>
      <c r="AA47" s="4">
        <v>255</v>
      </c>
      <c r="AB47" s="4">
        <v>2</v>
      </c>
      <c r="AC47" s="4">
        <v>2</v>
      </c>
      <c r="AD47" s="4">
        <v>10</v>
      </c>
      <c r="AE47" s="4">
        <v>10</v>
      </c>
      <c r="AF47" s="4">
        <v>4</v>
      </c>
      <c r="AG47" s="4">
        <v>4</v>
      </c>
      <c r="AH47" s="4">
        <v>1</v>
      </c>
      <c r="AI47" s="4">
        <v>1</v>
      </c>
      <c r="AJ47" s="4">
        <v>7</v>
      </c>
      <c r="AK47" s="4">
        <v>7</v>
      </c>
      <c r="AL47" s="4">
        <v>1</v>
      </c>
      <c r="AM47" s="4">
        <v>1</v>
      </c>
      <c r="AN47" s="4">
        <v>0</v>
      </c>
      <c r="AO47" s="4">
        <v>0</v>
      </c>
      <c r="AP47" s="3" t="s">
        <v>59</v>
      </c>
      <c r="AQ47" s="3" t="s">
        <v>59</v>
      </c>
      <c r="AS47" s="6" t="str">
        <f>HYPERLINK("https://creighton-primo.hosted.exlibrisgroup.com/primo-explore/search?tab=default_tab&amp;search_scope=EVERYTHING&amp;vid=01CRU&amp;lang=en_US&amp;offset=0&amp;query=any,contains,991005112629702656","Catalog Record")</f>
        <v>Catalog Record</v>
      </c>
      <c r="AT47" s="6" t="str">
        <f>HYPERLINK("http://www.worldcat.org/oclc/7459521","WorldCat Record")</f>
        <v>WorldCat Record</v>
      </c>
      <c r="AU47" s="3" t="s">
        <v>701</v>
      </c>
      <c r="AV47" s="3" t="s">
        <v>702</v>
      </c>
      <c r="AW47" s="3" t="s">
        <v>703</v>
      </c>
      <c r="AX47" s="3" t="s">
        <v>703</v>
      </c>
      <c r="AY47" s="3" t="s">
        <v>704</v>
      </c>
      <c r="AZ47" s="3" t="s">
        <v>76</v>
      </c>
      <c r="BB47" s="3" t="s">
        <v>705</v>
      </c>
      <c r="BC47" s="3" t="s">
        <v>706</v>
      </c>
      <c r="BD47" s="3" t="s">
        <v>707</v>
      </c>
    </row>
    <row r="48" spans="1:56" ht="52.5" customHeight="1" x14ac:dyDescent="0.25">
      <c r="A48" s="7" t="s">
        <v>59</v>
      </c>
      <c r="B48" s="2" t="s">
        <v>708</v>
      </c>
      <c r="C48" s="2" t="s">
        <v>709</v>
      </c>
      <c r="D48" s="2" t="s">
        <v>710</v>
      </c>
      <c r="F48" s="3" t="s">
        <v>59</v>
      </c>
      <c r="G48" s="3" t="s">
        <v>60</v>
      </c>
      <c r="H48" s="3" t="s">
        <v>59</v>
      </c>
      <c r="I48" s="3" t="s">
        <v>59</v>
      </c>
      <c r="J48" s="3" t="s">
        <v>61</v>
      </c>
      <c r="K48" s="2" t="s">
        <v>711</v>
      </c>
      <c r="L48" s="2" t="s">
        <v>712</v>
      </c>
      <c r="M48" s="3" t="s">
        <v>148</v>
      </c>
      <c r="O48" s="3" t="s">
        <v>65</v>
      </c>
      <c r="P48" s="3" t="s">
        <v>713</v>
      </c>
      <c r="Q48" s="2" t="s">
        <v>714</v>
      </c>
      <c r="R48" s="3" t="s">
        <v>68</v>
      </c>
      <c r="S48" s="4">
        <v>24</v>
      </c>
      <c r="T48" s="4">
        <v>24</v>
      </c>
      <c r="U48" s="5" t="s">
        <v>715</v>
      </c>
      <c r="V48" s="5" t="s">
        <v>715</v>
      </c>
      <c r="W48" s="5" t="s">
        <v>716</v>
      </c>
      <c r="X48" s="5" t="s">
        <v>716</v>
      </c>
      <c r="Y48" s="4">
        <v>240</v>
      </c>
      <c r="Z48" s="4">
        <v>182</v>
      </c>
      <c r="AA48" s="4">
        <v>184</v>
      </c>
      <c r="AB48" s="4">
        <v>1</v>
      </c>
      <c r="AC48" s="4">
        <v>1</v>
      </c>
      <c r="AD48" s="4">
        <v>9</v>
      </c>
      <c r="AE48" s="4">
        <v>9</v>
      </c>
      <c r="AF48" s="4">
        <v>1</v>
      </c>
      <c r="AG48" s="4">
        <v>1</v>
      </c>
      <c r="AH48" s="4">
        <v>3</v>
      </c>
      <c r="AI48" s="4">
        <v>3</v>
      </c>
      <c r="AJ48" s="4">
        <v>8</v>
      </c>
      <c r="AK48" s="4">
        <v>8</v>
      </c>
      <c r="AL48" s="4">
        <v>0</v>
      </c>
      <c r="AM48" s="4">
        <v>0</v>
      </c>
      <c r="AN48" s="4">
        <v>0</v>
      </c>
      <c r="AO48" s="4">
        <v>0</v>
      </c>
      <c r="AP48" s="3" t="s">
        <v>59</v>
      </c>
      <c r="AQ48" s="3" t="s">
        <v>71</v>
      </c>
      <c r="AR48" s="6" t="str">
        <f>HYPERLINK("http://catalog.hathitrust.org/Record/000172789","HathiTrust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HYPERLINK("https://creighton-primo.hosted.exlibrisgroup.com/primo-explore/search?tab=default_tab&amp;search_scope=EVERYTHING&amp;vid=01CRU&amp;lang=en_US&amp;offset=0&amp;query=any,contains,991004240879702656","Catalog Record")</f>
        <v>Catalog Record</v>
      </c>
      <c r="AT48" s="6" t="str">
        <f>HYPERLINK("http://www.worldcat.org/oclc/7694060","WorldCat Record")</f>
        <v>WorldCat Record</v>
      </c>
      <c r="AU48" s="3" t="s">
        <v>717</v>
      </c>
      <c r="AV48" s="3" t="s">
        <v>718</v>
      </c>
      <c r="AW48" s="3" t="s">
        <v>719</v>
      </c>
      <c r="AX48" s="3" t="s">
        <v>719</v>
      </c>
      <c r="AY48" s="3" t="s">
        <v>720</v>
      </c>
      <c r="AZ48" s="3" t="s">
        <v>76</v>
      </c>
      <c r="BB48" s="3" t="s">
        <v>721</v>
      </c>
      <c r="BC48" s="3" t="s">
        <v>722</v>
      </c>
      <c r="BD48" s="3" t="s">
        <v>723</v>
      </c>
    </row>
    <row r="49" spans="1:56" ht="52.5" customHeight="1" x14ac:dyDescent="0.25">
      <c r="A49" s="7" t="s">
        <v>59</v>
      </c>
      <c r="B49" s="2" t="s">
        <v>724</v>
      </c>
      <c r="C49" s="2" t="s">
        <v>725</v>
      </c>
      <c r="D49" s="2" t="s">
        <v>726</v>
      </c>
      <c r="F49" s="3" t="s">
        <v>59</v>
      </c>
      <c r="G49" s="3" t="s">
        <v>60</v>
      </c>
      <c r="H49" s="3" t="s">
        <v>59</v>
      </c>
      <c r="I49" s="3" t="s">
        <v>59</v>
      </c>
      <c r="J49" s="3" t="s">
        <v>61</v>
      </c>
      <c r="K49" s="2" t="s">
        <v>727</v>
      </c>
      <c r="L49" s="2" t="s">
        <v>728</v>
      </c>
      <c r="M49" s="3" t="s">
        <v>729</v>
      </c>
      <c r="O49" s="3" t="s">
        <v>65</v>
      </c>
      <c r="P49" s="3" t="s">
        <v>66</v>
      </c>
      <c r="R49" s="3" t="s">
        <v>68</v>
      </c>
      <c r="S49" s="4">
        <v>16</v>
      </c>
      <c r="T49" s="4">
        <v>16</v>
      </c>
      <c r="U49" s="5" t="s">
        <v>730</v>
      </c>
      <c r="V49" s="5" t="s">
        <v>730</v>
      </c>
      <c r="W49" s="5" t="s">
        <v>731</v>
      </c>
      <c r="X49" s="5" t="s">
        <v>731</v>
      </c>
      <c r="Y49" s="4">
        <v>1162</v>
      </c>
      <c r="Z49" s="4">
        <v>1069</v>
      </c>
      <c r="AA49" s="4">
        <v>1895</v>
      </c>
      <c r="AB49" s="4">
        <v>11</v>
      </c>
      <c r="AC49" s="4">
        <v>19</v>
      </c>
      <c r="AD49" s="4">
        <v>36</v>
      </c>
      <c r="AE49" s="4">
        <v>59</v>
      </c>
      <c r="AF49" s="4">
        <v>12</v>
      </c>
      <c r="AG49" s="4">
        <v>24</v>
      </c>
      <c r="AH49" s="4">
        <v>6</v>
      </c>
      <c r="AI49" s="4">
        <v>7</v>
      </c>
      <c r="AJ49" s="4">
        <v>14</v>
      </c>
      <c r="AK49" s="4">
        <v>22</v>
      </c>
      <c r="AL49" s="4">
        <v>9</v>
      </c>
      <c r="AM49" s="4">
        <v>15</v>
      </c>
      <c r="AN49" s="4">
        <v>0</v>
      </c>
      <c r="AO49" s="4">
        <v>0</v>
      </c>
      <c r="AP49" s="3" t="s">
        <v>59</v>
      </c>
      <c r="AQ49" s="3" t="s">
        <v>71</v>
      </c>
      <c r="AR49" s="6" t="str">
        <f>HYPERLINK("http://catalog.hathitrust.org/Record/000586019","HathiTrust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HYPERLINK("https://creighton-primo.hosted.exlibrisgroup.com/primo-explore/search?tab=default_tab&amp;search_scope=EVERYTHING&amp;vid=01CRU&amp;lang=en_US&amp;offset=0&amp;query=any,contains,991001326569702656","Catalog Record")</f>
        <v>Catalog Record</v>
      </c>
      <c r="AT49" s="6" t="str">
        <f>HYPERLINK("http://www.worldcat.org/oclc/221014","WorldCat Record")</f>
        <v>WorldCat Record</v>
      </c>
      <c r="AU49" s="3" t="s">
        <v>732</v>
      </c>
      <c r="AV49" s="3" t="s">
        <v>733</v>
      </c>
      <c r="AW49" s="3" t="s">
        <v>734</v>
      </c>
      <c r="AX49" s="3" t="s">
        <v>734</v>
      </c>
      <c r="AY49" s="3" t="s">
        <v>735</v>
      </c>
      <c r="AZ49" s="3" t="s">
        <v>76</v>
      </c>
      <c r="BC49" s="3" t="s">
        <v>736</v>
      </c>
      <c r="BD49" s="3" t="s">
        <v>737</v>
      </c>
    </row>
    <row r="50" spans="1:56" ht="52.5" customHeight="1" x14ac:dyDescent="0.25">
      <c r="A50" s="7" t="s">
        <v>59</v>
      </c>
      <c r="B50" s="2" t="s">
        <v>738</v>
      </c>
      <c r="C50" s="2" t="s">
        <v>739</v>
      </c>
      <c r="D50" s="2" t="s">
        <v>740</v>
      </c>
      <c r="F50" s="3" t="s">
        <v>59</v>
      </c>
      <c r="G50" s="3" t="s">
        <v>60</v>
      </c>
      <c r="H50" s="3" t="s">
        <v>59</v>
      </c>
      <c r="I50" s="3" t="s">
        <v>59</v>
      </c>
      <c r="J50" s="3" t="s">
        <v>61</v>
      </c>
      <c r="K50" s="2" t="s">
        <v>741</v>
      </c>
      <c r="L50" s="2" t="s">
        <v>742</v>
      </c>
      <c r="M50" s="3" t="s">
        <v>224</v>
      </c>
      <c r="O50" s="3" t="s">
        <v>65</v>
      </c>
      <c r="P50" s="3" t="s">
        <v>66</v>
      </c>
      <c r="R50" s="3" t="s">
        <v>68</v>
      </c>
      <c r="S50" s="4">
        <v>22</v>
      </c>
      <c r="T50" s="4">
        <v>22</v>
      </c>
      <c r="U50" s="5" t="s">
        <v>685</v>
      </c>
      <c r="V50" s="5" t="s">
        <v>685</v>
      </c>
      <c r="W50" s="5" t="s">
        <v>743</v>
      </c>
      <c r="X50" s="5" t="s">
        <v>743</v>
      </c>
      <c r="Y50" s="4">
        <v>331</v>
      </c>
      <c r="Z50" s="4">
        <v>311</v>
      </c>
      <c r="AA50" s="4">
        <v>569</v>
      </c>
      <c r="AB50" s="4">
        <v>5</v>
      </c>
      <c r="AC50" s="4">
        <v>6</v>
      </c>
      <c r="AD50" s="4">
        <v>9</v>
      </c>
      <c r="AE50" s="4">
        <v>12</v>
      </c>
      <c r="AF50" s="4">
        <v>2</v>
      </c>
      <c r="AG50" s="4">
        <v>2</v>
      </c>
      <c r="AH50" s="4">
        <v>1</v>
      </c>
      <c r="AI50" s="4">
        <v>1</v>
      </c>
      <c r="AJ50" s="4">
        <v>6</v>
      </c>
      <c r="AK50" s="4">
        <v>9</v>
      </c>
      <c r="AL50" s="4">
        <v>2</v>
      </c>
      <c r="AM50" s="4">
        <v>2</v>
      </c>
      <c r="AN50" s="4">
        <v>0</v>
      </c>
      <c r="AO50" s="4">
        <v>0</v>
      </c>
      <c r="AP50" s="3" t="s">
        <v>59</v>
      </c>
      <c r="AQ50" s="3" t="s">
        <v>59</v>
      </c>
      <c r="AS50" s="6" t="str">
        <f>HYPERLINK("https://creighton-primo.hosted.exlibrisgroup.com/primo-explore/search?tab=default_tab&amp;search_scope=EVERYTHING&amp;vid=01CRU&amp;lang=en_US&amp;offset=0&amp;query=any,contains,991003468189702656","Catalog Record")</f>
        <v>Catalog Record</v>
      </c>
      <c r="AT50" s="6" t="str">
        <f>HYPERLINK("http://www.worldcat.org/oclc/1009478","WorldCat Record")</f>
        <v>WorldCat Record</v>
      </c>
      <c r="AU50" s="3" t="s">
        <v>744</v>
      </c>
      <c r="AV50" s="3" t="s">
        <v>745</v>
      </c>
      <c r="AW50" s="3" t="s">
        <v>746</v>
      </c>
      <c r="AX50" s="3" t="s">
        <v>746</v>
      </c>
      <c r="AY50" s="3" t="s">
        <v>747</v>
      </c>
      <c r="AZ50" s="3" t="s">
        <v>76</v>
      </c>
      <c r="BB50" s="3" t="s">
        <v>748</v>
      </c>
      <c r="BC50" s="3" t="s">
        <v>749</v>
      </c>
      <c r="BD50" s="3" t="s">
        <v>750</v>
      </c>
    </row>
    <row r="51" spans="1:56" ht="52.5" customHeight="1" x14ac:dyDescent="0.25">
      <c r="A51" s="7" t="s">
        <v>59</v>
      </c>
      <c r="B51" s="2" t="s">
        <v>751</v>
      </c>
      <c r="C51" s="2" t="s">
        <v>752</v>
      </c>
      <c r="D51" s="2" t="s">
        <v>753</v>
      </c>
      <c r="F51" s="3" t="s">
        <v>59</v>
      </c>
      <c r="G51" s="3" t="s">
        <v>60</v>
      </c>
      <c r="H51" s="3" t="s">
        <v>59</v>
      </c>
      <c r="I51" s="3" t="s">
        <v>59</v>
      </c>
      <c r="J51" s="3" t="s">
        <v>61</v>
      </c>
      <c r="K51" s="2" t="s">
        <v>754</v>
      </c>
      <c r="L51" s="2" t="s">
        <v>755</v>
      </c>
      <c r="M51" s="3" t="s">
        <v>756</v>
      </c>
      <c r="O51" s="3" t="s">
        <v>65</v>
      </c>
      <c r="P51" s="3" t="s">
        <v>66</v>
      </c>
      <c r="R51" s="3" t="s">
        <v>68</v>
      </c>
      <c r="S51" s="4">
        <v>9</v>
      </c>
      <c r="T51" s="4">
        <v>9</v>
      </c>
      <c r="U51" s="5" t="s">
        <v>757</v>
      </c>
      <c r="V51" s="5" t="s">
        <v>757</v>
      </c>
      <c r="W51" s="5" t="s">
        <v>758</v>
      </c>
      <c r="X51" s="5" t="s">
        <v>758</v>
      </c>
      <c r="Y51" s="4">
        <v>552</v>
      </c>
      <c r="Z51" s="4">
        <v>466</v>
      </c>
      <c r="AA51" s="4">
        <v>468</v>
      </c>
      <c r="AB51" s="4">
        <v>5</v>
      </c>
      <c r="AC51" s="4">
        <v>5</v>
      </c>
      <c r="AD51" s="4">
        <v>27</v>
      </c>
      <c r="AE51" s="4">
        <v>27</v>
      </c>
      <c r="AF51" s="4">
        <v>11</v>
      </c>
      <c r="AG51" s="4">
        <v>11</v>
      </c>
      <c r="AH51" s="4">
        <v>5</v>
      </c>
      <c r="AI51" s="4">
        <v>5</v>
      </c>
      <c r="AJ51" s="4">
        <v>12</v>
      </c>
      <c r="AK51" s="4">
        <v>12</v>
      </c>
      <c r="AL51" s="4">
        <v>4</v>
      </c>
      <c r="AM51" s="4">
        <v>4</v>
      </c>
      <c r="AN51" s="4">
        <v>0</v>
      </c>
      <c r="AO51" s="4">
        <v>0</v>
      </c>
      <c r="AP51" s="3" t="s">
        <v>59</v>
      </c>
      <c r="AQ51" s="3" t="s">
        <v>71</v>
      </c>
      <c r="AR51" s="6" t="str">
        <f>HYPERLINK("http://catalog.hathitrust.org/Record/000474237","HathiTrust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HYPERLINK("https://creighton-primo.hosted.exlibrisgroup.com/primo-explore/search?tab=default_tab&amp;search_scope=EVERYTHING&amp;vid=01CRU&amp;lang=en_US&amp;offset=0&amp;query=any,contains,991005253829702656","Catalog Record")</f>
        <v>Catalog Record</v>
      </c>
      <c r="AT51" s="6" t="str">
        <f>HYPERLINK("http://www.worldcat.org/oclc/221015","WorldCat Record")</f>
        <v>WorldCat Record</v>
      </c>
      <c r="AU51" s="3" t="s">
        <v>759</v>
      </c>
      <c r="AV51" s="3" t="s">
        <v>760</v>
      </c>
      <c r="AW51" s="3" t="s">
        <v>761</v>
      </c>
      <c r="AX51" s="3" t="s">
        <v>761</v>
      </c>
      <c r="AY51" s="3" t="s">
        <v>762</v>
      </c>
      <c r="AZ51" s="3" t="s">
        <v>76</v>
      </c>
      <c r="BC51" s="3" t="s">
        <v>763</v>
      </c>
      <c r="BD51" s="3" t="s">
        <v>764</v>
      </c>
    </row>
    <row r="52" spans="1:56" ht="52.5" customHeight="1" x14ac:dyDescent="0.25">
      <c r="A52" s="7" t="s">
        <v>59</v>
      </c>
      <c r="B52" s="2" t="s">
        <v>765</v>
      </c>
      <c r="C52" s="2" t="s">
        <v>766</v>
      </c>
      <c r="D52" s="2" t="s">
        <v>767</v>
      </c>
      <c r="E52" s="3" t="s">
        <v>768</v>
      </c>
      <c r="F52" s="3" t="s">
        <v>71</v>
      </c>
      <c r="G52" s="3" t="s">
        <v>60</v>
      </c>
      <c r="H52" s="3" t="s">
        <v>59</v>
      </c>
      <c r="I52" s="3" t="s">
        <v>59</v>
      </c>
      <c r="J52" s="3" t="s">
        <v>61</v>
      </c>
      <c r="K52" s="2" t="s">
        <v>769</v>
      </c>
      <c r="L52" s="2" t="s">
        <v>770</v>
      </c>
      <c r="M52" s="3" t="s">
        <v>549</v>
      </c>
      <c r="O52" s="3" t="s">
        <v>65</v>
      </c>
      <c r="P52" s="3" t="s">
        <v>771</v>
      </c>
      <c r="R52" s="3" t="s">
        <v>68</v>
      </c>
      <c r="S52" s="4">
        <v>12</v>
      </c>
      <c r="T52" s="4">
        <v>23</v>
      </c>
      <c r="U52" s="5" t="s">
        <v>772</v>
      </c>
      <c r="V52" s="5" t="s">
        <v>772</v>
      </c>
      <c r="W52" s="5" t="s">
        <v>773</v>
      </c>
      <c r="X52" s="5" t="s">
        <v>773</v>
      </c>
      <c r="Y52" s="4">
        <v>278</v>
      </c>
      <c r="Z52" s="4">
        <v>243</v>
      </c>
      <c r="AA52" s="4">
        <v>250</v>
      </c>
      <c r="AB52" s="4">
        <v>2</v>
      </c>
      <c r="AC52" s="4">
        <v>2</v>
      </c>
      <c r="AD52" s="4">
        <v>12</v>
      </c>
      <c r="AE52" s="4">
        <v>12</v>
      </c>
      <c r="AF52" s="4">
        <v>0</v>
      </c>
      <c r="AG52" s="4">
        <v>0</v>
      </c>
      <c r="AH52" s="4">
        <v>5</v>
      </c>
      <c r="AI52" s="4">
        <v>5</v>
      </c>
      <c r="AJ52" s="4">
        <v>8</v>
      </c>
      <c r="AK52" s="4">
        <v>8</v>
      </c>
      <c r="AL52" s="4">
        <v>1</v>
      </c>
      <c r="AM52" s="4">
        <v>1</v>
      </c>
      <c r="AN52" s="4">
        <v>0</v>
      </c>
      <c r="AO52" s="4">
        <v>0</v>
      </c>
      <c r="AP52" s="3" t="s">
        <v>59</v>
      </c>
      <c r="AQ52" s="3" t="s">
        <v>71</v>
      </c>
      <c r="AR52" s="6" t="str">
        <f>HYPERLINK("http://catalog.hathitrust.org/Record/007481172","HathiTrust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HYPERLINK("https://creighton-primo.hosted.exlibrisgroup.com/primo-explore/search?tab=default_tab&amp;search_scope=EVERYTHING&amp;vid=01CRU&amp;lang=en_US&amp;offset=0&amp;query=any,contains,991000889459702656","Catalog Record")</f>
        <v>Catalog Record</v>
      </c>
      <c r="AT52" s="6" t="str">
        <f>HYPERLINK("http://www.worldcat.org/oclc/13903345","WorldCat Record")</f>
        <v>WorldCat Record</v>
      </c>
      <c r="AU52" s="3" t="s">
        <v>774</v>
      </c>
      <c r="AV52" s="3" t="s">
        <v>775</v>
      </c>
      <c r="AW52" s="3" t="s">
        <v>776</v>
      </c>
      <c r="AX52" s="3" t="s">
        <v>776</v>
      </c>
      <c r="AY52" s="3" t="s">
        <v>777</v>
      </c>
      <c r="AZ52" s="3" t="s">
        <v>76</v>
      </c>
      <c r="BB52" s="3" t="s">
        <v>778</v>
      </c>
      <c r="BC52" s="3" t="s">
        <v>779</v>
      </c>
      <c r="BD52" s="3" t="s">
        <v>780</v>
      </c>
    </row>
    <row r="53" spans="1:56" ht="52.5" customHeight="1" x14ac:dyDescent="0.25">
      <c r="A53" s="7" t="s">
        <v>59</v>
      </c>
      <c r="B53" s="2" t="s">
        <v>765</v>
      </c>
      <c r="C53" s="2" t="s">
        <v>766</v>
      </c>
      <c r="D53" s="2" t="s">
        <v>767</v>
      </c>
      <c r="E53" s="3" t="s">
        <v>781</v>
      </c>
      <c r="F53" s="3" t="s">
        <v>71</v>
      </c>
      <c r="G53" s="3" t="s">
        <v>60</v>
      </c>
      <c r="H53" s="3" t="s">
        <v>59</v>
      </c>
      <c r="I53" s="3" t="s">
        <v>59</v>
      </c>
      <c r="J53" s="3" t="s">
        <v>61</v>
      </c>
      <c r="K53" s="2" t="s">
        <v>769</v>
      </c>
      <c r="L53" s="2" t="s">
        <v>770</v>
      </c>
      <c r="M53" s="3" t="s">
        <v>549</v>
      </c>
      <c r="O53" s="3" t="s">
        <v>65</v>
      </c>
      <c r="P53" s="3" t="s">
        <v>771</v>
      </c>
      <c r="R53" s="3" t="s">
        <v>68</v>
      </c>
      <c r="S53" s="4">
        <v>11</v>
      </c>
      <c r="T53" s="4">
        <v>23</v>
      </c>
      <c r="U53" s="5" t="s">
        <v>772</v>
      </c>
      <c r="V53" s="5" t="s">
        <v>772</v>
      </c>
      <c r="W53" s="5" t="s">
        <v>773</v>
      </c>
      <c r="X53" s="5" t="s">
        <v>773</v>
      </c>
      <c r="Y53" s="4">
        <v>278</v>
      </c>
      <c r="Z53" s="4">
        <v>243</v>
      </c>
      <c r="AA53" s="4">
        <v>250</v>
      </c>
      <c r="AB53" s="4">
        <v>2</v>
      </c>
      <c r="AC53" s="4">
        <v>2</v>
      </c>
      <c r="AD53" s="4">
        <v>12</v>
      </c>
      <c r="AE53" s="4">
        <v>12</v>
      </c>
      <c r="AF53" s="4">
        <v>0</v>
      </c>
      <c r="AG53" s="4">
        <v>0</v>
      </c>
      <c r="AH53" s="4">
        <v>5</v>
      </c>
      <c r="AI53" s="4">
        <v>5</v>
      </c>
      <c r="AJ53" s="4">
        <v>8</v>
      </c>
      <c r="AK53" s="4">
        <v>8</v>
      </c>
      <c r="AL53" s="4">
        <v>1</v>
      </c>
      <c r="AM53" s="4">
        <v>1</v>
      </c>
      <c r="AN53" s="4">
        <v>0</v>
      </c>
      <c r="AO53" s="4">
        <v>0</v>
      </c>
      <c r="AP53" s="3" t="s">
        <v>59</v>
      </c>
      <c r="AQ53" s="3" t="s">
        <v>71</v>
      </c>
      <c r="AR53" s="6" t="str">
        <f>HYPERLINK("http://catalog.hathitrust.org/Record/007481172","HathiTrust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HYPERLINK("https://creighton-primo.hosted.exlibrisgroup.com/primo-explore/search?tab=default_tab&amp;search_scope=EVERYTHING&amp;vid=01CRU&amp;lang=en_US&amp;offset=0&amp;query=any,contains,991000889459702656","Catalog Record")</f>
        <v>Catalog Record</v>
      </c>
      <c r="AT53" s="6" t="str">
        <f>HYPERLINK("http://www.worldcat.org/oclc/13903345","WorldCat Record")</f>
        <v>WorldCat Record</v>
      </c>
      <c r="AU53" s="3" t="s">
        <v>774</v>
      </c>
      <c r="AV53" s="3" t="s">
        <v>775</v>
      </c>
      <c r="AW53" s="3" t="s">
        <v>776</v>
      </c>
      <c r="AX53" s="3" t="s">
        <v>776</v>
      </c>
      <c r="AY53" s="3" t="s">
        <v>777</v>
      </c>
      <c r="AZ53" s="3" t="s">
        <v>76</v>
      </c>
      <c r="BB53" s="3" t="s">
        <v>778</v>
      </c>
      <c r="BC53" s="3" t="s">
        <v>782</v>
      </c>
      <c r="BD53" s="3" t="s">
        <v>783</v>
      </c>
    </row>
    <row r="54" spans="1:56" ht="52.5" customHeight="1" x14ac:dyDescent="0.25">
      <c r="A54" s="7" t="s">
        <v>59</v>
      </c>
      <c r="B54" s="2" t="s">
        <v>784</v>
      </c>
      <c r="C54" s="2" t="s">
        <v>785</v>
      </c>
      <c r="D54" s="2" t="s">
        <v>786</v>
      </c>
      <c r="F54" s="3" t="s">
        <v>59</v>
      </c>
      <c r="G54" s="3" t="s">
        <v>60</v>
      </c>
      <c r="H54" s="3" t="s">
        <v>59</v>
      </c>
      <c r="I54" s="3" t="s">
        <v>59</v>
      </c>
      <c r="J54" s="3" t="s">
        <v>61</v>
      </c>
      <c r="L54" s="2" t="s">
        <v>787</v>
      </c>
      <c r="M54" s="3" t="s">
        <v>350</v>
      </c>
      <c r="O54" s="3" t="s">
        <v>65</v>
      </c>
      <c r="P54" s="3" t="s">
        <v>66</v>
      </c>
      <c r="R54" s="3" t="s">
        <v>68</v>
      </c>
      <c r="S54" s="4">
        <v>11</v>
      </c>
      <c r="T54" s="4">
        <v>11</v>
      </c>
      <c r="U54" s="5" t="s">
        <v>788</v>
      </c>
      <c r="V54" s="5" t="s">
        <v>788</v>
      </c>
      <c r="W54" s="5" t="s">
        <v>789</v>
      </c>
      <c r="X54" s="5" t="s">
        <v>789</v>
      </c>
      <c r="Y54" s="4">
        <v>686</v>
      </c>
      <c r="Z54" s="4">
        <v>566</v>
      </c>
      <c r="AA54" s="4">
        <v>573</v>
      </c>
      <c r="AB54" s="4">
        <v>7</v>
      </c>
      <c r="AC54" s="4">
        <v>7</v>
      </c>
      <c r="AD54" s="4">
        <v>35</v>
      </c>
      <c r="AE54" s="4">
        <v>35</v>
      </c>
      <c r="AF54" s="4">
        <v>13</v>
      </c>
      <c r="AG54" s="4">
        <v>13</v>
      </c>
      <c r="AH54" s="4">
        <v>7</v>
      </c>
      <c r="AI54" s="4">
        <v>7</v>
      </c>
      <c r="AJ54" s="4">
        <v>18</v>
      </c>
      <c r="AK54" s="4">
        <v>18</v>
      </c>
      <c r="AL54" s="4">
        <v>6</v>
      </c>
      <c r="AM54" s="4">
        <v>6</v>
      </c>
      <c r="AN54" s="4">
        <v>0</v>
      </c>
      <c r="AO54" s="4">
        <v>0</v>
      </c>
      <c r="AP54" s="3" t="s">
        <v>59</v>
      </c>
      <c r="AQ54" s="3" t="s">
        <v>71</v>
      </c>
      <c r="AR54" s="6" t="str">
        <f>HYPERLINK("http://catalog.hathitrust.org/Record/000250453","HathiTrust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HYPERLINK("https://creighton-primo.hosted.exlibrisgroup.com/primo-explore/search?tab=default_tab&amp;search_scope=EVERYTHING&amp;vid=01CRU&amp;lang=en_US&amp;offset=0&amp;query=any,contains,991004307709702656","Catalog Record")</f>
        <v>Catalog Record</v>
      </c>
      <c r="AT54" s="6" t="str">
        <f>HYPERLINK("http://www.worldcat.org/oclc/2984499","WorldCat Record")</f>
        <v>WorldCat Record</v>
      </c>
      <c r="AU54" s="3" t="s">
        <v>790</v>
      </c>
      <c r="AV54" s="3" t="s">
        <v>791</v>
      </c>
      <c r="AW54" s="3" t="s">
        <v>792</v>
      </c>
      <c r="AX54" s="3" t="s">
        <v>792</v>
      </c>
      <c r="AY54" s="3" t="s">
        <v>793</v>
      </c>
      <c r="AZ54" s="3" t="s">
        <v>76</v>
      </c>
      <c r="BB54" s="3" t="s">
        <v>794</v>
      </c>
      <c r="BC54" s="3" t="s">
        <v>795</v>
      </c>
      <c r="BD54" s="3" t="s">
        <v>796</v>
      </c>
    </row>
    <row r="55" spans="1:56" ht="52.5" customHeight="1" x14ac:dyDescent="0.25">
      <c r="A55" s="7" t="s">
        <v>59</v>
      </c>
      <c r="B55" s="2" t="s">
        <v>797</v>
      </c>
      <c r="C55" s="2" t="s">
        <v>798</v>
      </c>
      <c r="D55" s="2" t="s">
        <v>799</v>
      </c>
      <c r="F55" s="3" t="s">
        <v>59</v>
      </c>
      <c r="G55" s="3" t="s">
        <v>60</v>
      </c>
      <c r="H55" s="3" t="s">
        <v>59</v>
      </c>
      <c r="I55" s="3" t="s">
        <v>59</v>
      </c>
      <c r="J55" s="3" t="s">
        <v>61</v>
      </c>
      <c r="K55" s="2" t="s">
        <v>800</v>
      </c>
      <c r="L55" s="2" t="s">
        <v>801</v>
      </c>
      <c r="M55" s="3" t="s">
        <v>549</v>
      </c>
      <c r="O55" s="3" t="s">
        <v>65</v>
      </c>
      <c r="P55" s="3" t="s">
        <v>699</v>
      </c>
      <c r="R55" s="3" t="s">
        <v>68</v>
      </c>
      <c r="S55" s="4">
        <v>45</v>
      </c>
      <c r="T55" s="4">
        <v>45</v>
      </c>
      <c r="U55" s="5" t="s">
        <v>802</v>
      </c>
      <c r="V55" s="5" t="s">
        <v>802</v>
      </c>
      <c r="W55" s="5" t="s">
        <v>338</v>
      </c>
      <c r="X55" s="5" t="s">
        <v>338</v>
      </c>
      <c r="Y55" s="4">
        <v>233</v>
      </c>
      <c r="Z55" s="4">
        <v>199</v>
      </c>
      <c r="AA55" s="4">
        <v>199</v>
      </c>
      <c r="AB55" s="4">
        <v>4</v>
      </c>
      <c r="AC55" s="4">
        <v>4</v>
      </c>
      <c r="AD55" s="4">
        <v>13</v>
      </c>
      <c r="AE55" s="4">
        <v>13</v>
      </c>
      <c r="AF55" s="4">
        <v>3</v>
      </c>
      <c r="AG55" s="4">
        <v>3</v>
      </c>
      <c r="AH55" s="4">
        <v>4</v>
      </c>
      <c r="AI55" s="4">
        <v>4</v>
      </c>
      <c r="AJ55" s="4">
        <v>8</v>
      </c>
      <c r="AK55" s="4">
        <v>8</v>
      </c>
      <c r="AL55" s="4">
        <v>3</v>
      </c>
      <c r="AM55" s="4">
        <v>3</v>
      </c>
      <c r="AN55" s="4">
        <v>0</v>
      </c>
      <c r="AO55" s="4">
        <v>0</v>
      </c>
      <c r="AP55" s="3" t="s">
        <v>59</v>
      </c>
      <c r="AQ55" s="3" t="s">
        <v>59</v>
      </c>
      <c r="AS55" s="6" t="str">
        <f>HYPERLINK("https://creighton-primo.hosted.exlibrisgroup.com/primo-explore/search?tab=default_tab&amp;search_scope=EVERYTHING&amp;vid=01CRU&amp;lang=en_US&amp;offset=0&amp;query=any,contains,991000794719702656","Catalog Record")</f>
        <v>Catalog Record</v>
      </c>
      <c r="AT55" s="6" t="str">
        <f>HYPERLINK("http://www.worldcat.org/oclc/13184839","WorldCat Record")</f>
        <v>WorldCat Record</v>
      </c>
      <c r="AU55" s="3" t="s">
        <v>803</v>
      </c>
      <c r="AV55" s="3" t="s">
        <v>804</v>
      </c>
      <c r="AW55" s="3" t="s">
        <v>805</v>
      </c>
      <c r="AX55" s="3" t="s">
        <v>805</v>
      </c>
      <c r="AY55" s="3" t="s">
        <v>806</v>
      </c>
      <c r="AZ55" s="3" t="s">
        <v>76</v>
      </c>
      <c r="BB55" s="3" t="s">
        <v>807</v>
      </c>
      <c r="BC55" s="3" t="s">
        <v>808</v>
      </c>
      <c r="BD55" s="3" t="s">
        <v>809</v>
      </c>
    </row>
    <row r="56" spans="1:56" ht="52.5" customHeight="1" x14ac:dyDescent="0.25">
      <c r="A56" s="7" t="s">
        <v>59</v>
      </c>
      <c r="B56" s="2" t="s">
        <v>810</v>
      </c>
      <c r="C56" s="2" t="s">
        <v>811</v>
      </c>
      <c r="D56" s="2" t="s">
        <v>812</v>
      </c>
      <c r="F56" s="3" t="s">
        <v>59</v>
      </c>
      <c r="G56" s="3" t="s">
        <v>60</v>
      </c>
      <c r="H56" s="3" t="s">
        <v>59</v>
      </c>
      <c r="I56" s="3" t="s">
        <v>59</v>
      </c>
      <c r="J56" s="3" t="s">
        <v>61</v>
      </c>
      <c r="K56" s="2" t="s">
        <v>813</v>
      </c>
      <c r="L56" s="2" t="s">
        <v>814</v>
      </c>
      <c r="M56" s="3" t="s">
        <v>616</v>
      </c>
      <c r="O56" s="3" t="s">
        <v>65</v>
      </c>
      <c r="P56" s="3" t="s">
        <v>66</v>
      </c>
      <c r="R56" s="3" t="s">
        <v>68</v>
      </c>
      <c r="S56" s="4">
        <v>14</v>
      </c>
      <c r="T56" s="4">
        <v>14</v>
      </c>
      <c r="U56" s="5" t="s">
        <v>815</v>
      </c>
      <c r="V56" s="5" t="s">
        <v>815</v>
      </c>
      <c r="W56" s="5" t="s">
        <v>816</v>
      </c>
      <c r="X56" s="5" t="s">
        <v>816</v>
      </c>
      <c r="Y56" s="4">
        <v>358</v>
      </c>
      <c r="Z56" s="4">
        <v>287</v>
      </c>
      <c r="AA56" s="4">
        <v>510</v>
      </c>
      <c r="AB56" s="4">
        <v>4</v>
      </c>
      <c r="AC56" s="4">
        <v>4</v>
      </c>
      <c r="AD56" s="4">
        <v>16</v>
      </c>
      <c r="AE56" s="4">
        <v>25</v>
      </c>
      <c r="AF56" s="4">
        <v>3</v>
      </c>
      <c r="AG56" s="4">
        <v>10</v>
      </c>
      <c r="AH56" s="4">
        <v>5</v>
      </c>
      <c r="AI56" s="4">
        <v>7</v>
      </c>
      <c r="AJ56" s="4">
        <v>11</v>
      </c>
      <c r="AK56" s="4">
        <v>13</v>
      </c>
      <c r="AL56" s="4">
        <v>3</v>
      </c>
      <c r="AM56" s="4">
        <v>3</v>
      </c>
      <c r="AN56" s="4">
        <v>0</v>
      </c>
      <c r="AO56" s="4">
        <v>0</v>
      </c>
      <c r="AP56" s="3" t="s">
        <v>59</v>
      </c>
      <c r="AQ56" s="3" t="s">
        <v>71</v>
      </c>
      <c r="AR56" s="6" t="str">
        <f>HYPERLINK("http://catalog.hathitrust.org/Record/001088581","HathiTrust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HYPERLINK("https://creighton-primo.hosted.exlibrisgroup.com/primo-explore/search?tab=default_tab&amp;search_scope=EVERYTHING&amp;vid=01CRU&amp;lang=en_US&amp;offset=0&amp;query=any,contains,991001429859702656","Catalog Record")</f>
        <v>Catalog Record</v>
      </c>
      <c r="AT56" s="6" t="str">
        <f>HYPERLINK("http://www.worldcat.org/oclc/19082534","WorldCat Record")</f>
        <v>WorldCat Record</v>
      </c>
      <c r="AU56" s="3" t="s">
        <v>817</v>
      </c>
      <c r="AV56" s="3" t="s">
        <v>818</v>
      </c>
      <c r="AW56" s="3" t="s">
        <v>819</v>
      </c>
      <c r="AX56" s="3" t="s">
        <v>819</v>
      </c>
      <c r="AY56" s="3" t="s">
        <v>820</v>
      </c>
      <c r="AZ56" s="3" t="s">
        <v>76</v>
      </c>
      <c r="BB56" s="3" t="s">
        <v>821</v>
      </c>
      <c r="BC56" s="3" t="s">
        <v>822</v>
      </c>
      <c r="BD56" s="3" t="s">
        <v>823</v>
      </c>
    </row>
    <row r="57" spans="1:56" ht="52.5" customHeight="1" x14ac:dyDescent="0.25">
      <c r="A57" s="7" t="s">
        <v>59</v>
      </c>
      <c r="B57" s="2" t="s">
        <v>824</v>
      </c>
      <c r="C57" s="2" t="s">
        <v>825</v>
      </c>
      <c r="D57" s="2" t="s">
        <v>826</v>
      </c>
      <c r="F57" s="3" t="s">
        <v>59</v>
      </c>
      <c r="G57" s="3" t="s">
        <v>60</v>
      </c>
      <c r="H57" s="3" t="s">
        <v>59</v>
      </c>
      <c r="I57" s="3" t="s">
        <v>59</v>
      </c>
      <c r="J57" s="3" t="s">
        <v>61</v>
      </c>
      <c r="K57" s="2" t="s">
        <v>827</v>
      </c>
      <c r="L57" s="2" t="s">
        <v>828</v>
      </c>
      <c r="M57" s="3" t="s">
        <v>365</v>
      </c>
      <c r="O57" s="3" t="s">
        <v>65</v>
      </c>
      <c r="P57" s="3" t="s">
        <v>829</v>
      </c>
      <c r="Q57" s="2" t="s">
        <v>830</v>
      </c>
      <c r="R57" s="3" t="s">
        <v>68</v>
      </c>
      <c r="S57" s="4">
        <v>1</v>
      </c>
      <c r="T57" s="4">
        <v>1</v>
      </c>
      <c r="U57" s="5" t="s">
        <v>831</v>
      </c>
      <c r="V57" s="5" t="s">
        <v>831</v>
      </c>
      <c r="W57" s="5" t="s">
        <v>832</v>
      </c>
      <c r="X57" s="5" t="s">
        <v>832</v>
      </c>
      <c r="Y57" s="4">
        <v>487</v>
      </c>
      <c r="Z57" s="4">
        <v>421</v>
      </c>
      <c r="AA57" s="4">
        <v>428</v>
      </c>
      <c r="AB57" s="4">
        <v>3</v>
      </c>
      <c r="AC57" s="4">
        <v>3</v>
      </c>
      <c r="AD57" s="4">
        <v>20</v>
      </c>
      <c r="AE57" s="4">
        <v>20</v>
      </c>
      <c r="AF57" s="4">
        <v>6</v>
      </c>
      <c r="AG57" s="4">
        <v>6</v>
      </c>
      <c r="AH57" s="4">
        <v>7</v>
      </c>
      <c r="AI57" s="4">
        <v>7</v>
      </c>
      <c r="AJ57" s="4">
        <v>12</v>
      </c>
      <c r="AK57" s="4">
        <v>12</v>
      </c>
      <c r="AL57" s="4">
        <v>2</v>
      </c>
      <c r="AM57" s="4">
        <v>2</v>
      </c>
      <c r="AN57" s="4">
        <v>0</v>
      </c>
      <c r="AO57" s="4">
        <v>0</v>
      </c>
      <c r="AP57" s="3" t="s">
        <v>59</v>
      </c>
      <c r="AQ57" s="3" t="s">
        <v>71</v>
      </c>
      <c r="AR57" s="6" t="str">
        <f>HYPERLINK("http://catalog.hathitrust.org/Record/001836800","HathiTrust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HYPERLINK("https://creighton-primo.hosted.exlibrisgroup.com/primo-explore/search?tab=default_tab&amp;search_scope=EVERYTHING&amp;vid=01CRU&amp;lang=en_US&amp;offset=0&amp;query=any,contains,991001469599702656","Catalog Record")</f>
        <v>Catalog Record</v>
      </c>
      <c r="AT57" s="6" t="str">
        <f>HYPERLINK("http://www.worldcat.org/oclc/19519923","WorldCat Record")</f>
        <v>WorldCat Record</v>
      </c>
      <c r="AU57" s="3" t="s">
        <v>833</v>
      </c>
      <c r="AV57" s="3" t="s">
        <v>834</v>
      </c>
      <c r="AW57" s="3" t="s">
        <v>835</v>
      </c>
      <c r="AX57" s="3" t="s">
        <v>835</v>
      </c>
      <c r="AY57" s="3" t="s">
        <v>836</v>
      </c>
      <c r="AZ57" s="3" t="s">
        <v>76</v>
      </c>
      <c r="BB57" s="3" t="s">
        <v>837</v>
      </c>
      <c r="BC57" s="3" t="s">
        <v>838</v>
      </c>
      <c r="BD57" s="3" t="s">
        <v>839</v>
      </c>
    </row>
    <row r="58" spans="1:56" ht="52.5" customHeight="1" x14ac:dyDescent="0.25">
      <c r="A58" s="7" t="s">
        <v>59</v>
      </c>
      <c r="B58" s="2" t="s">
        <v>840</v>
      </c>
      <c r="C58" s="2" t="s">
        <v>841</v>
      </c>
      <c r="D58" s="2" t="s">
        <v>842</v>
      </c>
      <c r="F58" s="3" t="s">
        <v>59</v>
      </c>
      <c r="G58" s="3" t="s">
        <v>60</v>
      </c>
      <c r="H58" s="3" t="s">
        <v>59</v>
      </c>
      <c r="I58" s="3" t="s">
        <v>59</v>
      </c>
      <c r="J58" s="3" t="s">
        <v>61</v>
      </c>
      <c r="K58" s="2" t="s">
        <v>843</v>
      </c>
      <c r="L58" s="2" t="s">
        <v>844</v>
      </c>
      <c r="M58" s="3" t="s">
        <v>164</v>
      </c>
      <c r="N58" s="2" t="s">
        <v>845</v>
      </c>
      <c r="O58" s="3" t="s">
        <v>65</v>
      </c>
      <c r="P58" s="3" t="s">
        <v>66</v>
      </c>
      <c r="R58" s="3" t="s">
        <v>68</v>
      </c>
      <c r="S58" s="4">
        <v>3</v>
      </c>
      <c r="T58" s="4">
        <v>3</v>
      </c>
      <c r="U58" s="5" t="s">
        <v>846</v>
      </c>
      <c r="V58" s="5" t="s">
        <v>846</v>
      </c>
      <c r="W58" s="5" t="s">
        <v>241</v>
      </c>
      <c r="X58" s="5" t="s">
        <v>241</v>
      </c>
      <c r="Y58" s="4">
        <v>483</v>
      </c>
      <c r="Z58" s="4">
        <v>451</v>
      </c>
      <c r="AA58" s="4">
        <v>475</v>
      </c>
      <c r="AB58" s="4">
        <v>2</v>
      </c>
      <c r="AC58" s="4">
        <v>2</v>
      </c>
      <c r="AD58" s="4">
        <v>13</v>
      </c>
      <c r="AE58" s="4">
        <v>13</v>
      </c>
      <c r="AF58" s="4">
        <v>7</v>
      </c>
      <c r="AG58" s="4">
        <v>7</v>
      </c>
      <c r="AH58" s="4">
        <v>3</v>
      </c>
      <c r="AI58" s="4">
        <v>3</v>
      </c>
      <c r="AJ58" s="4">
        <v>7</v>
      </c>
      <c r="AK58" s="4">
        <v>7</v>
      </c>
      <c r="AL58" s="4">
        <v>1</v>
      </c>
      <c r="AM58" s="4">
        <v>1</v>
      </c>
      <c r="AN58" s="4">
        <v>0</v>
      </c>
      <c r="AO58" s="4">
        <v>0</v>
      </c>
      <c r="AP58" s="3" t="s">
        <v>59</v>
      </c>
      <c r="AQ58" s="3" t="s">
        <v>71</v>
      </c>
      <c r="AR58" s="6" t="str">
        <f>HYPERLINK("http://catalog.hathitrust.org/Record/000689379","HathiTrust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HYPERLINK("https://creighton-primo.hosted.exlibrisgroup.com/primo-explore/search?tab=default_tab&amp;search_scope=EVERYTHING&amp;vid=01CRU&amp;lang=en_US&amp;offset=0&amp;query=any,contains,991004883069702656","Catalog Record")</f>
        <v>Catalog Record</v>
      </c>
      <c r="AT58" s="6" t="str">
        <f>HYPERLINK("http://www.worldcat.org/oclc/5830001","WorldCat Record")</f>
        <v>WorldCat Record</v>
      </c>
      <c r="AU58" s="3" t="s">
        <v>847</v>
      </c>
      <c r="AV58" s="3" t="s">
        <v>848</v>
      </c>
      <c r="AW58" s="3" t="s">
        <v>849</v>
      </c>
      <c r="AX58" s="3" t="s">
        <v>849</v>
      </c>
      <c r="AY58" s="3" t="s">
        <v>850</v>
      </c>
      <c r="AZ58" s="3" t="s">
        <v>76</v>
      </c>
      <c r="BB58" s="3" t="s">
        <v>851</v>
      </c>
      <c r="BC58" s="3" t="s">
        <v>852</v>
      </c>
      <c r="BD58" s="3" t="s">
        <v>853</v>
      </c>
    </row>
    <row r="59" spans="1:56" ht="52.5" customHeight="1" x14ac:dyDescent="0.25">
      <c r="A59" s="7" t="s">
        <v>59</v>
      </c>
      <c r="B59" s="2" t="s">
        <v>854</v>
      </c>
      <c r="C59" s="2" t="s">
        <v>855</v>
      </c>
      <c r="D59" s="2" t="s">
        <v>856</v>
      </c>
      <c r="F59" s="3" t="s">
        <v>59</v>
      </c>
      <c r="G59" s="3" t="s">
        <v>60</v>
      </c>
      <c r="H59" s="3" t="s">
        <v>59</v>
      </c>
      <c r="I59" s="3" t="s">
        <v>59</v>
      </c>
      <c r="J59" s="3" t="s">
        <v>61</v>
      </c>
      <c r="K59" s="2" t="s">
        <v>857</v>
      </c>
      <c r="L59" s="2" t="s">
        <v>858</v>
      </c>
      <c r="M59" s="3" t="s">
        <v>64</v>
      </c>
      <c r="N59" s="2" t="s">
        <v>859</v>
      </c>
      <c r="O59" s="3" t="s">
        <v>65</v>
      </c>
      <c r="P59" s="3" t="s">
        <v>66</v>
      </c>
      <c r="R59" s="3" t="s">
        <v>68</v>
      </c>
      <c r="S59" s="4">
        <v>2</v>
      </c>
      <c r="T59" s="4">
        <v>2</v>
      </c>
      <c r="U59" s="5" t="s">
        <v>860</v>
      </c>
      <c r="V59" s="5" t="s">
        <v>860</v>
      </c>
      <c r="W59" s="5" t="s">
        <v>672</v>
      </c>
      <c r="X59" s="5" t="s">
        <v>672</v>
      </c>
      <c r="Y59" s="4">
        <v>298</v>
      </c>
      <c r="Z59" s="4">
        <v>227</v>
      </c>
      <c r="AA59" s="4">
        <v>744</v>
      </c>
      <c r="AB59" s="4">
        <v>4</v>
      </c>
      <c r="AC59" s="4">
        <v>6</v>
      </c>
      <c r="AD59" s="4">
        <v>10</v>
      </c>
      <c r="AE59" s="4">
        <v>30</v>
      </c>
      <c r="AF59" s="4">
        <v>3</v>
      </c>
      <c r="AG59" s="4">
        <v>12</v>
      </c>
      <c r="AH59" s="4">
        <v>1</v>
      </c>
      <c r="AI59" s="4">
        <v>4</v>
      </c>
      <c r="AJ59" s="4">
        <v>4</v>
      </c>
      <c r="AK59" s="4">
        <v>13</v>
      </c>
      <c r="AL59" s="4">
        <v>3</v>
      </c>
      <c r="AM59" s="4">
        <v>5</v>
      </c>
      <c r="AN59" s="4">
        <v>0</v>
      </c>
      <c r="AO59" s="4">
        <v>0</v>
      </c>
      <c r="AP59" s="3" t="s">
        <v>59</v>
      </c>
      <c r="AQ59" s="3" t="s">
        <v>71</v>
      </c>
      <c r="AR59" s="6" t="str">
        <f>HYPERLINK("http://catalog.hathitrust.org/Record/000581458","HathiTrust Record")</f>
        <v>HathiTrust Record</v>
      </c>
      <c r="AS59" s="6" t="str">
        <f>HYPERLINK("https://creighton-primo.hosted.exlibrisgroup.com/primo-explore/search?tab=default_tab&amp;search_scope=EVERYTHING&amp;vid=01CRU&amp;lang=en_US&amp;offset=0&amp;query=any,contains,991001204809702656","Catalog Record")</f>
        <v>Catalog Record</v>
      </c>
      <c r="AT59" s="6" t="str">
        <f>HYPERLINK("http://www.worldcat.org/oclc/191735","WorldCat Record")</f>
        <v>WorldCat Record</v>
      </c>
      <c r="AU59" s="3" t="s">
        <v>861</v>
      </c>
      <c r="AV59" s="3" t="s">
        <v>862</v>
      </c>
      <c r="AW59" s="3" t="s">
        <v>863</v>
      </c>
      <c r="AX59" s="3" t="s">
        <v>863</v>
      </c>
      <c r="AY59" s="3" t="s">
        <v>864</v>
      </c>
      <c r="AZ59" s="3" t="s">
        <v>76</v>
      </c>
      <c r="BC59" s="3" t="s">
        <v>865</v>
      </c>
      <c r="BD59" s="3" t="s">
        <v>866</v>
      </c>
    </row>
    <row r="60" spans="1:56" ht="52.5" customHeight="1" x14ac:dyDescent="0.25">
      <c r="A60" s="7" t="s">
        <v>59</v>
      </c>
      <c r="B60" s="2" t="s">
        <v>867</v>
      </c>
      <c r="C60" s="2" t="s">
        <v>868</v>
      </c>
      <c r="D60" s="2" t="s">
        <v>869</v>
      </c>
      <c r="E60" s="3" t="s">
        <v>870</v>
      </c>
      <c r="F60" s="3" t="s">
        <v>71</v>
      </c>
      <c r="G60" s="3" t="s">
        <v>60</v>
      </c>
      <c r="H60" s="3" t="s">
        <v>59</v>
      </c>
      <c r="I60" s="3" t="s">
        <v>59</v>
      </c>
      <c r="J60" s="3" t="s">
        <v>61</v>
      </c>
      <c r="K60" s="2" t="s">
        <v>871</v>
      </c>
      <c r="L60" s="2" t="s">
        <v>872</v>
      </c>
      <c r="M60" s="3" t="s">
        <v>115</v>
      </c>
      <c r="O60" s="3" t="s">
        <v>65</v>
      </c>
      <c r="P60" s="3" t="s">
        <v>66</v>
      </c>
      <c r="R60" s="3" t="s">
        <v>68</v>
      </c>
      <c r="S60" s="4">
        <v>0</v>
      </c>
      <c r="T60" s="4">
        <v>3</v>
      </c>
      <c r="V60" s="5" t="s">
        <v>873</v>
      </c>
      <c r="W60" s="5" t="s">
        <v>241</v>
      </c>
      <c r="X60" s="5" t="s">
        <v>241</v>
      </c>
      <c r="Y60" s="4">
        <v>656</v>
      </c>
      <c r="Z60" s="4">
        <v>585</v>
      </c>
      <c r="AA60" s="4">
        <v>590</v>
      </c>
      <c r="AB60" s="4">
        <v>4</v>
      </c>
      <c r="AC60" s="4">
        <v>4</v>
      </c>
      <c r="AD60" s="4">
        <v>25</v>
      </c>
      <c r="AE60" s="4">
        <v>25</v>
      </c>
      <c r="AF60" s="4">
        <v>10</v>
      </c>
      <c r="AG60" s="4">
        <v>10</v>
      </c>
      <c r="AH60" s="4">
        <v>5</v>
      </c>
      <c r="AI60" s="4">
        <v>5</v>
      </c>
      <c r="AJ60" s="4">
        <v>14</v>
      </c>
      <c r="AK60" s="4">
        <v>14</v>
      </c>
      <c r="AL60" s="4">
        <v>3</v>
      </c>
      <c r="AM60" s="4">
        <v>3</v>
      </c>
      <c r="AN60" s="4">
        <v>0</v>
      </c>
      <c r="AO60" s="4">
        <v>0</v>
      </c>
      <c r="AP60" s="3" t="s">
        <v>59</v>
      </c>
      <c r="AQ60" s="3" t="s">
        <v>71</v>
      </c>
      <c r="AR60" s="6" t="str">
        <f>HYPERLINK("http://catalog.hathitrust.org/Record/000117109","HathiTrust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HYPERLINK("https://creighton-primo.hosted.exlibrisgroup.com/primo-explore/search?tab=default_tab&amp;search_scope=EVERYTHING&amp;vid=01CRU&amp;lang=en_US&amp;offset=0&amp;query=any,contains,991002385109702656","Catalog Record")</f>
        <v>Catalog Record</v>
      </c>
      <c r="AT60" s="6" t="str">
        <f>HYPERLINK("http://www.worldcat.org/oclc/329649","WorldCat Record")</f>
        <v>WorldCat Record</v>
      </c>
      <c r="AU60" s="3" t="s">
        <v>874</v>
      </c>
      <c r="AV60" s="3" t="s">
        <v>875</v>
      </c>
      <c r="AW60" s="3" t="s">
        <v>876</v>
      </c>
      <c r="AX60" s="3" t="s">
        <v>876</v>
      </c>
      <c r="AY60" s="3" t="s">
        <v>877</v>
      </c>
      <c r="AZ60" s="3" t="s">
        <v>76</v>
      </c>
      <c r="BC60" s="3" t="s">
        <v>878</v>
      </c>
      <c r="BD60" s="3" t="s">
        <v>879</v>
      </c>
    </row>
    <row r="61" spans="1:56" ht="52.5" customHeight="1" x14ac:dyDescent="0.25">
      <c r="A61" s="7" t="s">
        <v>59</v>
      </c>
      <c r="B61" s="2" t="s">
        <v>867</v>
      </c>
      <c r="C61" s="2" t="s">
        <v>868</v>
      </c>
      <c r="D61" s="2" t="s">
        <v>869</v>
      </c>
      <c r="E61" s="3" t="s">
        <v>781</v>
      </c>
      <c r="F61" s="3" t="s">
        <v>71</v>
      </c>
      <c r="G61" s="3" t="s">
        <v>60</v>
      </c>
      <c r="H61" s="3" t="s">
        <v>59</v>
      </c>
      <c r="I61" s="3" t="s">
        <v>59</v>
      </c>
      <c r="J61" s="3" t="s">
        <v>61</v>
      </c>
      <c r="K61" s="2" t="s">
        <v>871</v>
      </c>
      <c r="L61" s="2" t="s">
        <v>872</v>
      </c>
      <c r="M61" s="3" t="s">
        <v>115</v>
      </c>
      <c r="O61" s="3" t="s">
        <v>65</v>
      </c>
      <c r="P61" s="3" t="s">
        <v>66</v>
      </c>
      <c r="R61" s="3" t="s">
        <v>68</v>
      </c>
      <c r="S61" s="4">
        <v>3</v>
      </c>
      <c r="T61" s="4">
        <v>3</v>
      </c>
      <c r="U61" s="5" t="s">
        <v>873</v>
      </c>
      <c r="V61" s="5" t="s">
        <v>873</v>
      </c>
      <c r="W61" s="5" t="s">
        <v>241</v>
      </c>
      <c r="X61" s="5" t="s">
        <v>241</v>
      </c>
      <c r="Y61" s="4">
        <v>656</v>
      </c>
      <c r="Z61" s="4">
        <v>585</v>
      </c>
      <c r="AA61" s="4">
        <v>590</v>
      </c>
      <c r="AB61" s="4">
        <v>4</v>
      </c>
      <c r="AC61" s="4">
        <v>4</v>
      </c>
      <c r="AD61" s="4">
        <v>25</v>
      </c>
      <c r="AE61" s="4">
        <v>25</v>
      </c>
      <c r="AF61" s="4">
        <v>10</v>
      </c>
      <c r="AG61" s="4">
        <v>10</v>
      </c>
      <c r="AH61" s="4">
        <v>5</v>
      </c>
      <c r="AI61" s="4">
        <v>5</v>
      </c>
      <c r="AJ61" s="4">
        <v>14</v>
      </c>
      <c r="AK61" s="4">
        <v>14</v>
      </c>
      <c r="AL61" s="4">
        <v>3</v>
      </c>
      <c r="AM61" s="4">
        <v>3</v>
      </c>
      <c r="AN61" s="4">
        <v>0</v>
      </c>
      <c r="AO61" s="4">
        <v>0</v>
      </c>
      <c r="AP61" s="3" t="s">
        <v>59</v>
      </c>
      <c r="AQ61" s="3" t="s">
        <v>71</v>
      </c>
      <c r="AR61" s="6" t="str">
        <f>HYPERLINK("http://catalog.hathitrust.org/Record/000117109","HathiTrust Record")</f>
        <v>HathiTrust Record</v>
      </c>
      <c r="AS61" s="6" t="str">
        <f>HYPERLINK("https://creighton-primo.hosted.exlibrisgroup.com/primo-explore/search?tab=default_tab&amp;search_scope=EVERYTHING&amp;vid=01CRU&amp;lang=en_US&amp;offset=0&amp;query=any,contains,991002385109702656","Catalog Record")</f>
        <v>Catalog Record</v>
      </c>
      <c r="AT61" s="6" t="str">
        <f>HYPERLINK("http://www.worldcat.org/oclc/329649","WorldCat Record")</f>
        <v>WorldCat Record</v>
      </c>
      <c r="AU61" s="3" t="s">
        <v>874</v>
      </c>
      <c r="AV61" s="3" t="s">
        <v>875</v>
      </c>
      <c r="AW61" s="3" t="s">
        <v>876</v>
      </c>
      <c r="AX61" s="3" t="s">
        <v>876</v>
      </c>
      <c r="AY61" s="3" t="s">
        <v>877</v>
      </c>
      <c r="AZ61" s="3" t="s">
        <v>76</v>
      </c>
      <c r="BC61" s="3" t="s">
        <v>880</v>
      </c>
      <c r="BD61" s="3" t="s">
        <v>881</v>
      </c>
    </row>
    <row r="62" spans="1:56" ht="52.5" customHeight="1" x14ac:dyDescent="0.25">
      <c r="A62" s="7" t="s">
        <v>59</v>
      </c>
      <c r="B62" s="2" t="s">
        <v>882</v>
      </c>
      <c r="C62" s="2" t="s">
        <v>883</v>
      </c>
      <c r="D62" s="2" t="s">
        <v>884</v>
      </c>
      <c r="F62" s="3" t="s">
        <v>59</v>
      </c>
      <c r="G62" s="3" t="s">
        <v>60</v>
      </c>
      <c r="H62" s="3" t="s">
        <v>59</v>
      </c>
      <c r="I62" s="3" t="s">
        <v>59</v>
      </c>
      <c r="J62" s="3" t="s">
        <v>61</v>
      </c>
      <c r="K62" s="2" t="s">
        <v>885</v>
      </c>
      <c r="L62" s="2" t="s">
        <v>886</v>
      </c>
      <c r="M62" s="3" t="s">
        <v>475</v>
      </c>
      <c r="N62" s="2" t="s">
        <v>887</v>
      </c>
      <c r="O62" s="3" t="s">
        <v>65</v>
      </c>
      <c r="P62" s="3" t="s">
        <v>66</v>
      </c>
      <c r="Q62" s="2" t="s">
        <v>888</v>
      </c>
      <c r="R62" s="3" t="s">
        <v>68</v>
      </c>
      <c r="S62" s="4">
        <v>3</v>
      </c>
      <c r="T62" s="4">
        <v>3</v>
      </c>
      <c r="U62" s="5" t="s">
        <v>889</v>
      </c>
      <c r="V62" s="5" t="s">
        <v>889</v>
      </c>
      <c r="W62" s="5" t="s">
        <v>241</v>
      </c>
      <c r="X62" s="5" t="s">
        <v>241</v>
      </c>
      <c r="Y62" s="4">
        <v>1171</v>
      </c>
      <c r="Z62" s="4">
        <v>1006</v>
      </c>
      <c r="AA62" s="4">
        <v>1040</v>
      </c>
      <c r="AB62" s="4">
        <v>8</v>
      </c>
      <c r="AC62" s="4">
        <v>8</v>
      </c>
      <c r="AD62" s="4">
        <v>41</v>
      </c>
      <c r="AE62" s="4">
        <v>43</v>
      </c>
      <c r="AF62" s="4">
        <v>15</v>
      </c>
      <c r="AG62" s="4">
        <v>16</v>
      </c>
      <c r="AH62" s="4">
        <v>9</v>
      </c>
      <c r="AI62" s="4">
        <v>9</v>
      </c>
      <c r="AJ62" s="4">
        <v>22</v>
      </c>
      <c r="AK62" s="4">
        <v>23</v>
      </c>
      <c r="AL62" s="4">
        <v>7</v>
      </c>
      <c r="AM62" s="4">
        <v>7</v>
      </c>
      <c r="AN62" s="4">
        <v>0</v>
      </c>
      <c r="AO62" s="4">
        <v>0</v>
      </c>
      <c r="AP62" s="3" t="s">
        <v>59</v>
      </c>
      <c r="AQ62" s="3" t="s">
        <v>71</v>
      </c>
      <c r="AR62" s="6" t="str">
        <f>HYPERLINK("http://catalog.hathitrust.org/Record/000778433","HathiTrust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HYPERLINK("https://creighton-primo.hosted.exlibrisgroup.com/primo-explore/search?tab=default_tab&amp;search_scope=EVERYTHING&amp;vid=01CRU&amp;lang=en_US&amp;offset=0&amp;query=any,contains,991000173749702656","Catalog Record")</f>
        <v>Catalog Record</v>
      </c>
      <c r="AT62" s="6" t="str">
        <f>HYPERLINK("http://www.worldcat.org/oclc/9325266","WorldCat Record")</f>
        <v>WorldCat Record</v>
      </c>
      <c r="AU62" s="3" t="s">
        <v>890</v>
      </c>
      <c r="AV62" s="3" t="s">
        <v>891</v>
      </c>
      <c r="AW62" s="3" t="s">
        <v>892</v>
      </c>
      <c r="AX62" s="3" t="s">
        <v>892</v>
      </c>
      <c r="AY62" s="3" t="s">
        <v>893</v>
      </c>
      <c r="AZ62" s="3" t="s">
        <v>76</v>
      </c>
      <c r="BB62" s="3" t="s">
        <v>894</v>
      </c>
      <c r="BC62" s="3" t="s">
        <v>895</v>
      </c>
      <c r="BD62" s="3" t="s">
        <v>896</v>
      </c>
    </row>
    <row r="63" spans="1:56" ht="52.5" customHeight="1" x14ac:dyDescent="0.25">
      <c r="A63" s="7" t="s">
        <v>59</v>
      </c>
      <c r="B63" s="2" t="s">
        <v>897</v>
      </c>
      <c r="C63" s="2" t="s">
        <v>898</v>
      </c>
      <c r="D63" s="2" t="s">
        <v>899</v>
      </c>
      <c r="F63" s="3" t="s">
        <v>59</v>
      </c>
      <c r="G63" s="3" t="s">
        <v>60</v>
      </c>
      <c r="H63" s="3" t="s">
        <v>59</v>
      </c>
      <c r="I63" s="3" t="s">
        <v>59</v>
      </c>
      <c r="J63" s="3" t="s">
        <v>61</v>
      </c>
      <c r="K63" s="2" t="s">
        <v>900</v>
      </c>
      <c r="L63" s="2" t="s">
        <v>901</v>
      </c>
      <c r="M63" s="3" t="s">
        <v>684</v>
      </c>
      <c r="O63" s="3" t="s">
        <v>65</v>
      </c>
      <c r="P63" s="3" t="s">
        <v>283</v>
      </c>
      <c r="R63" s="3" t="s">
        <v>68</v>
      </c>
      <c r="S63" s="4">
        <v>1</v>
      </c>
      <c r="T63" s="4">
        <v>1</v>
      </c>
      <c r="U63" s="5" t="s">
        <v>902</v>
      </c>
      <c r="V63" s="5" t="s">
        <v>902</v>
      </c>
      <c r="W63" s="5" t="s">
        <v>241</v>
      </c>
      <c r="X63" s="5" t="s">
        <v>241</v>
      </c>
      <c r="Y63" s="4">
        <v>332</v>
      </c>
      <c r="Z63" s="4">
        <v>266</v>
      </c>
      <c r="AA63" s="4">
        <v>281</v>
      </c>
      <c r="AB63" s="4">
        <v>2</v>
      </c>
      <c r="AC63" s="4">
        <v>2</v>
      </c>
      <c r="AD63" s="4">
        <v>7</v>
      </c>
      <c r="AE63" s="4">
        <v>7</v>
      </c>
      <c r="AF63" s="4">
        <v>1</v>
      </c>
      <c r="AG63" s="4">
        <v>1</v>
      </c>
      <c r="AH63" s="4">
        <v>2</v>
      </c>
      <c r="AI63" s="4">
        <v>2</v>
      </c>
      <c r="AJ63" s="4">
        <v>5</v>
      </c>
      <c r="AK63" s="4">
        <v>5</v>
      </c>
      <c r="AL63" s="4">
        <v>1</v>
      </c>
      <c r="AM63" s="4">
        <v>1</v>
      </c>
      <c r="AN63" s="4">
        <v>0</v>
      </c>
      <c r="AO63" s="4">
        <v>0</v>
      </c>
      <c r="AP63" s="3" t="s">
        <v>59</v>
      </c>
      <c r="AQ63" s="3" t="s">
        <v>71</v>
      </c>
      <c r="AR63" s="6" t="str">
        <f>HYPERLINK("http://catalog.hathitrust.org/Record/000083154","HathiTrust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HYPERLINK("https://creighton-primo.hosted.exlibrisgroup.com/primo-explore/search?tab=default_tab&amp;search_scope=EVERYTHING&amp;vid=01CRU&amp;lang=en_US&amp;offset=0&amp;query=any,contains,991005058029702656","Catalog Record")</f>
        <v>Catalog Record</v>
      </c>
      <c r="AT63" s="6" t="str">
        <f>HYPERLINK("http://www.worldcat.org/oclc/6914784","WorldCat Record")</f>
        <v>WorldCat Record</v>
      </c>
      <c r="AU63" s="3" t="s">
        <v>903</v>
      </c>
      <c r="AV63" s="3" t="s">
        <v>904</v>
      </c>
      <c r="AW63" s="3" t="s">
        <v>905</v>
      </c>
      <c r="AX63" s="3" t="s">
        <v>905</v>
      </c>
      <c r="AY63" s="3" t="s">
        <v>906</v>
      </c>
      <c r="AZ63" s="3" t="s">
        <v>76</v>
      </c>
      <c r="BB63" s="3" t="s">
        <v>907</v>
      </c>
      <c r="BC63" s="3" t="s">
        <v>908</v>
      </c>
      <c r="BD63" s="3" t="s">
        <v>909</v>
      </c>
    </row>
    <row r="64" spans="1:56" ht="52.5" customHeight="1" x14ac:dyDescent="0.25">
      <c r="A64" s="7" t="s">
        <v>59</v>
      </c>
      <c r="B64" s="2" t="s">
        <v>910</v>
      </c>
      <c r="C64" s="2" t="s">
        <v>911</v>
      </c>
      <c r="D64" s="2" t="s">
        <v>912</v>
      </c>
      <c r="F64" s="3" t="s">
        <v>59</v>
      </c>
      <c r="G64" s="3" t="s">
        <v>60</v>
      </c>
      <c r="H64" s="3" t="s">
        <v>59</v>
      </c>
      <c r="I64" s="3" t="s">
        <v>59</v>
      </c>
      <c r="J64" s="3" t="s">
        <v>61</v>
      </c>
      <c r="K64" s="2" t="s">
        <v>913</v>
      </c>
      <c r="L64" s="2" t="s">
        <v>914</v>
      </c>
      <c r="M64" s="3" t="s">
        <v>915</v>
      </c>
      <c r="O64" s="3" t="s">
        <v>65</v>
      </c>
      <c r="P64" s="3" t="s">
        <v>699</v>
      </c>
      <c r="R64" s="3" t="s">
        <v>68</v>
      </c>
      <c r="S64" s="4">
        <v>2</v>
      </c>
      <c r="T64" s="4">
        <v>2</v>
      </c>
      <c r="U64" s="5" t="s">
        <v>916</v>
      </c>
      <c r="V64" s="5" t="s">
        <v>916</v>
      </c>
      <c r="W64" s="5" t="s">
        <v>917</v>
      </c>
      <c r="X64" s="5" t="s">
        <v>917</v>
      </c>
      <c r="Y64" s="4">
        <v>808</v>
      </c>
      <c r="Z64" s="4">
        <v>657</v>
      </c>
      <c r="AA64" s="4">
        <v>694</v>
      </c>
      <c r="AB64" s="4">
        <v>4</v>
      </c>
      <c r="AC64" s="4">
        <v>5</v>
      </c>
      <c r="AD64" s="4">
        <v>36</v>
      </c>
      <c r="AE64" s="4">
        <v>37</v>
      </c>
      <c r="AF64" s="4">
        <v>16</v>
      </c>
      <c r="AG64" s="4">
        <v>16</v>
      </c>
      <c r="AH64" s="4">
        <v>6</v>
      </c>
      <c r="AI64" s="4">
        <v>6</v>
      </c>
      <c r="AJ64" s="4">
        <v>22</v>
      </c>
      <c r="AK64" s="4">
        <v>22</v>
      </c>
      <c r="AL64" s="4">
        <v>3</v>
      </c>
      <c r="AM64" s="4">
        <v>4</v>
      </c>
      <c r="AN64" s="4">
        <v>0</v>
      </c>
      <c r="AO64" s="4">
        <v>0</v>
      </c>
      <c r="AP64" s="3" t="s">
        <v>59</v>
      </c>
      <c r="AQ64" s="3" t="s">
        <v>59</v>
      </c>
      <c r="AS64" s="6" t="str">
        <f>HYPERLINK("https://creighton-primo.hosted.exlibrisgroup.com/primo-explore/search?tab=default_tab&amp;search_scope=EVERYTHING&amp;vid=01CRU&amp;lang=en_US&amp;offset=0&amp;query=any,contains,991002118959702656","Catalog Record")</f>
        <v>Catalog Record</v>
      </c>
      <c r="AT64" s="6" t="str">
        <f>HYPERLINK("http://www.worldcat.org/oclc/27151303","WorldCat Record")</f>
        <v>WorldCat Record</v>
      </c>
      <c r="AU64" s="3" t="s">
        <v>918</v>
      </c>
      <c r="AV64" s="3" t="s">
        <v>919</v>
      </c>
      <c r="AW64" s="3" t="s">
        <v>920</v>
      </c>
      <c r="AX64" s="3" t="s">
        <v>920</v>
      </c>
      <c r="AY64" s="3" t="s">
        <v>921</v>
      </c>
      <c r="AZ64" s="3" t="s">
        <v>76</v>
      </c>
      <c r="BB64" s="3" t="s">
        <v>922</v>
      </c>
      <c r="BC64" s="3" t="s">
        <v>923</v>
      </c>
      <c r="BD64" s="3" t="s">
        <v>924</v>
      </c>
    </row>
    <row r="65" spans="1:56" ht="52.5" customHeight="1" x14ac:dyDescent="0.25">
      <c r="A65" s="7" t="s">
        <v>59</v>
      </c>
      <c r="B65" s="2" t="s">
        <v>925</v>
      </c>
      <c r="C65" s="2" t="s">
        <v>926</v>
      </c>
      <c r="D65" s="2" t="s">
        <v>927</v>
      </c>
      <c r="F65" s="3" t="s">
        <v>59</v>
      </c>
      <c r="G65" s="3" t="s">
        <v>60</v>
      </c>
      <c r="H65" s="3" t="s">
        <v>59</v>
      </c>
      <c r="I65" s="3" t="s">
        <v>59</v>
      </c>
      <c r="J65" s="3" t="s">
        <v>61</v>
      </c>
      <c r="K65" s="2" t="s">
        <v>928</v>
      </c>
      <c r="L65" s="2" t="s">
        <v>114</v>
      </c>
      <c r="M65" s="3" t="s">
        <v>115</v>
      </c>
      <c r="O65" s="3" t="s">
        <v>65</v>
      </c>
      <c r="P65" s="3" t="s">
        <v>66</v>
      </c>
      <c r="R65" s="3" t="s">
        <v>68</v>
      </c>
      <c r="S65" s="4">
        <v>5</v>
      </c>
      <c r="T65" s="4">
        <v>5</v>
      </c>
      <c r="U65" s="5" t="s">
        <v>929</v>
      </c>
      <c r="V65" s="5" t="s">
        <v>929</v>
      </c>
      <c r="W65" s="5" t="s">
        <v>930</v>
      </c>
      <c r="X65" s="5" t="s">
        <v>930</v>
      </c>
      <c r="Y65" s="4">
        <v>1017</v>
      </c>
      <c r="Z65" s="4">
        <v>920</v>
      </c>
      <c r="AA65" s="4">
        <v>989</v>
      </c>
      <c r="AB65" s="4">
        <v>7</v>
      </c>
      <c r="AC65" s="4">
        <v>7</v>
      </c>
      <c r="AD65" s="4">
        <v>31</v>
      </c>
      <c r="AE65" s="4">
        <v>34</v>
      </c>
      <c r="AF65" s="4">
        <v>11</v>
      </c>
      <c r="AG65" s="4">
        <v>12</v>
      </c>
      <c r="AH65" s="4">
        <v>6</v>
      </c>
      <c r="AI65" s="4">
        <v>8</v>
      </c>
      <c r="AJ65" s="4">
        <v>15</v>
      </c>
      <c r="AK65" s="4">
        <v>17</v>
      </c>
      <c r="AL65" s="4">
        <v>5</v>
      </c>
      <c r="AM65" s="4">
        <v>5</v>
      </c>
      <c r="AN65" s="4">
        <v>0</v>
      </c>
      <c r="AO65" s="4">
        <v>0</v>
      </c>
      <c r="AP65" s="3" t="s">
        <v>59</v>
      </c>
      <c r="AQ65" s="3" t="s">
        <v>71</v>
      </c>
      <c r="AR65" s="6" t="str">
        <f>HYPERLINK("http://catalog.hathitrust.org/Record/000581611","HathiTrust Record")</f>
        <v>HathiTrust Record</v>
      </c>
      <c r="AS65" s="6" t="str">
        <f>HYPERLINK("https://creighton-primo.hosted.exlibrisgroup.com/primo-explore/search?tab=default_tab&amp;search_scope=EVERYTHING&amp;vid=01CRU&amp;lang=en_US&amp;offset=0&amp;query=any,contains,991002455309702656","Catalog Record")</f>
        <v>Catalog Record</v>
      </c>
      <c r="AT65" s="6" t="str">
        <f>HYPERLINK("http://www.worldcat.org/oclc/354104","WorldCat Record")</f>
        <v>WorldCat Record</v>
      </c>
      <c r="AU65" s="3" t="s">
        <v>931</v>
      </c>
      <c r="AV65" s="3" t="s">
        <v>932</v>
      </c>
      <c r="AW65" s="3" t="s">
        <v>933</v>
      </c>
      <c r="AX65" s="3" t="s">
        <v>933</v>
      </c>
      <c r="AY65" s="3" t="s">
        <v>934</v>
      </c>
      <c r="AZ65" s="3" t="s">
        <v>76</v>
      </c>
      <c r="BB65" s="3" t="s">
        <v>935</v>
      </c>
      <c r="BC65" s="3" t="s">
        <v>936</v>
      </c>
      <c r="BD65" s="3" t="s">
        <v>937</v>
      </c>
    </row>
    <row r="66" spans="1:56" ht="52.5" customHeight="1" x14ac:dyDescent="0.25">
      <c r="A66" s="7" t="s">
        <v>59</v>
      </c>
      <c r="B66" s="2" t="s">
        <v>938</v>
      </c>
      <c r="C66" s="2" t="s">
        <v>939</v>
      </c>
      <c r="D66" s="2" t="s">
        <v>940</v>
      </c>
      <c r="F66" s="3" t="s">
        <v>59</v>
      </c>
      <c r="G66" s="3" t="s">
        <v>60</v>
      </c>
      <c r="H66" s="3" t="s">
        <v>59</v>
      </c>
      <c r="I66" s="3" t="s">
        <v>59</v>
      </c>
      <c r="J66" s="3" t="s">
        <v>61</v>
      </c>
      <c r="K66" s="2" t="s">
        <v>941</v>
      </c>
      <c r="L66" s="2" t="s">
        <v>942</v>
      </c>
      <c r="M66" s="3" t="s">
        <v>943</v>
      </c>
      <c r="O66" s="3" t="s">
        <v>65</v>
      </c>
      <c r="P66" s="3" t="s">
        <v>283</v>
      </c>
      <c r="R66" s="3" t="s">
        <v>68</v>
      </c>
      <c r="S66" s="4">
        <v>3</v>
      </c>
      <c r="T66" s="4">
        <v>3</v>
      </c>
      <c r="U66" s="5" t="s">
        <v>944</v>
      </c>
      <c r="V66" s="5" t="s">
        <v>944</v>
      </c>
      <c r="W66" s="5" t="s">
        <v>945</v>
      </c>
      <c r="X66" s="5" t="s">
        <v>945</v>
      </c>
      <c r="Y66" s="4">
        <v>663</v>
      </c>
      <c r="Z66" s="4">
        <v>557</v>
      </c>
      <c r="AA66" s="4">
        <v>567</v>
      </c>
      <c r="AB66" s="4">
        <v>4</v>
      </c>
      <c r="AC66" s="4">
        <v>4</v>
      </c>
      <c r="AD66" s="4">
        <v>30</v>
      </c>
      <c r="AE66" s="4">
        <v>30</v>
      </c>
      <c r="AF66" s="4">
        <v>12</v>
      </c>
      <c r="AG66" s="4">
        <v>12</v>
      </c>
      <c r="AH66" s="4">
        <v>7</v>
      </c>
      <c r="AI66" s="4">
        <v>7</v>
      </c>
      <c r="AJ66" s="4">
        <v>15</v>
      </c>
      <c r="AK66" s="4">
        <v>15</v>
      </c>
      <c r="AL66" s="4">
        <v>3</v>
      </c>
      <c r="AM66" s="4">
        <v>3</v>
      </c>
      <c r="AN66" s="4">
        <v>0</v>
      </c>
      <c r="AO66" s="4">
        <v>0</v>
      </c>
      <c r="AP66" s="3" t="s">
        <v>59</v>
      </c>
      <c r="AQ66" s="3" t="s">
        <v>71</v>
      </c>
      <c r="AR66" s="6" t="str">
        <f>HYPERLINK("http://catalog.hathitrust.org/Record/002461166","HathiTrust Record")</f>
        <v>HathiTrust Record</v>
      </c>
      <c r="AS66" s="6" t="str">
        <f>HYPERLINK("https://creighton-primo.hosted.exlibrisgroup.com/primo-explore/search?tab=default_tab&amp;search_scope=EVERYTHING&amp;vid=01CRU&amp;lang=en_US&amp;offset=0&amp;query=any,contains,991001775949702656","Catalog Record")</f>
        <v>Catalog Record</v>
      </c>
      <c r="AT66" s="6" t="str">
        <f>HYPERLINK("http://www.worldcat.org/oclc/22421412","WorldCat Record")</f>
        <v>WorldCat Record</v>
      </c>
      <c r="AU66" s="3" t="s">
        <v>946</v>
      </c>
      <c r="AV66" s="3" t="s">
        <v>947</v>
      </c>
      <c r="AW66" s="3" t="s">
        <v>948</v>
      </c>
      <c r="AX66" s="3" t="s">
        <v>948</v>
      </c>
      <c r="AY66" s="3" t="s">
        <v>949</v>
      </c>
      <c r="AZ66" s="3" t="s">
        <v>76</v>
      </c>
      <c r="BB66" s="3" t="s">
        <v>950</v>
      </c>
      <c r="BC66" s="3" t="s">
        <v>951</v>
      </c>
      <c r="BD66" s="3" t="s">
        <v>952</v>
      </c>
    </row>
    <row r="67" spans="1:56" ht="52.5" customHeight="1" x14ac:dyDescent="0.25">
      <c r="A67" s="7" t="s">
        <v>59</v>
      </c>
      <c r="B67" s="2" t="s">
        <v>953</v>
      </c>
      <c r="C67" s="2" t="s">
        <v>954</v>
      </c>
      <c r="D67" s="2" t="s">
        <v>955</v>
      </c>
      <c r="F67" s="3" t="s">
        <v>59</v>
      </c>
      <c r="G67" s="3" t="s">
        <v>60</v>
      </c>
      <c r="H67" s="3" t="s">
        <v>59</v>
      </c>
      <c r="I67" s="3" t="s">
        <v>59</v>
      </c>
      <c r="J67" s="3" t="s">
        <v>61</v>
      </c>
      <c r="K67" s="2" t="s">
        <v>956</v>
      </c>
      <c r="L67" s="2" t="s">
        <v>957</v>
      </c>
      <c r="M67" s="3" t="s">
        <v>115</v>
      </c>
      <c r="O67" s="3" t="s">
        <v>65</v>
      </c>
      <c r="P67" s="3" t="s">
        <v>296</v>
      </c>
      <c r="R67" s="3" t="s">
        <v>68</v>
      </c>
      <c r="S67" s="4">
        <v>6</v>
      </c>
      <c r="T67" s="4">
        <v>6</v>
      </c>
      <c r="U67" s="5" t="s">
        <v>958</v>
      </c>
      <c r="V67" s="5" t="s">
        <v>958</v>
      </c>
      <c r="W67" s="5" t="s">
        <v>959</v>
      </c>
      <c r="X67" s="5" t="s">
        <v>959</v>
      </c>
      <c r="Y67" s="4">
        <v>738</v>
      </c>
      <c r="Z67" s="4">
        <v>627</v>
      </c>
      <c r="AA67" s="4">
        <v>627</v>
      </c>
      <c r="AB67" s="4">
        <v>8</v>
      </c>
      <c r="AC67" s="4">
        <v>8</v>
      </c>
      <c r="AD67" s="4">
        <v>31</v>
      </c>
      <c r="AE67" s="4">
        <v>31</v>
      </c>
      <c r="AF67" s="4">
        <v>10</v>
      </c>
      <c r="AG67" s="4">
        <v>10</v>
      </c>
      <c r="AH67" s="4">
        <v>8</v>
      </c>
      <c r="AI67" s="4">
        <v>8</v>
      </c>
      <c r="AJ67" s="4">
        <v>15</v>
      </c>
      <c r="AK67" s="4">
        <v>15</v>
      </c>
      <c r="AL67" s="4">
        <v>6</v>
      </c>
      <c r="AM67" s="4">
        <v>6</v>
      </c>
      <c r="AN67" s="4">
        <v>0</v>
      </c>
      <c r="AO67" s="4">
        <v>0</v>
      </c>
      <c r="AP67" s="3" t="s">
        <v>59</v>
      </c>
      <c r="AQ67" s="3" t="s">
        <v>59</v>
      </c>
      <c r="AS67" s="6" t="str">
        <f>HYPERLINK("https://creighton-primo.hosted.exlibrisgroup.com/primo-explore/search?tab=default_tab&amp;search_scope=EVERYTHING&amp;vid=01CRU&amp;lang=en_US&amp;offset=0&amp;query=any,contains,991002724699702656","Catalog Record")</f>
        <v>Catalog Record</v>
      </c>
      <c r="AT67" s="6" t="str">
        <f>HYPERLINK("http://www.worldcat.org/oclc/413971","WorldCat Record")</f>
        <v>WorldCat Record</v>
      </c>
      <c r="AU67" s="3" t="s">
        <v>960</v>
      </c>
      <c r="AV67" s="3" t="s">
        <v>961</v>
      </c>
      <c r="AW67" s="3" t="s">
        <v>962</v>
      </c>
      <c r="AX67" s="3" t="s">
        <v>962</v>
      </c>
      <c r="AY67" s="3" t="s">
        <v>963</v>
      </c>
      <c r="AZ67" s="3" t="s">
        <v>76</v>
      </c>
      <c r="BB67" s="3" t="s">
        <v>964</v>
      </c>
      <c r="BC67" s="3" t="s">
        <v>965</v>
      </c>
      <c r="BD67" s="3" t="s">
        <v>966</v>
      </c>
    </row>
    <row r="68" spans="1:56" ht="52.5" customHeight="1" x14ac:dyDescent="0.25">
      <c r="A68" s="7" t="s">
        <v>59</v>
      </c>
      <c r="B68" s="2" t="s">
        <v>967</v>
      </c>
      <c r="C68" s="2" t="s">
        <v>968</v>
      </c>
      <c r="D68" s="2" t="s">
        <v>969</v>
      </c>
      <c r="F68" s="3" t="s">
        <v>59</v>
      </c>
      <c r="G68" s="3" t="s">
        <v>60</v>
      </c>
      <c r="H68" s="3" t="s">
        <v>59</v>
      </c>
      <c r="I68" s="3" t="s">
        <v>59</v>
      </c>
      <c r="J68" s="3" t="s">
        <v>61</v>
      </c>
      <c r="K68" s="2" t="s">
        <v>970</v>
      </c>
      <c r="L68" s="2" t="s">
        <v>971</v>
      </c>
      <c r="M68" s="3" t="s">
        <v>100</v>
      </c>
      <c r="O68" s="3" t="s">
        <v>65</v>
      </c>
      <c r="P68" s="3" t="s">
        <v>972</v>
      </c>
      <c r="R68" s="3" t="s">
        <v>68</v>
      </c>
      <c r="S68" s="4">
        <v>2</v>
      </c>
      <c r="T68" s="4">
        <v>2</v>
      </c>
      <c r="U68" s="5" t="s">
        <v>973</v>
      </c>
      <c r="V68" s="5" t="s">
        <v>973</v>
      </c>
      <c r="W68" s="5" t="s">
        <v>974</v>
      </c>
      <c r="X68" s="5" t="s">
        <v>974</v>
      </c>
      <c r="Y68" s="4">
        <v>687</v>
      </c>
      <c r="Z68" s="4">
        <v>611</v>
      </c>
      <c r="AA68" s="4">
        <v>618</v>
      </c>
      <c r="AB68" s="4">
        <v>5</v>
      </c>
      <c r="AC68" s="4">
        <v>5</v>
      </c>
      <c r="AD68" s="4">
        <v>16</v>
      </c>
      <c r="AE68" s="4">
        <v>16</v>
      </c>
      <c r="AF68" s="4">
        <v>4</v>
      </c>
      <c r="AG68" s="4">
        <v>4</v>
      </c>
      <c r="AH68" s="4">
        <v>4</v>
      </c>
      <c r="AI68" s="4">
        <v>4</v>
      </c>
      <c r="AJ68" s="4">
        <v>6</v>
      </c>
      <c r="AK68" s="4">
        <v>6</v>
      </c>
      <c r="AL68" s="4">
        <v>4</v>
      </c>
      <c r="AM68" s="4">
        <v>4</v>
      </c>
      <c r="AN68" s="4">
        <v>1</v>
      </c>
      <c r="AO68" s="4">
        <v>1</v>
      </c>
      <c r="AP68" s="3" t="s">
        <v>59</v>
      </c>
      <c r="AQ68" s="3" t="s">
        <v>71</v>
      </c>
      <c r="AR68" s="6" t="str">
        <f>HYPERLINK("http://catalog.hathitrust.org/Record/000581641","HathiTrust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HYPERLINK("https://creighton-primo.hosted.exlibrisgroup.com/primo-explore/search?tab=default_tab&amp;search_scope=EVERYTHING&amp;vid=01CRU&amp;lang=en_US&amp;offset=0&amp;query=any,contains,991000907179702656","Catalog Record")</f>
        <v>Catalog Record</v>
      </c>
      <c r="AT68" s="6" t="str">
        <f>HYPERLINK("http://www.worldcat.org/oclc/157881","WorldCat Record")</f>
        <v>WorldCat Record</v>
      </c>
      <c r="AU68" s="3" t="s">
        <v>975</v>
      </c>
      <c r="AV68" s="3" t="s">
        <v>976</v>
      </c>
      <c r="AW68" s="3" t="s">
        <v>977</v>
      </c>
      <c r="AX68" s="3" t="s">
        <v>977</v>
      </c>
      <c r="AY68" s="3" t="s">
        <v>978</v>
      </c>
      <c r="AZ68" s="3" t="s">
        <v>76</v>
      </c>
      <c r="BB68" s="3" t="s">
        <v>979</v>
      </c>
      <c r="BC68" s="3" t="s">
        <v>980</v>
      </c>
      <c r="BD68" s="3" t="s">
        <v>981</v>
      </c>
    </row>
    <row r="69" spans="1:56" ht="52.5" customHeight="1" x14ac:dyDescent="0.25">
      <c r="A69" s="7" t="s">
        <v>59</v>
      </c>
      <c r="B69" s="2" t="s">
        <v>982</v>
      </c>
      <c r="C69" s="2" t="s">
        <v>983</v>
      </c>
      <c r="D69" s="2" t="s">
        <v>984</v>
      </c>
      <c r="F69" s="3" t="s">
        <v>59</v>
      </c>
      <c r="G69" s="3" t="s">
        <v>60</v>
      </c>
      <c r="H69" s="3" t="s">
        <v>59</v>
      </c>
      <c r="I69" s="3" t="s">
        <v>59</v>
      </c>
      <c r="J69" s="3" t="s">
        <v>61</v>
      </c>
      <c r="K69" s="2" t="s">
        <v>985</v>
      </c>
      <c r="L69" s="2" t="s">
        <v>986</v>
      </c>
      <c r="M69" s="3" t="s">
        <v>987</v>
      </c>
      <c r="O69" s="3" t="s">
        <v>65</v>
      </c>
      <c r="P69" s="3" t="s">
        <v>66</v>
      </c>
      <c r="R69" s="3" t="s">
        <v>68</v>
      </c>
      <c r="S69" s="4">
        <v>2</v>
      </c>
      <c r="T69" s="4">
        <v>2</v>
      </c>
      <c r="U69" s="5" t="s">
        <v>988</v>
      </c>
      <c r="V69" s="5" t="s">
        <v>988</v>
      </c>
      <c r="W69" s="5" t="s">
        <v>974</v>
      </c>
      <c r="X69" s="5" t="s">
        <v>974</v>
      </c>
      <c r="Y69" s="4">
        <v>242</v>
      </c>
      <c r="Z69" s="4">
        <v>219</v>
      </c>
      <c r="AA69" s="4">
        <v>287</v>
      </c>
      <c r="AB69" s="4">
        <v>4</v>
      </c>
      <c r="AC69" s="4">
        <v>4</v>
      </c>
      <c r="AD69" s="4">
        <v>13</v>
      </c>
      <c r="AE69" s="4">
        <v>16</v>
      </c>
      <c r="AF69" s="4">
        <v>4</v>
      </c>
      <c r="AG69" s="4">
        <v>6</v>
      </c>
      <c r="AH69" s="4">
        <v>3</v>
      </c>
      <c r="AI69" s="4">
        <v>3</v>
      </c>
      <c r="AJ69" s="4">
        <v>6</v>
      </c>
      <c r="AK69" s="4">
        <v>7</v>
      </c>
      <c r="AL69" s="4">
        <v>3</v>
      </c>
      <c r="AM69" s="4">
        <v>3</v>
      </c>
      <c r="AN69" s="4">
        <v>0</v>
      </c>
      <c r="AO69" s="4">
        <v>0</v>
      </c>
      <c r="AP69" s="3" t="s">
        <v>59</v>
      </c>
      <c r="AQ69" s="3" t="s">
        <v>71</v>
      </c>
      <c r="AR69" s="6" t="str">
        <f>HYPERLINK("http://catalog.hathitrust.org/Record/004443513","HathiTrust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HYPERLINK("https://creighton-primo.hosted.exlibrisgroup.com/primo-explore/search?tab=default_tab&amp;search_scope=EVERYTHING&amp;vid=01CRU&amp;lang=en_US&amp;offset=0&amp;query=any,contains,991000803249702656","Catalog Record")</f>
        <v>Catalog Record</v>
      </c>
      <c r="AT69" s="6" t="str">
        <f>HYPERLINK("http://www.worldcat.org/oclc/139805","WorldCat Record")</f>
        <v>WorldCat Record</v>
      </c>
      <c r="AU69" s="3" t="s">
        <v>989</v>
      </c>
      <c r="AV69" s="3" t="s">
        <v>990</v>
      </c>
      <c r="AW69" s="3" t="s">
        <v>991</v>
      </c>
      <c r="AX69" s="3" t="s">
        <v>991</v>
      </c>
      <c r="AY69" s="3" t="s">
        <v>992</v>
      </c>
      <c r="AZ69" s="3" t="s">
        <v>76</v>
      </c>
      <c r="BC69" s="3" t="s">
        <v>993</v>
      </c>
      <c r="BD69" s="3" t="s">
        <v>994</v>
      </c>
    </row>
    <row r="70" spans="1:56" ht="52.5" customHeight="1" x14ac:dyDescent="0.25">
      <c r="A70" s="7" t="s">
        <v>59</v>
      </c>
      <c r="B70" s="2" t="s">
        <v>995</v>
      </c>
      <c r="C70" s="2" t="s">
        <v>996</v>
      </c>
      <c r="D70" s="2" t="s">
        <v>997</v>
      </c>
      <c r="F70" s="3" t="s">
        <v>59</v>
      </c>
      <c r="G70" s="3" t="s">
        <v>60</v>
      </c>
      <c r="H70" s="3" t="s">
        <v>59</v>
      </c>
      <c r="I70" s="3" t="s">
        <v>59</v>
      </c>
      <c r="J70" s="3" t="s">
        <v>61</v>
      </c>
      <c r="K70" s="2" t="s">
        <v>998</v>
      </c>
      <c r="L70" s="2" t="s">
        <v>999</v>
      </c>
      <c r="M70" s="3" t="s">
        <v>1000</v>
      </c>
      <c r="N70" s="2" t="s">
        <v>887</v>
      </c>
      <c r="O70" s="3" t="s">
        <v>65</v>
      </c>
      <c r="P70" s="3" t="s">
        <v>66</v>
      </c>
      <c r="R70" s="3" t="s">
        <v>68</v>
      </c>
      <c r="S70" s="4">
        <v>4</v>
      </c>
      <c r="T70" s="4">
        <v>4</v>
      </c>
      <c r="U70" s="5" t="s">
        <v>1001</v>
      </c>
      <c r="V70" s="5" t="s">
        <v>1001</v>
      </c>
      <c r="W70" s="5" t="s">
        <v>1002</v>
      </c>
      <c r="X70" s="5" t="s">
        <v>1002</v>
      </c>
      <c r="Y70" s="4">
        <v>1332</v>
      </c>
      <c r="Z70" s="4">
        <v>1204</v>
      </c>
      <c r="AA70" s="4">
        <v>1265</v>
      </c>
      <c r="AB70" s="4">
        <v>8</v>
      </c>
      <c r="AC70" s="4">
        <v>8</v>
      </c>
      <c r="AD70" s="4">
        <v>35</v>
      </c>
      <c r="AE70" s="4">
        <v>36</v>
      </c>
      <c r="AF70" s="4">
        <v>13</v>
      </c>
      <c r="AG70" s="4">
        <v>14</v>
      </c>
      <c r="AH70" s="4">
        <v>7</v>
      </c>
      <c r="AI70" s="4">
        <v>7</v>
      </c>
      <c r="AJ70" s="4">
        <v>17</v>
      </c>
      <c r="AK70" s="4">
        <v>17</v>
      </c>
      <c r="AL70" s="4">
        <v>6</v>
      </c>
      <c r="AM70" s="4">
        <v>6</v>
      </c>
      <c r="AN70" s="4">
        <v>0</v>
      </c>
      <c r="AO70" s="4">
        <v>0</v>
      </c>
      <c r="AP70" s="3" t="s">
        <v>59</v>
      </c>
      <c r="AQ70" s="3" t="s">
        <v>71</v>
      </c>
      <c r="AR70" s="6" t="str">
        <f>HYPERLINK("http://catalog.hathitrust.org/Record/000690579","HathiTrust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HYPERLINK("https://creighton-primo.hosted.exlibrisgroup.com/primo-explore/search?tab=default_tab&amp;search_scope=EVERYTHING&amp;vid=01CRU&amp;lang=en_US&amp;offset=0&amp;query=any,contains,991004696229702656","Catalog Record")</f>
        <v>Catalog Record</v>
      </c>
      <c r="AT70" s="6" t="str">
        <f>HYPERLINK("http://www.worldcat.org/oclc/4641872","WorldCat Record")</f>
        <v>WorldCat Record</v>
      </c>
      <c r="AU70" s="3" t="s">
        <v>1003</v>
      </c>
      <c r="AV70" s="3" t="s">
        <v>1004</v>
      </c>
      <c r="AW70" s="3" t="s">
        <v>1005</v>
      </c>
      <c r="AX70" s="3" t="s">
        <v>1005</v>
      </c>
      <c r="AY70" s="3" t="s">
        <v>1006</v>
      </c>
      <c r="AZ70" s="3" t="s">
        <v>76</v>
      </c>
      <c r="BB70" s="3" t="s">
        <v>1007</v>
      </c>
      <c r="BC70" s="3" t="s">
        <v>1008</v>
      </c>
      <c r="BD70" s="3" t="s">
        <v>1009</v>
      </c>
    </row>
    <row r="71" spans="1:56" ht="52.5" customHeight="1" x14ac:dyDescent="0.25">
      <c r="A71" s="7" t="s">
        <v>59</v>
      </c>
      <c r="B71" s="2" t="s">
        <v>1010</v>
      </c>
      <c r="C71" s="2" t="s">
        <v>1011</v>
      </c>
      <c r="D71" s="2" t="s">
        <v>1012</v>
      </c>
      <c r="F71" s="3" t="s">
        <v>59</v>
      </c>
      <c r="G71" s="3" t="s">
        <v>60</v>
      </c>
      <c r="H71" s="3" t="s">
        <v>59</v>
      </c>
      <c r="I71" s="3" t="s">
        <v>59</v>
      </c>
      <c r="J71" s="3" t="s">
        <v>61</v>
      </c>
      <c r="K71" s="2" t="s">
        <v>1013</v>
      </c>
      <c r="L71" s="2" t="s">
        <v>1014</v>
      </c>
      <c r="M71" s="3" t="s">
        <v>1015</v>
      </c>
      <c r="N71" s="2" t="s">
        <v>435</v>
      </c>
      <c r="O71" s="3" t="s">
        <v>65</v>
      </c>
      <c r="P71" s="3" t="s">
        <v>66</v>
      </c>
      <c r="Q71" s="2" t="s">
        <v>1016</v>
      </c>
      <c r="R71" s="3" t="s">
        <v>68</v>
      </c>
      <c r="S71" s="4">
        <v>5</v>
      </c>
      <c r="T71" s="4">
        <v>5</v>
      </c>
      <c r="U71" s="5" t="s">
        <v>1017</v>
      </c>
      <c r="V71" s="5" t="s">
        <v>1017</v>
      </c>
      <c r="W71" s="5" t="s">
        <v>716</v>
      </c>
      <c r="X71" s="5" t="s">
        <v>716</v>
      </c>
      <c r="Y71" s="4">
        <v>920</v>
      </c>
      <c r="Z71" s="4">
        <v>824</v>
      </c>
      <c r="AA71" s="4">
        <v>864</v>
      </c>
      <c r="AB71" s="4">
        <v>9</v>
      </c>
      <c r="AC71" s="4">
        <v>9</v>
      </c>
      <c r="AD71" s="4">
        <v>34</v>
      </c>
      <c r="AE71" s="4">
        <v>36</v>
      </c>
      <c r="AF71" s="4">
        <v>14</v>
      </c>
      <c r="AG71" s="4">
        <v>15</v>
      </c>
      <c r="AH71" s="4">
        <v>7</v>
      </c>
      <c r="AI71" s="4">
        <v>8</v>
      </c>
      <c r="AJ71" s="4">
        <v>12</v>
      </c>
      <c r="AK71" s="4">
        <v>13</v>
      </c>
      <c r="AL71" s="4">
        <v>6</v>
      </c>
      <c r="AM71" s="4">
        <v>6</v>
      </c>
      <c r="AN71" s="4">
        <v>0</v>
      </c>
      <c r="AO71" s="4">
        <v>0</v>
      </c>
      <c r="AP71" s="3" t="s">
        <v>59</v>
      </c>
      <c r="AQ71" s="3" t="s">
        <v>71</v>
      </c>
      <c r="AR71" s="6" t="str">
        <f>HYPERLINK("http://catalog.hathitrust.org/Record/000615989","HathiTrust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HYPERLINK("https://creighton-primo.hosted.exlibrisgroup.com/primo-explore/search?tab=default_tab&amp;search_scope=EVERYTHING&amp;vid=01CRU&amp;lang=en_US&amp;offset=0&amp;query=any,contains,991002804589702656","Catalog Record")</f>
        <v>Catalog Record</v>
      </c>
      <c r="AT71" s="6" t="str">
        <f>HYPERLINK("http://www.worldcat.org/oclc/449126","WorldCat Record")</f>
        <v>WorldCat Record</v>
      </c>
      <c r="AU71" s="3" t="s">
        <v>1018</v>
      </c>
      <c r="AV71" s="3" t="s">
        <v>1019</v>
      </c>
      <c r="AW71" s="3" t="s">
        <v>1020</v>
      </c>
      <c r="AX71" s="3" t="s">
        <v>1020</v>
      </c>
      <c r="AY71" s="3" t="s">
        <v>1021</v>
      </c>
      <c r="AZ71" s="3" t="s">
        <v>76</v>
      </c>
      <c r="BC71" s="3" t="s">
        <v>1022</v>
      </c>
      <c r="BD71" s="3" t="s">
        <v>1023</v>
      </c>
    </row>
    <row r="72" spans="1:56" ht="52.5" customHeight="1" x14ac:dyDescent="0.25">
      <c r="A72" s="7" t="s">
        <v>59</v>
      </c>
      <c r="B72" s="2" t="s">
        <v>1024</v>
      </c>
      <c r="C72" s="2" t="s">
        <v>1025</v>
      </c>
      <c r="D72" s="2" t="s">
        <v>1026</v>
      </c>
      <c r="F72" s="3" t="s">
        <v>59</v>
      </c>
      <c r="G72" s="3" t="s">
        <v>60</v>
      </c>
      <c r="H72" s="3" t="s">
        <v>59</v>
      </c>
      <c r="I72" s="3" t="s">
        <v>59</v>
      </c>
      <c r="J72" s="3" t="s">
        <v>61</v>
      </c>
      <c r="K72" s="2" t="s">
        <v>1027</v>
      </c>
      <c r="L72" s="2" t="s">
        <v>1028</v>
      </c>
      <c r="M72" s="3" t="s">
        <v>616</v>
      </c>
      <c r="O72" s="3" t="s">
        <v>65</v>
      </c>
      <c r="P72" s="3" t="s">
        <v>66</v>
      </c>
      <c r="Q72" s="2" t="s">
        <v>1029</v>
      </c>
      <c r="R72" s="3" t="s">
        <v>68</v>
      </c>
      <c r="S72" s="4">
        <v>1</v>
      </c>
      <c r="T72" s="4">
        <v>1</v>
      </c>
      <c r="U72" s="5" t="s">
        <v>1030</v>
      </c>
      <c r="V72" s="5" t="s">
        <v>1030</v>
      </c>
      <c r="W72" s="5" t="s">
        <v>241</v>
      </c>
      <c r="X72" s="5" t="s">
        <v>241</v>
      </c>
      <c r="Y72" s="4">
        <v>522</v>
      </c>
      <c r="Z72" s="4">
        <v>436</v>
      </c>
      <c r="AA72" s="4">
        <v>436</v>
      </c>
      <c r="AB72" s="4">
        <v>6</v>
      </c>
      <c r="AC72" s="4">
        <v>6</v>
      </c>
      <c r="AD72" s="4">
        <v>23</v>
      </c>
      <c r="AE72" s="4">
        <v>23</v>
      </c>
      <c r="AF72" s="4">
        <v>6</v>
      </c>
      <c r="AG72" s="4">
        <v>6</v>
      </c>
      <c r="AH72" s="4">
        <v>5</v>
      </c>
      <c r="AI72" s="4">
        <v>5</v>
      </c>
      <c r="AJ72" s="4">
        <v>13</v>
      </c>
      <c r="AK72" s="4">
        <v>13</v>
      </c>
      <c r="AL72" s="4">
        <v>5</v>
      </c>
      <c r="AM72" s="4">
        <v>5</v>
      </c>
      <c r="AN72" s="4">
        <v>0</v>
      </c>
      <c r="AO72" s="4">
        <v>0</v>
      </c>
      <c r="AP72" s="3" t="s">
        <v>59</v>
      </c>
      <c r="AQ72" s="3" t="s">
        <v>59</v>
      </c>
      <c r="AS72" s="6" t="str">
        <f>HYPERLINK("https://creighton-primo.hosted.exlibrisgroup.com/primo-explore/search?tab=default_tab&amp;search_scope=EVERYTHING&amp;vid=01CRU&amp;lang=en_US&amp;offset=0&amp;query=any,contains,991001271429702656","Catalog Record")</f>
        <v>Catalog Record</v>
      </c>
      <c r="AT72" s="6" t="str">
        <f>HYPERLINK("http://www.worldcat.org/oclc/17841453","WorldCat Record")</f>
        <v>WorldCat Record</v>
      </c>
      <c r="AU72" s="3" t="s">
        <v>1031</v>
      </c>
      <c r="AV72" s="3" t="s">
        <v>1032</v>
      </c>
      <c r="AW72" s="3" t="s">
        <v>1033</v>
      </c>
      <c r="AX72" s="3" t="s">
        <v>1033</v>
      </c>
      <c r="AY72" s="3" t="s">
        <v>1034</v>
      </c>
      <c r="AZ72" s="3" t="s">
        <v>76</v>
      </c>
      <c r="BB72" s="3" t="s">
        <v>1035</v>
      </c>
      <c r="BC72" s="3" t="s">
        <v>1036</v>
      </c>
      <c r="BD72" s="3" t="s">
        <v>1037</v>
      </c>
    </row>
    <row r="73" spans="1:56" ht="52.5" customHeight="1" x14ac:dyDescent="0.25">
      <c r="A73" s="7" t="s">
        <v>59</v>
      </c>
      <c r="B73" s="2" t="s">
        <v>1038</v>
      </c>
      <c r="C73" s="2" t="s">
        <v>1039</v>
      </c>
      <c r="D73" s="2" t="s">
        <v>1040</v>
      </c>
      <c r="F73" s="3" t="s">
        <v>59</v>
      </c>
      <c r="G73" s="3" t="s">
        <v>60</v>
      </c>
      <c r="H73" s="3" t="s">
        <v>59</v>
      </c>
      <c r="I73" s="3" t="s">
        <v>59</v>
      </c>
      <c r="J73" s="3" t="s">
        <v>61</v>
      </c>
      <c r="K73" s="2" t="s">
        <v>1041</v>
      </c>
      <c r="L73" s="2" t="s">
        <v>1042</v>
      </c>
      <c r="M73" s="3" t="s">
        <v>1015</v>
      </c>
      <c r="N73" s="2" t="s">
        <v>435</v>
      </c>
      <c r="O73" s="3" t="s">
        <v>65</v>
      </c>
      <c r="P73" s="3" t="s">
        <v>771</v>
      </c>
      <c r="R73" s="3" t="s">
        <v>68</v>
      </c>
      <c r="S73" s="4">
        <v>2</v>
      </c>
      <c r="T73" s="4">
        <v>2</v>
      </c>
      <c r="U73" s="5" t="s">
        <v>1043</v>
      </c>
      <c r="V73" s="5" t="s">
        <v>1043</v>
      </c>
      <c r="W73" s="5" t="s">
        <v>1044</v>
      </c>
      <c r="X73" s="5" t="s">
        <v>1044</v>
      </c>
      <c r="Y73" s="4">
        <v>616</v>
      </c>
      <c r="Z73" s="4">
        <v>560</v>
      </c>
      <c r="AA73" s="4">
        <v>563</v>
      </c>
      <c r="AB73" s="4">
        <v>6</v>
      </c>
      <c r="AC73" s="4">
        <v>6</v>
      </c>
      <c r="AD73" s="4">
        <v>35</v>
      </c>
      <c r="AE73" s="4">
        <v>35</v>
      </c>
      <c r="AF73" s="4">
        <v>15</v>
      </c>
      <c r="AG73" s="4">
        <v>15</v>
      </c>
      <c r="AH73" s="4">
        <v>8</v>
      </c>
      <c r="AI73" s="4">
        <v>8</v>
      </c>
      <c r="AJ73" s="4">
        <v>15</v>
      </c>
      <c r="AK73" s="4">
        <v>15</v>
      </c>
      <c r="AL73" s="4">
        <v>5</v>
      </c>
      <c r="AM73" s="4">
        <v>5</v>
      </c>
      <c r="AN73" s="4">
        <v>0</v>
      </c>
      <c r="AO73" s="4">
        <v>0</v>
      </c>
      <c r="AP73" s="3" t="s">
        <v>59</v>
      </c>
      <c r="AQ73" s="3" t="s">
        <v>71</v>
      </c>
      <c r="AR73" s="6" t="str">
        <f>HYPERLINK("http://catalog.hathitrust.org/Record/000581666","HathiTrust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HYPERLINK("https://creighton-primo.hosted.exlibrisgroup.com/primo-explore/search?tab=default_tab&amp;search_scope=EVERYTHING&amp;vid=01CRU&amp;lang=en_US&amp;offset=0&amp;query=any,contains,991001204599702656","Catalog Record")</f>
        <v>Catalog Record</v>
      </c>
      <c r="AT73" s="6" t="str">
        <f>HYPERLINK("http://www.worldcat.org/oclc/191701","WorldCat Record")</f>
        <v>WorldCat Record</v>
      </c>
      <c r="AU73" s="3" t="s">
        <v>1045</v>
      </c>
      <c r="AV73" s="3" t="s">
        <v>1046</v>
      </c>
      <c r="AW73" s="3" t="s">
        <v>1047</v>
      </c>
      <c r="AX73" s="3" t="s">
        <v>1047</v>
      </c>
      <c r="AY73" s="3" t="s">
        <v>1048</v>
      </c>
      <c r="AZ73" s="3" t="s">
        <v>76</v>
      </c>
      <c r="BC73" s="3" t="s">
        <v>1049</v>
      </c>
      <c r="BD73" s="3" t="s">
        <v>1050</v>
      </c>
    </row>
    <row r="74" spans="1:56" ht="52.5" customHeight="1" x14ac:dyDescent="0.25">
      <c r="A74" s="7" t="s">
        <v>59</v>
      </c>
      <c r="B74" s="2" t="s">
        <v>1051</v>
      </c>
      <c r="C74" s="2" t="s">
        <v>1052</v>
      </c>
      <c r="D74" s="2" t="s">
        <v>1053</v>
      </c>
      <c r="F74" s="3" t="s">
        <v>59</v>
      </c>
      <c r="G74" s="3" t="s">
        <v>60</v>
      </c>
      <c r="H74" s="3" t="s">
        <v>59</v>
      </c>
      <c r="I74" s="3" t="s">
        <v>59</v>
      </c>
      <c r="J74" s="3" t="s">
        <v>61</v>
      </c>
      <c r="K74" s="2" t="s">
        <v>1054</v>
      </c>
      <c r="L74" s="2" t="s">
        <v>1055</v>
      </c>
      <c r="M74" s="3" t="s">
        <v>350</v>
      </c>
      <c r="O74" s="3" t="s">
        <v>65</v>
      </c>
      <c r="P74" s="3" t="s">
        <v>66</v>
      </c>
      <c r="R74" s="3" t="s">
        <v>68</v>
      </c>
      <c r="S74" s="4">
        <v>11</v>
      </c>
      <c r="T74" s="4">
        <v>11</v>
      </c>
      <c r="U74" s="5" t="s">
        <v>815</v>
      </c>
      <c r="V74" s="5" t="s">
        <v>815</v>
      </c>
      <c r="W74" s="5" t="s">
        <v>1056</v>
      </c>
      <c r="X74" s="5" t="s">
        <v>1056</v>
      </c>
      <c r="Y74" s="4">
        <v>290</v>
      </c>
      <c r="Z74" s="4">
        <v>273</v>
      </c>
      <c r="AA74" s="4">
        <v>281</v>
      </c>
      <c r="AB74" s="4">
        <v>2</v>
      </c>
      <c r="AC74" s="4">
        <v>2</v>
      </c>
      <c r="AD74" s="4">
        <v>2</v>
      </c>
      <c r="AE74" s="4">
        <v>2</v>
      </c>
      <c r="AF74" s="4">
        <v>1</v>
      </c>
      <c r="AG74" s="4">
        <v>1</v>
      </c>
      <c r="AH74" s="4">
        <v>0</v>
      </c>
      <c r="AI74" s="4">
        <v>0</v>
      </c>
      <c r="AJ74" s="4">
        <v>0</v>
      </c>
      <c r="AK74" s="4">
        <v>0</v>
      </c>
      <c r="AL74" s="4">
        <v>1</v>
      </c>
      <c r="AM74" s="4">
        <v>1</v>
      </c>
      <c r="AN74" s="4">
        <v>0</v>
      </c>
      <c r="AO74" s="4">
        <v>0</v>
      </c>
      <c r="AP74" s="3" t="s">
        <v>59</v>
      </c>
      <c r="AQ74" s="3" t="s">
        <v>59</v>
      </c>
      <c r="AS74" s="6" t="str">
        <f>HYPERLINK("https://creighton-primo.hosted.exlibrisgroup.com/primo-explore/search?tab=default_tab&amp;search_scope=EVERYTHING&amp;vid=01CRU&amp;lang=en_US&amp;offset=0&amp;query=any,contains,991004150439702656","Catalog Record")</f>
        <v>Catalog Record</v>
      </c>
      <c r="AT74" s="6" t="str">
        <f>HYPERLINK("http://www.worldcat.org/oclc/2523552","WorldCat Record")</f>
        <v>WorldCat Record</v>
      </c>
      <c r="AU74" s="3" t="s">
        <v>1057</v>
      </c>
      <c r="AV74" s="3" t="s">
        <v>1058</v>
      </c>
      <c r="AW74" s="3" t="s">
        <v>1059</v>
      </c>
      <c r="AX74" s="3" t="s">
        <v>1059</v>
      </c>
      <c r="AY74" s="3" t="s">
        <v>1060</v>
      </c>
      <c r="AZ74" s="3" t="s">
        <v>76</v>
      </c>
      <c r="BB74" s="3" t="s">
        <v>1061</v>
      </c>
      <c r="BC74" s="3" t="s">
        <v>1062</v>
      </c>
      <c r="BD74" s="3" t="s">
        <v>1063</v>
      </c>
    </row>
    <row r="75" spans="1:56" ht="52.5" customHeight="1" x14ac:dyDescent="0.25">
      <c r="A75" s="7" t="s">
        <v>59</v>
      </c>
      <c r="B75" s="2" t="s">
        <v>1064</v>
      </c>
      <c r="C75" s="2" t="s">
        <v>1065</v>
      </c>
      <c r="D75" s="2" t="s">
        <v>1066</v>
      </c>
      <c r="F75" s="3" t="s">
        <v>59</v>
      </c>
      <c r="G75" s="3" t="s">
        <v>60</v>
      </c>
      <c r="H75" s="3" t="s">
        <v>59</v>
      </c>
      <c r="I75" s="3" t="s">
        <v>59</v>
      </c>
      <c r="J75" s="3" t="s">
        <v>61</v>
      </c>
      <c r="K75" s="2" t="s">
        <v>1067</v>
      </c>
      <c r="L75" s="2" t="s">
        <v>1068</v>
      </c>
      <c r="M75" s="3" t="s">
        <v>616</v>
      </c>
      <c r="N75" s="2" t="s">
        <v>1069</v>
      </c>
      <c r="O75" s="3" t="s">
        <v>65</v>
      </c>
      <c r="P75" s="3" t="s">
        <v>420</v>
      </c>
      <c r="R75" s="3" t="s">
        <v>68</v>
      </c>
      <c r="S75" s="4">
        <v>9</v>
      </c>
      <c r="T75" s="4">
        <v>9</v>
      </c>
      <c r="U75" s="5" t="s">
        <v>1070</v>
      </c>
      <c r="V75" s="5" t="s">
        <v>1070</v>
      </c>
      <c r="W75" s="5" t="s">
        <v>1071</v>
      </c>
      <c r="X75" s="5" t="s">
        <v>1071</v>
      </c>
      <c r="Y75" s="4">
        <v>134</v>
      </c>
      <c r="Z75" s="4">
        <v>120</v>
      </c>
      <c r="AA75" s="4">
        <v>128</v>
      </c>
      <c r="AB75" s="4">
        <v>3</v>
      </c>
      <c r="AC75" s="4">
        <v>3</v>
      </c>
      <c r="AD75" s="4">
        <v>1</v>
      </c>
      <c r="AE75" s="4">
        <v>1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1</v>
      </c>
      <c r="AM75" s="4">
        <v>1</v>
      </c>
      <c r="AN75" s="4">
        <v>0</v>
      </c>
      <c r="AO75" s="4">
        <v>0</v>
      </c>
      <c r="AP75" s="3" t="s">
        <v>59</v>
      </c>
      <c r="AQ75" s="3" t="s">
        <v>71</v>
      </c>
      <c r="AR75" s="6" t="str">
        <f>HYPERLINK("http://catalog.hathitrust.org/Record/008880734","HathiTrust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HYPERLINK("https://creighton-primo.hosted.exlibrisgroup.com/primo-explore/search?tab=default_tab&amp;search_scope=EVERYTHING&amp;vid=01CRU&amp;lang=en_US&amp;offset=0&amp;query=any,contains,991001311039702656","Catalog Record")</f>
        <v>Catalog Record</v>
      </c>
      <c r="AT75" s="6" t="str">
        <f>HYPERLINK("http://www.worldcat.org/oclc/18136837","WorldCat Record")</f>
        <v>WorldCat Record</v>
      </c>
      <c r="AU75" s="3" t="s">
        <v>1072</v>
      </c>
      <c r="AV75" s="3" t="s">
        <v>1073</v>
      </c>
      <c r="AW75" s="3" t="s">
        <v>1074</v>
      </c>
      <c r="AX75" s="3" t="s">
        <v>1074</v>
      </c>
      <c r="AY75" s="3" t="s">
        <v>1075</v>
      </c>
      <c r="AZ75" s="3" t="s">
        <v>76</v>
      </c>
      <c r="BB75" s="3" t="s">
        <v>1076</v>
      </c>
      <c r="BC75" s="3" t="s">
        <v>1077</v>
      </c>
      <c r="BD75" s="3" t="s">
        <v>1078</v>
      </c>
    </row>
    <row r="76" spans="1:56" ht="52.5" customHeight="1" x14ac:dyDescent="0.25">
      <c r="A76" s="7" t="s">
        <v>59</v>
      </c>
      <c r="B76" s="2" t="s">
        <v>1079</v>
      </c>
      <c r="C76" s="2" t="s">
        <v>1080</v>
      </c>
      <c r="D76" s="2" t="s">
        <v>1081</v>
      </c>
      <c r="F76" s="3" t="s">
        <v>59</v>
      </c>
      <c r="G76" s="3" t="s">
        <v>60</v>
      </c>
      <c r="H76" s="3" t="s">
        <v>59</v>
      </c>
      <c r="I76" s="3" t="s">
        <v>59</v>
      </c>
      <c r="J76" s="3" t="s">
        <v>61</v>
      </c>
      <c r="K76" s="2" t="s">
        <v>1082</v>
      </c>
      <c r="L76" s="2" t="s">
        <v>1083</v>
      </c>
      <c r="M76" s="3" t="s">
        <v>148</v>
      </c>
      <c r="O76" s="3" t="s">
        <v>65</v>
      </c>
      <c r="P76" s="3" t="s">
        <v>66</v>
      </c>
      <c r="R76" s="3" t="s">
        <v>68</v>
      </c>
      <c r="S76" s="4">
        <v>20</v>
      </c>
      <c r="T76" s="4">
        <v>20</v>
      </c>
      <c r="U76" s="5" t="s">
        <v>1084</v>
      </c>
      <c r="V76" s="5" t="s">
        <v>1084</v>
      </c>
      <c r="W76" s="5" t="s">
        <v>1085</v>
      </c>
      <c r="X76" s="5" t="s">
        <v>1085</v>
      </c>
      <c r="Y76" s="4">
        <v>147</v>
      </c>
      <c r="Z76" s="4">
        <v>137</v>
      </c>
      <c r="AA76" s="4">
        <v>610</v>
      </c>
      <c r="AB76" s="4">
        <v>1</v>
      </c>
      <c r="AC76" s="4">
        <v>5</v>
      </c>
      <c r="AD76" s="4">
        <v>0</v>
      </c>
      <c r="AE76" s="4">
        <v>9</v>
      </c>
      <c r="AF76" s="4">
        <v>0</v>
      </c>
      <c r="AG76" s="4">
        <v>2</v>
      </c>
      <c r="AH76" s="4">
        <v>0</v>
      </c>
      <c r="AI76" s="4">
        <v>2</v>
      </c>
      <c r="AJ76" s="4">
        <v>0</v>
      </c>
      <c r="AK76" s="4">
        <v>5</v>
      </c>
      <c r="AL76" s="4">
        <v>0</v>
      </c>
      <c r="AM76" s="4">
        <v>1</v>
      </c>
      <c r="AN76" s="4">
        <v>0</v>
      </c>
      <c r="AO76" s="4">
        <v>0</v>
      </c>
      <c r="AP76" s="3" t="s">
        <v>59</v>
      </c>
      <c r="AQ76" s="3" t="s">
        <v>71</v>
      </c>
      <c r="AR76" s="6" t="str">
        <f>HYPERLINK("http://catalog.hathitrust.org/Record/102036268","HathiTrust Record")</f>
        <v>HathiTrust Record</v>
      </c>
      <c r="AS76" s="6" t="str">
        <f>HYPERLINK("https://creighton-primo.hosted.exlibrisgroup.com/primo-explore/search?tab=default_tab&amp;search_scope=EVERYTHING&amp;vid=01CRU&amp;lang=en_US&amp;offset=0&amp;query=any,contains,991004233749702656","Catalog Record")</f>
        <v>Catalog Record</v>
      </c>
      <c r="AT76" s="6" t="str">
        <f>HYPERLINK("http://www.worldcat.org/oclc/2757118","WorldCat Record")</f>
        <v>WorldCat Record</v>
      </c>
      <c r="AU76" s="3" t="s">
        <v>1086</v>
      </c>
      <c r="AV76" s="3" t="s">
        <v>1087</v>
      </c>
      <c r="AW76" s="3" t="s">
        <v>1088</v>
      </c>
      <c r="AX76" s="3" t="s">
        <v>1088</v>
      </c>
      <c r="AY76" s="3" t="s">
        <v>1089</v>
      </c>
      <c r="AZ76" s="3" t="s">
        <v>76</v>
      </c>
      <c r="BB76" s="3" t="s">
        <v>1090</v>
      </c>
      <c r="BC76" s="3" t="s">
        <v>1091</v>
      </c>
      <c r="BD76" s="3" t="s">
        <v>1092</v>
      </c>
    </row>
    <row r="77" spans="1:56" ht="52.5" customHeight="1" x14ac:dyDescent="0.25">
      <c r="A77" s="7" t="s">
        <v>59</v>
      </c>
      <c r="B77" s="2" t="s">
        <v>1093</v>
      </c>
      <c r="C77" s="2" t="s">
        <v>1094</v>
      </c>
      <c r="D77" s="2" t="s">
        <v>1095</v>
      </c>
      <c r="F77" s="3" t="s">
        <v>59</v>
      </c>
      <c r="G77" s="3" t="s">
        <v>60</v>
      </c>
      <c r="H77" s="3" t="s">
        <v>59</v>
      </c>
      <c r="I77" s="3" t="s">
        <v>59</v>
      </c>
      <c r="J77" s="3" t="s">
        <v>61</v>
      </c>
      <c r="K77" s="2" t="s">
        <v>1082</v>
      </c>
      <c r="L77" s="2" t="s">
        <v>1096</v>
      </c>
      <c r="M77" s="3" t="s">
        <v>115</v>
      </c>
      <c r="O77" s="3" t="s">
        <v>65</v>
      </c>
      <c r="P77" s="3" t="s">
        <v>66</v>
      </c>
      <c r="R77" s="3" t="s">
        <v>68</v>
      </c>
      <c r="S77" s="4">
        <v>18</v>
      </c>
      <c r="T77" s="4">
        <v>18</v>
      </c>
      <c r="U77" s="5" t="s">
        <v>1097</v>
      </c>
      <c r="V77" s="5" t="s">
        <v>1097</v>
      </c>
      <c r="W77" s="5" t="s">
        <v>1098</v>
      </c>
      <c r="X77" s="5" t="s">
        <v>1098</v>
      </c>
      <c r="Y77" s="4">
        <v>322</v>
      </c>
      <c r="Z77" s="4">
        <v>307</v>
      </c>
      <c r="AA77" s="4">
        <v>537</v>
      </c>
      <c r="AB77" s="4">
        <v>1</v>
      </c>
      <c r="AC77" s="4">
        <v>2</v>
      </c>
      <c r="AD77" s="4">
        <v>4</v>
      </c>
      <c r="AE77" s="4">
        <v>7</v>
      </c>
      <c r="AF77" s="4">
        <v>1</v>
      </c>
      <c r="AG77" s="4">
        <v>4</v>
      </c>
      <c r="AH77" s="4">
        <v>1</v>
      </c>
      <c r="AI77" s="4">
        <v>1</v>
      </c>
      <c r="AJ77" s="4">
        <v>3</v>
      </c>
      <c r="AK77" s="4">
        <v>3</v>
      </c>
      <c r="AL77" s="4">
        <v>0</v>
      </c>
      <c r="AM77" s="4">
        <v>0</v>
      </c>
      <c r="AN77" s="4">
        <v>0</v>
      </c>
      <c r="AO77" s="4">
        <v>0</v>
      </c>
      <c r="AP77" s="3" t="s">
        <v>59</v>
      </c>
      <c r="AQ77" s="3" t="s">
        <v>71</v>
      </c>
      <c r="AR77" s="6" t="str">
        <f>HYPERLINK("http://catalog.hathitrust.org/Record/000473881","HathiTrust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HYPERLINK("https://creighton-primo.hosted.exlibrisgroup.com/primo-explore/search?tab=default_tab&amp;search_scope=EVERYTHING&amp;vid=01CRU&amp;lang=en_US&amp;offset=0&amp;query=any,contains,991002180469702656","Catalog Record")</f>
        <v>Catalog Record</v>
      </c>
      <c r="AT77" s="6" t="str">
        <f>HYPERLINK("http://www.worldcat.org/oclc/278946","WorldCat Record")</f>
        <v>WorldCat Record</v>
      </c>
      <c r="AU77" s="3" t="s">
        <v>1099</v>
      </c>
      <c r="AV77" s="3" t="s">
        <v>1100</v>
      </c>
      <c r="AW77" s="3" t="s">
        <v>1101</v>
      </c>
      <c r="AX77" s="3" t="s">
        <v>1101</v>
      </c>
      <c r="AY77" s="3" t="s">
        <v>1102</v>
      </c>
      <c r="AZ77" s="3" t="s">
        <v>76</v>
      </c>
      <c r="BC77" s="3" t="s">
        <v>1103</v>
      </c>
      <c r="BD77" s="3" t="s">
        <v>1104</v>
      </c>
    </row>
    <row r="78" spans="1:56" ht="52.5" customHeight="1" x14ac:dyDescent="0.25">
      <c r="A78" s="7" t="s">
        <v>59</v>
      </c>
      <c r="B78" s="2" t="s">
        <v>1105</v>
      </c>
      <c r="C78" s="2" t="s">
        <v>1106</v>
      </c>
      <c r="D78" s="2" t="s">
        <v>1107</v>
      </c>
      <c r="F78" s="3" t="s">
        <v>59</v>
      </c>
      <c r="G78" s="3" t="s">
        <v>60</v>
      </c>
      <c r="H78" s="3" t="s">
        <v>59</v>
      </c>
      <c r="I78" s="3" t="s">
        <v>59</v>
      </c>
      <c r="J78" s="3" t="s">
        <v>61</v>
      </c>
      <c r="K78" s="2" t="s">
        <v>1108</v>
      </c>
      <c r="L78" s="2" t="s">
        <v>1109</v>
      </c>
      <c r="M78" s="3" t="s">
        <v>729</v>
      </c>
      <c r="O78" s="3" t="s">
        <v>65</v>
      </c>
      <c r="P78" s="3" t="s">
        <v>66</v>
      </c>
      <c r="R78" s="3" t="s">
        <v>68</v>
      </c>
      <c r="S78" s="4">
        <v>33</v>
      </c>
      <c r="T78" s="4">
        <v>33</v>
      </c>
      <c r="U78" s="5" t="s">
        <v>1070</v>
      </c>
      <c r="V78" s="5" t="s">
        <v>1070</v>
      </c>
      <c r="W78" s="5" t="s">
        <v>1110</v>
      </c>
      <c r="X78" s="5" t="s">
        <v>1110</v>
      </c>
      <c r="Y78" s="4">
        <v>289</v>
      </c>
      <c r="Z78" s="4">
        <v>242</v>
      </c>
      <c r="AA78" s="4">
        <v>431</v>
      </c>
      <c r="AB78" s="4">
        <v>1</v>
      </c>
      <c r="AC78" s="4">
        <v>1</v>
      </c>
      <c r="AD78" s="4">
        <v>5</v>
      </c>
      <c r="AE78" s="4">
        <v>8</v>
      </c>
      <c r="AF78" s="4">
        <v>4</v>
      </c>
      <c r="AG78" s="4">
        <v>5</v>
      </c>
      <c r="AH78" s="4">
        <v>0</v>
      </c>
      <c r="AI78" s="4">
        <v>0</v>
      </c>
      <c r="AJ78" s="4">
        <v>2</v>
      </c>
      <c r="AK78" s="4">
        <v>5</v>
      </c>
      <c r="AL78" s="4">
        <v>0</v>
      </c>
      <c r="AM78" s="4">
        <v>0</v>
      </c>
      <c r="AN78" s="4">
        <v>0</v>
      </c>
      <c r="AO78" s="4">
        <v>0</v>
      </c>
      <c r="AP78" s="3" t="s">
        <v>59</v>
      </c>
      <c r="AQ78" s="3" t="s">
        <v>71</v>
      </c>
      <c r="AR78" s="6" t="str">
        <f>HYPERLINK("http://catalog.hathitrust.org/Record/000431715","HathiTrust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HYPERLINK("https://creighton-primo.hosted.exlibrisgroup.com/primo-explore/search?tab=default_tab&amp;search_scope=EVERYTHING&amp;vid=01CRU&amp;lang=en_US&amp;offset=0&amp;query=any,contains,991001289929702656","Catalog Record")</f>
        <v>Catalog Record</v>
      </c>
      <c r="AT78" s="6" t="str">
        <f>HYPERLINK("http://www.worldcat.org/oclc/217753","WorldCat Record")</f>
        <v>WorldCat Record</v>
      </c>
      <c r="AU78" s="3" t="s">
        <v>1111</v>
      </c>
      <c r="AV78" s="3" t="s">
        <v>1112</v>
      </c>
      <c r="AW78" s="3" t="s">
        <v>1113</v>
      </c>
      <c r="AX78" s="3" t="s">
        <v>1113</v>
      </c>
      <c r="AY78" s="3" t="s">
        <v>1114</v>
      </c>
      <c r="AZ78" s="3" t="s">
        <v>76</v>
      </c>
      <c r="BC78" s="3" t="s">
        <v>1115</v>
      </c>
      <c r="BD78" s="3" t="s">
        <v>1116</v>
      </c>
    </row>
    <row r="79" spans="1:56" ht="52.5" customHeight="1" x14ac:dyDescent="0.25">
      <c r="A79" s="7" t="s">
        <v>59</v>
      </c>
      <c r="B79" s="2" t="s">
        <v>1117</v>
      </c>
      <c r="C79" s="2" t="s">
        <v>1118</v>
      </c>
      <c r="D79" s="2" t="s">
        <v>1119</v>
      </c>
      <c r="F79" s="3" t="s">
        <v>59</v>
      </c>
      <c r="G79" s="3" t="s">
        <v>60</v>
      </c>
      <c r="H79" s="3" t="s">
        <v>59</v>
      </c>
      <c r="I79" s="3" t="s">
        <v>59</v>
      </c>
      <c r="J79" s="3" t="s">
        <v>61</v>
      </c>
      <c r="K79" s="2" t="s">
        <v>1120</v>
      </c>
      <c r="L79" s="2" t="s">
        <v>1121</v>
      </c>
      <c r="M79" s="3" t="s">
        <v>295</v>
      </c>
      <c r="O79" s="3" t="s">
        <v>65</v>
      </c>
      <c r="P79" s="3" t="s">
        <v>66</v>
      </c>
      <c r="R79" s="3" t="s">
        <v>68</v>
      </c>
      <c r="S79" s="4">
        <v>10</v>
      </c>
      <c r="T79" s="4">
        <v>10</v>
      </c>
      <c r="U79" s="5" t="s">
        <v>1122</v>
      </c>
      <c r="V79" s="5" t="s">
        <v>1122</v>
      </c>
      <c r="W79" s="5" t="s">
        <v>1123</v>
      </c>
      <c r="X79" s="5" t="s">
        <v>1123</v>
      </c>
      <c r="Y79" s="4">
        <v>497</v>
      </c>
      <c r="Z79" s="4">
        <v>414</v>
      </c>
      <c r="AA79" s="4">
        <v>416</v>
      </c>
      <c r="AB79" s="4">
        <v>4</v>
      </c>
      <c r="AC79" s="4">
        <v>4</v>
      </c>
      <c r="AD79" s="4">
        <v>20</v>
      </c>
      <c r="AE79" s="4">
        <v>20</v>
      </c>
      <c r="AF79" s="4">
        <v>5</v>
      </c>
      <c r="AG79" s="4">
        <v>5</v>
      </c>
      <c r="AH79" s="4">
        <v>3</v>
      </c>
      <c r="AI79" s="4">
        <v>3</v>
      </c>
      <c r="AJ79" s="4">
        <v>13</v>
      </c>
      <c r="AK79" s="4">
        <v>13</v>
      </c>
      <c r="AL79" s="4">
        <v>3</v>
      </c>
      <c r="AM79" s="4">
        <v>3</v>
      </c>
      <c r="AN79" s="4">
        <v>0</v>
      </c>
      <c r="AO79" s="4">
        <v>0</v>
      </c>
      <c r="AP79" s="3" t="s">
        <v>59</v>
      </c>
      <c r="AQ79" s="3" t="s">
        <v>71</v>
      </c>
      <c r="AR79" s="6" t="str">
        <f>HYPERLINK("http://catalog.hathitrust.org/Record/000474393","HathiTrust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HYPERLINK("https://creighton-primo.hosted.exlibrisgroup.com/primo-explore/search?tab=default_tab&amp;search_scope=EVERYTHING&amp;vid=01CRU&amp;lang=en_US&amp;offset=0&amp;query=any,contains,991003179489702656","Catalog Record")</f>
        <v>Catalog Record</v>
      </c>
      <c r="AT79" s="6" t="str">
        <f>HYPERLINK("http://www.worldcat.org/oclc/711452","WorldCat Record")</f>
        <v>WorldCat Record</v>
      </c>
      <c r="AU79" s="3" t="s">
        <v>1124</v>
      </c>
      <c r="AV79" s="3" t="s">
        <v>1125</v>
      </c>
      <c r="AW79" s="3" t="s">
        <v>1126</v>
      </c>
      <c r="AX79" s="3" t="s">
        <v>1126</v>
      </c>
      <c r="AY79" s="3" t="s">
        <v>1127</v>
      </c>
      <c r="AZ79" s="3" t="s">
        <v>76</v>
      </c>
      <c r="BC79" s="3" t="s">
        <v>1128</v>
      </c>
      <c r="BD79" s="3" t="s">
        <v>1129</v>
      </c>
    </row>
    <row r="80" spans="1:56" ht="52.5" customHeight="1" x14ac:dyDescent="0.25">
      <c r="A80" s="7" t="s">
        <v>59</v>
      </c>
      <c r="B80" s="2" t="s">
        <v>1130</v>
      </c>
      <c r="C80" s="2" t="s">
        <v>1131</v>
      </c>
      <c r="D80" s="2" t="s">
        <v>1132</v>
      </c>
      <c r="F80" s="3" t="s">
        <v>59</v>
      </c>
      <c r="G80" s="3" t="s">
        <v>60</v>
      </c>
      <c r="H80" s="3" t="s">
        <v>59</v>
      </c>
      <c r="I80" s="3" t="s">
        <v>59</v>
      </c>
      <c r="J80" s="3" t="s">
        <v>61</v>
      </c>
      <c r="K80" s="2" t="s">
        <v>1133</v>
      </c>
      <c r="L80" s="2" t="s">
        <v>1134</v>
      </c>
      <c r="M80" s="3" t="s">
        <v>148</v>
      </c>
      <c r="O80" s="3" t="s">
        <v>65</v>
      </c>
      <c r="P80" s="3" t="s">
        <v>699</v>
      </c>
      <c r="R80" s="3" t="s">
        <v>68</v>
      </c>
      <c r="S80" s="4">
        <v>10</v>
      </c>
      <c r="T80" s="4">
        <v>10</v>
      </c>
      <c r="U80" s="5" t="s">
        <v>421</v>
      </c>
      <c r="V80" s="5" t="s">
        <v>421</v>
      </c>
      <c r="W80" s="5" t="s">
        <v>1135</v>
      </c>
      <c r="X80" s="5" t="s">
        <v>1135</v>
      </c>
      <c r="Y80" s="4">
        <v>479</v>
      </c>
      <c r="Z80" s="4">
        <v>389</v>
      </c>
      <c r="AA80" s="4">
        <v>428</v>
      </c>
      <c r="AB80" s="4">
        <v>5</v>
      </c>
      <c r="AC80" s="4">
        <v>5</v>
      </c>
      <c r="AD80" s="4">
        <v>22</v>
      </c>
      <c r="AE80" s="4">
        <v>23</v>
      </c>
      <c r="AF80" s="4">
        <v>8</v>
      </c>
      <c r="AG80" s="4">
        <v>9</v>
      </c>
      <c r="AH80" s="4">
        <v>5</v>
      </c>
      <c r="AI80" s="4">
        <v>5</v>
      </c>
      <c r="AJ80" s="4">
        <v>9</v>
      </c>
      <c r="AK80" s="4">
        <v>9</v>
      </c>
      <c r="AL80" s="4">
        <v>4</v>
      </c>
      <c r="AM80" s="4">
        <v>4</v>
      </c>
      <c r="AN80" s="4">
        <v>0</v>
      </c>
      <c r="AO80" s="4">
        <v>0</v>
      </c>
      <c r="AP80" s="3" t="s">
        <v>59</v>
      </c>
      <c r="AQ80" s="3" t="s">
        <v>71</v>
      </c>
      <c r="AR80" s="6" t="str">
        <f>HYPERLINK("http://catalog.hathitrust.org/Record/000685096","HathiTrust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HYPERLINK("https://creighton-primo.hosted.exlibrisgroup.com/primo-explore/search?tab=default_tab&amp;search_scope=EVERYTHING&amp;vid=01CRU&amp;lang=en_US&amp;offset=0&amp;query=any,contains,991003988109702656","Catalog Record")</f>
        <v>Catalog Record</v>
      </c>
      <c r="AT80" s="6" t="str">
        <f>HYPERLINK("http://www.worldcat.org/oclc/2035166","WorldCat Record")</f>
        <v>WorldCat Record</v>
      </c>
      <c r="AU80" s="3" t="s">
        <v>1136</v>
      </c>
      <c r="AV80" s="3" t="s">
        <v>1137</v>
      </c>
      <c r="AW80" s="3" t="s">
        <v>1138</v>
      </c>
      <c r="AX80" s="3" t="s">
        <v>1138</v>
      </c>
      <c r="AY80" s="3" t="s">
        <v>1139</v>
      </c>
      <c r="AZ80" s="3" t="s">
        <v>76</v>
      </c>
      <c r="BB80" s="3" t="s">
        <v>1140</v>
      </c>
      <c r="BC80" s="3" t="s">
        <v>1141</v>
      </c>
      <c r="BD80" s="3" t="s">
        <v>1142</v>
      </c>
    </row>
    <row r="81" spans="1:56" ht="52.5" customHeight="1" x14ac:dyDescent="0.25">
      <c r="A81" s="7" t="s">
        <v>59</v>
      </c>
      <c r="B81" s="2" t="s">
        <v>1143</v>
      </c>
      <c r="C81" s="2" t="s">
        <v>1144</v>
      </c>
      <c r="D81" s="2" t="s">
        <v>1145</v>
      </c>
      <c r="F81" s="3" t="s">
        <v>59</v>
      </c>
      <c r="G81" s="3" t="s">
        <v>60</v>
      </c>
      <c r="H81" s="3" t="s">
        <v>59</v>
      </c>
      <c r="I81" s="3" t="s">
        <v>59</v>
      </c>
      <c r="J81" s="3" t="s">
        <v>61</v>
      </c>
      <c r="K81" s="2" t="s">
        <v>1146</v>
      </c>
      <c r="L81" s="2" t="s">
        <v>1147</v>
      </c>
      <c r="M81" s="3" t="s">
        <v>148</v>
      </c>
      <c r="O81" s="3" t="s">
        <v>65</v>
      </c>
      <c r="P81" s="3" t="s">
        <v>420</v>
      </c>
      <c r="Q81" s="2" t="s">
        <v>1148</v>
      </c>
      <c r="R81" s="3" t="s">
        <v>68</v>
      </c>
      <c r="S81" s="4">
        <v>36</v>
      </c>
      <c r="T81" s="4">
        <v>36</v>
      </c>
      <c r="U81" s="5" t="s">
        <v>1149</v>
      </c>
      <c r="V81" s="5" t="s">
        <v>1149</v>
      </c>
      <c r="W81" s="5" t="s">
        <v>1150</v>
      </c>
      <c r="X81" s="5" t="s">
        <v>1150</v>
      </c>
      <c r="Y81" s="4">
        <v>340</v>
      </c>
      <c r="Z81" s="4">
        <v>294</v>
      </c>
      <c r="AA81" s="4">
        <v>487</v>
      </c>
      <c r="AB81" s="4">
        <v>2</v>
      </c>
      <c r="AC81" s="4">
        <v>5</v>
      </c>
      <c r="AD81" s="4">
        <v>13</v>
      </c>
      <c r="AE81" s="4">
        <v>25</v>
      </c>
      <c r="AF81" s="4">
        <v>3</v>
      </c>
      <c r="AG81" s="4">
        <v>8</v>
      </c>
      <c r="AH81" s="4">
        <v>4</v>
      </c>
      <c r="AI81" s="4">
        <v>5</v>
      </c>
      <c r="AJ81" s="4">
        <v>6</v>
      </c>
      <c r="AK81" s="4">
        <v>11</v>
      </c>
      <c r="AL81" s="4">
        <v>1</v>
      </c>
      <c r="AM81" s="4">
        <v>4</v>
      </c>
      <c r="AN81" s="4">
        <v>0</v>
      </c>
      <c r="AO81" s="4">
        <v>0</v>
      </c>
      <c r="AP81" s="3" t="s">
        <v>59</v>
      </c>
      <c r="AQ81" s="3" t="s">
        <v>71</v>
      </c>
      <c r="AR81" s="6" t="str">
        <f>HYPERLINK("http://catalog.hathitrust.org/Record/000690401","HathiTrust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HYPERLINK("https://creighton-primo.hosted.exlibrisgroup.com/primo-explore/search?tab=default_tab&amp;search_scope=EVERYTHING&amp;vid=01CRU&amp;lang=en_US&amp;offset=0&amp;query=any,contains,991004050859702656","Catalog Record")</f>
        <v>Catalog Record</v>
      </c>
      <c r="AT81" s="6" t="str">
        <f>HYPERLINK("http://www.worldcat.org/oclc/2212825","WorldCat Record")</f>
        <v>WorldCat Record</v>
      </c>
      <c r="AU81" s="3" t="s">
        <v>1151</v>
      </c>
      <c r="AV81" s="3" t="s">
        <v>1152</v>
      </c>
      <c r="AW81" s="3" t="s">
        <v>1153</v>
      </c>
      <c r="AX81" s="3" t="s">
        <v>1153</v>
      </c>
      <c r="AY81" s="3" t="s">
        <v>1154</v>
      </c>
      <c r="AZ81" s="3" t="s">
        <v>76</v>
      </c>
      <c r="BB81" s="3" t="s">
        <v>1155</v>
      </c>
      <c r="BC81" s="3" t="s">
        <v>1156</v>
      </c>
      <c r="BD81" s="3" t="s">
        <v>1157</v>
      </c>
    </row>
    <row r="82" spans="1:56" ht="52.5" customHeight="1" x14ac:dyDescent="0.25">
      <c r="A82" s="7" t="s">
        <v>59</v>
      </c>
      <c r="B82" s="2" t="s">
        <v>1158</v>
      </c>
      <c r="C82" s="2" t="s">
        <v>1159</v>
      </c>
      <c r="D82" s="2" t="s">
        <v>1160</v>
      </c>
      <c r="F82" s="3" t="s">
        <v>59</v>
      </c>
      <c r="G82" s="3" t="s">
        <v>60</v>
      </c>
      <c r="H82" s="3" t="s">
        <v>59</v>
      </c>
      <c r="I82" s="3" t="s">
        <v>59</v>
      </c>
      <c r="J82" s="3" t="s">
        <v>61</v>
      </c>
      <c r="K82" s="2" t="s">
        <v>1161</v>
      </c>
      <c r="L82" s="2" t="s">
        <v>1162</v>
      </c>
      <c r="M82" s="3" t="s">
        <v>1163</v>
      </c>
      <c r="O82" s="3" t="s">
        <v>65</v>
      </c>
      <c r="P82" s="3" t="s">
        <v>66</v>
      </c>
      <c r="Q82" s="2" t="s">
        <v>1164</v>
      </c>
      <c r="R82" s="3" t="s">
        <v>68</v>
      </c>
      <c r="S82" s="4">
        <v>27</v>
      </c>
      <c r="T82" s="4">
        <v>27</v>
      </c>
      <c r="U82" s="5" t="s">
        <v>1165</v>
      </c>
      <c r="V82" s="5" t="s">
        <v>1165</v>
      </c>
      <c r="W82" s="5" t="s">
        <v>407</v>
      </c>
      <c r="X82" s="5" t="s">
        <v>407</v>
      </c>
      <c r="Y82" s="4">
        <v>367</v>
      </c>
      <c r="Z82" s="4">
        <v>309</v>
      </c>
      <c r="AA82" s="4">
        <v>314</v>
      </c>
      <c r="AB82" s="4">
        <v>2</v>
      </c>
      <c r="AC82" s="4">
        <v>2</v>
      </c>
      <c r="AD82" s="4">
        <v>16</v>
      </c>
      <c r="AE82" s="4">
        <v>16</v>
      </c>
      <c r="AF82" s="4">
        <v>5</v>
      </c>
      <c r="AG82" s="4">
        <v>5</v>
      </c>
      <c r="AH82" s="4">
        <v>2</v>
      </c>
      <c r="AI82" s="4">
        <v>2</v>
      </c>
      <c r="AJ82" s="4">
        <v>12</v>
      </c>
      <c r="AK82" s="4">
        <v>12</v>
      </c>
      <c r="AL82" s="4">
        <v>1</v>
      </c>
      <c r="AM82" s="4">
        <v>1</v>
      </c>
      <c r="AN82" s="4">
        <v>0</v>
      </c>
      <c r="AO82" s="4">
        <v>0</v>
      </c>
      <c r="AP82" s="3" t="s">
        <v>59</v>
      </c>
      <c r="AQ82" s="3" t="s">
        <v>71</v>
      </c>
      <c r="AR82" s="6" t="str">
        <f>HYPERLINK("http://catalog.hathitrust.org/Record/000472669","HathiTrust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HYPERLINK("https://creighton-primo.hosted.exlibrisgroup.com/primo-explore/search?tab=default_tab&amp;search_scope=EVERYTHING&amp;vid=01CRU&amp;lang=en_US&amp;offset=0&amp;query=any,contains,991000687729702656","Catalog Record")</f>
        <v>Catalog Record</v>
      </c>
      <c r="AT82" s="6" t="str">
        <f>HYPERLINK("http://www.worldcat.org/oclc/12421929","WorldCat Record")</f>
        <v>WorldCat Record</v>
      </c>
      <c r="AU82" s="3" t="s">
        <v>1166</v>
      </c>
      <c r="AV82" s="3" t="s">
        <v>1167</v>
      </c>
      <c r="AW82" s="3" t="s">
        <v>1168</v>
      </c>
      <c r="AX82" s="3" t="s">
        <v>1168</v>
      </c>
      <c r="AY82" s="3" t="s">
        <v>1169</v>
      </c>
      <c r="AZ82" s="3" t="s">
        <v>76</v>
      </c>
      <c r="BB82" s="3" t="s">
        <v>1170</v>
      </c>
      <c r="BC82" s="3" t="s">
        <v>1171</v>
      </c>
      <c r="BD82" s="3" t="s">
        <v>1172</v>
      </c>
    </row>
    <row r="83" spans="1:56" ht="52.5" customHeight="1" x14ac:dyDescent="0.25">
      <c r="A83" s="7" t="s">
        <v>59</v>
      </c>
      <c r="B83" s="2" t="s">
        <v>1173</v>
      </c>
      <c r="C83" s="2" t="s">
        <v>1174</v>
      </c>
      <c r="D83" s="2" t="s">
        <v>1175</v>
      </c>
      <c r="F83" s="3" t="s">
        <v>59</v>
      </c>
      <c r="G83" s="3" t="s">
        <v>60</v>
      </c>
      <c r="H83" s="3" t="s">
        <v>59</v>
      </c>
      <c r="I83" s="3" t="s">
        <v>59</v>
      </c>
      <c r="J83" s="3" t="s">
        <v>61</v>
      </c>
      <c r="K83" s="2" t="s">
        <v>1161</v>
      </c>
      <c r="L83" s="2" t="s">
        <v>1176</v>
      </c>
      <c r="M83" s="3" t="s">
        <v>684</v>
      </c>
      <c r="O83" s="3" t="s">
        <v>65</v>
      </c>
      <c r="P83" s="3" t="s">
        <v>66</v>
      </c>
      <c r="Q83" s="2" t="s">
        <v>1164</v>
      </c>
      <c r="R83" s="3" t="s">
        <v>68</v>
      </c>
      <c r="S83" s="4">
        <v>20</v>
      </c>
      <c r="T83" s="4">
        <v>20</v>
      </c>
      <c r="U83" s="5" t="s">
        <v>1177</v>
      </c>
      <c r="V83" s="5" t="s">
        <v>1177</v>
      </c>
      <c r="W83" s="5" t="s">
        <v>1150</v>
      </c>
      <c r="X83" s="5" t="s">
        <v>1150</v>
      </c>
      <c r="Y83" s="4">
        <v>399</v>
      </c>
      <c r="Z83" s="4">
        <v>323</v>
      </c>
      <c r="AA83" s="4">
        <v>323</v>
      </c>
      <c r="AB83" s="4">
        <v>4</v>
      </c>
      <c r="AC83" s="4">
        <v>4</v>
      </c>
      <c r="AD83" s="4">
        <v>17</v>
      </c>
      <c r="AE83" s="4">
        <v>17</v>
      </c>
      <c r="AF83" s="4">
        <v>6</v>
      </c>
      <c r="AG83" s="4">
        <v>6</v>
      </c>
      <c r="AH83" s="4">
        <v>4</v>
      </c>
      <c r="AI83" s="4">
        <v>4</v>
      </c>
      <c r="AJ83" s="4">
        <v>9</v>
      </c>
      <c r="AK83" s="4">
        <v>9</v>
      </c>
      <c r="AL83" s="4">
        <v>3</v>
      </c>
      <c r="AM83" s="4">
        <v>3</v>
      </c>
      <c r="AN83" s="4">
        <v>0</v>
      </c>
      <c r="AO83" s="4">
        <v>0</v>
      </c>
      <c r="AP83" s="3" t="s">
        <v>59</v>
      </c>
      <c r="AQ83" s="3" t="s">
        <v>59</v>
      </c>
      <c r="AS83" s="6" t="str">
        <f>HYPERLINK("https://creighton-primo.hosted.exlibrisgroup.com/primo-explore/search?tab=default_tab&amp;search_scope=EVERYTHING&amp;vid=01CRU&amp;lang=en_US&amp;offset=0&amp;query=any,contains,991005036329702656","Catalog Record")</f>
        <v>Catalog Record</v>
      </c>
      <c r="AT83" s="6" t="str">
        <f>HYPERLINK("http://www.worldcat.org/oclc/6761850","WorldCat Record")</f>
        <v>WorldCat Record</v>
      </c>
      <c r="AU83" s="3" t="s">
        <v>1178</v>
      </c>
      <c r="AV83" s="3" t="s">
        <v>1179</v>
      </c>
      <c r="AW83" s="3" t="s">
        <v>1180</v>
      </c>
      <c r="AX83" s="3" t="s">
        <v>1180</v>
      </c>
      <c r="AY83" s="3" t="s">
        <v>1181</v>
      </c>
      <c r="AZ83" s="3" t="s">
        <v>76</v>
      </c>
      <c r="BB83" s="3" t="s">
        <v>1182</v>
      </c>
      <c r="BC83" s="3" t="s">
        <v>1183</v>
      </c>
      <c r="BD83" s="3" t="s">
        <v>1184</v>
      </c>
    </row>
    <row r="84" spans="1:56" ht="52.5" customHeight="1" x14ac:dyDescent="0.25">
      <c r="A84" s="7" t="s">
        <v>59</v>
      </c>
      <c r="B84" s="2" t="s">
        <v>1185</v>
      </c>
      <c r="C84" s="2" t="s">
        <v>1186</v>
      </c>
      <c r="D84" s="2" t="s">
        <v>1187</v>
      </c>
      <c r="F84" s="3" t="s">
        <v>59</v>
      </c>
      <c r="G84" s="3" t="s">
        <v>60</v>
      </c>
      <c r="H84" s="3" t="s">
        <v>59</v>
      </c>
      <c r="I84" s="3" t="s">
        <v>59</v>
      </c>
      <c r="J84" s="3" t="s">
        <v>61</v>
      </c>
      <c r="K84" s="2" t="s">
        <v>1188</v>
      </c>
      <c r="L84" s="2" t="s">
        <v>1189</v>
      </c>
      <c r="M84" s="3" t="s">
        <v>684</v>
      </c>
      <c r="O84" s="3" t="s">
        <v>65</v>
      </c>
      <c r="P84" s="3" t="s">
        <v>66</v>
      </c>
      <c r="R84" s="3" t="s">
        <v>68</v>
      </c>
      <c r="S84" s="4">
        <v>15</v>
      </c>
      <c r="T84" s="4">
        <v>15</v>
      </c>
      <c r="U84" s="5" t="s">
        <v>1190</v>
      </c>
      <c r="V84" s="5" t="s">
        <v>1190</v>
      </c>
      <c r="W84" s="5" t="s">
        <v>1150</v>
      </c>
      <c r="X84" s="5" t="s">
        <v>1150</v>
      </c>
      <c r="Y84" s="4">
        <v>269</v>
      </c>
      <c r="Z84" s="4">
        <v>234</v>
      </c>
      <c r="AA84" s="4">
        <v>258</v>
      </c>
      <c r="AB84" s="4">
        <v>3</v>
      </c>
      <c r="AC84" s="4">
        <v>3</v>
      </c>
      <c r="AD84" s="4">
        <v>9</v>
      </c>
      <c r="AE84" s="4">
        <v>10</v>
      </c>
      <c r="AF84" s="4">
        <v>3</v>
      </c>
      <c r="AG84" s="4">
        <v>3</v>
      </c>
      <c r="AH84" s="4">
        <v>1</v>
      </c>
      <c r="AI84" s="4">
        <v>1</v>
      </c>
      <c r="AJ84" s="4">
        <v>4</v>
      </c>
      <c r="AK84" s="4">
        <v>5</v>
      </c>
      <c r="AL84" s="4">
        <v>2</v>
      </c>
      <c r="AM84" s="4">
        <v>2</v>
      </c>
      <c r="AN84" s="4">
        <v>0</v>
      </c>
      <c r="AO84" s="4">
        <v>0</v>
      </c>
      <c r="AP84" s="3" t="s">
        <v>59</v>
      </c>
      <c r="AQ84" s="3" t="s">
        <v>59</v>
      </c>
      <c r="AS84" s="6" t="str">
        <f>HYPERLINK("https://creighton-primo.hosted.exlibrisgroup.com/primo-explore/search?tab=default_tab&amp;search_scope=EVERYTHING&amp;vid=01CRU&amp;lang=en_US&amp;offset=0&amp;query=any,contains,991005155069702656","Catalog Record")</f>
        <v>Catalog Record</v>
      </c>
      <c r="AT84" s="6" t="str">
        <f>HYPERLINK("http://www.worldcat.org/oclc/7738445","WorldCat Record")</f>
        <v>WorldCat Record</v>
      </c>
      <c r="AU84" s="3" t="s">
        <v>1191</v>
      </c>
      <c r="AV84" s="3" t="s">
        <v>1192</v>
      </c>
      <c r="AW84" s="3" t="s">
        <v>1193</v>
      </c>
      <c r="AX84" s="3" t="s">
        <v>1193</v>
      </c>
      <c r="AY84" s="3" t="s">
        <v>1194</v>
      </c>
      <c r="AZ84" s="3" t="s">
        <v>76</v>
      </c>
      <c r="BB84" s="3" t="s">
        <v>1195</v>
      </c>
      <c r="BC84" s="3" t="s">
        <v>1196</v>
      </c>
      <c r="BD84" s="3" t="s">
        <v>1197</v>
      </c>
    </row>
    <row r="85" spans="1:56" ht="52.5" customHeight="1" x14ac:dyDescent="0.25">
      <c r="A85" s="7" t="s">
        <v>59</v>
      </c>
      <c r="B85" s="2" t="s">
        <v>1198</v>
      </c>
      <c r="C85" s="2" t="s">
        <v>1199</v>
      </c>
      <c r="D85" s="2" t="s">
        <v>1200</v>
      </c>
      <c r="F85" s="3" t="s">
        <v>59</v>
      </c>
      <c r="G85" s="3" t="s">
        <v>60</v>
      </c>
      <c r="H85" s="3" t="s">
        <v>59</v>
      </c>
      <c r="I85" s="3" t="s">
        <v>59</v>
      </c>
      <c r="J85" s="3" t="s">
        <v>61</v>
      </c>
      <c r="K85" s="2" t="s">
        <v>1201</v>
      </c>
      <c r="L85" s="2" t="s">
        <v>1202</v>
      </c>
      <c r="M85" s="3" t="s">
        <v>434</v>
      </c>
      <c r="O85" s="3" t="s">
        <v>65</v>
      </c>
      <c r="P85" s="3" t="s">
        <v>66</v>
      </c>
      <c r="Q85" s="2" t="s">
        <v>1203</v>
      </c>
      <c r="R85" s="3" t="s">
        <v>68</v>
      </c>
      <c r="S85" s="4">
        <v>9</v>
      </c>
      <c r="T85" s="4">
        <v>9</v>
      </c>
      <c r="U85" s="5" t="s">
        <v>1204</v>
      </c>
      <c r="V85" s="5" t="s">
        <v>1204</v>
      </c>
      <c r="W85" s="5" t="s">
        <v>1205</v>
      </c>
      <c r="X85" s="5" t="s">
        <v>1205</v>
      </c>
      <c r="Y85" s="4">
        <v>247</v>
      </c>
      <c r="Z85" s="4">
        <v>230</v>
      </c>
      <c r="AA85" s="4">
        <v>312</v>
      </c>
      <c r="AB85" s="4">
        <v>1</v>
      </c>
      <c r="AC85" s="4">
        <v>1</v>
      </c>
      <c r="AD85" s="4">
        <v>5</v>
      </c>
      <c r="AE85" s="4">
        <v>8</v>
      </c>
      <c r="AF85" s="4">
        <v>2</v>
      </c>
      <c r="AG85" s="4">
        <v>3</v>
      </c>
      <c r="AH85" s="4">
        <v>2</v>
      </c>
      <c r="AI85" s="4">
        <v>3</v>
      </c>
      <c r="AJ85" s="4">
        <v>2</v>
      </c>
      <c r="AK85" s="4">
        <v>4</v>
      </c>
      <c r="AL85" s="4">
        <v>0</v>
      </c>
      <c r="AM85" s="4">
        <v>0</v>
      </c>
      <c r="AN85" s="4">
        <v>0</v>
      </c>
      <c r="AO85" s="4">
        <v>0</v>
      </c>
      <c r="AP85" s="3" t="s">
        <v>59</v>
      </c>
      <c r="AQ85" s="3" t="s">
        <v>71</v>
      </c>
      <c r="AR85" s="6" t="str">
        <f>HYPERLINK("http://catalog.hathitrust.org/Record/102299397","HathiTrust Record")</f>
        <v>HathiTrust Record</v>
      </c>
      <c r="AS85" s="6" t="str">
        <f>HYPERLINK("https://creighton-primo.hosted.exlibrisgroup.com/primo-explore/search?tab=default_tab&amp;search_scope=EVERYTHING&amp;vid=01CRU&amp;lang=en_US&amp;offset=0&amp;query=any,contains,991002149649702656","Catalog Record")</f>
        <v>Catalog Record</v>
      </c>
      <c r="AT85" s="6" t="str">
        <f>HYPERLINK("http://www.worldcat.org/oclc/271859","WorldCat Record")</f>
        <v>WorldCat Record</v>
      </c>
      <c r="AU85" s="3" t="s">
        <v>1206</v>
      </c>
      <c r="AV85" s="3" t="s">
        <v>1207</v>
      </c>
      <c r="AW85" s="3" t="s">
        <v>1208</v>
      </c>
      <c r="AX85" s="3" t="s">
        <v>1208</v>
      </c>
      <c r="AY85" s="3" t="s">
        <v>1209</v>
      </c>
      <c r="AZ85" s="3" t="s">
        <v>76</v>
      </c>
      <c r="BC85" s="3" t="s">
        <v>1210</v>
      </c>
      <c r="BD85" s="3" t="s">
        <v>1211</v>
      </c>
    </row>
    <row r="86" spans="1:56" ht="52.5" customHeight="1" x14ac:dyDescent="0.25">
      <c r="A86" s="7" t="s">
        <v>59</v>
      </c>
      <c r="B86" s="2" t="s">
        <v>1212</v>
      </c>
      <c r="C86" s="2" t="s">
        <v>1213</v>
      </c>
      <c r="D86" s="2" t="s">
        <v>1214</v>
      </c>
      <c r="F86" s="3" t="s">
        <v>59</v>
      </c>
      <c r="G86" s="3" t="s">
        <v>60</v>
      </c>
      <c r="H86" s="3" t="s">
        <v>59</v>
      </c>
      <c r="I86" s="3" t="s">
        <v>59</v>
      </c>
      <c r="J86" s="3" t="s">
        <v>61</v>
      </c>
      <c r="K86" s="2" t="s">
        <v>1215</v>
      </c>
      <c r="L86" s="2" t="s">
        <v>1216</v>
      </c>
      <c r="M86" s="3" t="s">
        <v>1217</v>
      </c>
      <c r="O86" s="3" t="s">
        <v>65</v>
      </c>
      <c r="P86" s="3" t="s">
        <v>1218</v>
      </c>
      <c r="R86" s="3" t="s">
        <v>68</v>
      </c>
      <c r="S86" s="4">
        <v>4</v>
      </c>
      <c r="T86" s="4">
        <v>4</v>
      </c>
      <c r="U86" s="5" t="s">
        <v>1219</v>
      </c>
      <c r="V86" s="5" t="s">
        <v>1219</v>
      </c>
      <c r="W86" s="5" t="s">
        <v>1220</v>
      </c>
      <c r="X86" s="5" t="s">
        <v>1220</v>
      </c>
      <c r="Y86" s="4">
        <v>840</v>
      </c>
      <c r="Z86" s="4">
        <v>839</v>
      </c>
      <c r="AA86" s="4">
        <v>850</v>
      </c>
      <c r="AB86" s="4">
        <v>9</v>
      </c>
      <c r="AC86" s="4">
        <v>9</v>
      </c>
      <c r="AD86" s="4">
        <v>15</v>
      </c>
      <c r="AE86" s="4">
        <v>15</v>
      </c>
      <c r="AF86" s="4">
        <v>7</v>
      </c>
      <c r="AG86" s="4">
        <v>7</v>
      </c>
      <c r="AH86" s="4">
        <v>1</v>
      </c>
      <c r="AI86" s="4">
        <v>1</v>
      </c>
      <c r="AJ86" s="4">
        <v>7</v>
      </c>
      <c r="AK86" s="4">
        <v>7</v>
      </c>
      <c r="AL86" s="4">
        <v>3</v>
      </c>
      <c r="AM86" s="4">
        <v>3</v>
      </c>
      <c r="AN86" s="4">
        <v>0</v>
      </c>
      <c r="AO86" s="4">
        <v>0</v>
      </c>
      <c r="AP86" s="3" t="s">
        <v>59</v>
      </c>
      <c r="AQ86" s="3" t="s">
        <v>59</v>
      </c>
      <c r="AS86" s="6" t="str">
        <f>HYPERLINK("https://creighton-primo.hosted.exlibrisgroup.com/primo-explore/search?tab=default_tab&amp;search_scope=EVERYTHING&amp;vid=01CRU&amp;lang=en_US&amp;offset=0&amp;query=any,contains,991000401619702656","Catalog Record")</f>
        <v>Catalog Record</v>
      </c>
      <c r="AT86" s="6" t="str">
        <f>HYPERLINK("http://www.worldcat.org/oclc/10612165","WorldCat Record")</f>
        <v>WorldCat Record</v>
      </c>
      <c r="AU86" s="3" t="s">
        <v>1221</v>
      </c>
      <c r="AV86" s="3" t="s">
        <v>1222</v>
      </c>
      <c r="AW86" s="3" t="s">
        <v>1223</v>
      </c>
      <c r="AX86" s="3" t="s">
        <v>1223</v>
      </c>
      <c r="AY86" s="3" t="s">
        <v>1224</v>
      </c>
      <c r="AZ86" s="3" t="s">
        <v>76</v>
      </c>
      <c r="BB86" s="3" t="s">
        <v>1225</v>
      </c>
      <c r="BC86" s="3" t="s">
        <v>1226</v>
      </c>
      <c r="BD86" s="3" t="s">
        <v>1227</v>
      </c>
    </row>
    <row r="87" spans="1:56" ht="52.5" customHeight="1" x14ac:dyDescent="0.25">
      <c r="A87" s="7" t="s">
        <v>59</v>
      </c>
      <c r="B87" s="2" t="s">
        <v>1228</v>
      </c>
      <c r="C87" s="2" t="s">
        <v>1229</v>
      </c>
      <c r="D87" s="2" t="s">
        <v>1230</v>
      </c>
      <c r="F87" s="3" t="s">
        <v>59</v>
      </c>
      <c r="G87" s="3" t="s">
        <v>60</v>
      </c>
      <c r="H87" s="3" t="s">
        <v>59</v>
      </c>
      <c r="I87" s="3" t="s">
        <v>59</v>
      </c>
      <c r="J87" s="3" t="s">
        <v>61</v>
      </c>
      <c r="K87" s="2" t="s">
        <v>1231</v>
      </c>
      <c r="L87" s="2" t="s">
        <v>1232</v>
      </c>
      <c r="M87" s="3" t="s">
        <v>1233</v>
      </c>
      <c r="O87" s="3" t="s">
        <v>65</v>
      </c>
      <c r="P87" s="3" t="s">
        <v>771</v>
      </c>
      <c r="R87" s="3" t="s">
        <v>68</v>
      </c>
      <c r="S87" s="4">
        <v>8</v>
      </c>
      <c r="T87" s="4">
        <v>8</v>
      </c>
      <c r="U87" s="5" t="s">
        <v>1234</v>
      </c>
      <c r="V87" s="5" t="s">
        <v>1234</v>
      </c>
      <c r="W87" s="5" t="s">
        <v>1235</v>
      </c>
      <c r="X87" s="5" t="s">
        <v>1235</v>
      </c>
      <c r="Y87" s="4">
        <v>190</v>
      </c>
      <c r="Z87" s="4">
        <v>179</v>
      </c>
      <c r="AA87" s="4">
        <v>504</v>
      </c>
      <c r="AB87" s="4">
        <v>1</v>
      </c>
      <c r="AC87" s="4">
        <v>2</v>
      </c>
      <c r="AD87" s="4">
        <v>8</v>
      </c>
      <c r="AE87" s="4">
        <v>23</v>
      </c>
      <c r="AF87" s="4">
        <v>4</v>
      </c>
      <c r="AG87" s="4">
        <v>11</v>
      </c>
      <c r="AH87" s="4">
        <v>2</v>
      </c>
      <c r="AI87" s="4">
        <v>3</v>
      </c>
      <c r="AJ87" s="4">
        <v>5</v>
      </c>
      <c r="AK87" s="4">
        <v>12</v>
      </c>
      <c r="AL87" s="4">
        <v>0</v>
      </c>
      <c r="AM87" s="4">
        <v>1</v>
      </c>
      <c r="AN87" s="4">
        <v>0</v>
      </c>
      <c r="AO87" s="4">
        <v>0</v>
      </c>
      <c r="AP87" s="3" t="s">
        <v>59</v>
      </c>
      <c r="AQ87" s="3" t="s">
        <v>59</v>
      </c>
      <c r="AS87" s="6" t="str">
        <f>HYPERLINK("https://creighton-primo.hosted.exlibrisgroup.com/primo-explore/search?tab=default_tab&amp;search_scope=EVERYTHING&amp;vid=01CRU&amp;lang=en_US&amp;offset=0&amp;query=any,contains,991003135569702656","Catalog Record")</f>
        <v>Catalog Record</v>
      </c>
      <c r="AT87" s="6" t="str">
        <f>HYPERLINK("http://www.worldcat.org/oclc/677326","WorldCat Record")</f>
        <v>WorldCat Record</v>
      </c>
      <c r="AU87" s="3" t="s">
        <v>1236</v>
      </c>
      <c r="AV87" s="3" t="s">
        <v>1237</v>
      </c>
      <c r="AW87" s="3" t="s">
        <v>1238</v>
      </c>
      <c r="AX87" s="3" t="s">
        <v>1238</v>
      </c>
      <c r="AY87" s="3" t="s">
        <v>1239</v>
      </c>
      <c r="AZ87" s="3" t="s">
        <v>76</v>
      </c>
      <c r="BB87" s="3" t="s">
        <v>1240</v>
      </c>
      <c r="BC87" s="3" t="s">
        <v>1241</v>
      </c>
      <c r="BD87" s="3" t="s">
        <v>1242</v>
      </c>
    </row>
    <row r="88" spans="1:56" ht="52.5" customHeight="1" x14ac:dyDescent="0.25">
      <c r="A88" s="7" t="s">
        <v>59</v>
      </c>
      <c r="B88" s="2" t="s">
        <v>1243</v>
      </c>
      <c r="C88" s="2" t="s">
        <v>1244</v>
      </c>
      <c r="D88" s="2" t="s">
        <v>1245</v>
      </c>
      <c r="F88" s="3" t="s">
        <v>59</v>
      </c>
      <c r="G88" s="3" t="s">
        <v>60</v>
      </c>
      <c r="H88" s="3" t="s">
        <v>59</v>
      </c>
      <c r="I88" s="3" t="s">
        <v>59</v>
      </c>
      <c r="J88" s="3" t="s">
        <v>61</v>
      </c>
      <c r="K88" s="2" t="s">
        <v>1246</v>
      </c>
      <c r="L88" s="2" t="s">
        <v>1247</v>
      </c>
      <c r="M88" s="3" t="s">
        <v>224</v>
      </c>
      <c r="O88" s="3" t="s">
        <v>65</v>
      </c>
      <c r="P88" s="3" t="s">
        <v>771</v>
      </c>
      <c r="R88" s="3" t="s">
        <v>68</v>
      </c>
      <c r="S88" s="4">
        <v>3</v>
      </c>
      <c r="T88" s="4">
        <v>3</v>
      </c>
      <c r="U88" s="5" t="s">
        <v>1248</v>
      </c>
      <c r="V88" s="5" t="s">
        <v>1248</v>
      </c>
      <c r="W88" s="5" t="s">
        <v>1249</v>
      </c>
      <c r="X88" s="5" t="s">
        <v>1249</v>
      </c>
      <c r="Y88" s="4">
        <v>86</v>
      </c>
      <c r="Z88" s="4">
        <v>79</v>
      </c>
      <c r="AA88" s="4">
        <v>334</v>
      </c>
      <c r="AB88" s="4">
        <v>1</v>
      </c>
      <c r="AC88" s="4">
        <v>2</v>
      </c>
      <c r="AD88" s="4">
        <v>2</v>
      </c>
      <c r="AE88" s="4">
        <v>14</v>
      </c>
      <c r="AF88" s="4">
        <v>1</v>
      </c>
      <c r="AG88" s="4">
        <v>3</v>
      </c>
      <c r="AH88" s="4">
        <v>1</v>
      </c>
      <c r="AI88" s="4">
        <v>4</v>
      </c>
      <c r="AJ88" s="4">
        <v>1</v>
      </c>
      <c r="AK88" s="4">
        <v>9</v>
      </c>
      <c r="AL88" s="4">
        <v>0</v>
      </c>
      <c r="AM88" s="4">
        <v>1</v>
      </c>
      <c r="AN88" s="4">
        <v>0</v>
      </c>
      <c r="AO88" s="4">
        <v>0</v>
      </c>
      <c r="AP88" s="3" t="s">
        <v>59</v>
      </c>
      <c r="AQ88" s="3" t="s">
        <v>59</v>
      </c>
      <c r="AS88" s="6" t="str">
        <f>HYPERLINK("https://creighton-primo.hosted.exlibrisgroup.com/primo-explore/search?tab=default_tab&amp;search_scope=EVERYTHING&amp;vid=01CRU&amp;lang=en_US&amp;offset=0&amp;query=any,contains,991003964959702656","Catalog Record")</f>
        <v>Catalog Record</v>
      </c>
      <c r="AT88" s="6" t="str">
        <f>HYPERLINK("http://www.worldcat.org/oclc/1980733","WorldCat Record")</f>
        <v>WorldCat Record</v>
      </c>
      <c r="AU88" s="3" t="s">
        <v>1250</v>
      </c>
      <c r="AV88" s="3" t="s">
        <v>1251</v>
      </c>
      <c r="AW88" s="3" t="s">
        <v>1252</v>
      </c>
      <c r="AX88" s="3" t="s">
        <v>1252</v>
      </c>
      <c r="AY88" s="3" t="s">
        <v>1253</v>
      </c>
      <c r="AZ88" s="3" t="s">
        <v>76</v>
      </c>
      <c r="BB88" s="3" t="s">
        <v>1254</v>
      </c>
      <c r="BC88" s="3" t="s">
        <v>1255</v>
      </c>
      <c r="BD88" s="3" t="s">
        <v>1256</v>
      </c>
    </row>
    <row r="89" spans="1:56" ht="52.5" customHeight="1" x14ac:dyDescent="0.25">
      <c r="A89" s="7" t="s">
        <v>59</v>
      </c>
      <c r="B89" s="2" t="s">
        <v>1257</v>
      </c>
      <c r="C89" s="2" t="s">
        <v>1258</v>
      </c>
      <c r="D89" s="2" t="s">
        <v>1259</v>
      </c>
      <c r="F89" s="3" t="s">
        <v>59</v>
      </c>
      <c r="G89" s="3" t="s">
        <v>60</v>
      </c>
      <c r="H89" s="3" t="s">
        <v>59</v>
      </c>
      <c r="I89" s="3" t="s">
        <v>59</v>
      </c>
      <c r="J89" s="3" t="s">
        <v>61</v>
      </c>
      <c r="K89" s="2" t="s">
        <v>1260</v>
      </c>
      <c r="L89" s="2" t="s">
        <v>1261</v>
      </c>
      <c r="M89" s="3" t="s">
        <v>1233</v>
      </c>
      <c r="O89" s="3" t="s">
        <v>65</v>
      </c>
      <c r="P89" s="3" t="s">
        <v>1262</v>
      </c>
      <c r="Q89" s="2" t="s">
        <v>1263</v>
      </c>
      <c r="R89" s="3" t="s">
        <v>68</v>
      </c>
      <c r="S89" s="4">
        <v>2</v>
      </c>
      <c r="T89" s="4">
        <v>2</v>
      </c>
      <c r="U89" s="5" t="s">
        <v>1264</v>
      </c>
      <c r="V89" s="5" t="s">
        <v>1264</v>
      </c>
      <c r="W89" s="5" t="s">
        <v>974</v>
      </c>
      <c r="X89" s="5" t="s">
        <v>974</v>
      </c>
      <c r="Y89" s="4">
        <v>420</v>
      </c>
      <c r="Z89" s="4">
        <v>292</v>
      </c>
      <c r="AA89" s="4">
        <v>406</v>
      </c>
      <c r="AB89" s="4">
        <v>2</v>
      </c>
      <c r="AC89" s="4">
        <v>2</v>
      </c>
      <c r="AD89" s="4">
        <v>15</v>
      </c>
      <c r="AE89" s="4">
        <v>22</v>
      </c>
      <c r="AF89" s="4">
        <v>1</v>
      </c>
      <c r="AG89" s="4">
        <v>3</v>
      </c>
      <c r="AH89" s="4">
        <v>4</v>
      </c>
      <c r="AI89" s="4">
        <v>7</v>
      </c>
      <c r="AJ89" s="4">
        <v>10</v>
      </c>
      <c r="AK89" s="4">
        <v>16</v>
      </c>
      <c r="AL89" s="4">
        <v>1</v>
      </c>
      <c r="AM89" s="4">
        <v>1</v>
      </c>
      <c r="AN89" s="4">
        <v>0</v>
      </c>
      <c r="AO89" s="4">
        <v>0</v>
      </c>
      <c r="AP89" s="3" t="s">
        <v>59</v>
      </c>
      <c r="AQ89" s="3" t="s">
        <v>59</v>
      </c>
      <c r="AS89" s="6" t="str">
        <f>HYPERLINK("https://creighton-primo.hosted.exlibrisgroup.com/primo-explore/search?tab=default_tab&amp;search_scope=EVERYTHING&amp;vid=01CRU&amp;lang=en_US&amp;offset=0&amp;query=any,contains,991003215599702656","Catalog Record")</f>
        <v>Catalog Record</v>
      </c>
      <c r="AT89" s="6" t="str">
        <f>HYPERLINK("http://www.worldcat.org/oclc/741481","WorldCat Record")</f>
        <v>WorldCat Record</v>
      </c>
      <c r="AU89" s="3" t="s">
        <v>1265</v>
      </c>
      <c r="AV89" s="3" t="s">
        <v>1266</v>
      </c>
      <c r="AW89" s="3" t="s">
        <v>1267</v>
      </c>
      <c r="AX89" s="3" t="s">
        <v>1267</v>
      </c>
      <c r="AY89" s="3" t="s">
        <v>1268</v>
      </c>
      <c r="AZ89" s="3" t="s">
        <v>76</v>
      </c>
      <c r="BB89" s="3" t="s">
        <v>1269</v>
      </c>
      <c r="BC89" s="3" t="s">
        <v>1270</v>
      </c>
      <c r="BD89" s="3" t="s">
        <v>1271</v>
      </c>
    </row>
    <row r="90" spans="1:56" ht="52.5" customHeight="1" x14ac:dyDescent="0.25">
      <c r="A90" s="7" t="s">
        <v>59</v>
      </c>
      <c r="B90" s="2" t="s">
        <v>1272</v>
      </c>
      <c r="C90" s="2" t="s">
        <v>1273</v>
      </c>
      <c r="D90" s="2" t="s">
        <v>1274</v>
      </c>
      <c r="F90" s="3" t="s">
        <v>59</v>
      </c>
      <c r="G90" s="3" t="s">
        <v>60</v>
      </c>
      <c r="H90" s="3" t="s">
        <v>59</v>
      </c>
      <c r="I90" s="3" t="s">
        <v>59</v>
      </c>
      <c r="J90" s="3" t="s">
        <v>61</v>
      </c>
      <c r="K90" s="2" t="s">
        <v>900</v>
      </c>
      <c r="L90" s="2" t="s">
        <v>1275</v>
      </c>
      <c r="M90" s="3" t="s">
        <v>1233</v>
      </c>
      <c r="O90" s="3" t="s">
        <v>65</v>
      </c>
      <c r="P90" s="3" t="s">
        <v>66</v>
      </c>
      <c r="Q90" s="2" t="s">
        <v>1276</v>
      </c>
      <c r="R90" s="3" t="s">
        <v>68</v>
      </c>
      <c r="S90" s="4">
        <v>1</v>
      </c>
      <c r="T90" s="4">
        <v>1</v>
      </c>
      <c r="U90" s="5" t="s">
        <v>902</v>
      </c>
      <c r="V90" s="5" t="s">
        <v>902</v>
      </c>
      <c r="W90" s="5" t="s">
        <v>974</v>
      </c>
      <c r="X90" s="5" t="s">
        <v>974</v>
      </c>
      <c r="Y90" s="4">
        <v>197</v>
      </c>
      <c r="Z90" s="4">
        <v>174</v>
      </c>
      <c r="AA90" s="4">
        <v>176</v>
      </c>
      <c r="AB90" s="4">
        <v>2</v>
      </c>
      <c r="AC90" s="4">
        <v>2</v>
      </c>
      <c r="AD90" s="4">
        <v>9</v>
      </c>
      <c r="AE90" s="4">
        <v>9</v>
      </c>
      <c r="AF90" s="4">
        <v>2</v>
      </c>
      <c r="AG90" s="4">
        <v>2</v>
      </c>
      <c r="AH90" s="4">
        <v>5</v>
      </c>
      <c r="AI90" s="4">
        <v>5</v>
      </c>
      <c r="AJ90" s="4">
        <v>4</v>
      </c>
      <c r="AK90" s="4">
        <v>4</v>
      </c>
      <c r="AL90" s="4">
        <v>1</v>
      </c>
      <c r="AM90" s="4">
        <v>1</v>
      </c>
      <c r="AN90" s="4">
        <v>0</v>
      </c>
      <c r="AO90" s="4">
        <v>0</v>
      </c>
      <c r="AP90" s="3" t="s">
        <v>59</v>
      </c>
      <c r="AQ90" s="3" t="s">
        <v>71</v>
      </c>
      <c r="AR90" s="6" t="str">
        <f>HYPERLINK("http://catalog.hathitrust.org/Record/000615742","HathiTrust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HYPERLINK("https://creighton-primo.hosted.exlibrisgroup.com/primo-explore/search?tab=default_tab&amp;search_scope=EVERYTHING&amp;vid=01CRU&amp;lang=en_US&amp;offset=0&amp;query=any,contains,991003080189702656","Catalog Record")</f>
        <v>Catalog Record</v>
      </c>
      <c r="AT90" s="6" t="str">
        <f>HYPERLINK("http://www.worldcat.org/oclc/632328","WorldCat Record")</f>
        <v>WorldCat Record</v>
      </c>
      <c r="AU90" s="3" t="s">
        <v>1277</v>
      </c>
      <c r="AV90" s="3" t="s">
        <v>1278</v>
      </c>
      <c r="AW90" s="3" t="s">
        <v>1279</v>
      </c>
      <c r="AX90" s="3" t="s">
        <v>1279</v>
      </c>
      <c r="AY90" s="3" t="s">
        <v>1280</v>
      </c>
      <c r="AZ90" s="3" t="s">
        <v>76</v>
      </c>
      <c r="BB90" s="3" t="s">
        <v>1281</v>
      </c>
      <c r="BC90" s="3" t="s">
        <v>1282</v>
      </c>
      <c r="BD90" s="3" t="s">
        <v>1283</v>
      </c>
    </row>
    <row r="91" spans="1:56" ht="52.5" customHeight="1" x14ac:dyDescent="0.25">
      <c r="A91" s="7" t="s">
        <v>59</v>
      </c>
      <c r="B91" s="2" t="s">
        <v>1284</v>
      </c>
      <c r="C91" s="2" t="s">
        <v>1285</v>
      </c>
      <c r="D91" s="2" t="s">
        <v>1286</v>
      </c>
      <c r="F91" s="3" t="s">
        <v>59</v>
      </c>
      <c r="G91" s="3" t="s">
        <v>60</v>
      </c>
      <c r="H91" s="3" t="s">
        <v>59</v>
      </c>
      <c r="I91" s="3" t="s">
        <v>59</v>
      </c>
      <c r="J91" s="3" t="s">
        <v>61</v>
      </c>
      <c r="K91" s="2" t="s">
        <v>1287</v>
      </c>
      <c r="L91" s="2" t="s">
        <v>1288</v>
      </c>
      <c r="M91" s="3" t="s">
        <v>1233</v>
      </c>
      <c r="N91" s="2" t="s">
        <v>1289</v>
      </c>
      <c r="O91" s="3" t="s">
        <v>65</v>
      </c>
      <c r="P91" s="3" t="s">
        <v>1290</v>
      </c>
      <c r="R91" s="3" t="s">
        <v>68</v>
      </c>
      <c r="S91" s="4">
        <v>6</v>
      </c>
      <c r="T91" s="4">
        <v>6</v>
      </c>
      <c r="U91" s="5" t="s">
        <v>1291</v>
      </c>
      <c r="V91" s="5" t="s">
        <v>1291</v>
      </c>
      <c r="W91" s="5" t="s">
        <v>1292</v>
      </c>
      <c r="X91" s="5" t="s">
        <v>1292</v>
      </c>
      <c r="Y91" s="4">
        <v>113</v>
      </c>
      <c r="Z91" s="4">
        <v>94</v>
      </c>
      <c r="AA91" s="4">
        <v>162</v>
      </c>
      <c r="AB91" s="4">
        <v>1</v>
      </c>
      <c r="AC91" s="4">
        <v>2</v>
      </c>
      <c r="AD91" s="4">
        <v>5</v>
      </c>
      <c r="AE91" s="4">
        <v>8</v>
      </c>
      <c r="AF91" s="4">
        <v>1</v>
      </c>
      <c r="AG91" s="4">
        <v>2</v>
      </c>
      <c r="AH91" s="4">
        <v>2</v>
      </c>
      <c r="AI91" s="4">
        <v>3</v>
      </c>
      <c r="AJ91" s="4">
        <v>4</v>
      </c>
      <c r="AK91" s="4">
        <v>4</v>
      </c>
      <c r="AL91" s="4">
        <v>0</v>
      </c>
      <c r="AM91" s="4">
        <v>1</v>
      </c>
      <c r="AN91" s="4">
        <v>0</v>
      </c>
      <c r="AO91" s="4">
        <v>0</v>
      </c>
      <c r="AP91" s="3" t="s">
        <v>59</v>
      </c>
      <c r="AQ91" s="3" t="s">
        <v>59</v>
      </c>
      <c r="AS91" s="6" t="str">
        <f>HYPERLINK("https://creighton-primo.hosted.exlibrisgroup.com/primo-explore/search?tab=default_tab&amp;search_scope=EVERYTHING&amp;vid=01CRU&amp;lang=en_US&amp;offset=0&amp;query=any,contains,991003044429702656","Catalog Record")</f>
        <v>Catalog Record</v>
      </c>
      <c r="AT91" s="6" t="str">
        <f>HYPERLINK("http://www.worldcat.org/oclc/605191","WorldCat Record")</f>
        <v>WorldCat Record</v>
      </c>
      <c r="AU91" s="3" t="s">
        <v>1293</v>
      </c>
      <c r="AV91" s="3" t="s">
        <v>1294</v>
      </c>
      <c r="AW91" s="3" t="s">
        <v>1295</v>
      </c>
      <c r="AX91" s="3" t="s">
        <v>1295</v>
      </c>
      <c r="AY91" s="3" t="s">
        <v>1296</v>
      </c>
      <c r="AZ91" s="3" t="s">
        <v>76</v>
      </c>
      <c r="BB91" s="3" t="s">
        <v>1297</v>
      </c>
      <c r="BC91" s="3" t="s">
        <v>1298</v>
      </c>
      <c r="BD91" s="3" t="s">
        <v>1299</v>
      </c>
    </row>
    <row r="92" spans="1:56" ht="52.5" customHeight="1" x14ac:dyDescent="0.25">
      <c r="A92" s="7" t="s">
        <v>59</v>
      </c>
      <c r="B92" s="2" t="s">
        <v>1300</v>
      </c>
      <c r="C92" s="2" t="s">
        <v>1301</v>
      </c>
      <c r="D92" s="2" t="s">
        <v>1302</v>
      </c>
      <c r="F92" s="3" t="s">
        <v>59</v>
      </c>
      <c r="G92" s="3" t="s">
        <v>60</v>
      </c>
      <c r="H92" s="3" t="s">
        <v>59</v>
      </c>
      <c r="I92" s="3" t="s">
        <v>59</v>
      </c>
      <c r="J92" s="3" t="s">
        <v>61</v>
      </c>
      <c r="K92" s="2" t="s">
        <v>1303</v>
      </c>
      <c r="L92" s="2" t="s">
        <v>1304</v>
      </c>
      <c r="M92" s="3" t="s">
        <v>756</v>
      </c>
      <c r="O92" s="3" t="s">
        <v>65</v>
      </c>
      <c r="P92" s="3" t="s">
        <v>420</v>
      </c>
      <c r="Q92" s="2" t="s">
        <v>1305</v>
      </c>
      <c r="R92" s="3" t="s">
        <v>68</v>
      </c>
      <c r="S92" s="4">
        <v>1</v>
      </c>
      <c r="T92" s="4">
        <v>1</v>
      </c>
      <c r="U92" s="5" t="s">
        <v>1306</v>
      </c>
      <c r="V92" s="5" t="s">
        <v>1306</v>
      </c>
      <c r="W92" s="5" t="s">
        <v>1292</v>
      </c>
      <c r="X92" s="5" t="s">
        <v>1292</v>
      </c>
      <c r="Y92" s="4">
        <v>535</v>
      </c>
      <c r="Z92" s="4">
        <v>391</v>
      </c>
      <c r="AA92" s="4">
        <v>447</v>
      </c>
      <c r="AB92" s="4">
        <v>3</v>
      </c>
      <c r="AC92" s="4">
        <v>3</v>
      </c>
      <c r="AD92" s="4">
        <v>15</v>
      </c>
      <c r="AE92" s="4">
        <v>18</v>
      </c>
      <c r="AF92" s="4">
        <v>5</v>
      </c>
      <c r="AG92" s="4">
        <v>7</v>
      </c>
      <c r="AH92" s="4">
        <v>4</v>
      </c>
      <c r="AI92" s="4">
        <v>5</v>
      </c>
      <c r="AJ92" s="4">
        <v>8</v>
      </c>
      <c r="AK92" s="4">
        <v>9</v>
      </c>
      <c r="AL92" s="4">
        <v>2</v>
      </c>
      <c r="AM92" s="4">
        <v>2</v>
      </c>
      <c r="AN92" s="4">
        <v>0</v>
      </c>
      <c r="AO92" s="4">
        <v>0</v>
      </c>
      <c r="AP92" s="3" t="s">
        <v>59</v>
      </c>
      <c r="AQ92" s="3" t="s">
        <v>71</v>
      </c>
      <c r="AR92" s="6" t="str">
        <f>HYPERLINK("http://catalog.hathitrust.org/Record/000662688","HathiTrust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HYPERLINK("https://creighton-primo.hosted.exlibrisgroup.com/primo-explore/search?tab=default_tab&amp;search_scope=EVERYTHING&amp;vid=01CRU&amp;lang=en_US&amp;offset=0&amp;query=any,contains,991002837039702656","Catalog Record")</f>
        <v>Catalog Record</v>
      </c>
      <c r="AT92" s="6" t="str">
        <f>HYPERLINK("http://www.worldcat.org/oclc/480476","WorldCat Record")</f>
        <v>WorldCat Record</v>
      </c>
      <c r="AU92" s="3" t="s">
        <v>1307</v>
      </c>
      <c r="AV92" s="3" t="s">
        <v>1308</v>
      </c>
      <c r="AW92" s="3" t="s">
        <v>1309</v>
      </c>
      <c r="AX92" s="3" t="s">
        <v>1309</v>
      </c>
      <c r="AY92" s="3" t="s">
        <v>1310</v>
      </c>
      <c r="AZ92" s="3" t="s">
        <v>76</v>
      </c>
      <c r="BC92" s="3" t="s">
        <v>1311</v>
      </c>
      <c r="BD92" s="3" t="s">
        <v>1312</v>
      </c>
    </row>
    <row r="93" spans="1:56" ht="52.5" customHeight="1" x14ac:dyDescent="0.25">
      <c r="A93" s="7" t="s">
        <v>59</v>
      </c>
      <c r="B93" s="2" t="s">
        <v>1313</v>
      </c>
      <c r="C93" s="2" t="s">
        <v>1314</v>
      </c>
      <c r="D93" s="2" t="s">
        <v>1315</v>
      </c>
      <c r="F93" s="3" t="s">
        <v>59</v>
      </c>
      <c r="G93" s="3" t="s">
        <v>60</v>
      </c>
      <c r="H93" s="3" t="s">
        <v>59</v>
      </c>
      <c r="I93" s="3" t="s">
        <v>59</v>
      </c>
      <c r="J93" s="3" t="s">
        <v>61</v>
      </c>
      <c r="L93" s="2" t="s">
        <v>1316</v>
      </c>
      <c r="M93" s="3" t="s">
        <v>549</v>
      </c>
      <c r="O93" s="3" t="s">
        <v>65</v>
      </c>
      <c r="P93" s="3" t="s">
        <v>323</v>
      </c>
      <c r="Q93" s="2" t="s">
        <v>1317</v>
      </c>
      <c r="R93" s="3" t="s">
        <v>68</v>
      </c>
      <c r="S93" s="4">
        <v>1</v>
      </c>
      <c r="T93" s="4">
        <v>1</v>
      </c>
      <c r="U93" s="5" t="s">
        <v>1291</v>
      </c>
      <c r="V93" s="5" t="s">
        <v>1291</v>
      </c>
      <c r="W93" s="5" t="s">
        <v>241</v>
      </c>
      <c r="X93" s="5" t="s">
        <v>241</v>
      </c>
      <c r="Y93" s="4">
        <v>551</v>
      </c>
      <c r="Z93" s="4">
        <v>403</v>
      </c>
      <c r="AA93" s="4">
        <v>707</v>
      </c>
      <c r="AB93" s="4">
        <v>4</v>
      </c>
      <c r="AC93" s="4">
        <v>7</v>
      </c>
      <c r="AD93" s="4">
        <v>23</v>
      </c>
      <c r="AE93" s="4">
        <v>34</v>
      </c>
      <c r="AF93" s="4">
        <v>6</v>
      </c>
      <c r="AG93" s="4">
        <v>10</v>
      </c>
      <c r="AH93" s="4">
        <v>8</v>
      </c>
      <c r="AI93" s="4">
        <v>9</v>
      </c>
      <c r="AJ93" s="4">
        <v>13</v>
      </c>
      <c r="AK93" s="4">
        <v>16</v>
      </c>
      <c r="AL93" s="4">
        <v>3</v>
      </c>
      <c r="AM93" s="4">
        <v>6</v>
      </c>
      <c r="AN93" s="4">
        <v>0</v>
      </c>
      <c r="AO93" s="4">
        <v>1</v>
      </c>
      <c r="AP93" s="3" t="s">
        <v>59</v>
      </c>
      <c r="AQ93" s="3" t="s">
        <v>59</v>
      </c>
      <c r="AS93" s="6" t="str">
        <f>HYPERLINK("https://creighton-primo.hosted.exlibrisgroup.com/primo-explore/search?tab=default_tab&amp;search_scope=EVERYTHING&amp;vid=01CRU&amp;lang=en_US&amp;offset=0&amp;query=any,contains,991000844889702656","Catalog Record")</f>
        <v>Catalog Record</v>
      </c>
      <c r="AT93" s="6" t="str">
        <f>HYPERLINK("http://www.worldcat.org/oclc/13559007","WorldCat Record")</f>
        <v>WorldCat Record</v>
      </c>
      <c r="AU93" s="3" t="s">
        <v>1318</v>
      </c>
      <c r="AV93" s="3" t="s">
        <v>1319</v>
      </c>
      <c r="AW93" s="3" t="s">
        <v>1320</v>
      </c>
      <c r="AX93" s="3" t="s">
        <v>1320</v>
      </c>
      <c r="AY93" s="3" t="s">
        <v>1321</v>
      </c>
      <c r="AZ93" s="3" t="s">
        <v>76</v>
      </c>
      <c r="BB93" s="3" t="s">
        <v>1322</v>
      </c>
      <c r="BC93" s="3" t="s">
        <v>1323</v>
      </c>
      <c r="BD93" s="3" t="s">
        <v>1324</v>
      </c>
    </row>
    <row r="94" spans="1:56" ht="52.5" customHeight="1" x14ac:dyDescent="0.25">
      <c r="A94" s="7" t="s">
        <v>59</v>
      </c>
      <c r="B94" s="2" t="s">
        <v>1325</v>
      </c>
      <c r="C94" s="2" t="s">
        <v>1326</v>
      </c>
      <c r="D94" s="2" t="s">
        <v>1327</v>
      </c>
      <c r="F94" s="3" t="s">
        <v>59</v>
      </c>
      <c r="G94" s="3" t="s">
        <v>60</v>
      </c>
      <c r="H94" s="3" t="s">
        <v>59</v>
      </c>
      <c r="I94" s="3" t="s">
        <v>59</v>
      </c>
      <c r="J94" s="3" t="s">
        <v>61</v>
      </c>
      <c r="K94" s="2" t="s">
        <v>1328</v>
      </c>
      <c r="L94" s="2" t="s">
        <v>1329</v>
      </c>
      <c r="M94" s="3" t="s">
        <v>514</v>
      </c>
      <c r="O94" s="3" t="s">
        <v>65</v>
      </c>
      <c r="P94" s="3" t="s">
        <v>66</v>
      </c>
      <c r="R94" s="3" t="s">
        <v>68</v>
      </c>
      <c r="S94" s="4">
        <v>8</v>
      </c>
      <c r="T94" s="4">
        <v>8</v>
      </c>
      <c r="U94" s="5" t="s">
        <v>1330</v>
      </c>
      <c r="V94" s="5" t="s">
        <v>1330</v>
      </c>
      <c r="W94" s="5" t="s">
        <v>1044</v>
      </c>
      <c r="X94" s="5" t="s">
        <v>1044</v>
      </c>
      <c r="Y94" s="4">
        <v>337</v>
      </c>
      <c r="Z94" s="4">
        <v>267</v>
      </c>
      <c r="AA94" s="4">
        <v>274</v>
      </c>
      <c r="AB94" s="4">
        <v>3</v>
      </c>
      <c r="AC94" s="4">
        <v>3</v>
      </c>
      <c r="AD94" s="4">
        <v>12</v>
      </c>
      <c r="AE94" s="4">
        <v>12</v>
      </c>
      <c r="AF94" s="4">
        <v>6</v>
      </c>
      <c r="AG94" s="4">
        <v>6</v>
      </c>
      <c r="AH94" s="4">
        <v>1</v>
      </c>
      <c r="AI94" s="4">
        <v>1</v>
      </c>
      <c r="AJ94" s="4">
        <v>7</v>
      </c>
      <c r="AK94" s="4">
        <v>7</v>
      </c>
      <c r="AL94" s="4">
        <v>1</v>
      </c>
      <c r="AM94" s="4">
        <v>1</v>
      </c>
      <c r="AN94" s="4">
        <v>0</v>
      </c>
      <c r="AO94" s="4">
        <v>0</v>
      </c>
      <c r="AP94" s="3" t="s">
        <v>59</v>
      </c>
      <c r="AQ94" s="3" t="s">
        <v>71</v>
      </c>
      <c r="AR94" s="6" t="str">
        <f>HYPERLINK("http://catalog.hathitrust.org/Record/000616707","HathiTrust Record")</f>
        <v>HathiTrust Record</v>
      </c>
      <c r="AS94" s="6" t="str">
        <f>HYPERLINK("https://creighton-primo.hosted.exlibrisgroup.com/primo-explore/search?tab=default_tab&amp;search_scope=EVERYTHING&amp;vid=01CRU&amp;lang=en_US&amp;offset=0&amp;query=any,contains,991003181669702656","Catalog Record")</f>
        <v>Catalog Record</v>
      </c>
      <c r="AT94" s="6" t="str">
        <f>HYPERLINK("http://www.worldcat.org/oclc/711883","WorldCat Record")</f>
        <v>WorldCat Record</v>
      </c>
      <c r="AU94" s="3" t="s">
        <v>1331</v>
      </c>
      <c r="AV94" s="3" t="s">
        <v>1332</v>
      </c>
      <c r="AW94" s="3" t="s">
        <v>1333</v>
      </c>
      <c r="AX94" s="3" t="s">
        <v>1333</v>
      </c>
      <c r="AY94" s="3" t="s">
        <v>1334</v>
      </c>
      <c r="AZ94" s="3" t="s">
        <v>76</v>
      </c>
      <c r="BC94" s="3" t="s">
        <v>1335</v>
      </c>
      <c r="BD94" s="3" t="s">
        <v>1336</v>
      </c>
    </row>
    <row r="95" spans="1:56" ht="52.5" customHeight="1" x14ac:dyDescent="0.25">
      <c r="A95" s="7" t="s">
        <v>59</v>
      </c>
      <c r="B95" s="2" t="s">
        <v>1337</v>
      </c>
      <c r="C95" s="2" t="s">
        <v>1338</v>
      </c>
      <c r="D95" s="2" t="s">
        <v>1339</v>
      </c>
      <c r="F95" s="3" t="s">
        <v>59</v>
      </c>
      <c r="G95" s="3" t="s">
        <v>60</v>
      </c>
      <c r="H95" s="3" t="s">
        <v>59</v>
      </c>
      <c r="I95" s="3" t="s">
        <v>59</v>
      </c>
      <c r="J95" s="3" t="s">
        <v>61</v>
      </c>
      <c r="K95" s="2" t="s">
        <v>1340</v>
      </c>
      <c r="L95" s="2" t="s">
        <v>1341</v>
      </c>
      <c r="M95" s="3" t="s">
        <v>405</v>
      </c>
      <c r="O95" s="3" t="s">
        <v>65</v>
      </c>
      <c r="P95" s="3" t="s">
        <v>66</v>
      </c>
      <c r="R95" s="3" t="s">
        <v>68</v>
      </c>
      <c r="S95" s="4">
        <v>22</v>
      </c>
      <c r="T95" s="4">
        <v>22</v>
      </c>
      <c r="U95" s="5" t="s">
        <v>1342</v>
      </c>
      <c r="V95" s="5" t="s">
        <v>1342</v>
      </c>
      <c r="W95" s="5" t="s">
        <v>1343</v>
      </c>
      <c r="X95" s="5" t="s">
        <v>1343</v>
      </c>
      <c r="Y95" s="4">
        <v>709</v>
      </c>
      <c r="Z95" s="4">
        <v>585</v>
      </c>
      <c r="AA95" s="4">
        <v>591</v>
      </c>
      <c r="AB95" s="4">
        <v>5</v>
      </c>
      <c r="AC95" s="4">
        <v>5</v>
      </c>
      <c r="AD95" s="4">
        <v>22</v>
      </c>
      <c r="AE95" s="4">
        <v>22</v>
      </c>
      <c r="AF95" s="4">
        <v>7</v>
      </c>
      <c r="AG95" s="4">
        <v>7</v>
      </c>
      <c r="AH95" s="4">
        <v>4</v>
      </c>
      <c r="AI95" s="4">
        <v>4</v>
      </c>
      <c r="AJ95" s="4">
        <v>11</v>
      </c>
      <c r="AK95" s="4">
        <v>11</v>
      </c>
      <c r="AL95" s="4">
        <v>4</v>
      </c>
      <c r="AM95" s="4">
        <v>4</v>
      </c>
      <c r="AN95" s="4">
        <v>0</v>
      </c>
      <c r="AO95" s="4">
        <v>0</v>
      </c>
      <c r="AP95" s="3" t="s">
        <v>59</v>
      </c>
      <c r="AQ95" s="3" t="s">
        <v>71</v>
      </c>
      <c r="AR95" s="6" t="str">
        <f>HYPERLINK("http://catalog.hathitrust.org/Record/000807792","HathiTrust Record")</f>
        <v>HathiTrust Record</v>
      </c>
      <c r="AS95" s="6" t="str">
        <f>HYPERLINK("https://creighton-primo.hosted.exlibrisgroup.com/primo-explore/search?tab=default_tab&amp;search_scope=EVERYTHING&amp;vid=01CRU&amp;lang=en_US&amp;offset=0&amp;query=any,contains,991000877409702656","Catalog Record")</f>
        <v>Catalog Record</v>
      </c>
      <c r="AT95" s="6" t="str">
        <f>HYPERLINK("http://www.worldcat.org/oclc/13820983","WorldCat Record")</f>
        <v>WorldCat Record</v>
      </c>
      <c r="AU95" s="3" t="s">
        <v>1344</v>
      </c>
      <c r="AV95" s="3" t="s">
        <v>1345</v>
      </c>
      <c r="AW95" s="3" t="s">
        <v>1346</v>
      </c>
      <c r="AX95" s="3" t="s">
        <v>1346</v>
      </c>
      <c r="AY95" s="3" t="s">
        <v>1347</v>
      </c>
      <c r="AZ95" s="3" t="s">
        <v>76</v>
      </c>
      <c r="BB95" s="3" t="s">
        <v>1348</v>
      </c>
      <c r="BC95" s="3" t="s">
        <v>1349</v>
      </c>
      <c r="BD95" s="3" t="s">
        <v>1350</v>
      </c>
    </row>
    <row r="96" spans="1:56" ht="52.5" customHeight="1" x14ac:dyDescent="0.25">
      <c r="A96" s="7" t="s">
        <v>59</v>
      </c>
      <c r="B96" s="2" t="s">
        <v>1351</v>
      </c>
      <c r="C96" s="2" t="s">
        <v>1352</v>
      </c>
      <c r="D96" s="2" t="s">
        <v>1353</v>
      </c>
      <c r="F96" s="3" t="s">
        <v>59</v>
      </c>
      <c r="G96" s="3" t="s">
        <v>60</v>
      </c>
      <c r="H96" s="3" t="s">
        <v>59</v>
      </c>
      <c r="I96" s="3" t="s">
        <v>59</v>
      </c>
      <c r="J96" s="3" t="s">
        <v>61</v>
      </c>
      <c r="K96" s="2" t="s">
        <v>1354</v>
      </c>
      <c r="L96" s="2" t="s">
        <v>1355</v>
      </c>
      <c r="M96" s="3" t="s">
        <v>1233</v>
      </c>
      <c r="O96" s="3" t="s">
        <v>65</v>
      </c>
      <c r="P96" s="3" t="s">
        <v>66</v>
      </c>
      <c r="R96" s="3" t="s">
        <v>68</v>
      </c>
      <c r="S96" s="4">
        <v>6</v>
      </c>
      <c r="T96" s="4">
        <v>6</v>
      </c>
      <c r="U96" s="5" t="s">
        <v>1356</v>
      </c>
      <c r="V96" s="5" t="s">
        <v>1356</v>
      </c>
      <c r="W96" s="5" t="s">
        <v>1292</v>
      </c>
      <c r="X96" s="5" t="s">
        <v>1292</v>
      </c>
      <c r="Y96" s="4">
        <v>444</v>
      </c>
      <c r="Z96" s="4">
        <v>308</v>
      </c>
      <c r="AA96" s="4">
        <v>311</v>
      </c>
      <c r="AB96" s="4">
        <v>4</v>
      </c>
      <c r="AC96" s="4">
        <v>4</v>
      </c>
      <c r="AD96" s="4">
        <v>11</v>
      </c>
      <c r="AE96" s="4">
        <v>11</v>
      </c>
      <c r="AF96" s="4">
        <v>2</v>
      </c>
      <c r="AG96" s="4">
        <v>2</v>
      </c>
      <c r="AH96" s="4">
        <v>5</v>
      </c>
      <c r="AI96" s="4">
        <v>5</v>
      </c>
      <c r="AJ96" s="4">
        <v>6</v>
      </c>
      <c r="AK96" s="4">
        <v>6</v>
      </c>
      <c r="AL96" s="4">
        <v>2</v>
      </c>
      <c r="AM96" s="4">
        <v>2</v>
      </c>
      <c r="AN96" s="4">
        <v>0</v>
      </c>
      <c r="AO96" s="4">
        <v>0</v>
      </c>
      <c r="AP96" s="3" t="s">
        <v>59</v>
      </c>
      <c r="AQ96" s="3" t="s">
        <v>71</v>
      </c>
      <c r="AR96" s="6" t="str">
        <f>HYPERLINK("http://catalog.hathitrust.org/Record/000008906","HathiTrust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HYPERLINK("https://creighton-primo.hosted.exlibrisgroup.com/primo-explore/search?tab=default_tab&amp;search_scope=EVERYTHING&amp;vid=01CRU&amp;lang=en_US&amp;offset=0&amp;query=any,contains,991003089809702656","Catalog Record")</f>
        <v>Catalog Record</v>
      </c>
      <c r="AT96" s="6" t="str">
        <f>HYPERLINK("http://www.worldcat.org/oclc/640229","WorldCat Record")</f>
        <v>WorldCat Record</v>
      </c>
      <c r="AU96" s="3" t="s">
        <v>1357</v>
      </c>
      <c r="AV96" s="3" t="s">
        <v>1358</v>
      </c>
      <c r="AW96" s="3" t="s">
        <v>1359</v>
      </c>
      <c r="AX96" s="3" t="s">
        <v>1359</v>
      </c>
      <c r="AY96" s="3" t="s">
        <v>1360</v>
      </c>
      <c r="AZ96" s="3" t="s">
        <v>76</v>
      </c>
      <c r="BB96" s="3" t="s">
        <v>1361</v>
      </c>
      <c r="BC96" s="3" t="s">
        <v>1362</v>
      </c>
      <c r="BD96" s="3" t="s">
        <v>1363</v>
      </c>
    </row>
    <row r="97" spans="1:56" ht="52.5" customHeight="1" x14ac:dyDescent="0.25">
      <c r="A97" s="7" t="s">
        <v>59</v>
      </c>
      <c r="B97" s="2" t="s">
        <v>1364</v>
      </c>
      <c r="C97" s="2" t="s">
        <v>1365</v>
      </c>
      <c r="D97" s="2" t="s">
        <v>1366</v>
      </c>
      <c r="F97" s="3" t="s">
        <v>59</v>
      </c>
      <c r="G97" s="3" t="s">
        <v>60</v>
      </c>
      <c r="H97" s="3" t="s">
        <v>59</v>
      </c>
      <c r="I97" s="3" t="s">
        <v>59</v>
      </c>
      <c r="J97" s="3" t="s">
        <v>61</v>
      </c>
      <c r="K97" s="2" t="s">
        <v>1367</v>
      </c>
      <c r="L97" s="2" t="s">
        <v>1368</v>
      </c>
      <c r="M97" s="3" t="s">
        <v>224</v>
      </c>
      <c r="N97" s="2" t="s">
        <v>1289</v>
      </c>
      <c r="O97" s="3" t="s">
        <v>65</v>
      </c>
      <c r="P97" s="3" t="s">
        <v>420</v>
      </c>
      <c r="R97" s="3" t="s">
        <v>68</v>
      </c>
      <c r="S97" s="4">
        <v>7</v>
      </c>
      <c r="T97" s="4">
        <v>7</v>
      </c>
      <c r="U97" s="5" t="s">
        <v>1342</v>
      </c>
      <c r="V97" s="5" t="s">
        <v>1342</v>
      </c>
      <c r="W97" s="5" t="s">
        <v>241</v>
      </c>
      <c r="X97" s="5" t="s">
        <v>241</v>
      </c>
      <c r="Y97" s="4">
        <v>251</v>
      </c>
      <c r="Z97" s="4">
        <v>194</v>
      </c>
      <c r="AA97" s="4">
        <v>562</v>
      </c>
      <c r="AB97" s="4">
        <v>1</v>
      </c>
      <c r="AC97" s="4">
        <v>6</v>
      </c>
      <c r="AD97" s="4">
        <v>6</v>
      </c>
      <c r="AE97" s="4">
        <v>17</v>
      </c>
      <c r="AF97" s="4">
        <v>0</v>
      </c>
      <c r="AG97" s="4">
        <v>2</v>
      </c>
      <c r="AH97" s="4">
        <v>2</v>
      </c>
      <c r="AI97" s="4">
        <v>5</v>
      </c>
      <c r="AJ97" s="4">
        <v>5</v>
      </c>
      <c r="AK97" s="4">
        <v>8</v>
      </c>
      <c r="AL97" s="4">
        <v>0</v>
      </c>
      <c r="AM97" s="4">
        <v>4</v>
      </c>
      <c r="AN97" s="4">
        <v>0</v>
      </c>
      <c r="AO97" s="4">
        <v>0</v>
      </c>
      <c r="AP97" s="3" t="s">
        <v>59</v>
      </c>
      <c r="AQ97" s="3" t="s">
        <v>71</v>
      </c>
      <c r="AR97" s="6" t="str">
        <f>HYPERLINK("http://catalog.hathitrust.org/Record/001882890","HathiTrust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HYPERLINK("https://creighton-primo.hosted.exlibrisgroup.com/primo-explore/search?tab=default_tab&amp;search_scope=EVERYTHING&amp;vid=01CRU&amp;lang=en_US&amp;offset=0&amp;query=any,contains,991003689199702656","Catalog Record")</f>
        <v>Catalog Record</v>
      </c>
      <c r="AT97" s="6" t="str">
        <f>HYPERLINK("http://www.worldcat.org/oclc/1318701","WorldCat Record")</f>
        <v>WorldCat Record</v>
      </c>
      <c r="AU97" s="3" t="s">
        <v>1369</v>
      </c>
      <c r="AV97" s="3" t="s">
        <v>1370</v>
      </c>
      <c r="AW97" s="3" t="s">
        <v>1371</v>
      </c>
      <c r="AX97" s="3" t="s">
        <v>1371</v>
      </c>
      <c r="AY97" s="3" t="s">
        <v>1372</v>
      </c>
      <c r="AZ97" s="3" t="s">
        <v>76</v>
      </c>
      <c r="BB97" s="3" t="s">
        <v>1373</v>
      </c>
      <c r="BC97" s="3" t="s">
        <v>1374</v>
      </c>
      <c r="BD97" s="3" t="s">
        <v>1375</v>
      </c>
    </row>
    <row r="98" spans="1:56" ht="52.5" customHeight="1" x14ac:dyDescent="0.25">
      <c r="A98" s="7" t="s">
        <v>59</v>
      </c>
      <c r="B98" s="2" t="s">
        <v>1376</v>
      </c>
      <c r="C98" s="2" t="s">
        <v>1377</v>
      </c>
      <c r="D98" s="2" t="s">
        <v>1378</v>
      </c>
      <c r="F98" s="3" t="s">
        <v>59</v>
      </c>
      <c r="G98" s="3" t="s">
        <v>60</v>
      </c>
      <c r="H98" s="3" t="s">
        <v>59</v>
      </c>
      <c r="I98" s="3" t="s">
        <v>59</v>
      </c>
      <c r="J98" s="3" t="s">
        <v>61</v>
      </c>
      <c r="K98" s="2" t="s">
        <v>1379</v>
      </c>
      <c r="L98" s="2" t="s">
        <v>1380</v>
      </c>
      <c r="M98" s="3" t="s">
        <v>514</v>
      </c>
      <c r="O98" s="3" t="s">
        <v>65</v>
      </c>
      <c r="P98" s="3" t="s">
        <v>283</v>
      </c>
      <c r="R98" s="3" t="s">
        <v>68</v>
      </c>
      <c r="S98" s="4">
        <v>3</v>
      </c>
      <c r="T98" s="4">
        <v>3</v>
      </c>
      <c r="U98" s="5" t="s">
        <v>1381</v>
      </c>
      <c r="V98" s="5" t="s">
        <v>1381</v>
      </c>
      <c r="W98" s="5" t="s">
        <v>1292</v>
      </c>
      <c r="X98" s="5" t="s">
        <v>1292</v>
      </c>
      <c r="Y98" s="4">
        <v>291</v>
      </c>
      <c r="Z98" s="4">
        <v>192</v>
      </c>
      <c r="AA98" s="4">
        <v>378</v>
      </c>
      <c r="AB98" s="4">
        <v>2</v>
      </c>
      <c r="AC98" s="4">
        <v>7</v>
      </c>
      <c r="AD98" s="4">
        <v>9</v>
      </c>
      <c r="AE98" s="4">
        <v>17</v>
      </c>
      <c r="AF98" s="4">
        <v>2</v>
      </c>
      <c r="AG98" s="4">
        <v>4</v>
      </c>
      <c r="AH98" s="4">
        <v>2</v>
      </c>
      <c r="AI98" s="4">
        <v>4</v>
      </c>
      <c r="AJ98" s="4">
        <v>6</v>
      </c>
      <c r="AK98" s="4">
        <v>9</v>
      </c>
      <c r="AL98" s="4">
        <v>1</v>
      </c>
      <c r="AM98" s="4">
        <v>4</v>
      </c>
      <c r="AN98" s="4">
        <v>0</v>
      </c>
      <c r="AO98" s="4">
        <v>0</v>
      </c>
      <c r="AP98" s="3" t="s">
        <v>59</v>
      </c>
      <c r="AQ98" s="3" t="s">
        <v>71</v>
      </c>
      <c r="AR98" s="6" t="str">
        <f>HYPERLINK("http://catalog.hathitrust.org/Record/000616089","HathiTrust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HYPERLINK("https://creighton-primo.hosted.exlibrisgroup.com/primo-explore/search?tab=default_tab&amp;search_scope=EVERYTHING&amp;vid=01CRU&amp;lang=en_US&amp;offset=0&amp;query=any,contains,991001204849702656","Catalog Record")</f>
        <v>Catalog Record</v>
      </c>
      <c r="AT98" s="6" t="str">
        <f>HYPERLINK("http://www.worldcat.org/oclc/191740","WorldCat Record")</f>
        <v>WorldCat Record</v>
      </c>
      <c r="AU98" s="3" t="s">
        <v>1382</v>
      </c>
      <c r="AV98" s="3" t="s">
        <v>1383</v>
      </c>
      <c r="AW98" s="3" t="s">
        <v>1384</v>
      </c>
      <c r="AX98" s="3" t="s">
        <v>1384</v>
      </c>
      <c r="AY98" s="3" t="s">
        <v>1385</v>
      </c>
      <c r="AZ98" s="3" t="s">
        <v>76</v>
      </c>
      <c r="BC98" s="3" t="s">
        <v>1386</v>
      </c>
      <c r="BD98" s="3" t="s">
        <v>1387</v>
      </c>
    </row>
    <row r="99" spans="1:56" ht="52.5" customHeight="1" x14ac:dyDescent="0.25">
      <c r="A99" s="7" t="s">
        <v>59</v>
      </c>
      <c r="B99" s="2" t="s">
        <v>1388</v>
      </c>
      <c r="C99" s="2" t="s">
        <v>1389</v>
      </c>
      <c r="D99" s="2" t="s">
        <v>1390</v>
      </c>
      <c r="F99" s="3" t="s">
        <v>59</v>
      </c>
      <c r="G99" s="3" t="s">
        <v>60</v>
      </c>
      <c r="H99" s="3" t="s">
        <v>59</v>
      </c>
      <c r="I99" s="3" t="s">
        <v>59</v>
      </c>
      <c r="J99" s="3" t="s">
        <v>61</v>
      </c>
      <c r="K99" s="2" t="s">
        <v>1391</v>
      </c>
      <c r="L99" s="2" t="s">
        <v>1392</v>
      </c>
      <c r="M99" s="3" t="s">
        <v>756</v>
      </c>
      <c r="O99" s="3" t="s">
        <v>65</v>
      </c>
      <c r="P99" s="3" t="s">
        <v>66</v>
      </c>
      <c r="R99" s="3" t="s">
        <v>68</v>
      </c>
      <c r="S99" s="4">
        <v>4</v>
      </c>
      <c r="T99" s="4">
        <v>4</v>
      </c>
      <c r="U99" s="5" t="s">
        <v>1330</v>
      </c>
      <c r="V99" s="5" t="s">
        <v>1330</v>
      </c>
      <c r="W99" s="5" t="s">
        <v>1292</v>
      </c>
      <c r="X99" s="5" t="s">
        <v>1292</v>
      </c>
      <c r="Y99" s="4">
        <v>285</v>
      </c>
      <c r="Z99" s="4">
        <v>225</v>
      </c>
      <c r="AA99" s="4">
        <v>232</v>
      </c>
      <c r="AB99" s="4">
        <v>4</v>
      </c>
      <c r="AC99" s="4">
        <v>4</v>
      </c>
      <c r="AD99" s="4">
        <v>13</v>
      </c>
      <c r="AE99" s="4">
        <v>13</v>
      </c>
      <c r="AF99" s="4">
        <v>1</v>
      </c>
      <c r="AG99" s="4">
        <v>1</v>
      </c>
      <c r="AH99" s="4">
        <v>4</v>
      </c>
      <c r="AI99" s="4">
        <v>4</v>
      </c>
      <c r="AJ99" s="4">
        <v>8</v>
      </c>
      <c r="AK99" s="4">
        <v>8</v>
      </c>
      <c r="AL99" s="4">
        <v>3</v>
      </c>
      <c r="AM99" s="4">
        <v>3</v>
      </c>
      <c r="AN99" s="4">
        <v>0</v>
      </c>
      <c r="AO99" s="4">
        <v>0</v>
      </c>
      <c r="AP99" s="3" t="s">
        <v>59</v>
      </c>
      <c r="AQ99" s="3" t="s">
        <v>71</v>
      </c>
      <c r="AR99" s="6" t="str">
        <f>HYPERLINK("http://catalog.hathitrust.org/Record/000580990","HathiTrust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HYPERLINK("https://creighton-primo.hosted.exlibrisgroup.com/primo-explore/search?tab=default_tab&amp;search_scope=EVERYTHING&amp;vid=01CRU&amp;lang=en_US&amp;offset=0&amp;query=any,contains,991001990549702656","Catalog Record")</f>
        <v>Catalog Record</v>
      </c>
      <c r="AT99" s="6" t="str">
        <f>HYPERLINK("http://www.worldcat.org/oclc/255423","WorldCat Record")</f>
        <v>WorldCat Record</v>
      </c>
      <c r="AU99" s="3" t="s">
        <v>1393</v>
      </c>
      <c r="AV99" s="3" t="s">
        <v>1394</v>
      </c>
      <c r="AW99" s="3" t="s">
        <v>1395</v>
      </c>
      <c r="AX99" s="3" t="s">
        <v>1395</v>
      </c>
      <c r="AY99" s="3" t="s">
        <v>1396</v>
      </c>
      <c r="AZ99" s="3" t="s">
        <v>76</v>
      </c>
      <c r="BC99" s="3" t="s">
        <v>1397</v>
      </c>
      <c r="BD99" s="3" t="s">
        <v>1398</v>
      </c>
    </row>
    <row r="100" spans="1:56" ht="52.5" customHeight="1" x14ac:dyDescent="0.25">
      <c r="A100" s="7" t="s">
        <v>59</v>
      </c>
      <c r="B100" s="2" t="s">
        <v>1399</v>
      </c>
      <c r="C100" s="2" t="s">
        <v>1400</v>
      </c>
      <c r="D100" s="2" t="s">
        <v>1401</v>
      </c>
      <c r="F100" s="3" t="s">
        <v>59</v>
      </c>
      <c r="G100" s="3" t="s">
        <v>60</v>
      </c>
      <c r="H100" s="3" t="s">
        <v>59</v>
      </c>
      <c r="I100" s="3" t="s">
        <v>59</v>
      </c>
      <c r="J100" s="3" t="s">
        <v>61</v>
      </c>
      <c r="K100" s="2" t="s">
        <v>1402</v>
      </c>
      <c r="L100" s="2" t="s">
        <v>1403</v>
      </c>
      <c r="M100" s="3" t="s">
        <v>1404</v>
      </c>
      <c r="O100" s="3" t="s">
        <v>65</v>
      </c>
      <c r="P100" s="3" t="s">
        <v>66</v>
      </c>
      <c r="R100" s="3" t="s">
        <v>68</v>
      </c>
      <c r="S100" s="4">
        <v>7</v>
      </c>
      <c r="T100" s="4">
        <v>7</v>
      </c>
      <c r="U100" s="5" t="s">
        <v>1405</v>
      </c>
      <c r="V100" s="5" t="s">
        <v>1405</v>
      </c>
      <c r="W100" s="5" t="s">
        <v>1292</v>
      </c>
      <c r="X100" s="5" t="s">
        <v>1292</v>
      </c>
      <c r="Y100" s="4">
        <v>266</v>
      </c>
      <c r="Z100" s="4">
        <v>244</v>
      </c>
      <c r="AA100" s="4">
        <v>295</v>
      </c>
      <c r="AB100" s="4">
        <v>1</v>
      </c>
      <c r="AC100" s="4">
        <v>2</v>
      </c>
      <c r="AD100" s="4">
        <v>22</v>
      </c>
      <c r="AE100" s="4">
        <v>23</v>
      </c>
      <c r="AF100" s="4">
        <v>4</v>
      </c>
      <c r="AG100" s="4">
        <v>4</v>
      </c>
      <c r="AH100" s="4">
        <v>5</v>
      </c>
      <c r="AI100" s="4">
        <v>5</v>
      </c>
      <c r="AJ100" s="4">
        <v>19</v>
      </c>
      <c r="AK100" s="4">
        <v>19</v>
      </c>
      <c r="AL100" s="4">
        <v>0</v>
      </c>
      <c r="AM100" s="4">
        <v>1</v>
      </c>
      <c r="AN100" s="4">
        <v>0</v>
      </c>
      <c r="AO100" s="4">
        <v>0</v>
      </c>
      <c r="AP100" s="3" t="s">
        <v>71</v>
      </c>
      <c r="AQ100" s="3" t="s">
        <v>59</v>
      </c>
      <c r="AR100" s="6" t="str">
        <f>HYPERLINK("http://catalog.hathitrust.org/Record/000616152","HathiTrust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HYPERLINK("https://creighton-primo.hosted.exlibrisgroup.com/primo-explore/search?tab=default_tab&amp;search_scope=EVERYTHING&amp;vid=01CRU&amp;lang=en_US&amp;offset=0&amp;query=any,contains,991003157859702656","Catalog Record")</f>
        <v>Catalog Record</v>
      </c>
      <c r="AT100" s="6" t="str">
        <f>HYPERLINK("http://www.worldcat.org/oclc/697344","WorldCat Record")</f>
        <v>WorldCat Record</v>
      </c>
      <c r="AU100" s="3" t="s">
        <v>1406</v>
      </c>
      <c r="AV100" s="3" t="s">
        <v>1407</v>
      </c>
      <c r="AW100" s="3" t="s">
        <v>1408</v>
      </c>
      <c r="AX100" s="3" t="s">
        <v>1408</v>
      </c>
      <c r="AY100" s="3" t="s">
        <v>1409</v>
      </c>
      <c r="AZ100" s="3" t="s">
        <v>76</v>
      </c>
      <c r="BC100" s="3" t="s">
        <v>1410</v>
      </c>
      <c r="BD100" s="3" t="s">
        <v>1411</v>
      </c>
    </row>
    <row r="101" spans="1:56" ht="52.5" customHeight="1" x14ac:dyDescent="0.25">
      <c r="A101" s="7" t="s">
        <v>59</v>
      </c>
      <c r="B101" s="2" t="s">
        <v>1412</v>
      </c>
      <c r="C101" s="2" t="s">
        <v>1413</v>
      </c>
      <c r="D101" s="2" t="s">
        <v>1414</v>
      </c>
      <c r="F101" s="3" t="s">
        <v>59</v>
      </c>
      <c r="G101" s="3" t="s">
        <v>60</v>
      </c>
      <c r="H101" s="3" t="s">
        <v>59</v>
      </c>
      <c r="I101" s="3" t="s">
        <v>59</v>
      </c>
      <c r="J101" s="3" t="s">
        <v>61</v>
      </c>
      <c r="K101" s="2" t="s">
        <v>238</v>
      </c>
      <c r="L101" s="2" t="s">
        <v>1415</v>
      </c>
      <c r="M101" s="3" t="s">
        <v>115</v>
      </c>
      <c r="O101" s="3" t="s">
        <v>65</v>
      </c>
      <c r="P101" s="3" t="s">
        <v>420</v>
      </c>
      <c r="R101" s="3" t="s">
        <v>68</v>
      </c>
      <c r="S101" s="4">
        <v>5</v>
      </c>
      <c r="T101" s="4">
        <v>5</v>
      </c>
      <c r="U101" s="5" t="s">
        <v>1416</v>
      </c>
      <c r="V101" s="5" t="s">
        <v>1416</v>
      </c>
      <c r="W101" s="5" t="s">
        <v>672</v>
      </c>
      <c r="X101" s="5" t="s">
        <v>672</v>
      </c>
      <c r="Y101" s="4">
        <v>122</v>
      </c>
      <c r="Z101" s="4">
        <v>84</v>
      </c>
      <c r="AA101" s="4">
        <v>84</v>
      </c>
      <c r="AB101" s="4">
        <v>1</v>
      </c>
      <c r="AC101" s="4">
        <v>1</v>
      </c>
      <c r="AD101" s="4">
        <v>6</v>
      </c>
      <c r="AE101" s="4">
        <v>6</v>
      </c>
      <c r="AF101" s="4">
        <v>1</v>
      </c>
      <c r="AG101" s="4">
        <v>1</v>
      </c>
      <c r="AH101" s="4">
        <v>2</v>
      </c>
      <c r="AI101" s="4">
        <v>2</v>
      </c>
      <c r="AJ101" s="4">
        <v>5</v>
      </c>
      <c r="AK101" s="4">
        <v>5</v>
      </c>
      <c r="AL101" s="4">
        <v>0</v>
      </c>
      <c r="AM101" s="4">
        <v>0</v>
      </c>
      <c r="AN101" s="4">
        <v>0</v>
      </c>
      <c r="AO101" s="4">
        <v>0</v>
      </c>
      <c r="AP101" s="3" t="s">
        <v>59</v>
      </c>
      <c r="AQ101" s="3" t="s">
        <v>59</v>
      </c>
      <c r="AS101" s="6" t="str">
        <f>HYPERLINK("https://creighton-primo.hosted.exlibrisgroup.com/primo-explore/search?tab=default_tab&amp;search_scope=EVERYTHING&amp;vid=01CRU&amp;lang=en_US&amp;offset=0&amp;query=any,contains,991002293549702656","Catalog Record")</f>
        <v>Catalog Record</v>
      </c>
      <c r="AT101" s="6" t="str">
        <f>HYPERLINK("http://www.worldcat.org/oclc/314066","WorldCat Record")</f>
        <v>WorldCat Record</v>
      </c>
      <c r="AU101" s="3" t="s">
        <v>1417</v>
      </c>
      <c r="AV101" s="3" t="s">
        <v>1418</v>
      </c>
      <c r="AW101" s="3" t="s">
        <v>1419</v>
      </c>
      <c r="AX101" s="3" t="s">
        <v>1419</v>
      </c>
      <c r="AY101" s="3" t="s">
        <v>1420</v>
      </c>
      <c r="AZ101" s="3" t="s">
        <v>76</v>
      </c>
      <c r="BB101" s="3" t="s">
        <v>1421</v>
      </c>
      <c r="BC101" s="3" t="s">
        <v>1422</v>
      </c>
      <c r="BD101" s="3" t="s">
        <v>1423</v>
      </c>
    </row>
    <row r="102" spans="1:56" ht="52.5" customHeight="1" x14ac:dyDescent="0.25">
      <c r="A102" s="7" t="s">
        <v>59</v>
      </c>
      <c r="B102" s="2" t="s">
        <v>1424</v>
      </c>
      <c r="C102" s="2" t="s">
        <v>1425</v>
      </c>
      <c r="D102" s="2" t="s">
        <v>1426</v>
      </c>
      <c r="F102" s="3" t="s">
        <v>59</v>
      </c>
      <c r="G102" s="3" t="s">
        <v>60</v>
      </c>
      <c r="H102" s="3" t="s">
        <v>59</v>
      </c>
      <c r="I102" s="3" t="s">
        <v>59</v>
      </c>
      <c r="J102" s="3" t="s">
        <v>61</v>
      </c>
      <c r="K102" s="2" t="s">
        <v>1427</v>
      </c>
      <c r="L102" s="2" t="s">
        <v>1428</v>
      </c>
      <c r="M102" s="3" t="s">
        <v>254</v>
      </c>
      <c r="O102" s="3" t="s">
        <v>65</v>
      </c>
      <c r="P102" s="3" t="s">
        <v>66</v>
      </c>
      <c r="Q102" s="2" t="s">
        <v>1429</v>
      </c>
      <c r="R102" s="3" t="s">
        <v>68</v>
      </c>
      <c r="S102" s="4">
        <v>5</v>
      </c>
      <c r="T102" s="4">
        <v>5</v>
      </c>
      <c r="U102" s="5" t="s">
        <v>1430</v>
      </c>
      <c r="V102" s="5" t="s">
        <v>1430</v>
      </c>
      <c r="W102" s="5" t="s">
        <v>1292</v>
      </c>
      <c r="X102" s="5" t="s">
        <v>1292</v>
      </c>
      <c r="Y102" s="4">
        <v>196</v>
      </c>
      <c r="Z102" s="4">
        <v>157</v>
      </c>
      <c r="AA102" s="4">
        <v>160</v>
      </c>
      <c r="AB102" s="4">
        <v>2</v>
      </c>
      <c r="AC102" s="4">
        <v>2</v>
      </c>
      <c r="AD102" s="4">
        <v>10</v>
      </c>
      <c r="AE102" s="4">
        <v>10</v>
      </c>
      <c r="AF102" s="4">
        <v>4</v>
      </c>
      <c r="AG102" s="4">
        <v>4</v>
      </c>
      <c r="AH102" s="4">
        <v>2</v>
      </c>
      <c r="AI102" s="4">
        <v>2</v>
      </c>
      <c r="AJ102" s="4">
        <v>7</v>
      </c>
      <c r="AK102" s="4">
        <v>7</v>
      </c>
      <c r="AL102" s="4">
        <v>1</v>
      </c>
      <c r="AM102" s="4">
        <v>1</v>
      </c>
      <c r="AN102" s="4">
        <v>0</v>
      </c>
      <c r="AO102" s="4">
        <v>0</v>
      </c>
      <c r="AP102" s="3" t="s">
        <v>59</v>
      </c>
      <c r="AQ102" s="3" t="s">
        <v>71</v>
      </c>
      <c r="AR102" s="6" t="str">
        <f>HYPERLINK("http://catalog.hathitrust.org/Record/006153811","HathiTrust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HYPERLINK("https://creighton-primo.hosted.exlibrisgroup.com/primo-explore/search?tab=default_tab&amp;search_scope=EVERYTHING&amp;vid=01CRU&amp;lang=en_US&amp;offset=0&amp;query=any,contains,991000064129702656","Catalog Record")</f>
        <v>Catalog Record</v>
      </c>
      <c r="AT102" s="6" t="str">
        <f>HYPERLINK("http://www.worldcat.org/oclc/26109","WorldCat Record")</f>
        <v>WorldCat Record</v>
      </c>
      <c r="AU102" s="3" t="s">
        <v>1431</v>
      </c>
      <c r="AV102" s="3" t="s">
        <v>1432</v>
      </c>
      <c r="AW102" s="3" t="s">
        <v>1433</v>
      </c>
      <c r="AX102" s="3" t="s">
        <v>1433</v>
      </c>
      <c r="AY102" s="3" t="s">
        <v>1434</v>
      </c>
      <c r="AZ102" s="3" t="s">
        <v>76</v>
      </c>
      <c r="BC102" s="3" t="s">
        <v>1435</v>
      </c>
      <c r="BD102" s="3" t="s">
        <v>1436</v>
      </c>
    </row>
    <row r="103" spans="1:56" ht="52.5" customHeight="1" x14ac:dyDescent="0.25">
      <c r="A103" s="7" t="s">
        <v>59</v>
      </c>
      <c r="B103" s="2" t="s">
        <v>1437</v>
      </c>
      <c r="C103" s="2" t="s">
        <v>1438</v>
      </c>
      <c r="D103" s="2" t="s">
        <v>1439</v>
      </c>
      <c r="F103" s="3" t="s">
        <v>59</v>
      </c>
      <c r="G103" s="3" t="s">
        <v>60</v>
      </c>
      <c r="H103" s="3" t="s">
        <v>59</v>
      </c>
      <c r="I103" s="3" t="s">
        <v>71</v>
      </c>
      <c r="J103" s="3" t="s">
        <v>61</v>
      </c>
      <c r="K103" s="2" t="s">
        <v>998</v>
      </c>
      <c r="L103" s="2" t="s">
        <v>1440</v>
      </c>
      <c r="M103" s="3" t="s">
        <v>295</v>
      </c>
      <c r="O103" s="3" t="s">
        <v>65</v>
      </c>
      <c r="P103" s="3" t="s">
        <v>66</v>
      </c>
      <c r="R103" s="3" t="s">
        <v>68</v>
      </c>
      <c r="S103" s="4">
        <v>4</v>
      </c>
      <c r="T103" s="4">
        <v>4</v>
      </c>
      <c r="U103" s="5" t="s">
        <v>1441</v>
      </c>
      <c r="V103" s="5" t="s">
        <v>1441</v>
      </c>
      <c r="W103" s="5" t="s">
        <v>1442</v>
      </c>
      <c r="X103" s="5" t="s">
        <v>1442</v>
      </c>
      <c r="Y103" s="4">
        <v>730</v>
      </c>
      <c r="Z103" s="4">
        <v>600</v>
      </c>
      <c r="AA103" s="4">
        <v>1955</v>
      </c>
      <c r="AB103" s="4">
        <v>2</v>
      </c>
      <c r="AC103" s="4">
        <v>10</v>
      </c>
      <c r="AD103" s="4">
        <v>22</v>
      </c>
      <c r="AE103" s="4">
        <v>61</v>
      </c>
      <c r="AF103" s="4">
        <v>11</v>
      </c>
      <c r="AG103" s="4">
        <v>27</v>
      </c>
      <c r="AH103" s="4">
        <v>4</v>
      </c>
      <c r="AI103" s="4">
        <v>12</v>
      </c>
      <c r="AJ103" s="4">
        <v>10</v>
      </c>
      <c r="AK103" s="4">
        <v>26</v>
      </c>
      <c r="AL103" s="4">
        <v>1</v>
      </c>
      <c r="AM103" s="4">
        <v>9</v>
      </c>
      <c r="AN103" s="4">
        <v>0</v>
      </c>
      <c r="AO103" s="4">
        <v>0</v>
      </c>
      <c r="AP103" s="3" t="s">
        <v>59</v>
      </c>
      <c r="AQ103" s="3" t="s">
        <v>71</v>
      </c>
      <c r="AR103" s="6" t="str">
        <f>HYPERLINK("http://catalog.hathitrust.org/Record/000581624","HathiTrust Record")</f>
        <v>HathiTrust Record</v>
      </c>
      <c r="AS103" s="6" t="str">
        <f>HYPERLINK("https://creighton-primo.hosted.exlibrisgroup.com/primo-explore/search?tab=default_tab&amp;search_scope=EVERYTHING&amp;vid=01CRU&amp;lang=en_US&amp;offset=0&amp;query=any,contains,991004576269702656","Catalog Record")</f>
        <v>Catalog Record</v>
      </c>
      <c r="AT103" s="6" t="str">
        <f>HYPERLINK("http://www.worldcat.org/oclc/4041416","WorldCat Record")</f>
        <v>WorldCat Record</v>
      </c>
      <c r="AU103" s="3" t="s">
        <v>1443</v>
      </c>
      <c r="AV103" s="3" t="s">
        <v>1444</v>
      </c>
      <c r="AW103" s="3" t="s">
        <v>1445</v>
      </c>
      <c r="AX103" s="3" t="s">
        <v>1445</v>
      </c>
      <c r="AY103" s="3" t="s">
        <v>1446</v>
      </c>
      <c r="AZ103" s="3" t="s">
        <v>76</v>
      </c>
      <c r="BC103" s="3" t="s">
        <v>1447</v>
      </c>
      <c r="BD103" s="3" t="s">
        <v>1448</v>
      </c>
    </row>
    <row r="104" spans="1:56" ht="52.5" customHeight="1" x14ac:dyDescent="0.25">
      <c r="A104" s="7" t="s">
        <v>59</v>
      </c>
      <c r="B104" s="2" t="s">
        <v>1449</v>
      </c>
      <c r="C104" s="2" t="s">
        <v>1450</v>
      </c>
      <c r="D104" s="2" t="s">
        <v>1451</v>
      </c>
      <c r="F104" s="3" t="s">
        <v>59</v>
      </c>
      <c r="G104" s="3" t="s">
        <v>60</v>
      </c>
      <c r="H104" s="3" t="s">
        <v>59</v>
      </c>
      <c r="I104" s="3" t="s">
        <v>59</v>
      </c>
      <c r="J104" s="3" t="s">
        <v>61</v>
      </c>
      <c r="L104" s="2" t="s">
        <v>1452</v>
      </c>
      <c r="M104" s="3" t="s">
        <v>616</v>
      </c>
      <c r="O104" s="3" t="s">
        <v>65</v>
      </c>
      <c r="P104" s="3" t="s">
        <v>66</v>
      </c>
      <c r="R104" s="3" t="s">
        <v>68</v>
      </c>
      <c r="S104" s="4">
        <v>4</v>
      </c>
      <c r="T104" s="4">
        <v>4</v>
      </c>
      <c r="U104" s="5" t="s">
        <v>1453</v>
      </c>
      <c r="V104" s="5" t="s">
        <v>1453</v>
      </c>
      <c r="W104" s="5" t="s">
        <v>1454</v>
      </c>
      <c r="X104" s="5" t="s">
        <v>1454</v>
      </c>
      <c r="Y104" s="4">
        <v>338</v>
      </c>
      <c r="Z104" s="4">
        <v>228</v>
      </c>
      <c r="AA104" s="4">
        <v>247</v>
      </c>
      <c r="AB104" s="4">
        <v>3</v>
      </c>
      <c r="AC104" s="4">
        <v>3</v>
      </c>
      <c r="AD104" s="4">
        <v>11</v>
      </c>
      <c r="AE104" s="4">
        <v>13</v>
      </c>
      <c r="AF104" s="4">
        <v>2</v>
      </c>
      <c r="AG104" s="4">
        <v>4</v>
      </c>
      <c r="AH104" s="4">
        <v>4</v>
      </c>
      <c r="AI104" s="4">
        <v>4</v>
      </c>
      <c r="AJ104" s="4">
        <v>7</v>
      </c>
      <c r="AK104" s="4">
        <v>8</v>
      </c>
      <c r="AL104" s="4">
        <v>2</v>
      </c>
      <c r="AM104" s="4">
        <v>2</v>
      </c>
      <c r="AN104" s="4">
        <v>0</v>
      </c>
      <c r="AO104" s="4">
        <v>0</v>
      </c>
      <c r="AP104" s="3" t="s">
        <v>59</v>
      </c>
      <c r="AQ104" s="3" t="s">
        <v>59</v>
      </c>
      <c r="AS104" s="6" t="str">
        <f>HYPERLINK("https://creighton-primo.hosted.exlibrisgroup.com/primo-explore/search?tab=default_tab&amp;search_scope=EVERYTHING&amp;vid=01CRU&amp;lang=en_US&amp;offset=0&amp;query=any,contains,991001157369702656","Catalog Record")</f>
        <v>Catalog Record</v>
      </c>
      <c r="AT104" s="6" t="str">
        <f>HYPERLINK("http://www.worldcat.org/oclc/16869076","WorldCat Record")</f>
        <v>WorldCat Record</v>
      </c>
      <c r="AU104" s="3" t="s">
        <v>1455</v>
      </c>
      <c r="AV104" s="3" t="s">
        <v>1456</v>
      </c>
      <c r="AW104" s="3" t="s">
        <v>1457</v>
      </c>
      <c r="AX104" s="3" t="s">
        <v>1457</v>
      </c>
      <c r="AY104" s="3" t="s">
        <v>1458</v>
      </c>
      <c r="AZ104" s="3" t="s">
        <v>76</v>
      </c>
      <c r="BB104" s="3" t="s">
        <v>1459</v>
      </c>
      <c r="BC104" s="3" t="s">
        <v>1460</v>
      </c>
      <c r="BD104" s="3" t="s">
        <v>1461</v>
      </c>
    </row>
    <row r="105" spans="1:56" ht="52.5" customHeight="1" x14ac:dyDescent="0.25">
      <c r="A105" s="7" t="s">
        <v>59</v>
      </c>
      <c r="B105" s="2" t="s">
        <v>1462</v>
      </c>
      <c r="C105" s="2" t="s">
        <v>1463</v>
      </c>
      <c r="D105" s="2" t="s">
        <v>1464</v>
      </c>
      <c r="F105" s="3" t="s">
        <v>59</v>
      </c>
      <c r="G105" s="3" t="s">
        <v>60</v>
      </c>
      <c r="H105" s="3" t="s">
        <v>59</v>
      </c>
      <c r="I105" s="3" t="s">
        <v>59</v>
      </c>
      <c r="J105" s="3" t="s">
        <v>61</v>
      </c>
      <c r="K105" s="2" t="s">
        <v>1465</v>
      </c>
      <c r="L105" s="2" t="s">
        <v>1466</v>
      </c>
      <c r="M105" s="3" t="s">
        <v>1467</v>
      </c>
      <c r="O105" s="3" t="s">
        <v>65</v>
      </c>
      <c r="P105" s="3" t="s">
        <v>66</v>
      </c>
      <c r="R105" s="3" t="s">
        <v>68</v>
      </c>
      <c r="S105" s="4">
        <v>2</v>
      </c>
      <c r="T105" s="4">
        <v>2</v>
      </c>
      <c r="U105" s="5" t="s">
        <v>1468</v>
      </c>
      <c r="V105" s="5" t="s">
        <v>1468</v>
      </c>
      <c r="W105" s="5" t="s">
        <v>1292</v>
      </c>
      <c r="X105" s="5" t="s">
        <v>1292</v>
      </c>
      <c r="Y105" s="4">
        <v>701</v>
      </c>
      <c r="Z105" s="4">
        <v>557</v>
      </c>
      <c r="AA105" s="4">
        <v>639</v>
      </c>
      <c r="AB105" s="4">
        <v>5</v>
      </c>
      <c r="AC105" s="4">
        <v>6</v>
      </c>
      <c r="AD105" s="4">
        <v>23</v>
      </c>
      <c r="AE105" s="4">
        <v>27</v>
      </c>
      <c r="AF105" s="4">
        <v>6</v>
      </c>
      <c r="AG105" s="4">
        <v>8</v>
      </c>
      <c r="AH105" s="4">
        <v>5</v>
      </c>
      <c r="AI105" s="4">
        <v>5</v>
      </c>
      <c r="AJ105" s="4">
        <v>13</v>
      </c>
      <c r="AK105" s="4">
        <v>14</v>
      </c>
      <c r="AL105" s="4">
        <v>4</v>
      </c>
      <c r="AM105" s="4">
        <v>5</v>
      </c>
      <c r="AN105" s="4">
        <v>0</v>
      </c>
      <c r="AO105" s="4">
        <v>0</v>
      </c>
      <c r="AP105" s="3" t="s">
        <v>71</v>
      </c>
      <c r="AQ105" s="3" t="s">
        <v>59</v>
      </c>
      <c r="AR105" s="6" t="str">
        <f>HYPERLINK("http://catalog.hathitrust.org/Record/000617263","HathiTrust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HYPERLINK("https://creighton-primo.hosted.exlibrisgroup.com/primo-explore/search?tab=default_tab&amp;search_scope=EVERYTHING&amp;vid=01CRU&amp;lang=en_US&amp;offset=0&amp;query=any,contains,991003176759702656","Catalog Record")</f>
        <v>Catalog Record</v>
      </c>
      <c r="AT105" s="6" t="str">
        <f>HYPERLINK("http://www.worldcat.org/oclc/710938","WorldCat Record")</f>
        <v>WorldCat Record</v>
      </c>
      <c r="AU105" s="3" t="s">
        <v>1469</v>
      </c>
      <c r="AV105" s="3" t="s">
        <v>1470</v>
      </c>
      <c r="AW105" s="3" t="s">
        <v>1471</v>
      </c>
      <c r="AX105" s="3" t="s">
        <v>1471</v>
      </c>
      <c r="AY105" s="3" t="s">
        <v>1472</v>
      </c>
      <c r="AZ105" s="3" t="s">
        <v>76</v>
      </c>
      <c r="BC105" s="3" t="s">
        <v>1473</v>
      </c>
      <c r="BD105" s="3" t="s">
        <v>1474</v>
      </c>
    </row>
    <row r="106" spans="1:56" ht="52.5" customHeight="1" x14ac:dyDescent="0.25">
      <c r="A106" s="7" t="s">
        <v>59</v>
      </c>
      <c r="B106" s="2" t="s">
        <v>1475</v>
      </c>
      <c r="C106" s="2" t="s">
        <v>1476</v>
      </c>
      <c r="D106" s="2" t="s">
        <v>1477</v>
      </c>
      <c r="F106" s="3" t="s">
        <v>59</v>
      </c>
      <c r="G106" s="3" t="s">
        <v>60</v>
      </c>
      <c r="H106" s="3" t="s">
        <v>59</v>
      </c>
      <c r="I106" s="3" t="s">
        <v>59</v>
      </c>
      <c r="J106" s="3" t="s">
        <v>61</v>
      </c>
      <c r="K106" s="2" t="s">
        <v>1478</v>
      </c>
      <c r="L106" s="2" t="s">
        <v>1479</v>
      </c>
      <c r="M106" s="3" t="s">
        <v>1015</v>
      </c>
      <c r="O106" s="3" t="s">
        <v>65</v>
      </c>
      <c r="P106" s="3" t="s">
        <v>972</v>
      </c>
      <c r="R106" s="3" t="s">
        <v>68</v>
      </c>
      <c r="S106" s="4">
        <v>6</v>
      </c>
      <c r="T106" s="4">
        <v>6</v>
      </c>
      <c r="U106" s="5" t="s">
        <v>1480</v>
      </c>
      <c r="V106" s="5" t="s">
        <v>1480</v>
      </c>
      <c r="W106" s="5" t="s">
        <v>1292</v>
      </c>
      <c r="X106" s="5" t="s">
        <v>1292</v>
      </c>
      <c r="Y106" s="4">
        <v>726</v>
      </c>
      <c r="Z106" s="4">
        <v>629</v>
      </c>
      <c r="AA106" s="4">
        <v>710</v>
      </c>
      <c r="AB106" s="4">
        <v>5</v>
      </c>
      <c r="AC106" s="4">
        <v>6</v>
      </c>
      <c r="AD106" s="4">
        <v>40</v>
      </c>
      <c r="AE106" s="4">
        <v>44</v>
      </c>
      <c r="AF106" s="4">
        <v>17</v>
      </c>
      <c r="AG106" s="4">
        <v>18</v>
      </c>
      <c r="AH106" s="4">
        <v>8</v>
      </c>
      <c r="AI106" s="4">
        <v>9</v>
      </c>
      <c r="AJ106" s="4">
        <v>20</v>
      </c>
      <c r="AK106" s="4">
        <v>22</v>
      </c>
      <c r="AL106" s="4">
        <v>4</v>
      </c>
      <c r="AM106" s="4">
        <v>5</v>
      </c>
      <c r="AN106" s="4">
        <v>0</v>
      </c>
      <c r="AO106" s="4">
        <v>0</v>
      </c>
      <c r="AP106" s="3" t="s">
        <v>59</v>
      </c>
      <c r="AQ106" s="3" t="s">
        <v>71</v>
      </c>
      <c r="AR106" s="6" t="str">
        <f>HYPERLINK("http://catalog.hathitrust.org/Record/000581729","HathiTrust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HYPERLINK("https://creighton-primo.hosted.exlibrisgroup.com/primo-explore/search?tab=default_tab&amp;search_scope=EVERYTHING&amp;vid=01CRU&amp;lang=en_US&amp;offset=0&amp;query=any,contains,991002400689702656","Catalog Record")</f>
        <v>Catalog Record</v>
      </c>
      <c r="AT106" s="6" t="str">
        <f>HYPERLINK("http://www.worldcat.org/oclc/336620","WorldCat Record")</f>
        <v>WorldCat Record</v>
      </c>
      <c r="AU106" s="3" t="s">
        <v>1481</v>
      </c>
      <c r="AV106" s="3" t="s">
        <v>1482</v>
      </c>
      <c r="AW106" s="3" t="s">
        <v>1483</v>
      </c>
      <c r="AX106" s="3" t="s">
        <v>1483</v>
      </c>
      <c r="AY106" s="3" t="s">
        <v>1484</v>
      </c>
      <c r="AZ106" s="3" t="s">
        <v>76</v>
      </c>
      <c r="BC106" s="3" t="s">
        <v>1485</v>
      </c>
      <c r="BD106" s="3" t="s">
        <v>1486</v>
      </c>
    </row>
    <row r="107" spans="1:56" ht="52.5" customHeight="1" x14ac:dyDescent="0.25">
      <c r="A107" s="7" t="s">
        <v>59</v>
      </c>
      <c r="B107" s="2" t="s">
        <v>1487</v>
      </c>
      <c r="C107" s="2" t="s">
        <v>1488</v>
      </c>
      <c r="D107" s="2" t="s">
        <v>1489</v>
      </c>
      <c r="F107" s="3" t="s">
        <v>59</v>
      </c>
      <c r="G107" s="3" t="s">
        <v>60</v>
      </c>
      <c r="H107" s="3" t="s">
        <v>59</v>
      </c>
      <c r="I107" s="3" t="s">
        <v>59</v>
      </c>
      <c r="J107" s="3" t="s">
        <v>61</v>
      </c>
      <c r="K107" s="2" t="s">
        <v>1490</v>
      </c>
      <c r="L107" s="2" t="s">
        <v>1491</v>
      </c>
      <c r="M107" s="3" t="s">
        <v>1492</v>
      </c>
      <c r="O107" s="3" t="s">
        <v>65</v>
      </c>
      <c r="P107" s="3" t="s">
        <v>66</v>
      </c>
      <c r="R107" s="3" t="s">
        <v>68</v>
      </c>
      <c r="S107" s="4">
        <v>2</v>
      </c>
      <c r="T107" s="4">
        <v>2</v>
      </c>
      <c r="U107" s="5" t="s">
        <v>1493</v>
      </c>
      <c r="V107" s="5" t="s">
        <v>1493</v>
      </c>
      <c r="W107" s="5" t="s">
        <v>227</v>
      </c>
      <c r="X107" s="5" t="s">
        <v>227</v>
      </c>
      <c r="Y107" s="4">
        <v>28</v>
      </c>
      <c r="Z107" s="4">
        <v>22</v>
      </c>
      <c r="AA107" s="4">
        <v>732</v>
      </c>
      <c r="AB107" s="4">
        <v>2</v>
      </c>
      <c r="AC107" s="4">
        <v>4</v>
      </c>
      <c r="AD107" s="4">
        <v>3</v>
      </c>
      <c r="AE107" s="4">
        <v>31</v>
      </c>
      <c r="AF107" s="4">
        <v>1</v>
      </c>
      <c r="AG107" s="4">
        <v>12</v>
      </c>
      <c r="AH107" s="4">
        <v>1</v>
      </c>
      <c r="AI107" s="4">
        <v>7</v>
      </c>
      <c r="AJ107" s="4">
        <v>1</v>
      </c>
      <c r="AK107" s="4">
        <v>16</v>
      </c>
      <c r="AL107" s="4">
        <v>1</v>
      </c>
      <c r="AM107" s="4">
        <v>3</v>
      </c>
      <c r="AN107" s="4">
        <v>0</v>
      </c>
      <c r="AO107" s="4">
        <v>0</v>
      </c>
      <c r="AP107" s="3" t="s">
        <v>59</v>
      </c>
      <c r="AQ107" s="3" t="s">
        <v>59</v>
      </c>
      <c r="AS107" s="6" t="str">
        <f>HYPERLINK("https://creighton-primo.hosted.exlibrisgroup.com/primo-explore/search?tab=default_tab&amp;search_scope=EVERYTHING&amp;vid=01CRU&amp;lang=en_US&amp;offset=0&amp;query=any,contains,991000041309702656","Catalog Record")</f>
        <v>Catalog Record</v>
      </c>
      <c r="AT107" s="6" t="str">
        <f>HYPERLINK("http://www.worldcat.org/oclc/8654432","WorldCat Record")</f>
        <v>WorldCat Record</v>
      </c>
      <c r="AU107" s="3" t="s">
        <v>1494</v>
      </c>
      <c r="AV107" s="3" t="s">
        <v>1495</v>
      </c>
      <c r="AW107" s="3" t="s">
        <v>1496</v>
      </c>
      <c r="AX107" s="3" t="s">
        <v>1496</v>
      </c>
      <c r="AY107" s="3" t="s">
        <v>1497</v>
      </c>
      <c r="AZ107" s="3" t="s">
        <v>76</v>
      </c>
      <c r="BC107" s="3" t="s">
        <v>1498</v>
      </c>
      <c r="BD107" s="3" t="s">
        <v>1499</v>
      </c>
    </row>
    <row r="108" spans="1:56" ht="52.5" customHeight="1" x14ac:dyDescent="0.25">
      <c r="A108" s="7" t="s">
        <v>59</v>
      </c>
      <c r="B108" s="2" t="s">
        <v>1500</v>
      </c>
      <c r="C108" s="2" t="s">
        <v>1501</v>
      </c>
      <c r="D108" s="2" t="s">
        <v>1502</v>
      </c>
      <c r="F108" s="3" t="s">
        <v>59</v>
      </c>
      <c r="G108" s="3" t="s">
        <v>60</v>
      </c>
      <c r="H108" s="3" t="s">
        <v>59</v>
      </c>
      <c r="I108" s="3" t="s">
        <v>59</v>
      </c>
      <c r="J108" s="3" t="s">
        <v>61</v>
      </c>
      <c r="K108" s="2" t="s">
        <v>1503</v>
      </c>
      <c r="L108" s="2" t="s">
        <v>1504</v>
      </c>
      <c r="M108" s="3" t="s">
        <v>631</v>
      </c>
      <c r="O108" s="3" t="s">
        <v>65</v>
      </c>
      <c r="P108" s="3" t="s">
        <v>491</v>
      </c>
      <c r="R108" s="3" t="s">
        <v>68</v>
      </c>
      <c r="S108" s="4">
        <v>1</v>
      </c>
      <c r="T108" s="4">
        <v>1</v>
      </c>
      <c r="U108" s="5" t="s">
        <v>1505</v>
      </c>
      <c r="V108" s="5" t="s">
        <v>1505</v>
      </c>
      <c r="W108" s="5" t="s">
        <v>227</v>
      </c>
      <c r="X108" s="5" t="s">
        <v>227</v>
      </c>
      <c r="Y108" s="4">
        <v>75</v>
      </c>
      <c r="Z108" s="4">
        <v>67</v>
      </c>
      <c r="AA108" s="4">
        <v>76</v>
      </c>
      <c r="AB108" s="4">
        <v>1</v>
      </c>
      <c r="AC108" s="4">
        <v>1</v>
      </c>
      <c r="AD108" s="4">
        <v>17</v>
      </c>
      <c r="AE108" s="4">
        <v>17</v>
      </c>
      <c r="AF108" s="4">
        <v>4</v>
      </c>
      <c r="AG108" s="4">
        <v>4</v>
      </c>
      <c r="AH108" s="4">
        <v>5</v>
      </c>
      <c r="AI108" s="4">
        <v>5</v>
      </c>
      <c r="AJ108" s="4">
        <v>14</v>
      </c>
      <c r="AK108" s="4">
        <v>14</v>
      </c>
      <c r="AL108" s="4">
        <v>0</v>
      </c>
      <c r="AM108" s="4">
        <v>0</v>
      </c>
      <c r="AN108" s="4">
        <v>0</v>
      </c>
      <c r="AO108" s="4">
        <v>0</v>
      </c>
      <c r="AP108" s="3" t="s">
        <v>71</v>
      </c>
      <c r="AQ108" s="3" t="s">
        <v>59</v>
      </c>
      <c r="AR108" s="6" t="str">
        <f>HYPERLINK("http://catalog.hathitrust.org/Record/005767856","HathiTrust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HYPERLINK("https://creighton-primo.hosted.exlibrisgroup.com/primo-explore/search?tab=default_tab&amp;search_scope=EVERYTHING&amp;vid=01CRU&amp;lang=en_US&amp;offset=0&amp;query=any,contains,991003565979702656","Catalog Record")</f>
        <v>Catalog Record</v>
      </c>
      <c r="AT108" s="6" t="str">
        <f>HYPERLINK("http://www.worldcat.org/oclc/1138456","WorldCat Record")</f>
        <v>WorldCat Record</v>
      </c>
      <c r="AU108" s="3" t="s">
        <v>1506</v>
      </c>
      <c r="AV108" s="3" t="s">
        <v>1507</v>
      </c>
      <c r="AW108" s="3" t="s">
        <v>1508</v>
      </c>
      <c r="AX108" s="3" t="s">
        <v>1508</v>
      </c>
      <c r="AY108" s="3" t="s">
        <v>1509</v>
      </c>
      <c r="AZ108" s="3" t="s">
        <v>76</v>
      </c>
      <c r="BC108" s="3" t="s">
        <v>1510</v>
      </c>
      <c r="BD108" s="3" t="s">
        <v>1511</v>
      </c>
    </row>
    <row r="109" spans="1:56" ht="52.5" customHeight="1" x14ac:dyDescent="0.25">
      <c r="A109" s="7" t="s">
        <v>59</v>
      </c>
      <c r="B109" s="2" t="s">
        <v>1512</v>
      </c>
      <c r="C109" s="2" t="s">
        <v>1513</v>
      </c>
      <c r="D109" s="2" t="s">
        <v>1514</v>
      </c>
      <c r="F109" s="3" t="s">
        <v>59</v>
      </c>
      <c r="G109" s="3" t="s">
        <v>60</v>
      </c>
      <c r="H109" s="3" t="s">
        <v>59</v>
      </c>
      <c r="I109" s="3" t="s">
        <v>59</v>
      </c>
      <c r="J109" s="3" t="s">
        <v>61</v>
      </c>
      <c r="K109" s="2" t="s">
        <v>1515</v>
      </c>
      <c r="L109" s="2" t="s">
        <v>1216</v>
      </c>
      <c r="M109" s="3" t="s">
        <v>1404</v>
      </c>
      <c r="O109" s="3" t="s">
        <v>65</v>
      </c>
      <c r="P109" s="3" t="s">
        <v>1218</v>
      </c>
      <c r="R109" s="3" t="s">
        <v>68</v>
      </c>
      <c r="S109" s="4">
        <v>2</v>
      </c>
      <c r="T109" s="4">
        <v>2</v>
      </c>
      <c r="U109" s="5" t="s">
        <v>1516</v>
      </c>
      <c r="V109" s="5" t="s">
        <v>1516</v>
      </c>
      <c r="W109" s="5" t="s">
        <v>477</v>
      </c>
      <c r="X109" s="5" t="s">
        <v>477</v>
      </c>
      <c r="Y109" s="4">
        <v>814</v>
      </c>
      <c r="Z109" s="4">
        <v>813</v>
      </c>
      <c r="AA109" s="4">
        <v>871</v>
      </c>
      <c r="AB109" s="4">
        <v>8</v>
      </c>
      <c r="AC109" s="4">
        <v>9</v>
      </c>
      <c r="AD109" s="4">
        <v>19</v>
      </c>
      <c r="AE109" s="4">
        <v>20</v>
      </c>
      <c r="AF109" s="4">
        <v>8</v>
      </c>
      <c r="AG109" s="4">
        <v>9</v>
      </c>
      <c r="AH109" s="4">
        <v>3</v>
      </c>
      <c r="AI109" s="4">
        <v>3</v>
      </c>
      <c r="AJ109" s="4">
        <v>9</v>
      </c>
      <c r="AK109" s="4">
        <v>9</v>
      </c>
      <c r="AL109" s="4">
        <v>3</v>
      </c>
      <c r="AM109" s="4">
        <v>3</v>
      </c>
      <c r="AN109" s="4">
        <v>0</v>
      </c>
      <c r="AO109" s="4">
        <v>0</v>
      </c>
      <c r="AP109" s="3" t="s">
        <v>59</v>
      </c>
      <c r="AQ109" s="3" t="s">
        <v>59</v>
      </c>
      <c r="AS109" s="6" t="str">
        <f>HYPERLINK("https://creighton-primo.hosted.exlibrisgroup.com/primo-explore/search?tab=default_tab&amp;search_scope=EVERYTHING&amp;vid=01CRU&amp;lang=en_US&amp;offset=0&amp;query=any,contains,991000401589702656","Catalog Record")</f>
        <v>Catalog Record</v>
      </c>
      <c r="AT109" s="6" t="str">
        <f>HYPERLINK("http://www.worldcat.org/oclc/10612161","WorldCat Record")</f>
        <v>WorldCat Record</v>
      </c>
      <c r="AU109" s="3" t="s">
        <v>1517</v>
      </c>
      <c r="AV109" s="3" t="s">
        <v>1518</v>
      </c>
      <c r="AW109" s="3" t="s">
        <v>1519</v>
      </c>
      <c r="AX109" s="3" t="s">
        <v>1519</v>
      </c>
      <c r="AY109" s="3" t="s">
        <v>1520</v>
      </c>
      <c r="AZ109" s="3" t="s">
        <v>76</v>
      </c>
      <c r="BB109" s="3" t="s">
        <v>1521</v>
      </c>
      <c r="BC109" s="3" t="s">
        <v>1522</v>
      </c>
      <c r="BD109" s="3" t="s">
        <v>1523</v>
      </c>
    </row>
    <row r="110" spans="1:56" ht="52.5" customHeight="1" x14ac:dyDescent="0.25">
      <c r="A110" s="7" t="s">
        <v>59</v>
      </c>
      <c r="B110" s="2" t="s">
        <v>1524</v>
      </c>
      <c r="C110" s="2" t="s">
        <v>1525</v>
      </c>
      <c r="D110" s="2" t="s">
        <v>1526</v>
      </c>
      <c r="F110" s="3" t="s">
        <v>59</v>
      </c>
      <c r="G110" s="3" t="s">
        <v>60</v>
      </c>
      <c r="H110" s="3" t="s">
        <v>59</v>
      </c>
      <c r="I110" s="3" t="s">
        <v>59</v>
      </c>
      <c r="J110" s="3" t="s">
        <v>61</v>
      </c>
      <c r="K110" s="2" t="s">
        <v>1527</v>
      </c>
      <c r="L110" s="2" t="s">
        <v>1528</v>
      </c>
      <c r="M110" s="3" t="s">
        <v>1529</v>
      </c>
      <c r="O110" s="3" t="s">
        <v>65</v>
      </c>
      <c r="P110" s="3" t="s">
        <v>1530</v>
      </c>
      <c r="Q110" s="2" t="s">
        <v>1531</v>
      </c>
      <c r="R110" s="3" t="s">
        <v>68</v>
      </c>
      <c r="S110" s="4">
        <v>3</v>
      </c>
      <c r="T110" s="4">
        <v>3</v>
      </c>
      <c r="U110" s="5" t="s">
        <v>1532</v>
      </c>
      <c r="V110" s="5" t="s">
        <v>1532</v>
      </c>
      <c r="W110" s="5" t="s">
        <v>227</v>
      </c>
      <c r="X110" s="5" t="s">
        <v>227</v>
      </c>
      <c r="Y110" s="4">
        <v>158</v>
      </c>
      <c r="Z110" s="4">
        <v>134</v>
      </c>
      <c r="AA110" s="4">
        <v>159</v>
      </c>
      <c r="AB110" s="4">
        <v>2</v>
      </c>
      <c r="AC110" s="4">
        <v>2</v>
      </c>
      <c r="AD110" s="4">
        <v>23</v>
      </c>
      <c r="AE110" s="4">
        <v>23</v>
      </c>
      <c r="AF110" s="4">
        <v>7</v>
      </c>
      <c r="AG110" s="4">
        <v>7</v>
      </c>
      <c r="AH110" s="4">
        <v>4</v>
      </c>
      <c r="AI110" s="4">
        <v>4</v>
      </c>
      <c r="AJ110" s="4">
        <v>21</v>
      </c>
      <c r="AK110" s="4">
        <v>21</v>
      </c>
      <c r="AL110" s="4">
        <v>0</v>
      </c>
      <c r="AM110" s="4">
        <v>0</v>
      </c>
      <c r="AN110" s="4">
        <v>0</v>
      </c>
      <c r="AO110" s="4">
        <v>0</v>
      </c>
      <c r="AP110" s="3" t="s">
        <v>59</v>
      </c>
      <c r="AQ110" s="3" t="s">
        <v>59</v>
      </c>
      <c r="AS110" s="6" t="str">
        <f>HYPERLINK("https://creighton-primo.hosted.exlibrisgroup.com/primo-explore/search?tab=default_tab&amp;search_scope=EVERYTHING&amp;vid=01CRU&amp;lang=en_US&amp;offset=0&amp;query=any,contains,991003751779702656","Catalog Record")</f>
        <v>Catalog Record</v>
      </c>
      <c r="AT110" s="6" t="str">
        <f>HYPERLINK("http://www.worldcat.org/oclc/1429280","WorldCat Record")</f>
        <v>WorldCat Record</v>
      </c>
      <c r="AU110" s="3" t="s">
        <v>1533</v>
      </c>
      <c r="AV110" s="3" t="s">
        <v>1534</v>
      </c>
      <c r="AW110" s="3" t="s">
        <v>1535</v>
      </c>
      <c r="AX110" s="3" t="s">
        <v>1535</v>
      </c>
      <c r="AY110" s="3" t="s">
        <v>1536</v>
      </c>
      <c r="AZ110" s="3" t="s">
        <v>76</v>
      </c>
      <c r="BC110" s="3" t="s">
        <v>1537</v>
      </c>
      <c r="BD110" s="3" t="s">
        <v>1538</v>
      </c>
    </row>
    <row r="111" spans="1:56" ht="52.5" customHeight="1" x14ac:dyDescent="0.25">
      <c r="A111" s="7" t="s">
        <v>59</v>
      </c>
      <c r="B111" s="2" t="s">
        <v>1539</v>
      </c>
      <c r="C111" s="2" t="s">
        <v>1540</v>
      </c>
      <c r="D111" s="2" t="s">
        <v>1541</v>
      </c>
      <c r="F111" s="3" t="s">
        <v>59</v>
      </c>
      <c r="G111" s="3" t="s">
        <v>60</v>
      </c>
      <c r="H111" s="3" t="s">
        <v>59</v>
      </c>
      <c r="I111" s="3" t="s">
        <v>59</v>
      </c>
      <c r="J111" s="3" t="s">
        <v>61</v>
      </c>
      <c r="K111" s="2" t="s">
        <v>1542</v>
      </c>
      <c r="L111" s="2" t="s">
        <v>1543</v>
      </c>
      <c r="M111" s="3" t="s">
        <v>365</v>
      </c>
      <c r="O111" s="3" t="s">
        <v>65</v>
      </c>
      <c r="P111" s="3" t="s">
        <v>283</v>
      </c>
      <c r="R111" s="3" t="s">
        <v>68</v>
      </c>
      <c r="S111" s="4">
        <v>7</v>
      </c>
      <c r="T111" s="4">
        <v>7</v>
      </c>
      <c r="U111" s="5" t="s">
        <v>1544</v>
      </c>
      <c r="V111" s="5" t="s">
        <v>1544</v>
      </c>
      <c r="W111" s="5" t="s">
        <v>1545</v>
      </c>
      <c r="X111" s="5" t="s">
        <v>1545</v>
      </c>
      <c r="Y111" s="4">
        <v>750</v>
      </c>
      <c r="Z111" s="4">
        <v>666</v>
      </c>
      <c r="AA111" s="4">
        <v>937</v>
      </c>
      <c r="AB111" s="4">
        <v>5</v>
      </c>
      <c r="AC111" s="4">
        <v>5</v>
      </c>
      <c r="AD111" s="4">
        <v>29</v>
      </c>
      <c r="AE111" s="4">
        <v>42</v>
      </c>
      <c r="AF111" s="4">
        <v>11</v>
      </c>
      <c r="AG111" s="4">
        <v>19</v>
      </c>
      <c r="AH111" s="4">
        <v>6</v>
      </c>
      <c r="AI111" s="4">
        <v>10</v>
      </c>
      <c r="AJ111" s="4">
        <v>13</v>
      </c>
      <c r="AK111" s="4">
        <v>19</v>
      </c>
      <c r="AL111" s="4">
        <v>4</v>
      </c>
      <c r="AM111" s="4">
        <v>4</v>
      </c>
      <c r="AN111" s="4">
        <v>0</v>
      </c>
      <c r="AO111" s="4">
        <v>0</v>
      </c>
      <c r="AP111" s="3" t="s">
        <v>59</v>
      </c>
      <c r="AQ111" s="3" t="s">
        <v>71</v>
      </c>
      <c r="AR111" s="6" t="str">
        <f>HYPERLINK("http://catalog.hathitrust.org/Record/001831483","HathiTrust Record")</f>
        <v>HathiTrust Record</v>
      </c>
      <c r="AS111" s="6" t="str">
        <f>HYPERLINK("https://creighton-primo.hosted.exlibrisgroup.com/primo-explore/search?tab=default_tab&amp;search_scope=EVERYTHING&amp;vid=01CRU&amp;lang=en_US&amp;offset=0&amp;query=any,contains,991001507009702656","Catalog Record")</f>
        <v>Catalog Record</v>
      </c>
      <c r="AT111" s="6" t="str">
        <f>HYPERLINK("http://www.worldcat.org/oclc/19846847","WorldCat Record")</f>
        <v>WorldCat Record</v>
      </c>
      <c r="AU111" s="3" t="s">
        <v>1546</v>
      </c>
      <c r="AV111" s="3" t="s">
        <v>1547</v>
      </c>
      <c r="AW111" s="3" t="s">
        <v>1548</v>
      </c>
      <c r="AX111" s="3" t="s">
        <v>1548</v>
      </c>
      <c r="AY111" s="3" t="s">
        <v>1549</v>
      </c>
      <c r="AZ111" s="3" t="s">
        <v>76</v>
      </c>
      <c r="BB111" s="3" t="s">
        <v>1550</v>
      </c>
      <c r="BC111" s="3" t="s">
        <v>1551</v>
      </c>
      <c r="BD111" s="3" t="s">
        <v>1552</v>
      </c>
    </row>
    <row r="112" spans="1:56" ht="52.5" customHeight="1" x14ac:dyDescent="0.25">
      <c r="A112" s="7" t="s">
        <v>59</v>
      </c>
      <c r="B112" s="2" t="s">
        <v>1553</v>
      </c>
      <c r="C112" s="2" t="s">
        <v>1554</v>
      </c>
      <c r="D112" s="2" t="s">
        <v>1555</v>
      </c>
      <c r="F112" s="3" t="s">
        <v>59</v>
      </c>
      <c r="G112" s="3" t="s">
        <v>60</v>
      </c>
      <c r="H112" s="3" t="s">
        <v>59</v>
      </c>
      <c r="I112" s="3" t="s">
        <v>59</v>
      </c>
      <c r="J112" s="3" t="s">
        <v>61</v>
      </c>
      <c r="K112" s="2" t="s">
        <v>1556</v>
      </c>
      <c r="L112" s="2" t="s">
        <v>1557</v>
      </c>
      <c r="M112" s="3" t="s">
        <v>115</v>
      </c>
      <c r="O112" s="3" t="s">
        <v>65</v>
      </c>
      <c r="P112" s="3" t="s">
        <v>1290</v>
      </c>
      <c r="Q112" s="2" t="s">
        <v>1558</v>
      </c>
      <c r="R112" s="3" t="s">
        <v>68</v>
      </c>
      <c r="S112" s="4">
        <v>11</v>
      </c>
      <c r="T112" s="4">
        <v>11</v>
      </c>
      <c r="U112" s="5" t="s">
        <v>1559</v>
      </c>
      <c r="V112" s="5" t="s">
        <v>1559</v>
      </c>
      <c r="W112" s="5" t="s">
        <v>1560</v>
      </c>
      <c r="X112" s="5" t="s">
        <v>1560</v>
      </c>
      <c r="Y112" s="4">
        <v>238</v>
      </c>
      <c r="Z112" s="4">
        <v>200</v>
      </c>
      <c r="AA112" s="4">
        <v>279</v>
      </c>
      <c r="AB112" s="4">
        <v>1</v>
      </c>
      <c r="AC112" s="4">
        <v>2</v>
      </c>
      <c r="AD112" s="4">
        <v>8</v>
      </c>
      <c r="AE112" s="4">
        <v>11</v>
      </c>
      <c r="AF112" s="4">
        <v>4</v>
      </c>
      <c r="AG112" s="4">
        <v>5</v>
      </c>
      <c r="AH112" s="4">
        <v>1</v>
      </c>
      <c r="AI112" s="4">
        <v>1</v>
      </c>
      <c r="AJ112" s="4">
        <v>6</v>
      </c>
      <c r="AK112" s="4">
        <v>8</v>
      </c>
      <c r="AL112" s="4">
        <v>0</v>
      </c>
      <c r="AM112" s="4">
        <v>1</v>
      </c>
      <c r="AN112" s="4">
        <v>0</v>
      </c>
      <c r="AO112" s="4">
        <v>0</v>
      </c>
      <c r="AP112" s="3" t="s">
        <v>59</v>
      </c>
      <c r="AQ112" s="3" t="s">
        <v>71</v>
      </c>
      <c r="AR112" s="6" t="str">
        <f>HYPERLINK("http://catalog.hathitrust.org/Record/007412318","HathiTrust Record")</f>
        <v>HathiTrust Record</v>
      </c>
      <c r="AS112" s="6" t="str">
        <f>HYPERLINK("https://creighton-primo.hosted.exlibrisgroup.com/primo-explore/search?tab=default_tab&amp;search_scope=EVERYTHING&amp;vid=01CRU&amp;lang=en_US&amp;offset=0&amp;query=any,contains,991002295959702656","Catalog Record")</f>
        <v>Catalog Record</v>
      </c>
      <c r="AT112" s="6" t="str">
        <f>HYPERLINK("http://www.worldcat.org/oclc/315422","WorldCat Record")</f>
        <v>WorldCat Record</v>
      </c>
      <c r="AU112" s="3" t="s">
        <v>1561</v>
      </c>
      <c r="AV112" s="3" t="s">
        <v>1562</v>
      </c>
      <c r="AW112" s="3" t="s">
        <v>1563</v>
      </c>
      <c r="AX112" s="3" t="s">
        <v>1563</v>
      </c>
      <c r="AY112" s="3" t="s">
        <v>1564</v>
      </c>
      <c r="AZ112" s="3" t="s">
        <v>76</v>
      </c>
      <c r="BB112" s="3" t="s">
        <v>1565</v>
      </c>
      <c r="BC112" s="3" t="s">
        <v>1566</v>
      </c>
      <c r="BD112" s="3" t="s">
        <v>1567</v>
      </c>
    </row>
    <row r="113" spans="1:56" ht="52.5" customHeight="1" x14ac:dyDescent="0.25">
      <c r="A113" s="7" t="s">
        <v>59</v>
      </c>
      <c r="B113" s="2" t="s">
        <v>1568</v>
      </c>
      <c r="C113" s="2" t="s">
        <v>1569</v>
      </c>
      <c r="D113" s="2" t="s">
        <v>1570</v>
      </c>
      <c r="F113" s="3" t="s">
        <v>59</v>
      </c>
      <c r="G113" s="3" t="s">
        <v>60</v>
      </c>
      <c r="H113" s="3" t="s">
        <v>59</v>
      </c>
      <c r="I113" s="3" t="s">
        <v>59</v>
      </c>
      <c r="J113" s="3" t="s">
        <v>61</v>
      </c>
      <c r="K113" s="2" t="s">
        <v>1571</v>
      </c>
      <c r="L113" s="2" t="s">
        <v>1572</v>
      </c>
      <c r="M113" s="3" t="s">
        <v>148</v>
      </c>
      <c r="O113" s="3" t="s">
        <v>65</v>
      </c>
      <c r="P113" s="3" t="s">
        <v>66</v>
      </c>
      <c r="R113" s="3" t="s">
        <v>68</v>
      </c>
      <c r="S113" s="4">
        <v>6</v>
      </c>
      <c r="T113" s="4">
        <v>6</v>
      </c>
      <c r="U113" s="5" t="s">
        <v>1573</v>
      </c>
      <c r="V113" s="5" t="s">
        <v>1573</v>
      </c>
      <c r="W113" s="5" t="s">
        <v>1292</v>
      </c>
      <c r="X113" s="5" t="s">
        <v>1292</v>
      </c>
      <c r="Y113" s="4">
        <v>272</v>
      </c>
      <c r="Z113" s="4">
        <v>216</v>
      </c>
      <c r="AA113" s="4">
        <v>217</v>
      </c>
      <c r="AB113" s="4">
        <v>2</v>
      </c>
      <c r="AC113" s="4">
        <v>2</v>
      </c>
      <c r="AD113" s="4">
        <v>11</v>
      </c>
      <c r="AE113" s="4">
        <v>11</v>
      </c>
      <c r="AF113" s="4">
        <v>2</v>
      </c>
      <c r="AG113" s="4">
        <v>2</v>
      </c>
      <c r="AH113" s="4">
        <v>1</v>
      </c>
      <c r="AI113" s="4">
        <v>1</v>
      </c>
      <c r="AJ113" s="4">
        <v>6</v>
      </c>
      <c r="AK113" s="4">
        <v>6</v>
      </c>
      <c r="AL113" s="4">
        <v>1</v>
      </c>
      <c r="AM113" s="4">
        <v>1</v>
      </c>
      <c r="AN113" s="4">
        <v>3</v>
      </c>
      <c r="AO113" s="4">
        <v>3</v>
      </c>
      <c r="AP113" s="3" t="s">
        <v>59</v>
      </c>
      <c r="AQ113" s="3" t="s">
        <v>71</v>
      </c>
      <c r="AR113" s="6" t="str">
        <f>HYPERLINK("http://catalog.hathitrust.org/Record/004443741","HathiTrust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HYPERLINK("https://creighton-primo.hosted.exlibrisgroup.com/primo-explore/search?tab=default_tab&amp;search_scope=EVERYTHING&amp;vid=01CRU&amp;lang=en_US&amp;offset=0&amp;query=any,contains,991003719639702656","Catalog Record")</f>
        <v>Catalog Record</v>
      </c>
      <c r="AT113" s="6" t="str">
        <f>HYPERLINK("http://www.worldcat.org/oclc/1365236","WorldCat Record")</f>
        <v>WorldCat Record</v>
      </c>
      <c r="AU113" s="3" t="s">
        <v>1574</v>
      </c>
      <c r="AV113" s="3" t="s">
        <v>1575</v>
      </c>
      <c r="AW113" s="3" t="s">
        <v>1576</v>
      </c>
      <c r="AX113" s="3" t="s">
        <v>1576</v>
      </c>
      <c r="AY113" s="3" t="s">
        <v>1577</v>
      </c>
      <c r="AZ113" s="3" t="s">
        <v>76</v>
      </c>
      <c r="BB113" s="3" t="s">
        <v>1578</v>
      </c>
      <c r="BC113" s="3" t="s">
        <v>1579</v>
      </c>
      <c r="BD113" s="3" t="s">
        <v>1580</v>
      </c>
    </row>
    <row r="114" spans="1:56" ht="52.5" customHeight="1" x14ac:dyDescent="0.25">
      <c r="A114" s="7" t="s">
        <v>59</v>
      </c>
      <c r="B114" s="2" t="s">
        <v>1581</v>
      </c>
      <c r="C114" s="2" t="s">
        <v>1582</v>
      </c>
      <c r="D114" s="2" t="s">
        <v>1583</v>
      </c>
      <c r="F114" s="3" t="s">
        <v>59</v>
      </c>
      <c r="G114" s="3" t="s">
        <v>60</v>
      </c>
      <c r="H114" s="3" t="s">
        <v>59</v>
      </c>
      <c r="I114" s="3" t="s">
        <v>59</v>
      </c>
      <c r="J114" s="3" t="s">
        <v>61</v>
      </c>
      <c r="K114" s="2" t="s">
        <v>1584</v>
      </c>
      <c r="L114" s="2" t="s">
        <v>1585</v>
      </c>
      <c r="M114" s="3" t="s">
        <v>1586</v>
      </c>
      <c r="N114" s="2" t="s">
        <v>1587</v>
      </c>
      <c r="O114" s="3" t="s">
        <v>65</v>
      </c>
      <c r="P114" s="3" t="s">
        <v>1588</v>
      </c>
      <c r="R114" s="3" t="s">
        <v>68</v>
      </c>
      <c r="S114" s="4">
        <v>4</v>
      </c>
      <c r="T114" s="4">
        <v>4</v>
      </c>
      <c r="U114" s="5" t="s">
        <v>1589</v>
      </c>
      <c r="V114" s="5" t="s">
        <v>1589</v>
      </c>
      <c r="W114" s="5" t="s">
        <v>1292</v>
      </c>
      <c r="X114" s="5" t="s">
        <v>1292</v>
      </c>
      <c r="Y114" s="4">
        <v>159</v>
      </c>
      <c r="Z114" s="4">
        <v>141</v>
      </c>
      <c r="AA114" s="4">
        <v>342</v>
      </c>
      <c r="AB114" s="4">
        <v>1</v>
      </c>
      <c r="AC114" s="4">
        <v>3</v>
      </c>
      <c r="AD114" s="4">
        <v>7</v>
      </c>
      <c r="AE114" s="4">
        <v>13</v>
      </c>
      <c r="AF114" s="4">
        <v>3</v>
      </c>
      <c r="AG114" s="4">
        <v>5</v>
      </c>
      <c r="AH114" s="4">
        <v>1</v>
      </c>
      <c r="AI114" s="4">
        <v>1</v>
      </c>
      <c r="AJ114" s="4">
        <v>5</v>
      </c>
      <c r="AK114" s="4">
        <v>7</v>
      </c>
      <c r="AL114" s="4">
        <v>0</v>
      </c>
      <c r="AM114" s="4">
        <v>2</v>
      </c>
      <c r="AN114" s="4">
        <v>0</v>
      </c>
      <c r="AO114" s="4">
        <v>0</v>
      </c>
      <c r="AP114" s="3" t="s">
        <v>71</v>
      </c>
      <c r="AQ114" s="3" t="s">
        <v>59</v>
      </c>
      <c r="AR114" s="6" t="str">
        <f>HYPERLINK("http://catalog.hathitrust.org/Record/009063353","HathiTrust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HYPERLINK("https://creighton-primo.hosted.exlibrisgroup.com/primo-explore/search?tab=default_tab&amp;search_scope=EVERYTHING&amp;vid=01CRU&amp;lang=en_US&amp;offset=0&amp;query=any,contains,991003526989702656","Catalog Record")</f>
        <v>Catalog Record</v>
      </c>
      <c r="AT114" s="6" t="str">
        <f>HYPERLINK("http://www.worldcat.org/oclc/1090556","WorldCat Record")</f>
        <v>WorldCat Record</v>
      </c>
      <c r="AU114" s="3" t="s">
        <v>1590</v>
      </c>
      <c r="AV114" s="3" t="s">
        <v>1591</v>
      </c>
      <c r="AW114" s="3" t="s">
        <v>1592</v>
      </c>
      <c r="AX114" s="3" t="s">
        <v>1592</v>
      </c>
      <c r="AY114" s="3" t="s">
        <v>1593</v>
      </c>
      <c r="AZ114" s="3" t="s">
        <v>76</v>
      </c>
      <c r="BC114" s="3" t="s">
        <v>1594</v>
      </c>
      <c r="BD114" s="3" t="s">
        <v>1595</v>
      </c>
    </row>
    <row r="115" spans="1:56" ht="52.5" customHeight="1" x14ac:dyDescent="0.25">
      <c r="A115" s="7" t="s">
        <v>59</v>
      </c>
      <c r="B115" s="2" t="s">
        <v>1596</v>
      </c>
      <c r="C115" s="2" t="s">
        <v>1597</v>
      </c>
      <c r="D115" s="2" t="s">
        <v>1598</v>
      </c>
      <c r="F115" s="3" t="s">
        <v>59</v>
      </c>
      <c r="G115" s="3" t="s">
        <v>60</v>
      </c>
      <c r="H115" s="3" t="s">
        <v>59</v>
      </c>
      <c r="I115" s="3" t="s">
        <v>59</v>
      </c>
      <c r="J115" s="3" t="s">
        <v>61</v>
      </c>
      <c r="K115" s="2" t="s">
        <v>1599</v>
      </c>
      <c r="L115" s="2" t="s">
        <v>1600</v>
      </c>
      <c r="M115" s="3" t="s">
        <v>1601</v>
      </c>
      <c r="O115" s="3" t="s">
        <v>65</v>
      </c>
      <c r="P115" s="3" t="s">
        <v>491</v>
      </c>
      <c r="Q115" s="2" t="s">
        <v>1602</v>
      </c>
      <c r="R115" s="3" t="s">
        <v>68</v>
      </c>
      <c r="S115" s="4">
        <v>5</v>
      </c>
      <c r="T115" s="4">
        <v>5</v>
      </c>
      <c r="U115" s="5" t="s">
        <v>1603</v>
      </c>
      <c r="V115" s="5" t="s">
        <v>1603</v>
      </c>
      <c r="W115" s="5" t="s">
        <v>1604</v>
      </c>
      <c r="X115" s="5" t="s">
        <v>1604</v>
      </c>
      <c r="Y115" s="4">
        <v>198</v>
      </c>
      <c r="Z115" s="4">
        <v>170</v>
      </c>
      <c r="AA115" s="4">
        <v>172</v>
      </c>
      <c r="AB115" s="4">
        <v>2</v>
      </c>
      <c r="AC115" s="4">
        <v>2</v>
      </c>
      <c r="AD115" s="4">
        <v>16</v>
      </c>
      <c r="AE115" s="4">
        <v>16</v>
      </c>
      <c r="AF115" s="4">
        <v>3</v>
      </c>
      <c r="AG115" s="4">
        <v>3</v>
      </c>
      <c r="AH115" s="4">
        <v>3</v>
      </c>
      <c r="AI115" s="4">
        <v>3</v>
      </c>
      <c r="AJ115" s="4">
        <v>13</v>
      </c>
      <c r="AK115" s="4">
        <v>13</v>
      </c>
      <c r="AL115" s="4">
        <v>0</v>
      </c>
      <c r="AM115" s="4">
        <v>0</v>
      </c>
      <c r="AN115" s="4">
        <v>0</v>
      </c>
      <c r="AO115" s="4">
        <v>0</v>
      </c>
      <c r="AP115" s="3" t="s">
        <v>59</v>
      </c>
      <c r="AQ115" s="3" t="s">
        <v>71</v>
      </c>
      <c r="AR115" s="6" t="str">
        <f>HYPERLINK("http://catalog.hathitrust.org/Record/012270728","HathiTrust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HYPERLINK("https://creighton-primo.hosted.exlibrisgroup.com/primo-explore/search?tab=default_tab&amp;search_scope=EVERYTHING&amp;vid=01CRU&amp;lang=en_US&amp;offset=0&amp;query=any,contains,991002959089702656","Catalog Record")</f>
        <v>Catalog Record</v>
      </c>
      <c r="AT115" s="6" t="str">
        <f>HYPERLINK("http://www.worldcat.org/oclc/543233","WorldCat Record")</f>
        <v>WorldCat Record</v>
      </c>
      <c r="AU115" s="3" t="s">
        <v>1605</v>
      </c>
      <c r="AV115" s="3" t="s">
        <v>1606</v>
      </c>
      <c r="AW115" s="3" t="s">
        <v>1607</v>
      </c>
      <c r="AX115" s="3" t="s">
        <v>1607</v>
      </c>
      <c r="AY115" s="3" t="s">
        <v>1608</v>
      </c>
      <c r="AZ115" s="3" t="s">
        <v>76</v>
      </c>
      <c r="BC115" s="3" t="s">
        <v>1609</v>
      </c>
      <c r="BD115" s="3" t="s">
        <v>1610</v>
      </c>
    </row>
    <row r="116" spans="1:56" ht="52.5" customHeight="1" x14ac:dyDescent="0.25">
      <c r="A116" s="7" t="s">
        <v>59</v>
      </c>
      <c r="B116" s="2" t="s">
        <v>1611</v>
      </c>
      <c r="C116" s="2" t="s">
        <v>1612</v>
      </c>
      <c r="D116" s="2" t="s">
        <v>1613</v>
      </c>
      <c r="F116" s="3" t="s">
        <v>59</v>
      </c>
      <c r="G116" s="3" t="s">
        <v>60</v>
      </c>
      <c r="H116" s="3" t="s">
        <v>59</v>
      </c>
      <c r="I116" s="3" t="s">
        <v>59</v>
      </c>
      <c r="J116" s="3" t="s">
        <v>61</v>
      </c>
      <c r="K116" s="2" t="s">
        <v>1614</v>
      </c>
      <c r="L116" s="2" t="s">
        <v>1615</v>
      </c>
      <c r="M116" s="3" t="s">
        <v>131</v>
      </c>
      <c r="O116" s="3" t="s">
        <v>65</v>
      </c>
      <c r="P116" s="3" t="s">
        <v>66</v>
      </c>
      <c r="R116" s="3" t="s">
        <v>68</v>
      </c>
      <c r="S116" s="4">
        <v>2</v>
      </c>
      <c r="T116" s="4">
        <v>2</v>
      </c>
      <c r="U116" s="5" t="s">
        <v>1616</v>
      </c>
      <c r="V116" s="5" t="s">
        <v>1616</v>
      </c>
      <c r="W116" s="5" t="s">
        <v>1604</v>
      </c>
      <c r="X116" s="5" t="s">
        <v>1604</v>
      </c>
      <c r="Y116" s="4">
        <v>335</v>
      </c>
      <c r="Z116" s="4">
        <v>271</v>
      </c>
      <c r="AA116" s="4">
        <v>276</v>
      </c>
      <c r="AB116" s="4">
        <v>3</v>
      </c>
      <c r="AC116" s="4">
        <v>3</v>
      </c>
      <c r="AD116" s="4">
        <v>11</v>
      </c>
      <c r="AE116" s="4">
        <v>11</v>
      </c>
      <c r="AF116" s="4">
        <v>2</v>
      </c>
      <c r="AG116" s="4">
        <v>2</v>
      </c>
      <c r="AH116" s="4">
        <v>2</v>
      </c>
      <c r="AI116" s="4">
        <v>2</v>
      </c>
      <c r="AJ116" s="4">
        <v>6</v>
      </c>
      <c r="AK116" s="4">
        <v>6</v>
      </c>
      <c r="AL116" s="4">
        <v>2</v>
      </c>
      <c r="AM116" s="4">
        <v>2</v>
      </c>
      <c r="AN116" s="4">
        <v>2</v>
      </c>
      <c r="AO116" s="4">
        <v>2</v>
      </c>
      <c r="AP116" s="3" t="s">
        <v>59</v>
      </c>
      <c r="AQ116" s="3" t="s">
        <v>59</v>
      </c>
      <c r="AS116" s="6" t="str">
        <f>HYPERLINK("https://creighton-primo.hosted.exlibrisgroup.com/primo-explore/search?tab=default_tab&amp;search_scope=EVERYTHING&amp;vid=01CRU&amp;lang=en_US&amp;offset=0&amp;query=any,contains,991003013899702656","Catalog Record")</f>
        <v>Catalog Record</v>
      </c>
      <c r="AT116" s="6" t="str">
        <f>HYPERLINK("http://www.worldcat.org/oclc/579604","WorldCat Record")</f>
        <v>WorldCat Record</v>
      </c>
      <c r="AU116" s="3" t="s">
        <v>1617</v>
      </c>
      <c r="AV116" s="3" t="s">
        <v>1618</v>
      </c>
      <c r="AW116" s="3" t="s">
        <v>1619</v>
      </c>
      <c r="AX116" s="3" t="s">
        <v>1619</v>
      </c>
      <c r="AY116" s="3" t="s">
        <v>1620</v>
      </c>
      <c r="AZ116" s="3" t="s">
        <v>76</v>
      </c>
      <c r="BB116" s="3" t="s">
        <v>1621</v>
      </c>
      <c r="BC116" s="3" t="s">
        <v>1622</v>
      </c>
      <c r="BD116" s="3" t="s">
        <v>1623</v>
      </c>
    </row>
    <row r="117" spans="1:56" ht="52.5" customHeight="1" x14ac:dyDescent="0.25">
      <c r="A117" s="7" t="s">
        <v>59</v>
      </c>
      <c r="B117" s="2" t="s">
        <v>1624</v>
      </c>
      <c r="C117" s="2" t="s">
        <v>1625</v>
      </c>
      <c r="D117" s="2" t="s">
        <v>1626</v>
      </c>
      <c r="F117" s="3" t="s">
        <v>59</v>
      </c>
      <c r="G117" s="3" t="s">
        <v>60</v>
      </c>
      <c r="H117" s="3" t="s">
        <v>59</v>
      </c>
      <c r="I117" s="3" t="s">
        <v>59</v>
      </c>
      <c r="J117" s="3" t="s">
        <v>61</v>
      </c>
      <c r="K117" s="2" t="s">
        <v>363</v>
      </c>
      <c r="L117" s="2" t="s">
        <v>1627</v>
      </c>
      <c r="M117" s="3" t="s">
        <v>514</v>
      </c>
      <c r="O117" s="3" t="s">
        <v>65</v>
      </c>
      <c r="P117" s="3" t="s">
        <v>66</v>
      </c>
      <c r="R117" s="3" t="s">
        <v>68</v>
      </c>
      <c r="S117" s="4">
        <v>16</v>
      </c>
      <c r="T117" s="4">
        <v>16</v>
      </c>
      <c r="U117" s="5" t="s">
        <v>526</v>
      </c>
      <c r="V117" s="5" t="s">
        <v>526</v>
      </c>
      <c r="W117" s="5" t="s">
        <v>311</v>
      </c>
      <c r="X117" s="5" t="s">
        <v>311</v>
      </c>
      <c r="Y117" s="4">
        <v>949</v>
      </c>
      <c r="Z117" s="4">
        <v>855</v>
      </c>
      <c r="AA117" s="4">
        <v>878</v>
      </c>
      <c r="AB117" s="4">
        <v>5</v>
      </c>
      <c r="AC117" s="4">
        <v>5</v>
      </c>
      <c r="AD117" s="4">
        <v>29</v>
      </c>
      <c r="AE117" s="4">
        <v>29</v>
      </c>
      <c r="AF117" s="4">
        <v>12</v>
      </c>
      <c r="AG117" s="4">
        <v>12</v>
      </c>
      <c r="AH117" s="4">
        <v>4</v>
      </c>
      <c r="AI117" s="4">
        <v>4</v>
      </c>
      <c r="AJ117" s="4">
        <v>17</v>
      </c>
      <c r="AK117" s="4">
        <v>17</v>
      </c>
      <c r="AL117" s="4">
        <v>4</v>
      </c>
      <c r="AM117" s="4">
        <v>4</v>
      </c>
      <c r="AN117" s="4">
        <v>0</v>
      </c>
      <c r="AO117" s="4">
        <v>0</v>
      </c>
      <c r="AP117" s="3" t="s">
        <v>59</v>
      </c>
      <c r="AQ117" s="3" t="s">
        <v>71</v>
      </c>
      <c r="AR117" s="6" t="str">
        <f>HYPERLINK("http://catalog.hathitrust.org/Record/000474822","HathiTrust Record")</f>
        <v>HathiTrust Record</v>
      </c>
      <c r="AS117" s="6" t="str">
        <f>HYPERLINK("https://creighton-primo.hosted.exlibrisgroup.com/primo-explore/search?tab=default_tab&amp;search_scope=EVERYTHING&amp;vid=01CRU&amp;lang=en_US&amp;offset=0&amp;query=any,contains,991003182079702656","Catalog Record")</f>
        <v>Catalog Record</v>
      </c>
      <c r="AT117" s="6" t="str">
        <f>HYPERLINK("http://www.worldcat.org/oclc/711949","WorldCat Record")</f>
        <v>WorldCat Record</v>
      </c>
      <c r="AU117" s="3" t="s">
        <v>1628</v>
      </c>
      <c r="AV117" s="3" t="s">
        <v>1629</v>
      </c>
      <c r="AW117" s="3" t="s">
        <v>1630</v>
      </c>
      <c r="AX117" s="3" t="s">
        <v>1630</v>
      </c>
      <c r="AY117" s="3" t="s">
        <v>1631</v>
      </c>
      <c r="AZ117" s="3" t="s">
        <v>76</v>
      </c>
      <c r="BC117" s="3" t="s">
        <v>1632</v>
      </c>
      <c r="BD117" s="3" t="s">
        <v>1633</v>
      </c>
    </row>
    <row r="118" spans="1:56" ht="52.5" customHeight="1" x14ac:dyDescent="0.25">
      <c r="A118" s="7" t="s">
        <v>59</v>
      </c>
      <c r="B118" s="2" t="s">
        <v>1634</v>
      </c>
      <c r="C118" s="2" t="s">
        <v>1635</v>
      </c>
      <c r="D118" s="2" t="s">
        <v>1636</v>
      </c>
      <c r="F118" s="3" t="s">
        <v>59</v>
      </c>
      <c r="G118" s="3" t="s">
        <v>60</v>
      </c>
      <c r="H118" s="3" t="s">
        <v>59</v>
      </c>
      <c r="I118" s="3" t="s">
        <v>59</v>
      </c>
      <c r="J118" s="3" t="s">
        <v>61</v>
      </c>
      <c r="K118" s="2" t="s">
        <v>363</v>
      </c>
      <c r="L118" s="2" t="s">
        <v>1637</v>
      </c>
      <c r="M118" s="3" t="s">
        <v>164</v>
      </c>
      <c r="O118" s="3" t="s">
        <v>65</v>
      </c>
      <c r="P118" s="3" t="s">
        <v>66</v>
      </c>
      <c r="R118" s="3" t="s">
        <v>68</v>
      </c>
      <c r="S118" s="4">
        <v>19</v>
      </c>
      <c r="T118" s="4">
        <v>19</v>
      </c>
      <c r="U118" s="5" t="s">
        <v>226</v>
      </c>
      <c r="V118" s="5" t="s">
        <v>226</v>
      </c>
      <c r="W118" s="5" t="s">
        <v>1638</v>
      </c>
      <c r="X118" s="5" t="s">
        <v>1638</v>
      </c>
      <c r="Y118" s="4">
        <v>947</v>
      </c>
      <c r="Z118" s="4">
        <v>864</v>
      </c>
      <c r="AA118" s="4">
        <v>869</v>
      </c>
      <c r="AB118" s="4">
        <v>5</v>
      </c>
      <c r="AC118" s="4">
        <v>5</v>
      </c>
      <c r="AD118" s="4">
        <v>28</v>
      </c>
      <c r="AE118" s="4">
        <v>28</v>
      </c>
      <c r="AF118" s="4">
        <v>17</v>
      </c>
      <c r="AG118" s="4">
        <v>17</v>
      </c>
      <c r="AH118" s="4">
        <v>4</v>
      </c>
      <c r="AI118" s="4">
        <v>4</v>
      </c>
      <c r="AJ118" s="4">
        <v>10</v>
      </c>
      <c r="AK118" s="4">
        <v>10</v>
      </c>
      <c r="AL118" s="4">
        <v>3</v>
      </c>
      <c r="AM118" s="4">
        <v>3</v>
      </c>
      <c r="AN118" s="4">
        <v>0</v>
      </c>
      <c r="AO118" s="4">
        <v>0</v>
      </c>
      <c r="AP118" s="3" t="s">
        <v>59</v>
      </c>
      <c r="AQ118" s="3" t="s">
        <v>71</v>
      </c>
      <c r="AR118" s="6" t="str">
        <f>HYPERLINK("http://catalog.hathitrust.org/Record/000728395","HathiTrust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HYPERLINK("https://creighton-primo.hosted.exlibrisgroup.com/primo-explore/search?tab=default_tab&amp;search_scope=EVERYTHING&amp;vid=01CRU&amp;lang=en_US&amp;offset=0&amp;query=any,contains,991004899089702656","Catalog Record")</f>
        <v>Catalog Record</v>
      </c>
      <c r="AT118" s="6" t="str">
        <f>HYPERLINK("http://www.worldcat.org/oclc/5914504","WorldCat Record")</f>
        <v>WorldCat Record</v>
      </c>
      <c r="AU118" s="3" t="s">
        <v>1639</v>
      </c>
      <c r="AV118" s="3" t="s">
        <v>1640</v>
      </c>
      <c r="AW118" s="3" t="s">
        <v>1641</v>
      </c>
      <c r="AX118" s="3" t="s">
        <v>1641</v>
      </c>
      <c r="AY118" s="3" t="s">
        <v>1642</v>
      </c>
      <c r="AZ118" s="3" t="s">
        <v>76</v>
      </c>
      <c r="BB118" s="3" t="s">
        <v>1643</v>
      </c>
      <c r="BC118" s="3" t="s">
        <v>1644</v>
      </c>
      <c r="BD118" s="3" t="s">
        <v>1645</v>
      </c>
    </row>
    <row r="119" spans="1:56" ht="52.5" customHeight="1" x14ac:dyDescent="0.25">
      <c r="A119" s="7" t="s">
        <v>59</v>
      </c>
      <c r="B119" s="2" t="s">
        <v>1646</v>
      </c>
      <c r="C119" s="2" t="s">
        <v>1647</v>
      </c>
      <c r="D119" s="2" t="s">
        <v>1648</v>
      </c>
      <c r="F119" s="3" t="s">
        <v>59</v>
      </c>
      <c r="G119" s="3" t="s">
        <v>60</v>
      </c>
      <c r="H119" s="3" t="s">
        <v>59</v>
      </c>
      <c r="I119" s="3" t="s">
        <v>59</v>
      </c>
      <c r="J119" s="3" t="s">
        <v>61</v>
      </c>
      <c r="K119" s="2" t="s">
        <v>1649</v>
      </c>
      <c r="L119" s="2" t="s">
        <v>1650</v>
      </c>
      <c r="M119" s="3" t="s">
        <v>1015</v>
      </c>
      <c r="N119" s="2" t="s">
        <v>1651</v>
      </c>
      <c r="O119" s="3" t="s">
        <v>65</v>
      </c>
      <c r="P119" s="3" t="s">
        <v>771</v>
      </c>
      <c r="R119" s="3" t="s">
        <v>68</v>
      </c>
      <c r="S119" s="4">
        <v>3</v>
      </c>
      <c r="T119" s="4">
        <v>3</v>
      </c>
      <c r="U119" s="5" t="s">
        <v>1652</v>
      </c>
      <c r="V119" s="5" t="s">
        <v>1652</v>
      </c>
      <c r="W119" s="5" t="s">
        <v>1653</v>
      </c>
      <c r="X119" s="5" t="s">
        <v>1653</v>
      </c>
      <c r="Y119" s="4">
        <v>181</v>
      </c>
      <c r="Z119" s="4">
        <v>172</v>
      </c>
      <c r="AA119" s="4">
        <v>268</v>
      </c>
      <c r="AB119" s="4">
        <v>5</v>
      </c>
      <c r="AC119" s="4">
        <v>5</v>
      </c>
      <c r="AD119" s="4">
        <v>7</v>
      </c>
      <c r="AE119" s="4">
        <v>12</v>
      </c>
      <c r="AF119" s="4">
        <v>1</v>
      </c>
      <c r="AG119" s="4">
        <v>1</v>
      </c>
      <c r="AH119" s="4">
        <v>2</v>
      </c>
      <c r="AI119" s="4">
        <v>3</v>
      </c>
      <c r="AJ119" s="4">
        <v>1</v>
      </c>
      <c r="AK119" s="4">
        <v>6</v>
      </c>
      <c r="AL119" s="4">
        <v>4</v>
      </c>
      <c r="AM119" s="4">
        <v>4</v>
      </c>
      <c r="AN119" s="4">
        <v>0</v>
      </c>
      <c r="AO119" s="4">
        <v>0</v>
      </c>
      <c r="AP119" s="3" t="s">
        <v>59</v>
      </c>
      <c r="AQ119" s="3" t="s">
        <v>59</v>
      </c>
      <c r="AS119" s="6" t="str">
        <f>HYPERLINK("https://creighton-primo.hosted.exlibrisgroup.com/primo-explore/search?tab=default_tab&amp;search_scope=EVERYTHING&amp;vid=01CRU&amp;lang=en_US&amp;offset=0&amp;query=any,contains,991002763319702656","Catalog Record")</f>
        <v>Catalog Record</v>
      </c>
      <c r="AT119" s="6" t="str">
        <f>HYPERLINK("http://www.worldcat.org/oclc/430589","WorldCat Record")</f>
        <v>WorldCat Record</v>
      </c>
      <c r="AU119" s="3" t="s">
        <v>1654</v>
      </c>
      <c r="AV119" s="3" t="s">
        <v>1655</v>
      </c>
      <c r="AW119" s="3" t="s">
        <v>1656</v>
      </c>
      <c r="AX119" s="3" t="s">
        <v>1656</v>
      </c>
      <c r="AY119" s="3" t="s">
        <v>1657</v>
      </c>
      <c r="AZ119" s="3" t="s">
        <v>76</v>
      </c>
      <c r="BC119" s="3" t="s">
        <v>1658</v>
      </c>
      <c r="BD119" s="3" t="s">
        <v>1659</v>
      </c>
    </row>
    <row r="120" spans="1:56" ht="52.5" customHeight="1" x14ac:dyDescent="0.25">
      <c r="A120" s="7" t="s">
        <v>59</v>
      </c>
      <c r="B120" s="2" t="s">
        <v>1660</v>
      </c>
      <c r="C120" s="2" t="s">
        <v>1661</v>
      </c>
      <c r="D120" s="2" t="s">
        <v>1662</v>
      </c>
      <c r="F120" s="3" t="s">
        <v>59</v>
      </c>
      <c r="G120" s="3" t="s">
        <v>60</v>
      </c>
      <c r="H120" s="3" t="s">
        <v>59</v>
      </c>
      <c r="I120" s="3" t="s">
        <v>71</v>
      </c>
      <c r="J120" s="3" t="s">
        <v>61</v>
      </c>
      <c r="K120" s="2" t="s">
        <v>1663</v>
      </c>
      <c r="L120" s="2" t="s">
        <v>1664</v>
      </c>
      <c r="M120" s="3" t="s">
        <v>254</v>
      </c>
      <c r="N120" s="2" t="s">
        <v>435</v>
      </c>
      <c r="O120" s="3" t="s">
        <v>65</v>
      </c>
      <c r="P120" s="3" t="s">
        <v>66</v>
      </c>
      <c r="R120" s="3" t="s">
        <v>68</v>
      </c>
      <c r="S120" s="4">
        <v>6</v>
      </c>
      <c r="T120" s="4">
        <v>6</v>
      </c>
      <c r="U120" s="5" t="s">
        <v>1665</v>
      </c>
      <c r="V120" s="5" t="s">
        <v>1665</v>
      </c>
      <c r="W120" s="5" t="s">
        <v>1666</v>
      </c>
      <c r="X120" s="5" t="s">
        <v>1666</v>
      </c>
      <c r="Y120" s="4">
        <v>610</v>
      </c>
      <c r="Z120" s="4">
        <v>548</v>
      </c>
      <c r="AA120" s="4">
        <v>615</v>
      </c>
      <c r="AB120" s="4">
        <v>7</v>
      </c>
      <c r="AC120" s="4">
        <v>7</v>
      </c>
      <c r="AD120" s="4">
        <v>22</v>
      </c>
      <c r="AE120" s="4">
        <v>24</v>
      </c>
      <c r="AF120" s="4">
        <v>8</v>
      </c>
      <c r="AG120" s="4">
        <v>10</v>
      </c>
      <c r="AH120" s="4">
        <v>2</v>
      </c>
      <c r="AI120" s="4">
        <v>2</v>
      </c>
      <c r="AJ120" s="4">
        <v>12</v>
      </c>
      <c r="AK120" s="4">
        <v>12</v>
      </c>
      <c r="AL120" s="4">
        <v>6</v>
      </c>
      <c r="AM120" s="4">
        <v>6</v>
      </c>
      <c r="AN120" s="4">
        <v>0</v>
      </c>
      <c r="AO120" s="4">
        <v>0</v>
      </c>
      <c r="AP120" s="3" t="s">
        <v>59</v>
      </c>
      <c r="AQ120" s="3" t="s">
        <v>71</v>
      </c>
      <c r="AR120" s="6" t="str">
        <f>HYPERLINK("http://catalog.hathitrust.org/Record/000474875","HathiTrust Record")</f>
        <v>HathiTrust Record</v>
      </c>
      <c r="AS120" s="6" t="str">
        <f>HYPERLINK("https://creighton-primo.hosted.exlibrisgroup.com/primo-explore/search?tab=default_tab&amp;search_scope=EVERYTHING&amp;vid=01CRU&amp;lang=en_US&amp;offset=0&amp;query=any,contains,991000002369702656","Catalog Record")</f>
        <v>Catalog Record</v>
      </c>
      <c r="AT120" s="6" t="str">
        <f>HYPERLINK("http://www.worldcat.org/oclc/11039","WorldCat Record")</f>
        <v>WorldCat Record</v>
      </c>
      <c r="AU120" s="3" t="s">
        <v>1667</v>
      </c>
      <c r="AV120" s="3" t="s">
        <v>1668</v>
      </c>
      <c r="AW120" s="3" t="s">
        <v>1669</v>
      </c>
      <c r="AX120" s="3" t="s">
        <v>1669</v>
      </c>
      <c r="AY120" s="3" t="s">
        <v>1670</v>
      </c>
      <c r="AZ120" s="3" t="s">
        <v>76</v>
      </c>
      <c r="BC120" s="3" t="s">
        <v>1671</v>
      </c>
      <c r="BD120" s="3" t="s">
        <v>1672</v>
      </c>
    </row>
    <row r="121" spans="1:56" ht="52.5" customHeight="1" x14ac:dyDescent="0.25">
      <c r="A121" s="7" t="s">
        <v>59</v>
      </c>
      <c r="B121" s="2" t="s">
        <v>1673</v>
      </c>
      <c r="C121" s="2" t="s">
        <v>1674</v>
      </c>
      <c r="D121" s="2" t="s">
        <v>1675</v>
      </c>
      <c r="F121" s="3" t="s">
        <v>59</v>
      </c>
      <c r="G121" s="3" t="s">
        <v>60</v>
      </c>
      <c r="H121" s="3" t="s">
        <v>59</v>
      </c>
      <c r="I121" s="3" t="s">
        <v>59</v>
      </c>
      <c r="J121" s="3" t="s">
        <v>61</v>
      </c>
      <c r="K121" s="2" t="s">
        <v>1676</v>
      </c>
      <c r="L121" s="2" t="s">
        <v>1677</v>
      </c>
      <c r="M121" s="3" t="s">
        <v>756</v>
      </c>
      <c r="O121" s="3" t="s">
        <v>65</v>
      </c>
      <c r="P121" s="3" t="s">
        <v>1262</v>
      </c>
      <c r="Q121" s="2" t="s">
        <v>1263</v>
      </c>
      <c r="R121" s="3" t="s">
        <v>68</v>
      </c>
      <c r="S121" s="4">
        <v>13</v>
      </c>
      <c r="T121" s="4">
        <v>13</v>
      </c>
      <c r="U121" s="5" t="s">
        <v>226</v>
      </c>
      <c r="V121" s="5" t="s">
        <v>226</v>
      </c>
      <c r="W121" s="5" t="s">
        <v>1653</v>
      </c>
      <c r="X121" s="5" t="s">
        <v>1653</v>
      </c>
      <c r="Y121" s="4">
        <v>312</v>
      </c>
      <c r="Z121" s="4">
        <v>247</v>
      </c>
      <c r="AA121" s="4">
        <v>368</v>
      </c>
      <c r="AB121" s="4">
        <v>2</v>
      </c>
      <c r="AC121" s="4">
        <v>3</v>
      </c>
      <c r="AD121" s="4">
        <v>11</v>
      </c>
      <c r="AE121" s="4">
        <v>16</v>
      </c>
      <c r="AF121" s="4">
        <v>3</v>
      </c>
      <c r="AG121" s="4">
        <v>4</v>
      </c>
      <c r="AH121" s="4">
        <v>2</v>
      </c>
      <c r="AI121" s="4">
        <v>3</v>
      </c>
      <c r="AJ121" s="4">
        <v>7</v>
      </c>
      <c r="AK121" s="4">
        <v>9</v>
      </c>
      <c r="AL121" s="4">
        <v>1</v>
      </c>
      <c r="AM121" s="4">
        <v>2</v>
      </c>
      <c r="AN121" s="4">
        <v>0</v>
      </c>
      <c r="AO121" s="4">
        <v>0</v>
      </c>
      <c r="AP121" s="3" t="s">
        <v>59</v>
      </c>
      <c r="AQ121" s="3" t="s">
        <v>59</v>
      </c>
      <c r="AS121" s="6" t="str">
        <f>HYPERLINK("https://creighton-primo.hosted.exlibrisgroup.com/primo-explore/search?tab=default_tab&amp;search_scope=EVERYTHING&amp;vid=01CRU&amp;lang=en_US&amp;offset=0&amp;query=any,contains,991002893709702656","Catalog Record")</f>
        <v>Catalog Record</v>
      </c>
      <c r="AT121" s="6" t="str">
        <f>HYPERLINK("http://www.worldcat.org/oclc/512808","WorldCat Record")</f>
        <v>WorldCat Record</v>
      </c>
      <c r="AU121" s="3" t="s">
        <v>1678</v>
      </c>
      <c r="AV121" s="3" t="s">
        <v>1679</v>
      </c>
      <c r="AW121" s="3" t="s">
        <v>1680</v>
      </c>
      <c r="AX121" s="3" t="s">
        <v>1680</v>
      </c>
      <c r="AY121" s="3" t="s">
        <v>1681</v>
      </c>
      <c r="AZ121" s="3" t="s">
        <v>76</v>
      </c>
      <c r="BC121" s="3" t="s">
        <v>1682</v>
      </c>
      <c r="BD121" s="3" t="s">
        <v>1683</v>
      </c>
    </row>
    <row r="122" spans="1:56" ht="52.5" customHeight="1" x14ac:dyDescent="0.25">
      <c r="A122" s="7" t="s">
        <v>59</v>
      </c>
      <c r="B122" s="2" t="s">
        <v>1684</v>
      </c>
      <c r="C122" s="2" t="s">
        <v>1685</v>
      </c>
      <c r="D122" s="2" t="s">
        <v>1686</v>
      </c>
      <c r="F122" s="3" t="s">
        <v>59</v>
      </c>
      <c r="G122" s="3" t="s">
        <v>60</v>
      </c>
      <c r="H122" s="3" t="s">
        <v>59</v>
      </c>
      <c r="I122" s="3" t="s">
        <v>59</v>
      </c>
      <c r="J122" s="3" t="s">
        <v>61</v>
      </c>
      <c r="K122" s="2" t="s">
        <v>1687</v>
      </c>
      <c r="L122" s="2" t="s">
        <v>1688</v>
      </c>
      <c r="M122" s="3" t="s">
        <v>148</v>
      </c>
      <c r="O122" s="3" t="s">
        <v>65</v>
      </c>
      <c r="P122" s="3" t="s">
        <v>296</v>
      </c>
      <c r="R122" s="3" t="s">
        <v>68</v>
      </c>
      <c r="S122" s="4">
        <v>11</v>
      </c>
      <c r="T122" s="4">
        <v>11</v>
      </c>
      <c r="U122" s="5" t="s">
        <v>1219</v>
      </c>
      <c r="V122" s="5" t="s">
        <v>1219</v>
      </c>
      <c r="W122" s="5" t="s">
        <v>324</v>
      </c>
      <c r="X122" s="5" t="s">
        <v>324</v>
      </c>
      <c r="Y122" s="4">
        <v>416</v>
      </c>
      <c r="Z122" s="4">
        <v>363</v>
      </c>
      <c r="AA122" s="4">
        <v>376</v>
      </c>
      <c r="AB122" s="4">
        <v>4</v>
      </c>
      <c r="AC122" s="4">
        <v>4</v>
      </c>
      <c r="AD122" s="4">
        <v>14</v>
      </c>
      <c r="AE122" s="4">
        <v>14</v>
      </c>
      <c r="AF122" s="4">
        <v>4</v>
      </c>
      <c r="AG122" s="4">
        <v>4</v>
      </c>
      <c r="AH122" s="4">
        <v>4</v>
      </c>
      <c r="AI122" s="4">
        <v>4</v>
      </c>
      <c r="AJ122" s="4">
        <v>5</v>
      </c>
      <c r="AK122" s="4">
        <v>5</v>
      </c>
      <c r="AL122" s="4">
        <v>3</v>
      </c>
      <c r="AM122" s="4">
        <v>3</v>
      </c>
      <c r="AN122" s="4">
        <v>0</v>
      </c>
      <c r="AO122" s="4">
        <v>0</v>
      </c>
      <c r="AP122" s="3" t="s">
        <v>59</v>
      </c>
      <c r="AQ122" s="3" t="s">
        <v>59</v>
      </c>
      <c r="AS122" s="6" t="str">
        <f>HYPERLINK("https://creighton-primo.hosted.exlibrisgroup.com/primo-explore/search?tab=default_tab&amp;search_scope=EVERYTHING&amp;vid=01CRU&amp;lang=en_US&amp;offset=0&amp;query=any,contains,991004010529702656","Catalog Record")</f>
        <v>Catalog Record</v>
      </c>
      <c r="AT122" s="6" t="str">
        <f>HYPERLINK("http://www.worldcat.org/oclc/2090908","WorldCat Record")</f>
        <v>WorldCat Record</v>
      </c>
      <c r="AU122" s="3" t="s">
        <v>1689</v>
      </c>
      <c r="AV122" s="3" t="s">
        <v>1690</v>
      </c>
      <c r="AW122" s="3" t="s">
        <v>1691</v>
      </c>
      <c r="AX122" s="3" t="s">
        <v>1691</v>
      </c>
      <c r="AY122" s="3" t="s">
        <v>1692</v>
      </c>
      <c r="AZ122" s="3" t="s">
        <v>76</v>
      </c>
      <c r="BB122" s="3" t="s">
        <v>1693</v>
      </c>
      <c r="BC122" s="3" t="s">
        <v>1694</v>
      </c>
      <c r="BD122" s="3" t="s">
        <v>1695</v>
      </c>
    </row>
    <row r="123" spans="1:56" ht="52.5" customHeight="1" x14ac:dyDescent="0.25">
      <c r="A123" s="7" t="s">
        <v>59</v>
      </c>
      <c r="B123" s="2" t="s">
        <v>1696</v>
      </c>
      <c r="C123" s="2" t="s">
        <v>1697</v>
      </c>
      <c r="D123" s="2" t="s">
        <v>1698</v>
      </c>
      <c r="F123" s="3" t="s">
        <v>59</v>
      </c>
      <c r="G123" s="3" t="s">
        <v>60</v>
      </c>
      <c r="H123" s="3" t="s">
        <v>59</v>
      </c>
      <c r="I123" s="3" t="s">
        <v>59</v>
      </c>
      <c r="J123" s="3" t="s">
        <v>61</v>
      </c>
      <c r="K123" s="2" t="s">
        <v>1699</v>
      </c>
      <c r="L123" s="2" t="s">
        <v>1700</v>
      </c>
      <c r="M123" s="3" t="s">
        <v>195</v>
      </c>
      <c r="O123" s="3" t="s">
        <v>65</v>
      </c>
      <c r="P123" s="3" t="s">
        <v>66</v>
      </c>
      <c r="R123" s="3" t="s">
        <v>68</v>
      </c>
      <c r="S123" s="4">
        <v>3</v>
      </c>
      <c r="T123" s="4">
        <v>3</v>
      </c>
      <c r="U123" s="5" t="s">
        <v>1701</v>
      </c>
      <c r="V123" s="5" t="s">
        <v>1701</v>
      </c>
      <c r="W123" s="5" t="s">
        <v>1702</v>
      </c>
      <c r="X123" s="5" t="s">
        <v>1702</v>
      </c>
      <c r="Y123" s="4">
        <v>288</v>
      </c>
      <c r="Z123" s="4">
        <v>255</v>
      </c>
      <c r="AA123" s="4">
        <v>262</v>
      </c>
      <c r="AB123" s="4">
        <v>3</v>
      </c>
      <c r="AC123" s="4">
        <v>3</v>
      </c>
      <c r="AD123" s="4">
        <v>7</v>
      </c>
      <c r="AE123" s="4">
        <v>7</v>
      </c>
      <c r="AF123" s="4">
        <v>3</v>
      </c>
      <c r="AG123" s="4">
        <v>3</v>
      </c>
      <c r="AH123" s="4">
        <v>0</v>
      </c>
      <c r="AI123" s="4">
        <v>0</v>
      </c>
      <c r="AJ123" s="4">
        <v>3</v>
      </c>
      <c r="AK123" s="4">
        <v>3</v>
      </c>
      <c r="AL123" s="4">
        <v>2</v>
      </c>
      <c r="AM123" s="4">
        <v>2</v>
      </c>
      <c r="AN123" s="4">
        <v>0</v>
      </c>
      <c r="AO123" s="4">
        <v>0</v>
      </c>
      <c r="AP123" s="3" t="s">
        <v>59</v>
      </c>
      <c r="AQ123" s="3" t="s">
        <v>71</v>
      </c>
      <c r="AR123" s="6" t="str">
        <f>HYPERLINK("http://catalog.hathitrust.org/Record/000221550","HathiTrust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HYPERLINK("https://creighton-primo.hosted.exlibrisgroup.com/primo-explore/search?tab=default_tab&amp;search_scope=EVERYTHING&amp;vid=01CRU&amp;lang=en_US&amp;offset=0&amp;query=any,contains,991005116209702656","Catalog Record")</f>
        <v>Catalog Record</v>
      </c>
      <c r="AT123" s="6" t="str">
        <f>HYPERLINK("http://www.worldcat.org/oclc/7462653","WorldCat Record")</f>
        <v>WorldCat Record</v>
      </c>
      <c r="AU123" s="3" t="s">
        <v>1703</v>
      </c>
      <c r="AV123" s="3" t="s">
        <v>1704</v>
      </c>
      <c r="AW123" s="3" t="s">
        <v>1705</v>
      </c>
      <c r="AX123" s="3" t="s">
        <v>1705</v>
      </c>
      <c r="AY123" s="3" t="s">
        <v>1706</v>
      </c>
      <c r="AZ123" s="3" t="s">
        <v>76</v>
      </c>
      <c r="BB123" s="3" t="s">
        <v>1707</v>
      </c>
      <c r="BC123" s="3" t="s">
        <v>1708</v>
      </c>
      <c r="BD123" s="3" t="s">
        <v>1709</v>
      </c>
    </row>
    <row r="124" spans="1:56" ht="52.5" customHeight="1" x14ac:dyDescent="0.25">
      <c r="A124" s="7" t="s">
        <v>59</v>
      </c>
      <c r="B124" s="2" t="s">
        <v>1710</v>
      </c>
      <c r="C124" s="2" t="s">
        <v>1711</v>
      </c>
      <c r="D124" s="2" t="s">
        <v>1712</v>
      </c>
      <c r="F124" s="3" t="s">
        <v>59</v>
      </c>
      <c r="G124" s="3" t="s">
        <v>60</v>
      </c>
      <c r="H124" s="3" t="s">
        <v>59</v>
      </c>
      <c r="I124" s="3" t="s">
        <v>59</v>
      </c>
      <c r="J124" s="3" t="s">
        <v>61</v>
      </c>
      <c r="K124" s="2" t="s">
        <v>1713</v>
      </c>
      <c r="L124" s="2" t="s">
        <v>1714</v>
      </c>
      <c r="M124" s="3" t="s">
        <v>224</v>
      </c>
      <c r="O124" s="3" t="s">
        <v>65</v>
      </c>
      <c r="P124" s="3" t="s">
        <v>66</v>
      </c>
      <c r="R124" s="3" t="s">
        <v>68</v>
      </c>
      <c r="S124" s="4">
        <v>5</v>
      </c>
      <c r="T124" s="4">
        <v>5</v>
      </c>
      <c r="U124" s="5" t="s">
        <v>1715</v>
      </c>
      <c r="V124" s="5" t="s">
        <v>1715</v>
      </c>
      <c r="W124" s="5" t="s">
        <v>1442</v>
      </c>
      <c r="X124" s="5" t="s">
        <v>1442</v>
      </c>
      <c r="Y124" s="4">
        <v>375</v>
      </c>
      <c r="Z124" s="4">
        <v>325</v>
      </c>
      <c r="AA124" s="4">
        <v>336</v>
      </c>
      <c r="AB124" s="4">
        <v>2</v>
      </c>
      <c r="AC124" s="4">
        <v>2</v>
      </c>
      <c r="AD124" s="4">
        <v>13</v>
      </c>
      <c r="AE124" s="4">
        <v>13</v>
      </c>
      <c r="AF124" s="4">
        <v>4</v>
      </c>
      <c r="AG124" s="4">
        <v>4</v>
      </c>
      <c r="AH124" s="4">
        <v>3</v>
      </c>
      <c r="AI124" s="4">
        <v>3</v>
      </c>
      <c r="AJ124" s="4">
        <v>9</v>
      </c>
      <c r="AK124" s="4">
        <v>9</v>
      </c>
      <c r="AL124" s="4">
        <v>1</v>
      </c>
      <c r="AM124" s="4">
        <v>1</v>
      </c>
      <c r="AN124" s="4">
        <v>0</v>
      </c>
      <c r="AO124" s="4">
        <v>0</v>
      </c>
      <c r="AP124" s="3" t="s">
        <v>59</v>
      </c>
      <c r="AQ124" s="3" t="s">
        <v>71</v>
      </c>
      <c r="AR124" s="6" t="str">
        <f>HYPERLINK("http://catalog.hathitrust.org/Record/000474892","HathiTrust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HYPERLINK("https://creighton-primo.hosted.exlibrisgroup.com/primo-explore/search?tab=default_tab&amp;search_scope=EVERYTHING&amp;vid=01CRU&amp;lang=en_US&amp;offset=0&amp;query=any,contains,991004106259702656","Catalog Record")</f>
        <v>Catalog Record</v>
      </c>
      <c r="AT124" s="6" t="str">
        <f>HYPERLINK("http://www.worldcat.org/oclc/2385691","WorldCat Record")</f>
        <v>WorldCat Record</v>
      </c>
      <c r="AU124" s="3" t="s">
        <v>1716</v>
      </c>
      <c r="AV124" s="3" t="s">
        <v>1717</v>
      </c>
      <c r="AW124" s="3" t="s">
        <v>1718</v>
      </c>
      <c r="AX124" s="3" t="s">
        <v>1718</v>
      </c>
      <c r="AY124" s="3" t="s">
        <v>1719</v>
      </c>
      <c r="AZ124" s="3" t="s">
        <v>76</v>
      </c>
      <c r="BC124" s="3" t="s">
        <v>1720</v>
      </c>
      <c r="BD124" s="3" t="s">
        <v>1721</v>
      </c>
    </row>
    <row r="125" spans="1:56" ht="52.5" customHeight="1" x14ac:dyDescent="0.25">
      <c r="A125" s="7" t="s">
        <v>59</v>
      </c>
      <c r="B125" s="2" t="s">
        <v>1722</v>
      </c>
      <c r="C125" s="2" t="s">
        <v>1723</v>
      </c>
      <c r="D125" s="2" t="s">
        <v>1724</v>
      </c>
      <c r="F125" s="3" t="s">
        <v>59</v>
      </c>
      <c r="G125" s="3" t="s">
        <v>60</v>
      </c>
      <c r="H125" s="3" t="s">
        <v>59</v>
      </c>
      <c r="I125" s="3" t="s">
        <v>59</v>
      </c>
      <c r="J125" s="3" t="s">
        <v>61</v>
      </c>
      <c r="K125" s="2" t="s">
        <v>1725</v>
      </c>
      <c r="L125" s="2" t="s">
        <v>1726</v>
      </c>
      <c r="M125" s="3" t="s">
        <v>684</v>
      </c>
      <c r="O125" s="3" t="s">
        <v>65</v>
      </c>
      <c r="P125" s="3" t="s">
        <v>296</v>
      </c>
      <c r="R125" s="3" t="s">
        <v>68</v>
      </c>
      <c r="S125" s="4">
        <v>5</v>
      </c>
      <c r="T125" s="4">
        <v>5</v>
      </c>
      <c r="U125" s="5" t="s">
        <v>1727</v>
      </c>
      <c r="V125" s="5" t="s">
        <v>1727</v>
      </c>
      <c r="W125" s="5" t="s">
        <v>477</v>
      </c>
      <c r="X125" s="5" t="s">
        <v>477</v>
      </c>
      <c r="Y125" s="4">
        <v>363</v>
      </c>
      <c r="Z125" s="4">
        <v>337</v>
      </c>
      <c r="AA125" s="4">
        <v>339</v>
      </c>
      <c r="AB125" s="4">
        <v>3</v>
      </c>
      <c r="AC125" s="4">
        <v>3</v>
      </c>
      <c r="AD125" s="4">
        <v>9</v>
      </c>
      <c r="AE125" s="4">
        <v>9</v>
      </c>
      <c r="AF125" s="4">
        <v>2</v>
      </c>
      <c r="AG125" s="4">
        <v>2</v>
      </c>
      <c r="AH125" s="4">
        <v>1</v>
      </c>
      <c r="AI125" s="4">
        <v>1</v>
      </c>
      <c r="AJ125" s="4">
        <v>6</v>
      </c>
      <c r="AK125" s="4">
        <v>6</v>
      </c>
      <c r="AL125" s="4">
        <v>2</v>
      </c>
      <c r="AM125" s="4">
        <v>2</v>
      </c>
      <c r="AN125" s="4">
        <v>0</v>
      </c>
      <c r="AO125" s="4">
        <v>0</v>
      </c>
      <c r="AP125" s="3" t="s">
        <v>59</v>
      </c>
      <c r="AQ125" s="3" t="s">
        <v>71</v>
      </c>
      <c r="AR125" s="6" t="str">
        <f>HYPERLINK("http://catalog.hathitrust.org/Record/000129146","HathiTrust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HYPERLINK("https://creighton-primo.hosted.exlibrisgroup.com/primo-explore/search?tab=default_tab&amp;search_scope=EVERYTHING&amp;vid=01CRU&amp;lang=en_US&amp;offset=0&amp;query=any,contains,991004928169702656","Catalog Record")</f>
        <v>Catalog Record</v>
      </c>
      <c r="AT125" s="6" t="str">
        <f>HYPERLINK("http://www.worldcat.org/oclc/6087774","WorldCat Record")</f>
        <v>WorldCat Record</v>
      </c>
      <c r="AU125" s="3" t="s">
        <v>1728</v>
      </c>
      <c r="AV125" s="3" t="s">
        <v>1729</v>
      </c>
      <c r="AW125" s="3" t="s">
        <v>1730</v>
      </c>
      <c r="AX125" s="3" t="s">
        <v>1730</v>
      </c>
      <c r="AY125" s="3" t="s">
        <v>1731</v>
      </c>
      <c r="AZ125" s="3" t="s">
        <v>76</v>
      </c>
      <c r="BB125" s="3" t="s">
        <v>1732</v>
      </c>
      <c r="BC125" s="3" t="s">
        <v>1733</v>
      </c>
      <c r="BD125" s="3" t="s">
        <v>1734</v>
      </c>
    </row>
    <row r="126" spans="1:56" ht="52.5" customHeight="1" x14ac:dyDescent="0.25">
      <c r="A126" s="7" t="s">
        <v>59</v>
      </c>
      <c r="B126" s="2" t="s">
        <v>1735</v>
      </c>
      <c r="C126" s="2" t="s">
        <v>1736</v>
      </c>
      <c r="D126" s="2" t="s">
        <v>1737</v>
      </c>
      <c r="F126" s="3" t="s">
        <v>59</v>
      </c>
      <c r="G126" s="3" t="s">
        <v>60</v>
      </c>
      <c r="H126" s="3" t="s">
        <v>59</v>
      </c>
      <c r="I126" s="3" t="s">
        <v>59</v>
      </c>
      <c r="J126" s="3" t="s">
        <v>61</v>
      </c>
      <c r="K126" s="2" t="s">
        <v>1738</v>
      </c>
      <c r="L126" s="2" t="s">
        <v>1739</v>
      </c>
      <c r="M126" s="3" t="s">
        <v>309</v>
      </c>
      <c r="O126" s="3" t="s">
        <v>65</v>
      </c>
      <c r="P126" s="3" t="s">
        <v>66</v>
      </c>
      <c r="R126" s="3" t="s">
        <v>68</v>
      </c>
      <c r="S126" s="4">
        <v>18</v>
      </c>
      <c r="T126" s="4">
        <v>18</v>
      </c>
      <c r="U126" s="5" t="s">
        <v>1740</v>
      </c>
      <c r="V126" s="5" t="s">
        <v>1740</v>
      </c>
      <c r="W126" s="5" t="s">
        <v>1343</v>
      </c>
      <c r="X126" s="5" t="s">
        <v>1343</v>
      </c>
      <c r="Y126" s="4">
        <v>209</v>
      </c>
      <c r="Z126" s="4">
        <v>192</v>
      </c>
      <c r="AA126" s="4">
        <v>199</v>
      </c>
      <c r="AB126" s="4">
        <v>2</v>
      </c>
      <c r="AC126" s="4">
        <v>2</v>
      </c>
      <c r="AD126" s="4">
        <v>4</v>
      </c>
      <c r="AE126" s="4">
        <v>4</v>
      </c>
      <c r="AF126" s="4">
        <v>2</v>
      </c>
      <c r="AG126" s="4">
        <v>2</v>
      </c>
      <c r="AH126" s="4">
        <v>0</v>
      </c>
      <c r="AI126" s="4">
        <v>0</v>
      </c>
      <c r="AJ126" s="4">
        <v>3</v>
      </c>
      <c r="AK126" s="4">
        <v>3</v>
      </c>
      <c r="AL126" s="4">
        <v>0</v>
      </c>
      <c r="AM126" s="4">
        <v>0</v>
      </c>
      <c r="AN126" s="4">
        <v>0</v>
      </c>
      <c r="AO126" s="4">
        <v>0</v>
      </c>
      <c r="AP126" s="3" t="s">
        <v>59</v>
      </c>
      <c r="AQ126" s="3" t="s">
        <v>59</v>
      </c>
      <c r="AS126" s="6" t="str">
        <f>HYPERLINK("https://creighton-primo.hosted.exlibrisgroup.com/primo-explore/search?tab=default_tab&amp;search_scope=EVERYTHING&amp;vid=01CRU&amp;lang=en_US&amp;offset=0&amp;query=any,contains,991004488619702656","Catalog Record")</f>
        <v>Catalog Record</v>
      </c>
      <c r="AT126" s="6" t="str">
        <f>HYPERLINK("http://www.worldcat.org/oclc/3650310","WorldCat Record")</f>
        <v>WorldCat Record</v>
      </c>
      <c r="AU126" s="3" t="s">
        <v>1741</v>
      </c>
      <c r="AV126" s="3" t="s">
        <v>1742</v>
      </c>
      <c r="AW126" s="3" t="s">
        <v>1743</v>
      </c>
      <c r="AX126" s="3" t="s">
        <v>1743</v>
      </c>
      <c r="AY126" s="3" t="s">
        <v>1744</v>
      </c>
      <c r="AZ126" s="3" t="s">
        <v>76</v>
      </c>
      <c r="BB126" s="3" t="s">
        <v>1745</v>
      </c>
      <c r="BC126" s="3" t="s">
        <v>1746</v>
      </c>
      <c r="BD126" s="3" t="s">
        <v>1747</v>
      </c>
    </row>
    <row r="127" spans="1:56" ht="52.5" customHeight="1" x14ac:dyDescent="0.25">
      <c r="A127" s="7" t="s">
        <v>59</v>
      </c>
      <c r="B127" s="2" t="s">
        <v>1748</v>
      </c>
      <c r="C127" s="2" t="s">
        <v>1749</v>
      </c>
      <c r="D127" s="2" t="s">
        <v>1750</v>
      </c>
      <c r="F127" s="3" t="s">
        <v>59</v>
      </c>
      <c r="G127" s="3" t="s">
        <v>60</v>
      </c>
      <c r="H127" s="3" t="s">
        <v>59</v>
      </c>
      <c r="I127" s="3" t="s">
        <v>59</v>
      </c>
      <c r="J127" s="3" t="s">
        <v>61</v>
      </c>
      <c r="L127" s="2" t="s">
        <v>1751</v>
      </c>
      <c r="M127" s="3" t="s">
        <v>100</v>
      </c>
      <c r="O127" s="3" t="s">
        <v>65</v>
      </c>
      <c r="P127" s="3" t="s">
        <v>296</v>
      </c>
      <c r="R127" s="3" t="s">
        <v>68</v>
      </c>
      <c r="S127" s="4">
        <v>4</v>
      </c>
      <c r="T127" s="4">
        <v>4</v>
      </c>
      <c r="U127" s="5" t="s">
        <v>1752</v>
      </c>
      <c r="V127" s="5" t="s">
        <v>1752</v>
      </c>
      <c r="W127" s="5" t="s">
        <v>1292</v>
      </c>
      <c r="X127" s="5" t="s">
        <v>1292</v>
      </c>
      <c r="Y127" s="4">
        <v>151</v>
      </c>
      <c r="Z127" s="4">
        <v>117</v>
      </c>
      <c r="AA127" s="4">
        <v>117</v>
      </c>
      <c r="AB127" s="4">
        <v>3</v>
      </c>
      <c r="AC127" s="4">
        <v>3</v>
      </c>
      <c r="AD127" s="4">
        <v>5</v>
      </c>
      <c r="AE127" s="4">
        <v>5</v>
      </c>
      <c r="AF127" s="4">
        <v>2</v>
      </c>
      <c r="AG127" s="4">
        <v>2</v>
      </c>
      <c r="AH127" s="4">
        <v>1</v>
      </c>
      <c r="AI127" s="4">
        <v>1</v>
      </c>
      <c r="AJ127" s="4">
        <v>2</v>
      </c>
      <c r="AK127" s="4">
        <v>2</v>
      </c>
      <c r="AL127" s="4">
        <v>0</v>
      </c>
      <c r="AM127" s="4">
        <v>0</v>
      </c>
      <c r="AN127" s="4">
        <v>0</v>
      </c>
      <c r="AO127" s="4">
        <v>0</v>
      </c>
      <c r="AP127" s="3" t="s">
        <v>59</v>
      </c>
      <c r="AQ127" s="3" t="s">
        <v>59</v>
      </c>
      <c r="AS127" s="6" t="str">
        <f>HYPERLINK("https://creighton-primo.hosted.exlibrisgroup.com/primo-explore/search?tab=default_tab&amp;search_scope=EVERYTHING&amp;vid=01CRU&amp;lang=en_US&amp;offset=0&amp;query=any,contains,991000813539702656","Catalog Record")</f>
        <v>Catalog Record</v>
      </c>
      <c r="AT127" s="6" t="str">
        <f>HYPERLINK("http://www.worldcat.org/oclc/141493","WorldCat Record")</f>
        <v>WorldCat Record</v>
      </c>
      <c r="AU127" s="3" t="s">
        <v>1753</v>
      </c>
      <c r="AV127" s="3" t="s">
        <v>1754</v>
      </c>
      <c r="AW127" s="3" t="s">
        <v>1755</v>
      </c>
      <c r="AX127" s="3" t="s">
        <v>1755</v>
      </c>
      <c r="AY127" s="3" t="s">
        <v>1756</v>
      </c>
      <c r="AZ127" s="3" t="s">
        <v>76</v>
      </c>
      <c r="BC127" s="3" t="s">
        <v>1757</v>
      </c>
      <c r="BD127" s="3" t="s">
        <v>1758</v>
      </c>
    </row>
    <row r="128" spans="1:56" ht="52.5" customHeight="1" x14ac:dyDescent="0.25">
      <c r="A128" s="7" t="s">
        <v>59</v>
      </c>
      <c r="B128" s="2" t="s">
        <v>1759</v>
      </c>
      <c r="C128" s="2" t="s">
        <v>1760</v>
      </c>
      <c r="D128" s="2" t="s">
        <v>1761</v>
      </c>
      <c r="F128" s="3" t="s">
        <v>59</v>
      </c>
      <c r="G128" s="3" t="s">
        <v>60</v>
      </c>
      <c r="H128" s="3" t="s">
        <v>59</v>
      </c>
      <c r="I128" s="3" t="s">
        <v>59</v>
      </c>
      <c r="J128" s="3" t="s">
        <v>61</v>
      </c>
      <c r="K128" s="2" t="s">
        <v>1762</v>
      </c>
      <c r="L128" s="2" t="s">
        <v>1763</v>
      </c>
      <c r="M128" s="3" t="s">
        <v>756</v>
      </c>
      <c r="N128" s="2" t="s">
        <v>1764</v>
      </c>
      <c r="O128" s="3" t="s">
        <v>65</v>
      </c>
      <c r="P128" s="3" t="s">
        <v>66</v>
      </c>
      <c r="R128" s="3" t="s">
        <v>68</v>
      </c>
      <c r="S128" s="4">
        <v>9</v>
      </c>
      <c r="T128" s="4">
        <v>9</v>
      </c>
      <c r="U128" s="5" t="s">
        <v>1765</v>
      </c>
      <c r="V128" s="5" t="s">
        <v>1765</v>
      </c>
      <c r="W128" s="5" t="s">
        <v>1766</v>
      </c>
      <c r="X128" s="5" t="s">
        <v>1766</v>
      </c>
      <c r="Y128" s="4">
        <v>318</v>
      </c>
      <c r="Z128" s="4">
        <v>308</v>
      </c>
      <c r="AA128" s="4">
        <v>552</v>
      </c>
      <c r="AB128" s="4">
        <v>1</v>
      </c>
      <c r="AC128" s="4">
        <v>3</v>
      </c>
      <c r="AD128" s="4">
        <v>6</v>
      </c>
      <c r="AE128" s="4">
        <v>14</v>
      </c>
      <c r="AF128" s="4">
        <v>4</v>
      </c>
      <c r="AG128" s="4">
        <v>6</v>
      </c>
      <c r="AH128" s="4">
        <v>0</v>
      </c>
      <c r="AI128" s="4">
        <v>0</v>
      </c>
      <c r="AJ128" s="4">
        <v>6</v>
      </c>
      <c r="AK128" s="4">
        <v>11</v>
      </c>
      <c r="AL128" s="4">
        <v>0</v>
      </c>
      <c r="AM128" s="4">
        <v>1</v>
      </c>
      <c r="AN128" s="4">
        <v>0</v>
      </c>
      <c r="AO128" s="4">
        <v>0</v>
      </c>
      <c r="AP128" s="3" t="s">
        <v>59</v>
      </c>
      <c r="AQ128" s="3" t="s">
        <v>59</v>
      </c>
      <c r="AS128" s="6" t="str">
        <f>HYPERLINK("https://creighton-primo.hosted.exlibrisgroup.com/primo-explore/search?tab=default_tab&amp;search_scope=EVERYTHING&amp;vid=01CRU&amp;lang=en_US&amp;offset=0&amp;query=any,contains,991003142249702656","Catalog Record")</f>
        <v>Catalog Record</v>
      </c>
      <c r="AT128" s="6" t="str">
        <f>HYPERLINK("http://www.worldcat.org/oclc/683551","WorldCat Record")</f>
        <v>WorldCat Record</v>
      </c>
      <c r="AU128" s="3" t="s">
        <v>1767</v>
      </c>
      <c r="AV128" s="3" t="s">
        <v>1768</v>
      </c>
      <c r="AW128" s="3" t="s">
        <v>1769</v>
      </c>
      <c r="AX128" s="3" t="s">
        <v>1769</v>
      </c>
      <c r="AY128" s="3" t="s">
        <v>1770</v>
      </c>
      <c r="AZ128" s="3" t="s">
        <v>76</v>
      </c>
      <c r="BC128" s="3" t="s">
        <v>1771</v>
      </c>
      <c r="BD128" s="3" t="s">
        <v>1772</v>
      </c>
    </row>
    <row r="129" spans="1:56" ht="52.5" customHeight="1" x14ac:dyDescent="0.25">
      <c r="A129" s="7" t="s">
        <v>59</v>
      </c>
      <c r="B129" s="2" t="s">
        <v>1773</v>
      </c>
      <c r="C129" s="2" t="s">
        <v>1774</v>
      </c>
      <c r="D129" s="2" t="s">
        <v>1775</v>
      </c>
      <c r="F129" s="3" t="s">
        <v>59</v>
      </c>
      <c r="G129" s="3" t="s">
        <v>60</v>
      </c>
      <c r="H129" s="3" t="s">
        <v>59</v>
      </c>
      <c r="I129" s="3" t="s">
        <v>59</v>
      </c>
      <c r="J129" s="3" t="s">
        <v>61</v>
      </c>
      <c r="K129" s="2" t="s">
        <v>1776</v>
      </c>
      <c r="L129" s="2" t="s">
        <v>1777</v>
      </c>
      <c r="M129" s="3" t="s">
        <v>987</v>
      </c>
      <c r="O129" s="3" t="s">
        <v>65</v>
      </c>
      <c r="P129" s="3" t="s">
        <v>66</v>
      </c>
      <c r="R129" s="3" t="s">
        <v>68</v>
      </c>
      <c r="S129" s="4">
        <v>15</v>
      </c>
      <c r="T129" s="4">
        <v>15</v>
      </c>
      <c r="U129" s="5" t="s">
        <v>1778</v>
      </c>
      <c r="V129" s="5" t="s">
        <v>1778</v>
      </c>
      <c r="W129" s="5" t="s">
        <v>1653</v>
      </c>
      <c r="X129" s="5" t="s">
        <v>1653</v>
      </c>
      <c r="Y129" s="4">
        <v>578</v>
      </c>
      <c r="Z129" s="4">
        <v>548</v>
      </c>
      <c r="AA129" s="4">
        <v>550</v>
      </c>
      <c r="AB129" s="4">
        <v>5</v>
      </c>
      <c r="AC129" s="4">
        <v>5</v>
      </c>
      <c r="AD129" s="4">
        <v>9</v>
      </c>
      <c r="AE129" s="4">
        <v>9</v>
      </c>
      <c r="AF129" s="4">
        <v>3</v>
      </c>
      <c r="AG129" s="4">
        <v>3</v>
      </c>
      <c r="AH129" s="4">
        <v>1</v>
      </c>
      <c r="AI129" s="4">
        <v>1</v>
      </c>
      <c r="AJ129" s="4">
        <v>3</v>
      </c>
      <c r="AK129" s="4">
        <v>3</v>
      </c>
      <c r="AL129" s="4">
        <v>4</v>
      </c>
      <c r="AM129" s="4">
        <v>4</v>
      </c>
      <c r="AN129" s="4">
        <v>0</v>
      </c>
      <c r="AO129" s="4">
        <v>0</v>
      </c>
      <c r="AP129" s="3" t="s">
        <v>59</v>
      </c>
      <c r="AQ129" s="3" t="s">
        <v>71</v>
      </c>
      <c r="AR129" s="6" t="str">
        <f>HYPERLINK("http://catalog.hathitrust.org/Record/000475256","HathiTrust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HYPERLINK("https://creighton-primo.hosted.exlibrisgroup.com/primo-explore/search?tab=default_tab&amp;search_scope=EVERYTHING&amp;vid=01CRU&amp;lang=en_US&amp;offset=0&amp;query=any,contains,991000596179702656","Catalog Record")</f>
        <v>Catalog Record</v>
      </c>
      <c r="AT129" s="6" t="str">
        <f>HYPERLINK("http://www.worldcat.org/oclc/97063","WorldCat Record")</f>
        <v>WorldCat Record</v>
      </c>
      <c r="AU129" s="3" t="s">
        <v>1779</v>
      </c>
      <c r="AV129" s="3" t="s">
        <v>1780</v>
      </c>
      <c r="AW129" s="3" t="s">
        <v>1781</v>
      </c>
      <c r="AX129" s="3" t="s">
        <v>1781</v>
      </c>
      <c r="AY129" s="3" t="s">
        <v>1782</v>
      </c>
      <c r="AZ129" s="3" t="s">
        <v>76</v>
      </c>
      <c r="BB129" s="3" t="s">
        <v>1783</v>
      </c>
      <c r="BC129" s="3" t="s">
        <v>1784</v>
      </c>
      <c r="BD129" s="3" t="s">
        <v>1785</v>
      </c>
    </row>
    <row r="130" spans="1:56" ht="52.5" customHeight="1" x14ac:dyDescent="0.25">
      <c r="A130" s="7" t="s">
        <v>59</v>
      </c>
      <c r="B130" s="2" t="s">
        <v>1786</v>
      </c>
      <c r="C130" s="2" t="s">
        <v>1787</v>
      </c>
      <c r="D130" s="2" t="s">
        <v>1788</v>
      </c>
      <c r="F130" s="3" t="s">
        <v>59</v>
      </c>
      <c r="G130" s="3" t="s">
        <v>60</v>
      </c>
      <c r="H130" s="3" t="s">
        <v>59</v>
      </c>
      <c r="I130" s="3" t="s">
        <v>59</v>
      </c>
      <c r="J130" s="3" t="s">
        <v>61</v>
      </c>
      <c r="L130" s="2" t="s">
        <v>1789</v>
      </c>
      <c r="M130" s="3" t="s">
        <v>350</v>
      </c>
      <c r="N130" s="2" t="s">
        <v>887</v>
      </c>
      <c r="O130" s="3" t="s">
        <v>65</v>
      </c>
      <c r="P130" s="3" t="s">
        <v>66</v>
      </c>
      <c r="R130" s="3" t="s">
        <v>68</v>
      </c>
      <c r="S130" s="4">
        <v>8</v>
      </c>
      <c r="T130" s="4">
        <v>8</v>
      </c>
      <c r="U130" s="5" t="s">
        <v>1790</v>
      </c>
      <c r="V130" s="5" t="s">
        <v>1790</v>
      </c>
      <c r="W130" s="5" t="s">
        <v>1791</v>
      </c>
      <c r="X130" s="5" t="s">
        <v>1791</v>
      </c>
      <c r="Y130" s="4">
        <v>234</v>
      </c>
      <c r="Z130" s="4">
        <v>210</v>
      </c>
      <c r="AA130" s="4">
        <v>215</v>
      </c>
      <c r="AB130" s="4">
        <v>3</v>
      </c>
      <c r="AC130" s="4">
        <v>3</v>
      </c>
      <c r="AD130" s="4">
        <v>7</v>
      </c>
      <c r="AE130" s="4">
        <v>7</v>
      </c>
      <c r="AF130" s="4">
        <v>3</v>
      </c>
      <c r="AG130" s="4">
        <v>3</v>
      </c>
      <c r="AH130" s="4">
        <v>0</v>
      </c>
      <c r="AI130" s="4">
        <v>0</v>
      </c>
      <c r="AJ130" s="4">
        <v>5</v>
      </c>
      <c r="AK130" s="4">
        <v>5</v>
      </c>
      <c r="AL130" s="4">
        <v>1</v>
      </c>
      <c r="AM130" s="4">
        <v>1</v>
      </c>
      <c r="AN130" s="4">
        <v>0</v>
      </c>
      <c r="AO130" s="4">
        <v>0</v>
      </c>
      <c r="AP130" s="3" t="s">
        <v>59</v>
      </c>
      <c r="AQ130" s="3" t="s">
        <v>59</v>
      </c>
      <c r="AS130" s="6" t="str">
        <f>HYPERLINK("https://creighton-primo.hosted.exlibrisgroup.com/primo-explore/search?tab=default_tab&amp;search_scope=EVERYTHING&amp;vid=01CRU&amp;lang=en_US&amp;offset=0&amp;query=any,contains,991004315759702656","Catalog Record")</f>
        <v>Catalog Record</v>
      </c>
      <c r="AT130" s="6" t="str">
        <f>HYPERLINK("http://www.worldcat.org/oclc/3003737","WorldCat Record")</f>
        <v>WorldCat Record</v>
      </c>
      <c r="AU130" s="3" t="s">
        <v>1792</v>
      </c>
      <c r="AV130" s="3" t="s">
        <v>1793</v>
      </c>
      <c r="AW130" s="3" t="s">
        <v>1794</v>
      </c>
      <c r="AX130" s="3" t="s">
        <v>1794</v>
      </c>
      <c r="AY130" s="3" t="s">
        <v>1795</v>
      </c>
      <c r="AZ130" s="3" t="s">
        <v>76</v>
      </c>
      <c r="BB130" s="3" t="s">
        <v>1796</v>
      </c>
      <c r="BC130" s="3" t="s">
        <v>1797</v>
      </c>
      <c r="BD130" s="3" t="s">
        <v>1798</v>
      </c>
    </row>
    <row r="131" spans="1:56" ht="52.5" customHeight="1" x14ac:dyDescent="0.25">
      <c r="A131" s="7" t="s">
        <v>59</v>
      </c>
      <c r="B131" s="2" t="s">
        <v>1799</v>
      </c>
      <c r="C131" s="2" t="s">
        <v>1800</v>
      </c>
      <c r="D131" s="2" t="s">
        <v>1801</v>
      </c>
      <c r="F131" s="3" t="s">
        <v>59</v>
      </c>
      <c r="G131" s="3" t="s">
        <v>60</v>
      </c>
      <c r="H131" s="3" t="s">
        <v>59</v>
      </c>
      <c r="I131" s="3" t="s">
        <v>59</v>
      </c>
      <c r="J131" s="3" t="s">
        <v>61</v>
      </c>
      <c r="L131" s="2" t="s">
        <v>1802</v>
      </c>
      <c r="M131" s="3" t="s">
        <v>148</v>
      </c>
      <c r="N131" s="2" t="s">
        <v>887</v>
      </c>
      <c r="O131" s="3" t="s">
        <v>65</v>
      </c>
      <c r="P131" s="3" t="s">
        <v>66</v>
      </c>
      <c r="R131" s="3" t="s">
        <v>68</v>
      </c>
      <c r="S131" s="4">
        <v>4</v>
      </c>
      <c r="T131" s="4">
        <v>4</v>
      </c>
      <c r="U131" s="5" t="s">
        <v>1803</v>
      </c>
      <c r="V131" s="5" t="s">
        <v>1803</v>
      </c>
      <c r="W131" s="5" t="s">
        <v>576</v>
      </c>
      <c r="X131" s="5" t="s">
        <v>576</v>
      </c>
      <c r="Y131" s="4">
        <v>549</v>
      </c>
      <c r="Z131" s="4">
        <v>511</v>
      </c>
      <c r="AA131" s="4">
        <v>516</v>
      </c>
      <c r="AB131" s="4">
        <v>6</v>
      </c>
      <c r="AC131" s="4">
        <v>6</v>
      </c>
      <c r="AD131" s="4">
        <v>16</v>
      </c>
      <c r="AE131" s="4">
        <v>16</v>
      </c>
      <c r="AF131" s="4">
        <v>6</v>
      </c>
      <c r="AG131" s="4">
        <v>6</v>
      </c>
      <c r="AH131" s="4">
        <v>3</v>
      </c>
      <c r="AI131" s="4">
        <v>3</v>
      </c>
      <c r="AJ131" s="4">
        <v>8</v>
      </c>
      <c r="AK131" s="4">
        <v>8</v>
      </c>
      <c r="AL131" s="4">
        <v>3</v>
      </c>
      <c r="AM131" s="4">
        <v>3</v>
      </c>
      <c r="AN131" s="4">
        <v>0</v>
      </c>
      <c r="AO131" s="4">
        <v>0</v>
      </c>
      <c r="AP131" s="3" t="s">
        <v>59</v>
      </c>
      <c r="AQ131" s="3" t="s">
        <v>59</v>
      </c>
      <c r="AS131" s="6" t="str">
        <f>HYPERLINK("https://creighton-primo.hosted.exlibrisgroup.com/primo-explore/search?tab=default_tab&amp;search_scope=EVERYTHING&amp;vid=01CRU&amp;lang=en_US&amp;offset=0&amp;query=any,contains,991003858299702656","Catalog Record")</f>
        <v>Catalog Record</v>
      </c>
      <c r="AT131" s="6" t="str">
        <f>HYPERLINK("http://www.worldcat.org/oclc/1659511","WorldCat Record")</f>
        <v>WorldCat Record</v>
      </c>
      <c r="AU131" s="3" t="s">
        <v>1804</v>
      </c>
      <c r="AV131" s="3" t="s">
        <v>1805</v>
      </c>
      <c r="AW131" s="3" t="s">
        <v>1806</v>
      </c>
      <c r="AX131" s="3" t="s">
        <v>1806</v>
      </c>
      <c r="AY131" s="3" t="s">
        <v>1807</v>
      </c>
      <c r="AZ131" s="3" t="s">
        <v>76</v>
      </c>
      <c r="BB131" s="3" t="s">
        <v>1808</v>
      </c>
      <c r="BC131" s="3" t="s">
        <v>1809</v>
      </c>
      <c r="BD131" s="3" t="s">
        <v>1810</v>
      </c>
    </row>
    <row r="132" spans="1:56" ht="52.5" customHeight="1" x14ac:dyDescent="0.25">
      <c r="A132" s="7" t="s">
        <v>59</v>
      </c>
      <c r="B132" s="2" t="s">
        <v>1811</v>
      </c>
      <c r="C132" s="2" t="s">
        <v>1812</v>
      </c>
      <c r="D132" s="2" t="s">
        <v>1813</v>
      </c>
      <c r="F132" s="3" t="s">
        <v>59</v>
      </c>
      <c r="G132" s="3" t="s">
        <v>60</v>
      </c>
      <c r="H132" s="3" t="s">
        <v>59</v>
      </c>
      <c r="I132" s="3" t="s">
        <v>59</v>
      </c>
      <c r="J132" s="3" t="s">
        <v>61</v>
      </c>
      <c r="K132" s="2" t="s">
        <v>1814</v>
      </c>
      <c r="L132" s="2" t="s">
        <v>1815</v>
      </c>
      <c r="M132" s="3" t="s">
        <v>1233</v>
      </c>
      <c r="O132" s="3" t="s">
        <v>65</v>
      </c>
      <c r="P132" s="3" t="s">
        <v>420</v>
      </c>
      <c r="Q132" s="2" t="s">
        <v>1816</v>
      </c>
      <c r="R132" s="3" t="s">
        <v>68</v>
      </c>
      <c r="S132" s="4">
        <v>11</v>
      </c>
      <c r="T132" s="4">
        <v>11</v>
      </c>
      <c r="U132" s="5" t="s">
        <v>1715</v>
      </c>
      <c r="V132" s="5" t="s">
        <v>1715</v>
      </c>
      <c r="W132" s="5" t="s">
        <v>1817</v>
      </c>
      <c r="X132" s="5" t="s">
        <v>1817</v>
      </c>
      <c r="Y132" s="4">
        <v>228</v>
      </c>
      <c r="Z132" s="4">
        <v>201</v>
      </c>
      <c r="AA132" s="4">
        <v>1577</v>
      </c>
      <c r="AB132" s="4">
        <v>1</v>
      </c>
      <c r="AC132" s="4">
        <v>9</v>
      </c>
      <c r="AD132" s="4">
        <v>5</v>
      </c>
      <c r="AE132" s="4">
        <v>56</v>
      </c>
      <c r="AF132" s="4">
        <v>5</v>
      </c>
      <c r="AG132" s="4">
        <v>27</v>
      </c>
      <c r="AH132" s="4">
        <v>1</v>
      </c>
      <c r="AI132" s="4">
        <v>11</v>
      </c>
      <c r="AJ132" s="4">
        <v>1</v>
      </c>
      <c r="AK132" s="4">
        <v>25</v>
      </c>
      <c r="AL132" s="4">
        <v>0</v>
      </c>
      <c r="AM132" s="4">
        <v>7</v>
      </c>
      <c r="AN132" s="4">
        <v>0</v>
      </c>
      <c r="AO132" s="4">
        <v>0</v>
      </c>
      <c r="AP132" s="3" t="s">
        <v>59</v>
      </c>
      <c r="AQ132" s="3" t="s">
        <v>59</v>
      </c>
      <c r="AS132" s="6" t="str">
        <f>HYPERLINK("https://creighton-primo.hosted.exlibrisgroup.com/primo-explore/search?tab=default_tab&amp;search_scope=EVERYTHING&amp;vid=01CRU&amp;lang=en_US&amp;offset=0&amp;query=any,contains,991005371109702656","Catalog Record")</f>
        <v>Catalog Record</v>
      </c>
      <c r="AT132" s="6" t="str">
        <f>HYPERLINK("http://www.worldcat.org/oclc/3410339","WorldCat Record")</f>
        <v>WorldCat Record</v>
      </c>
      <c r="AU132" s="3" t="s">
        <v>1818</v>
      </c>
      <c r="AV132" s="3" t="s">
        <v>1819</v>
      </c>
      <c r="AW132" s="3" t="s">
        <v>1820</v>
      </c>
      <c r="AX132" s="3" t="s">
        <v>1820</v>
      </c>
      <c r="AY132" s="3" t="s">
        <v>1821</v>
      </c>
      <c r="AZ132" s="3" t="s">
        <v>76</v>
      </c>
      <c r="BB132" s="3" t="s">
        <v>1822</v>
      </c>
      <c r="BC132" s="3" t="s">
        <v>1823</v>
      </c>
      <c r="BD132" s="3" t="s">
        <v>1824</v>
      </c>
    </row>
    <row r="133" spans="1:56" ht="52.5" customHeight="1" x14ac:dyDescent="0.25">
      <c r="A133" s="7" t="s">
        <v>59</v>
      </c>
      <c r="B133" s="2" t="s">
        <v>1825</v>
      </c>
      <c r="C133" s="2" t="s">
        <v>1826</v>
      </c>
      <c r="D133" s="2" t="s">
        <v>1827</v>
      </c>
      <c r="F133" s="3" t="s">
        <v>59</v>
      </c>
      <c r="G133" s="3" t="s">
        <v>60</v>
      </c>
      <c r="H133" s="3" t="s">
        <v>59</v>
      </c>
      <c r="I133" s="3" t="s">
        <v>59</v>
      </c>
      <c r="J133" s="3" t="s">
        <v>61</v>
      </c>
      <c r="L133" s="2" t="s">
        <v>1828</v>
      </c>
      <c r="M133" s="3" t="s">
        <v>1217</v>
      </c>
      <c r="O133" s="3" t="s">
        <v>65</v>
      </c>
      <c r="P133" s="3" t="s">
        <v>1262</v>
      </c>
      <c r="R133" s="3" t="s">
        <v>68</v>
      </c>
      <c r="S133" s="4">
        <v>5</v>
      </c>
      <c r="T133" s="4">
        <v>5</v>
      </c>
      <c r="U133" s="5" t="s">
        <v>1829</v>
      </c>
      <c r="V133" s="5" t="s">
        <v>1829</v>
      </c>
      <c r="W133" s="5" t="s">
        <v>477</v>
      </c>
      <c r="X133" s="5" t="s">
        <v>477</v>
      </c>
      <c r="Y133" s="4">
        <v>600</v>
      </c>
      <c r="Z133" s="4">
        <v>449</v>
      </c>
      <c r="AA133" s="4">
        <v>452</v>
      </c>
      <c r="AB133" s="4">
        <v>3</v>
      </c>
      <c r="AC133" s="4">
        <v>3</v>
      </c>
      <c r="AD133" s="4">
        <v>22</v>
      </c>
      <c r="AE133" s="4">
        <v>22</v>
      </c>
      <c r="AF133" s="4">
        <v>6</v>
      </c>
      <c r="AG133" s="4">
        <v>6</v>
      </c>
      <c r="AH133" s="4">
        <v>6</v>
      </c>
      <c r="AI133" s="4">
        <v>6</v>
      </c>
      <c r="AJ133" s="4">
        <v>12</v>
      </c>
      <c r="AK133" s="4">
        <v>12</v>
      </c>
      <c r="AL133" s="4">
        <v>2</v>
      </c>
      <c r="AM133" s="4">
        <v>2</v>
      </c>
      <c r="AN133" s="4">
        <v>0</v>
      </c>
      <c r="AO133" s="4">
        <v>0</v>
      </c>
      <c r="AP133" s="3" t="s">
        <v>59</v>
      </c>
      <c r="AQ133" s="3" t="s">
        <v>59</v>
      </c>
      <c r="AS133" s="6" t="str">
        <f>HYPERLINK("https://creighton-primo.hosted.exlibrisgroup.com/primo-explore/search?tab=default_tab&amp;search_scope=EVERYTHING&amp;vid=01CRU&amp;lang=en_US&amp;offset=0&amp;query=any,contains,991000263509702656","Catalog Record")</f>
        <v>Catalog Record</v>
      </c>
      <c r="AT133" s="6" t="str">
        <f>HYPERLINK("http://www.worldcat.org/oclc/9827617","WorldCat Record")</f>
        <v>WorldCat Record</v>
      </c>
      <c r="AU133" s="3" t="s">
        <v>1830</v>
      </c>
      <c r="AV133" s="3" t="s">
        <v>1831</v>
      </c>
      <c r="AW133" s="3" t="s">
        <v>1832</v>
      </c>
      <c r="AX133" s="3" t="s">
        <v>1832</v>
      </c>
      <c r="AY133" s="3" t="s">
        <v>1833</v>
      </c>
      <c r="AZ133" s="3" t="s">
        <v>76</v>
      </c>
      <c r="BB133" s="3" t="s">
        <v>1834</v>
      </c>
      <c r="BC133" s="3" t="s">
        <v>1835</v>
      </c>
      <c r="BD133" s="3" t="s">
        <v>1836</v>
      </c>
    </row>
    <row r="134" spans="1:56" ht="52.5" customHeight="1" x14ac:dyDescent="0.25">
      <c r="A134" s="7" t="s">
        <v>59</v>
      </c>
      <c r="B134" s="2" t="s">
        <v>1837</v>
      </c>
      <c r="C134" s="2" t="s">
        <v>1838</v>
      </c>
      <c r="D134" s="2" t="s">
        <v>1839</v>
      </c>
      <c r="F134" s="3" t="s">
        <v>59</v>
      </c>
      <c r="G134" s="3" t="s">
        <v>60</v>
      </c>
      <c r="H134" s="3" t="s">
        <v>59</v>
      </c>
      <c r="I134" s="3" t="s">
        <v>59</v>
      </c>
      <c r="J134" s="3" t="s">
        <v>61</v>
      </c>
      <c r="K134" s="2" t="s">
        <v>1840</v>
      </c>
      <c r="L134" s="2" t="s">
        <v>1841</v>
      </c>
      <c r="M134" s="3" t="s">
        <v>115</v>
      </c>
      <c r="O134" s="3" t="s">
        <v>65</v>
      </c>
      <c r="P134" s="3" t="s">
        <v>420</v>
      </c>
      <c r="R134" s="3" t="s">
        <v>68</v>
      </c>
      <c r="S134" s="4">
        <v>4</v>
      </c>
      <c r="T134" s="4">
        <v>4</v>
      </c>
      <c r="U134" s="5" t="s">
        <v>1829</v>
      </c>
      <c r="V134" s="5" t="s">
        <v>1829</v>
      </c>
      <c r="W134" s="5" t="s">
        <v>1842</v>
      </c>
      <c r="X134" s="5" t="s">
        <v>1842</v>
      </c>
      <c r="Y134" s="4">
        <v>991</v>
      </c>
      <c r="Z134" s="4">
        <v>821</v>
      </c>
      <c r="AA134" s="4">
        <v>883</v>
      </c>
      <c r="AB134" s="4">
        <v>6</v>
      </c>
      <c r="AC134" s="4">
        <v>6</v>
      </c>
      <c r="AD134" s="4">
        <v>39</v>
      </c>
      <c r="AE134" s="4">
        <v>40</v>
      </c>
      <c r="AF134" s="4">
        <v>16</v>
      </c>
      <c r="AG134" s="4">
        <v>16</v>
      </c>
      <c r="AH134" s="4">
        <v>9</v>
      </c>
      <c r="AI134" s="4">
        <v>10</v>
      </c>
      <c r="AJ134" s="4">
        <v>18</v>
      </c>
      <c r="AK134" s="4">
        <v>19</v>
      </c>
      <c r="AL134" s="4">
        <v>5</v>
      </c>
      <c r="AM134" s="4">
        <v>5</v>
      </c>
      <c r="AN134" s="4">
        <v>0</v>
      </c>
      <c r="AO134" s="4">
        <v>0</v>
      </c>
      <c r="AP134" s="3" t="s">
        <v>59</v>
      </c>
      <c r="AQ134" s="3" t="s">
        <v>71</v>
      </c>
      <c r="AR134" s="6" t="str">
        <f>HYPERLINK("http://catalog.hathitrust.org/Record/000005167","HathiTrust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HYPERLINK("https://creighton-primo.hosted.exlibrisgroup.com/primo-explore/search?tab=default_tab&amp;search_scope=EVERYTHING&amp;vid=01CRU&amp;lang=en_US&amp;offset=0&amp;query=any,contains,991002493319702656","Catalog Record")</f>
        <v>Catalog Record</v>
      </c>
      <c r="AT134" s="6" t="str">
        <f>HYPERLINK("http://www.worldcat.org/oclc/363136","WorldCat Record")</f>
        <v>WorldCat Record</v>
      </c>
      <c r="AU134" s="3" t="s">
        <v>1843</v>
      </c>
      <c r="AV134" s="3" t="s">
        <v>1844</v>
      </c>
      <c r="AW134" s="3" t="s">
        <v>1845</v>
      </c>
      <c r="AX134" s="3" t="s">
        <v>1845</v>
      </c>
      <c r="AY134" s="3" t="s">
        <v>1846</v>
      </c>
      <c r="AZ134" s="3" t="s">
        <v>76</v>
      </c>
      <c r="BB134" s="3" t="s">
        <v>1847</v>
      </c>
      <c r="BC134" s="3" t="s">
        <v>1848</v>
      </c>
      <c r="BD134" s="3" t="s">
        <v>1849</v>
      </c>
    </row>
    <row r="135" spans="1:56" ht="52.5" customHeight="1" x14ac:dyDescent="0.25">
      <c r="A135" s="7" t="s">
        <v>59</v>
      </c>
      <c r="B135" s="2" t="s">
        <v>1850</v>
      </c>
      <c r="C135" s="2" t="s">
        <v>1851</v>
      </c>
      <c r="D135" s="2" t="s">
        <v>1852</v>
      </c>
      <c r="F135" s="3" t="s">
        <v>59</v>
      </c>
      <c r="G135" s="3" t="s">
        <v>60</v>
      </c>
      <c r="H135" s="3" t="s">
        <v>59</v>
      </c>
      <c r="I135" s="3" t="s">
        <v>59</v>
      </c>
      <c r="J135" s="3" t="s">
        <v>61</v>
      </c>
      <c r="K135" s="2" t="s">
        <v>1853</v>
      </c>
      <c r="L135" s="2" t="s">
        <v>1854</v>
      </c>
      <c r="M135" s="3" t="s">
        <v>148</v>
      </c>
      <c r="O135" s="3" t="s">
        <v>65</v>
      </c>
      <c r="P135" s="3" t="s">
        <v>296</v>
      </c>
      <c r="R135" s="3" t="s">
        <v>68</v>
      </c>
      <c r="S135" s="4">
        <v>8</v>
      </c>
      <c r="T135" s="4">
        <v>8</v>
      </c>
      <c r="U135" s="5" t="s">
        <v>1855</v>
      </c>
      <c r="V135" s="5" t="s">
        <v>1855</v>
      </c>
      <c r="W135" s="5" t="s">
        <v>477</v>
      </c>
      <c r="X135" s="5" t="s">
        <v>477</v>
      </c>
      <c r="Y135" s="4">
        <v>283</v>
      </c>
      <c r="Z135" s="4">
        <v>228</v>
      </c>
      <c r="AA135" s="4">
        <v>318</v>
      </c>
      <c r="AB135" s="4">
        <v>2</v>
      </c>
      <c r="AC135" s="4">
        <v>2</v>
      </c>
      <c r="AD135" s="4">
        <v>9</v>
      </c>
      <c r="AE135" s="4">
        <v>13</v>
      </c>
      <c r="AF135" s="4">
        <v>2</v>
      </c>
      <c r="AG135" s="4">
        <v>5</v>
      </c>
      <c r="AH135" s="4">
        <v>2</v>
      </c>
      <c r="AI135" s="4">
        <v>4</v>
      </c>
      <c r="AJ135" s="4">
        <v>6</v>
      </c>
      <c r="AK135" s="4">
        <v>7</v>
      </c>
      <c r="AL135" s="4">
        <v>1</v>
      </c>
      <c r="AM135" s="4">
        <v>1</v>
      </c>
      <c r="AN135" s="4">
        <v>0</v>
      </c>
      <c r="AO135" s="4">
        <v>0</v>
      </c>
      <c r="AP135" s="3" t="s">
        <v>59</v>
      </c>
      <c r="AQ135" s="3" t="s">
        <v>71</v>
      </c>
      <c r="AR135" s="6" t="str">
        <f>HYPERLINK("http://catalog.hathitrust.org/Record/001105822","HathiTrust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HYPERLINK("https://creighton-primo.hosted.exlibrisgroup.com/primo-explore/search?tab=default_tab&amp;search_scope=EVERYTHING&amp;vid=01CRU&amp;lang=en_US&amp;offset=0&amp;query=any,contains,991003804519702656","Catalog Record")</f>
        <v>Catalog Record</v>
      </c>
      <c r="AT135" s="6" t="str">
        <f>HYPERLINK("http://www.worldcat.org/oclc/1529534","WorldCat Record")</f>
        <v>WorldCat Record</v>
      </c>
      <c r="AU135" s="3" t="s">
        <v>1856</v>
      </c>
      <c r="AV135" s="3" t="s">
        <v>1857</v>
      </c>
      <c r="AW135" s="3" t="s">
        <v>1858</v>
      </c>
      <c r="AX135" s="3" t="s">
        <v>1858</v>
      </c>
      <c r="AY135" s="3" t="s">
        <v>1859</v>
      </c>
      <c r="AZ135" s="3" t="s">
        <v>76</v>
      </c>
      <c r="BB135" s="3" t="s">
        <v>1860</v>
      </c>
      <c r="BC135" s="3" t="s">
        <v>1861</v>
      </c>
      <c r="BD135" s="3" t="s">
        <v>1862</v>
      </c>
    </row>
    <row r="136" spans="1:56" ht="52.5" customHeight="1" x14ac:dyDescent="0.25">
      <c r="A136" s="7" t="s">
        <v>59</v>
      </c>
      <c r="B136" s="2" t="s">
        <v>1863</v>
      </c>
      <c r="C136" s="2" t="s">
        <v>1864</v>
      </c>
      <c r="D136" s="2" t="s">
        <v>1865</v>
      </c>
      <c r="F136" s="3" t="s">
        <v>59</v>
      </c>
      <c r="G136" s="3" t="s">
        <v>60</v>
      </c>
      <c r="H136" s="3" t="s">
        <v>59</v>
      </c>
      <c r="I136" s="3" t="s">
        <v>59</v>
      </c>
      <c r="J136" s="3" t="s">
        <v>61</v>
      </c>
      <c r="K136" s="2" t="s">
        <v>1866</v>
      </c>
      <c r="L136" s="2" t="s">
        <v>1867</v>
      </c>
      <c r="M136" s="3" t="s">
        <v>1868</v>
      </c>
      <c r="N136" s="2" t="s">
        <v>1869</v>
      </c>
      <c r="O136" s="3" t="s">
        <v>65</v>
      </c>
      <c r="P136" s="3" t="s">
        <v>1262</v>
      </c>
      <c r="R136" s="3" t="s">
        <v>68</v>
      </c>
      <c r="S136" s="4">
        <v>9</v>
      </c>
      <c r="T136" s="4">
        <v>9</v>
      </c>
      <c r="U136" s="5" t="s">
        <v>1870</v>
      </c>
      <c r="V136" s="5" t="s">
        <v>1870</v>
      </c>
      <c r="W136" s="5" t="s">
        <v>1871</v>
      </c>
      <c r="X136" s="5" t="s">
        <v>1871</v>
      </c>
      <c r="Y136" s="4">
        <v>46</v>
      </c>
      <c r="Z136" s="4">
        <v>40</v>
      </c>
      <c r="AA136" s="4">
        <v>131</v>
      </c>
      <c r="AB136" s="4">
        <v>1</v>
      </c>
      <c r="AC136" s="4">
        <v>2</v>
      </c>
      <c r="AD136" s="4">
        <v>3</v>
      </c>
      <c r="AE136" s="4">
        <v>17</v>
      </c>
      <c r="AF136" s="4">
        <v>1</v>
      </c>
      <c r="AG136" s="4">
        <v>5</v>
      </c>
      <c r="AH136" s="4">
        <v>2</v>
      </c>
      <c r="AI136" s="4">
        <v>3</v>
      </c>
      <c r="AJ136" s="4">
        <v>2</v>
      </c>
      <c r="AK136" s="4">
        <v>15</v>
      </c>
      <c r="AL136" s="4">
        <v>0</v>
      </c>
      <c r="AM136" s="4">
        <v>0</v>
      </c>
      <c r="AN136" s="4">
        <v>0</v>
      </c>
      <c r="AO136" s="4">
        <v>0</v>
      </c>
      <c r="AP136" s="3" t="s">
        <v>59</v>
      </c>
      <c r="AQ136" s="3" t="s">
        <v>71</v>
      </c>
      <c r="AR136" s="6" t="str">
        <f>HYPERLINK("http://catalog.hathitrust.org/Record/000473817","HathiTrust Record")</f>
        <v>HathiTrust Record</v>
      </c>
      <c r="AS136" s="6" t="str">
        <f>HYPERLINK("https://creighton-primo.hosted.exlibrisgroup.com/primo-explore/search?tab=default_tab&amp;search_scope=EVERYTHING&amp;vid=01CRU&amp;lang=en_US&amp;offset=0&amp;query=any,contains,991004806969702656","Catalog Record")</f>
        <v>Catalog Record</v>
      </c>
      <c r="AT136" s="6" t="str">
        <f>HYPERLINK("http://www.worldcat.org/oclc/5258201","WorldCat Record")</f>
        <v>WorldCat Record</v>
      </c>
      <c r="AU136" s="3" t="s">
        <v>1872</v>
      </c>
      <c r="AV136" s="3" t="s">
        <v>1873</v>
      </c>
      <c r="AW136" s="3" t="s">
        <v>1874</v>
      </c>
      <c r="AX136" s="3" t="s">
        <v>1874</v>
      </c>
      <c r="AY136" s="3" t="s">
        <v>1875</v>
      </c>
      <c r="AZ136" s="3" t="s">
        <v>76</v>
      </c>
      <c r="BC136" s="3" t="s">
        <v>1876</v>
      </c>
      <c r="BD136" s="3" t="s">
        <v>1877</v>
      </c>
    </row>
    <row r="137" spans="1:56" ht="52.5" customHeight="1" x14ac:dyDescent="0.25">
      <c r="A137" s="7" t="s">
        <v>59</v>
      </c>
      <c r="B137" s="2" t="s">
        <v>1878</v>
      </c>
      <c r="C137" s="2" t="s">
        <v>1879</v>
      </c>
      <c r="D137" s="2" t="s">
        <v>1880</v>
      </c>
      <c r="F137" s="3" t="s">
        <v>59</v>
      </c>
      <c r="G137" s="3" t="s">
        <v>60</v>
      </c>
      <c r="H137" s="3" t="s">
        <v>59</v>
      </c>
      <c r="I137" s="3" t="s">
        <v>59</v>
      </c>
      <c r="J137" s="3" t="s">
        <v>61</v>
      </c>
      <c r="K137" s="2" t="s">
        <v>1881</v>
      </c>
      <c r="L137" s="2" t="s">
        <v>1882</v>
      </c>
      <c r="M137" s="3" t="s">
        <v>1883</v>
      </c>
      <c r="O137" s="3" t="s">
        <v>65</v>
      </c>
      <c r="P137" s="3" t="s">
        <v>66</v>
      </c>
      <c r="R137" s="3" t="s">
        <v>68</v>
      </c>
      <c r="S137" s="4">
        <v>12</v>
      </c>
      <c r="T137" s="4">
        <v>12</v>
      </c>
      <c r="U137" s="5" t="s">
        <v>1884</v>
      </c>
      <c r="V137" s="5" t="s">
        <v>1884</v>
      </c>
      <c r="W137" s="5" t="s">
        <v>1885</v>
      </c>
      <c r="X137" s="5" t="s">
        <v>1885</v>
      </c>
      <c r="Y137" s="4">
        <v>205</v>
      </c>
      <c r="Z137" s="4">
        <v>193</v>
      </c>
      <c r="AA137" s="4">
        <v>455</v>
      </c>
      <c r="AB137" s="4">
        <v>2</v>
      </c>
      <c r="AC137" s="4">
        <v>5</v>
      </c>
      <c r="AD137" s="4">
        <v>7</v>
      </c>
      <c r="AE137" s="4">
        <v>13</v>
      </c>
      <c r="AF137" s="4">
        <v>1</v>
      </c>
      <c r="AG137" s="4">
        <v>3</v>
      </c>
      <c r="AH137" s="4">
        <v>3</v>
      </c>
      <c r="AI137" s="4">
        <v>4</v>
      </c>
      <c r="AJ137" s="4">
        <v>6</v>
      </c>
      <c r="AK137" s="4">
        <v>10</v>
      </c>
      <c r="AL137" s="4">
        <v>0</v>
      </c>
      <c r="AM137" s="4">
        <v>1</v>
      </c>
      <c r="AN137" s="4">
        <v>0</v>
      </c>
      <c r="AO137" s="4">
        <v>0</v>
      </c>
      <c r="AP137" s="3" t="s">
        <v>59</v>
      </c>
      <c r="AQ137" s="3" t="s">
        <v>59</v>
      </c>
      <c r="AS137" s="6" t="str">
        <f>HYPERLINK("https://creighton-primo.hosted.exlibrisgroup.com/primo-explore/search?tab=default_tab&amp;search_scope=EVERYTHING&amp;vid=01CRU&amp;lang=en_US&amp;offset=0&amp;query=any,contains,991002446839702656","Catalog Record")</f>
        <v>Catalog Record</v>
      </c>
      <c r="AT137" s="6" t="str">
        <f>HYPERLINK("http://www.worldcat.org/oclc/351772","WorldCat Record")</f>
        <v>WorldCat Record</v>
      </c>
      <c r="AU137" s="3" t="s">
        <v>1886</v>
      </c>
      <c r="AV137" s="3" t="s">
        <v>1887</v>
      </c>
      <c r="AW137" s="3" t="s">
        <v>1888</v>
      </c>
      <c r="AX137" s="3" t="s">
        <v>1888</v>
      </c>
      <c r="AY137" s="3" t="s">
        <v>1889</v>
      </c>
      <c r="AZ137" s="3" t="s">
        <v>76</v>
      </c>
      <c r="BC137" s="3" t="s">
        <v>1890</v>
      </c>
      <c r="BD137" s="3" t="s">
        <v>1891</v>
      </c>
    </row>
    <row r="138" spans="1:56" ht="52.5" customHeight="1" x14ac:dyDescent="0.25">
      <c r="A138" s="7" t="s">
        <v>59</v>
      </c>
      <c r="B138" s="2" t="s">
        <v>1892</v>
      </c>
      <c r="C138" s="2" t="s">
        <v>1893</v>
      </c>
      <c r="D138" s="2" t="s">
        <v>1894</v>
      </c>
      <c r="F138" s="3" t="s">
        <v>59</v>
      </c>
      <c r="G138" s="3" t="s">
        <v>60</v>
      </c>
      <c r="H138" s="3" t="s">
        <v>59</v>
      </c>
      <c r="I138" s="3" t="s">
        <v>59</v>
      </c>
      <c r="J138" s="3" t="s">
        <v>61</v>
      </c>
      <c r="K138" s="2" t="s">
        <v>1895</v>
      </c>
      <c r="L138" s="2" t="s">
        <v>1896</v>
      </c>
      <c r="M138" s="3" t="s">
        <v>1015</v>
      </c>
      <c r="O138" s="3" t="s">
        <v>65</v>
      </c>
      <c r="P138" s="3" t="s">
        <v>283</v>
      </c>
      <c r="R138" s="3" t="s">
        <v>68</v>
      </c>
      <c r="S138" s="4">
        <v>2</v>
      </c>
      <c r="T138" s="4">
        <v>2</v>
      </c>
      <c r="U138" s="5" t="s">
        <v>1264</v>
      </c>
      <c r="V138" s="5" t="s">
        <v>1264</v>
      </c>
      <c r="W138" s="5" t="s">
        <v>1292</v>
      </c>
      <c r="X138" s="5" t="s">
        <v>1292</v>
      </c>
      <c r="Y138" s="4">
        <v>1106</v>
      </c>
      <c r="Z138" s="4">
        <v>972</v>
      </c>
      <c r="AA138" s="4">
        <v>981</v>
      </c>
      <c r="AB138" s="4">
        <v>6</v>
      </c>
      <c r="AC138" s="4">
        <v>6</v>
      </c>
      <c r="AD138" s="4">
        <v>41</v>
      </c>
      <c r="AE138" s="4">
        <v>41</v>
      </c>
      <c r="AF138" s="4">
        <v>17</v>
      </c>
      <c r="AG138" s="4">
        <v>17</v>
      </c>
      <c r="AH138" s="4">
        <v>9</v>
      </c>
      <c r="AI138" s="4">
        <v>9</v>
      </c>
      <c r="AJ138" s="4">
        <v>21</v>
      </c>
      <c r="AK138" s="4">
        <v>21</v>
      </c>
      <c r="AL138" s="4">
        <v>4</v>
      </c>
      <c r="AM138" s="4">
        <v>4</v>
      </c>
      <c r="AN138" s="4">
        <v>0</v>
      </c>
      <c r="AO138" s="4">
        <v>0</v>
      </c>
      <c r="AP138" s="3" t="s">
        <v>59</v>
      </c>
      <c r="AQ138" s="3" t="s">
        <v>71</v>
      </c>
      <c r="AR138" s="6" t="str">
        <f>HYPERLINK("http://catalog.hathitrust.org/Record/000618433","HathiTrust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HYPERLINK("https://creighton-primo.hosted.exlibrisgroup.com/primo-explore/search?tab=default_tab&amp;search_scope=EVERYTHING&amp;vid=01CRU&amp;lang=en_US&amp;offset=0&amp;query=any,contains,991001206149702656","Catalog Record")</f>
        <v>Catalog Record</v>
      </c>
      <c r="AT138" s="6" t="str">
        <f>HYPERLINK("http://www.worldcat.org/oclc/192155","WorldCat Record")</f>
        <v>WorldCat Record</v>
      </c>
      <c r="AU138" s="3" t="s">
        <v>1897</v>
      </c>
      <c r="AV138" s="3" t="s">
        <v>1898</v>
      </c>
      <c r="AW138" s="3" t="s">
        <v>1899</v>
      </c>
      <c r="AX138" s="3" t="s">
        <v>1899</v>
      </c>
      <c r="AY138" s="3" t="s">
        <v>1900</v>
      </c>
      <c r="AZ138" s="3" t="s">
        <v>76</v>
      </c>
      <c r="BC138" s="3" t="s">
        <v>1901</v>
      </c>
      <c r="BD138" s="3" t="s">
        <v>1902</v>
      </c>
    </row>
    <row r="139" spans="1:56" ht="52.5" customHeight="1" x14ac:dyDescent="0.25">
      <c r="A139" s="7" t="s">
        <v>59</v>
      </c>
      <c r="B139" s="2" t="s">
        <v>1903</v>
      </c>
      <c r="C139" s="2" t="s">
        <v>1904</v>
      </c>
      <c r="D139" s="2" t="s">
        <v>1905</v>
      </c>
      <c r="F139" s="3" t="s">
        <v>59</v>
      </c>
      <c r="G139" s="3" t="s">
        <v>60</v>
      </c>
      <c r="H139" s="3" t="s">
        <v>59</v>
      </c>
      <c r="I139" s="3" t="s">
        <v>59</v>
      </c>
      <c r="J139" s="3" t="s">
        <v>61</v>
      </c>
      <c r="L139" s="2" t="s">
        <v>1906</v>
      </c>
      <c r="M139" s="3" t="s">
        <v>987</v>
      </c>
      <c r="O139" s="3" t="s">
        <v>65</v>
      </c>
      <c r="P139" s="3" t="s">
        <v>296</v>
      </c>
      <c r="R139" s="3" t="s">
        <v>68</v>
      </c>
      <c r="S139" s="4">
        <v>2</v>
      </c>
      <c r="T139" s="4">
        <v>2</v>
      </c>
      <c r="U139" s="5" t="s">
        <v>1907</v>
      </c>
      <c r="V139" s="5" t="s">
        <v>1907</v>
      </c>
      <c r="W139" s="5" t="s">
        <v>1292</v>
      </c>
      <c r="X139" s="5" t="s">
        <v>1292</v>
      </c>
      <c r="Y139" s="4">
        <v>411</v>
      </c>
      <c r="Z139" s="4">
        <v>323</v>
      </c>
      <c r="AA139" s="4">
        <v>326</v>
      </c>
      <c r="AB139" s="4">
        <v>2</v>
      </c>
      <c r="AC139" s="4">
        <v>2</v>
      </c>
      <c r="AD139" s="4">
        <v>12</v>
      </c>
      <c r="AE139" s="4">
        <v>12</v>
      </c>
      <c r="AF139" s="4">
        <v>4</v>
      </c>
      <c r="AG139" s="4">
        <v>4</v>
      </c>
      <c r="AH139" s="4">
        <v>3</v>
      </c>
      <c r="AI139" s="4">
        <v>3</v>
      </c>
      <c r="AJ139" s="4">
        <v>7</v>
      </c>
      <c r="AK139" s="4">
        <v>7</v>
      </c>
      <c r="AL139" s="4">
        <v>1</v>
      </c>
      <c r="AM139" s="4">
        <v>1</v>
      </c>
      <c r="AN139" s="4">
        <v>0</v>
      </c>
      <c r="AO139" s="4">
        <v>0</v>
      </c>
      <c r="AP139" s="3" t="s">
        <v>59</v>
      </c>
      <c r="AQ139" s="3" t="s">
        <v>71</v>
      </c>
      <c r="AR139" s="6" t="str">
        <f>HYPERLINK("http://catalog.hathitrust.org/Record/000617884","HathiTrust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HYPERLINK("https://creighton-primo.hosted.exlibrisgroup.com/primo-explore/search?tab=default_tab&amp;search_scope=EVERYTHING&amp;vid=01CRU&amp;lang=en_US&amp;offset=0&amp;query=any,contains,991000521319702656","Catalog Record")</f>
        <v>Catalog Record</v>
      </c>
      <c r="AT139" s="6" t="str">
        <f>HYPERLINK("http://www.worldcat.org/oclc/87945","WorldCat Record")</f>
        <v>WorldCat Record</v>
      </c>
      <c r="AU139" s="3" t="s">
        <v>1908</v>
      </c>
      <c r="AV139" s="3" t="s">
        <v>1909</v>
      </c>
      <c r="AW139" s="3" t="s">
        <v>1910</v>
      </c>
      <c r="AX139" s="3" t="s">
        <v>1910</v>
      </c>
      <c r="AY139" s="3" t="s">
        <v>1911</v>
      </c>
      <c r="AZ139" s="3" t="s">
        <v>76</v>
      </c>
      <c r="BC139" s="3" t="s">
        <v>1912</v>
      </c>
      <c r="BD139" s="3" t="s">
        <v>1913</v>
      </c>
    </row>
    <row r="140" spans="1:56" ht="52.5" customHeight="1" x14ac:dyDescent="0.25">
      <c r="A140" s="7" t="s">
        <v>59</v>
      </c>
      <c r="B140" s="2" t="s">
        <v>1914</v>
      </c>
      <c r="C140" s="2" t="s">
        <v>1915</v>
      </c>
      <c r="D140" s="2" t="s">
        <v>1916</v>
      </c>
      <c r="F140" s="3" t="s">
        <v>59</v>
      </c>
      <c r="G140" s="3" t="s">
        <v>60</v>
      </c>
      <c r="H140" s="3" t="s">
        <v>59</v>
      </c>
      <c r="I140" s="3" t="s">
        <v>59</v>
      </c>
      <c r="J140" s="3" t="s">
        <v>61</v>
      </c>
      <c r="K140" s="2" t="s">
        <v>1917</v>
      </c>
      <c r="L140" s="2" t="s">
        <v>1918</v>
      </c>
      <c r="M140" s="3" t="s">
        <v>100</v>
      </c>
      <c r="N140" s="2" t="s">
        <v>1289</v>
      </c>
      <c r="O140" s="3" t="s">
        <v>65</v>
      </c>
      <c r="P140" s="3" t="s">
        <v>283</v>
      </c>
      <c r="Q140" s="2" t="s">
        <v>1919</v>
      </c>
      <c r="R140" s="3" t="s">
        <v>68</v>
      </c>
      <c r="S140" s="4">
        <v>1</v>
      </c>
      <c r="T140" s="4">
        <v>1</v>
      </c>
      <c r="U140" s="5" t="s">
        <v>526</v>
      </c>
      <c r="V140" s="5" t="s">
        <v>526</v>
      </c>
      <c r="W140" s="5" t="s">
        <v>1292</v>
      </c>
      <c r="X140" s="5" t="s">
        <v>1292</v>
      </c>
      <c r="Y140" s="4">
        <v>223</v>
      </c>
      <c r="Z140" s="4">
        <v>165</v>
      </c>
      <c r="AA140" s="4">
        <v>331</v>
      </c>
      <c r="AB140" s="4">
        <v>1</v>
      </c>
      <c r="AC140" s="4">
        <v>5</v>
      </c>
      <c r="AD140" s="4">
        <v>6</v>
      </c>
      <c r="AE140" s="4">
        <v>18</v>
      </c>
      <c r="AF140" s="4">
        <v>3</v>
      </c>
      <c r="AG140" s="4">
        <v>4</v>
      </c>
      <c r="AH140" s="4">
        <v>1</v>
      </c>
      <c r="AI140" s="4">
        <v>3</v>
      </c>
      <c r="AJ140" s="4">
        <v>4</v>
      </c>
      <c r="AK140" s="4">
        <v>10</v>
      </c>
      <c r="AL140" s="4">
        <v>0</v>
      </c>
      <c r="AM140" s="4">
        <v>4</v>
      </c>
      <c r="AN140" s="4">
        <v>0</v>
      </c>
      <c r="AO140" s="4">
        <v>0</v>
      </c>
      <c r="AP140" s="3" t="s">
        <v>59</v>
      </c>
      <c r="AQ140" s="3" t="s">
        <v>71</v>
      </c>
      <c r="AR140" s="6" t="str">
        <f>HYPERLINK("http://catalog.hathitrust.org/Record/000002169","HathiTrust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HYPERLINK("https://creighton-primo.hosted.exlibrisgroup.com/primo-explore/search?tab=default_tab&amp;search_scope=EVERYTHING&amp;vid=01CRU&amp;lang=en_US&amp;offset=0&amp;query=any,contains,991000825109702656","Catalog Record")</f>
        <v>Catalog Record</v>
      </c>
      <c r="AT140" s="6" t="str">
        <f>HYPERLINK("http://www.worldcat.org/oclc/146174","WorldCat Record")</f>
        <v>WorldCat Record</v>
      </c>
      <c r="AU140" s="3" t="s">
        <v>1920</v>
      </c>
      <c r="AV140" s="3" t="s">
        <v>1921</v>
      </c>
      <c r="AW140" s="3" t="s">
        <v>1922</v>
      </c>
      <c r="AX140" s="3" t="s">
        <v>1922</v>
      </c>
      <c r="AY140" s="3" t="s">
        <v>1923</v>
      </c>
      <c r="AZ140" s="3" t="s">
        <v>76</v>
      </c>
      <c r="BC140" s="3" t="s">
        <v>1924</v>
      </c>
      <c r="BD140" s="3" t="s">
        <v>1925</v>
      </c>
    </row>
    <row r="141" spans="1:56" ht="52.5" customHeight="1" x14ac:dyDescent="0.25">
      <c r="A141" s="7" t="s">
        <v>59</v>
      </c>
      <c r="B141" s="2" t="s">
        <v>1926</v>
      </c>
      <c r="C141" s="2" t="s">
        <v>1927</v>
      </c>
      <c r="D141" s="2" t="s">
        <v>1928</v>
      </c>
      <c r="F141" s="3" t="s">
        <v>59</v>
      </c>
      <c r="G141" s="3" t="s">
        <v>60</v>
      </c>
      <c r="H141" s="3" t="s">
        <v>59</v>
      </c>
      <c r="I141" s="3" t="s">
        <v>59</v>
      </c>
      <c r="J141" s="3" t="s">
        <v>61</v>
      </c>
      <c r="K141" s="2" t="s">
        <v>1929</v>
      </c>
      <c r="L141" s="2" t="s">
        <v>1906</v>
      </c>
      <c r="M141" s="3" t="s">
        <v>987</v>
      </c>
      <c r="O141" s="3" t="s">
        <v>65</v>
      </c>
      <c r="P141" s="3" t="s">
        <v>296</v>
      </c>
      <c r="R141" s="3" t="s">
        <v>68</v>
      </c>
      <c r="S141" s="4">
        <v>4</v>
      </c>
      <c r="T141" s="4">
        <v>4</v>
      </c>
      <c r="U141" s="5" t="s">
        <v>1752</v>
      </c>
      <c r="V141" s="5" t="s">
        <v>1752</v>
      </c>
      <c r="W141" s="5" t="s">
        <v>1292</v>
      </c>
      <c r="X141" s="5" t="s">
        <v>1292</v>
      </c>
      <c r="Y141" s="4">
        <v>215</v>
      </c>
      <c r="Z141" s="4">
        <v>169</v>
      </c>
      <c r="AA141" s="4">
        <v>175</v>
      </c>
      <c r="AB141" s="4">
        <v>1</v>
      </c>
      <c r="AC141" s="4">
        <v>1</v>
      </c>
      <c r="AD141" s="4">
        <v>8</v>
      </c>
      <c r="AE141" s="4">
        <v>8</v>
      </c>
      <c r="AF141" s="4">
        <v>4</v>
      </c>
      <c r="AG141" s="4">
        <v>4</v>
      </c>
      <c r="AH141" s="4">
        <v>1</v>
      </c>
      <c r="AI141" s="4">
        <v>1</v>
      </c>
      <c r="AJ141" s="4">
        <v>6</v>
      </c>
      <c r="AK141" s="4">
        <v>6</v>
      </c>
      <c r="AL141" s="4">
        <v>0</v>
      </c>
      <c r="AM141" s="4">
        <v>0</v>
      </c>
      <c r="AN141" s="4">
        <v>0</v>
      </c>
      <c r="AO141" s="4">
        <v>0</v>
      </c>
      <c r="AP141" s="3" t="s">
        <v>59</v>
      </c>
      <c r="AQ141" s="3" t="s">
        <v>71</v>
      </c>
      <c r="AR141" s="6" t="str">
        <f>HYPERLINK("http://catalog.hathitrust.org/Record/012266519","HathiTrust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HYPERLINK("https://creighton-primo.hosted.exlibrisgroup.com/primo-explore/search?tab=default_tab&amp;search_scope=EVERYTHING&amp;vid=01CRU&amp;lang=en_US&amp;offset=0&amp;query=any,contains,991000206719702656","Catalog Record")</f>
        <v>Catalog Record</v>
      </c>
      <c r="AT141" s="6" t="str">
        <f>HYPERLINK("http://www.worldcat.org/oclc/65417","WorldCat Record")</f>
        <v>WorldCat Record</v>
      </c>
      <c r="AU141" s="3" t="s">
        <v>1930</v>
      </c>
      <c r="AV141" s="3" t="s">
        <v>1931</v>
      </c>
      <c r="AW141" s="3" t="s">
        <v>1932</v>
      </c>
      <c r="AX141" s="3" t="s">
        <v>1932</v>
      </c>
      <c r="AY141" s="3" t="s">
        <v>1933</v>
      </c>
      <c r="AZ141" s="3" t="s">
        <v>76</v>
      </c>
      <c r="BC141" s="3" t="s">
        <v>1934</v>
      </c>
      <c r="BD141" s="3" t="s">
        <v>1935</v>
      </c>
    </row>
    <row r="142" spans="1:56" ht="52.5" customHeight="1" x14ac:dyDescent="0.25">
      <c r="A142" s="7" t="s">
        <v>59</v>
      </c>
      <c r="B142" s="2" t="s">
        <v>1936</v>
      </c>
      <c r="C142" s="2" t="s">
        <v>1937</v>
      </c>
      <c r="D142" s="2" t="s">
        <v>1938</v>
      </c>
      <c r="F142" s="3" t="s">
        <v>59</v>
      </c>
      <c r="G142" s="3" t="s">
        <v>60</v>
      </c>
      <c r="H142" s="3" t="s">
        <v>59</v>
      </c>
      <c r="I142" s="3" t="s">
        <v>59</v>
      </c>
      <c r="J142" s="3" t="s">
        <v>61</v>
      </c>
      <c r="K142" s="2" t="s">
        <v>1939</v>
      </c>
      <c r="L142" s="2" t="s">
        <v>1940</v>
      </c>
      <c r="M142" s="3" t="s">
        <v>756</v>
      </c>
      <c r="O142" s="3" t="s">
        <v>65</v>
      </c>
      <c r="P142" s="3" t="s">
        <v>699</v>
      </c>
      <c r="R142" s="3" t="s">
        <v>68</v>
      </c>
      <c r="S142" s="4">
        <v>1</v>
      </c>
      <c r="T142" s="4">
        <v>1</v>
      </c>
      <c r="U142" s="5" t="s">
        <v>1829</v>
      </c>
      <c r="V142" s="5" t="s">
        <v>1829</v>
      </c>
      <c r="W142" s="5" t="s">
        <v>1292</v>
      </c>
      <c r="X142" s="5" t="s">
        <v>1292</v>
      </c>
      <c r="Y142" s="4">
        <v>1189</v>
      </c>
      <c r="Z142" s="4">
        <v>1041</v>
      </c>
      <c r="AA142" s="4">
        <v>1550</v>
      </c>
      <c r="AB142" s="4">
        <v>6</v>
      </c>
      <c r="AC142" s="4">
        <v>10</v>
      </c>
      <c r="AD142" s="4">
        <v>40</v>
      </c>
      <c r="AE142" s="4">
        <v>51</v>
      </c>
      <c r="AF142" s="4">
        <v>16</v>
      </c>
      <c r="AG142" s="4">
        <v>21</v>
      </c>
      <c r="AH142" s="4">
        <v>9</v>
      </c>
      <c r="AI142" s="4">
        <v>11</v>
      </c>
      <c r="AJ142" s="4">
        <v>22</v>
      </c>
      <c r="AK142" s="4">
        <v>25</v>
      </c>
      <c r="AL142" s="4">
        <v>4</v>
      </c>
      <c r="AM142" s="4">
        <v>7</v>
      </c>
      <c r="AN142" s="4">
        <v>0</v>
      </c>
      <c r="AO142" s="4">
        <v>0</v>
      </c>
      <c r="AP142" s="3" t="s">
        <v>59</v>
      </c>
      <c r="AQ142" s="3" t="s">
        <v>71</v>
      </c>
      <c r="AR142" s="6" t="str">
        <f>HYPERLINK("http://catalog.hathitrust.org/Record/000015577","HathiTrust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HYPERLINK("https://creighton-primo.hosted.exlibrisgroup.com/primo-explore/search?tab=default_tab&amp;search_scope=EVERYTHING&amp;vid=01CRU&amp;lang=en_US&amp;offset=0&amp;query=any,contains,991003430709702656","Catalog Record")</f>
        <v>Catalog Record</v>
      </c>
      <c r="AT142" s="6" t="str">
        <f>HYPERLINK("http://www.worldcat.org/oclc/965481","WorldCat Record")</f>
        <v>WorldCat Record</v>
      </c>
      <c r="AU142" s="3" t="s">
        <v>1941</v>
      </c>
      <c r="AV142" s="3" t="s">
        <v>1942</v>
      </c>
      <c r="AW142" s="3" t="s">
        <v>1943</v>
      </c>
      <c r="AX142" s="3" t="s">
        <v>1943</v>
      </c>
      <c r="AY142" s="3" t="s">
        <v>1944</v>
      </c>
      <c r="AZ142" s="3" t="s">
        <v>76</v>
      </c>
      <c r="BC142" s="3" t="s">
        <v>1945</v>
      </c>
      <c r="BD142" s="3" t="s">
        <v>1946</v>
      </c>
    </row>
    <row r="143" spans="1:56" ht="52.5" customHeight="1" x14ac:dyDescent="0.25">
      <c r="A143" s="7" t="s">
        <v>59</v>
      </c>
      <c r="B143" s="2" t="s">
        <v>1947</v>
      </c>
      <c r="C143" s="2" t="s">
        <v>1948</v>
      </c>
      <c r="D143" s="2" t="s">
        <v>1949</v>
      </c>
      <c r="F143" s="3" t="s">
        <v>59</v>
      </c>
      <c r="G143" s="3" t="s">
        <v>60</v>
      </c>
      <c r="H143" s="3" t="s">
        <v>59</v>
      </c>
      <c r="I143" s="3" t="s">
        <v>59</v>
      </c>
      <c r="J143" s="3" t="s">
        <v>61</v>
      </c>
      <c r="L143" s="2" t="s">
        <v>1950</v>
      </c>
      <c r="M143" s="3" t="s">
        <v>224</v>
      </c>
      <c r="O143" s="3" t="s">
        <v>65</v>
      </c>
      <c r="P143" s="3" t="s">
        <v>283</v>
      </c>
      <c r="R143" s="3" t="s">
        <v>68</v>
      </c>
      <c r="S143" s="4">
        <v>4</v>
      </c>
      <c r="T143" s="4">
        <v>4</v>
      </c>
      <c r="U143" s="5" t="s">
        <v>1951</v>
      </c>
      <c r="V143" s="5" t="s">
        <v>1951</v>
      </c>
      <c r="W143" s="5" t="s">
        <v>1292</v>
      </c>
      <c r="X143" s="5" t="s">
        <v>1292</v>
      </c>
      <c r="Y143" s="4">
        <v>105</v>
      </c>
      <c r="Z143" s="4">
        <v>95</v>
      </c>
      <c r="AA143" s="4">
        <v>96</v>
      </c>
      <c r="AB143" s="4">
        <v>1</v>
      </c>
      <c r="AC143" s="4">
        <v>1</v>
      </c>
      <c r="AD143" s="4">
        <v>4</v>
      </c>
      <c r="AE143" s="4">
        <v>4</v>
      </c>
      <c r="AF143" s="4">
        <v>1</v>
      </c>
      <c r="AG143" s="4">
        <v>1</v>
      </c>
      <c r="AH143" s="4">
        <v>1</v>
      </c>
      <c r="AI143" s="4">
        <v>1</v>
      </c>
      <c r="AJ143" s="4">
        <v>2</v>
      </c>
      <c r="AK143" s="4">
        <v>2</v>
      </c>
      <c r="AL143" s="4">
        <v>0</v>
      </c>
      <c r="AM143" s="4">
        <v>0</v>
      </c>
      <c r="AN143" s="4">
        <v>0</v>
      </c>
      <c r="AO143" s="4">
        <v>0</v>
      </c>
      <c r="AP143" s="3" t="s">
        <v>59</v>
      </c>
      <c r="AQ143" s="3" t="s">
        <v>71</v>
      </c>
      <c r="AR143" s="6" t="str">
        <f>HYPERLINK("http://catalog.hathitrust.org/Record/000690823","HathiTrust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HYPERLINK("https://creighton-primo.hosted.exlibrisgroup.com/primo-explore/search?tab=default_tab&amp;search_scope=EVERYTHING&amp;vid=01CRU&amp;lang=en_US&amp;offset=0&amp;query=any,contains,991003836309702656","Catalog Record")</f>
        <v>Catalog Record</v>
      </c>
      <c r="AT143" s="6" t="str">
        <f>HYPERLINK("http://www.worldcat.org/oclc/1601996","WorldCat Record")</f>
        <v>WorldCat Record</v>
      </c>
      <c r="AU143" s="3" t="s">
        <v>1952</v>
      </c>
      <c r="AV143" s="3" t="s">
        <v>1953</v>
      </c>
      <c r="AW143" s="3" t="s">
        <v>1954</v>
      </c>
      <c r="AX143" s="3" t="s">
        <v>1954</v>
      </c>
      <c r="AY143" s="3" t="s">
        <v>1955</v>
      </c>
      <c r="AZ143" s="3" t="s">
        <v>76</v>
      </c>
      <c r="BC143" s="3" t="s">
        <v>1956</v>
      </c>
      <c r="BD143" s="3" t="s">
        <v>1957</v>
      </c>
    </row>
    <row r="144" spans="1:56" ht="52.5" customHeight="1" x14ac:dyDescent="0.25">
      <c r="A144" s="7" t="s">
        <v>59</v>
      </c>
      <c r="B144" s="2" t="s">
        <v>1958</v>
      </c>
      <c r="C144" s="2" t="s">
        <v>1959</v>
      </c>
      <c r="D144" s="2" t="s">
        <v>1960</v>
      </c>
      <c r="F144" s="3" t="s">
        <v>59</v>
      </c>
      <c r="G144" s="3" t="s">
        <v>60</v>
      </c>
      <c r="H144" s="3" t="s">
        <v>59</v>
      </c>
      <c r="I144" s="3" t="s">
        <v>59</v>
      </c>
      <c r="J144" s="3" t="s">
        <v>61</v>
      </c>
      <c r="K144" s="2" t="s">
        <v>1961</v>
      </c>
      <c r="L144" s="2" t="s">
        <v>1962</v>
      </c>
      <c r="M144" s="3" t="s">
        <v>295</v>
      </c>
      <c r="O144" s="3" t="s">
        <v>65</v>
      </c>
      <c r="P144" s="3" t="s">
        <v>66</v>
      </c>
      <c r="R144" s="3" t="s">
        <v>68</v>
      </c>
      <c r="S144" s="4">
        <v>5</v>
      </c>
      <c r="T144" s="4">
        <v>5</v>
      </c>
      <c r="U144" s="5" t="s">
        <v>1963</v>
      </c>
      <c r="V144" s="5" t="s">
        <v>1963</v>
      </c>
      <c r="W144" s="5" t="s">
        <v>1964</v>
      </c>
      <c r="X144" s="5" t="s">
        <v>1964</v>
      </c>
      <c r="Y144" s="4">
        <v>614</v>
      </c>
      <c r="Z144" s="4">
        <v>523</v>
      </c>
      <c r="AA144" s="4">
        <v>530</v>
      </c>
      <c r="AB144" s="4">
        <v>4</v>
      </c>
      <c r="AC144" s="4">
        <v>4</v>
      </c>
      <c r="AD144" s="4">
        <v>29</v>
      </c>
      <c r="AE144" s="4">
        <v>29</v>
      </c>
      <c r="AF144" s="4">
        <v>9</v>
      </c>
      <c r="AG144" s="4">
        <v>9</v>
      </c>
      <c r="AH144" s="4">
        <v>7</v>
      </c>
      <c r="AI144" s="4">
        <v>7</v>
      </c>
      <c r="AJ144" s="4">
        <v>16</v>
      </c>
      <c r="AK144" s="4">
        <v>16</v>
      </c>
      <c r="AL144" s="4">
        <v>3</v>
      </c>
      <c r="AM144" s="4">
        <v>3</v>
      </c>
      <c r="AN144" s="4">
        <v>0</v>
      </c>
      <c r="AO144" s="4">
        <v>0</v>
      </c>
      <c r="AP144" s="3" t="s">
        <v>59</v>
      </c>
      <c r="AQ144" s="3" t="s">
        <v>71</v>
      </c>
      <c r="AR144" s="6" t="str">
        <f>HYPERLINK("http://catalog.hathitrust.org/Record/000619656","HathiTrust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HYPERLINK("https://creighton-primo.hosted.exlibrisgroup.com/primo-explore/search?tab=default_tab&amp;search_scope=EVERYTHING&amp;vid=01CRU&amp;lang=en_US&amp;offset=0&amp;query=any,contains,991001205989702656","Catalog Record")</f>
        <v>Catalog Record</v>
      </c>
      <c r="AT144" s="6" t="str">
        <f>HYPERLINK("http://www.worldcat.org/oclc/192077","WorldCat Record")</f>
        <v>WorldCat Record</v>
      </c>
      <c r="AU144" s="3" t="s">
        <v>1965</v>
      </c>
      <c r="AV144" s="3" t="s">
        <v>1966</v>
      </c>
      <c r="AW144" s="3" t="s">
        <v>1967</v>
      </c>
      <c r="AX144" s="3" t="s">
        <v>1967</v>
      </c>
      <c r="AY144" s="3" t="s">
        <v>1968</v>
      </c>
      <c r="AZ144" s="3" t="s">
        <v>76</v>
      </c>
      <c r="BC144" s="3" t="s">
        <v>1969</v>
      </c>
      <c r="BD144" s="3" t="s">
        <v>1970</v>
      </c>
    </row>
    <row r="145" spans="1:56" ht="52.5" customHeight="1" x14ac:dyDescent="0.25">
      <c r="A145" s="7" t="s">
        <v>59</v>
      </c>
      <c r="B145" s="2" t="s">
        <v>1971</v>
      </c>
      <c r="C145" s="2" t="s">
        <v>1972</v>
      </c>
      <c r="D145" s="2" t="s">
        <v>1973</v>
      </c>
      <c r="F145" s="3" t="s">
        <v>59</v>
      </c>
      <c r="G145" s="3" t="s">
        <v>60</v>
      </c>
      <c r="H145" s="3" t="s">
        <v>59</v>
      </c>
      <c r="I145" s="3" t="s">
        <v>71</v>
      </c>
      <c r="J145" s="3" t="s">
        <v>61</v>
      </c>
      <c r="L145" s="2" t="s">
        <v>1974</v>
      </c>
      <c r="M145" s="3" t="s">
        <v>1217</v>
      </c>
      <c r="N145" s="2" t="s">
        <v>1975</v>
      </c>
      <c r="O145" s="3" t="s">
        <v>65</v>
      </c>
      <c r="P145" s="3" t="s">
        <v>771</v>
      </c>
      <c r="R145" s="3" t="s">
        <v>68</v>
      </c>
      <c r="S145" s="4">
        <v>9</v>
      </c>
      <c r="T145" s="4">
        <v>9</v>
      </c>
      <c r="U145" s="5" t="s">
        <v>1976</v>
      </c>
      <c r="V145" s="5" t="s">
        <v>1976</v>
      </c>
      <c r="W145" s="5" t="s">
        <v>1977</v>
      </c>
      <c r="X145" s="5" t="s">
        <v>1977</v>
      </c>
      <c r="Y145" s="4">
        <v>124</v>
      </c>
      <c r="Z145" s="4">
        <v>111</v>
      </c>
      <c r="AA145" s="4">
        <v>1859</v>
      </c>
      <c r="AB145" s="4">
        <v>3</v>
      </c>
      <c r="AC145" s="4">
        <v>12</v>
      </c>
      <c r="AD145" s="4">
        <v>5</v>
      </c>
      <c r="AE145" s="4">
        <v>41</v>
      </c>
      <c r="AF145" s="4">
        <v>2</v>
      </c>
      <c r="AG145" s="4">
        <v>18</v>
      </c>
      <c r="AH145" s="4">
        <v>1</v>
      </c>
      <c r="AI145" s="4">
        <v>6</v>
      </c>
      <c r="AJ145" s="4">
        <v>4</v>
      </c>
      <c r="AK145" s="4">
        <v>20</v>
      </c>
      <c r="AL145" s="4">
        <v>0</v>
      </c>
      <c r="AM145" s="4">
        <v>7</v>
      </c>
      <c r="AN145" s="4">
        <v>0</v>
      </c>
      <c r="AO145" s="4">
        <v>0</v>
      </c>
      <c r="AP145" s="3" t="s">
        <v>59</v>
      </c>
      <c r="AQ145" s="3" t="s">
        <v>71</v>
      </c>
      <c r="AR145" s="6" t="str">
        <f>HYPERLINK("http://catalog.hathitrust.org/Record/101974679","HathiTrust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HYPERLINK("https://creighton-primo.hosted.exlibrisgroup.com/primo-explore/search?tab=default_tab&amp;search_scope=EVERYTHING&amp;vid=01CRU&amp;lang=en_US&amp;offset=0&amp;query=any,contains,991000427509702656","Catalog Record")</f>
        <v>Catalog Record</v>
      </c>
      <c r="AT145" s="6" t="str">
        <f>HYPERLINK("http://www.worldcat.org/oclc/10757602","WorldCat Record")</f>
        <v>WorldCat Record</v>
      </c>
      <c r="AU145" s="3" t="s">
        <v>1978</v>
      </c>
      <c r="AV145" s="3" t="s">
        <v>1979</v>
      </c>
      <c r="AW145" s="3" t="s">
        <v>1980</v>
      </c>
      <c r="AX145" s="3" t="s">
        <v>1980</v>
      </c>
      <c r="AY145" s="3" t="s">
        <v>1981</v>
      </c>
      <c r="AZ145" s="3" t="s">
        <v>76</v>
      </c>
      <c r="BC145" s="3" t="s">
        <v>1982</v>
      </c>
      <c r="BD145" s="3" t="s">
        <v>1983</v>
      </c>
    </row>
    <row r="146" spans="1:56" ht="52.5" customHeight="1" x14ac:dyDescent="0.25">
      <c r="A146" s="7" t="s">
        <v>59</v>
      </c>
      <c r="B146" s="2" t="s">
        <v>1984</v>
      </c>
      <c r="C146" s="2" t="s">
        <v>1985</v>
      </c>
      <c r="D146" s="2" t="s">
        <v>1986</v>
      </c>
      <c r="F146" s="3" t="s">
        <v>59</v>
      </c>
      <c r="G146" s="3" t="s">
        <v>60</v>
      </c>
      <c r="H146" s="3" t="s">
        <v>59</v>
      </c>
      <c r="I146" s="3" t="s">
        <v>59</v>
      </c>
      <c r="J146" s="3" t="s">
        <v>61</v>
      </c>
      <c r="K146" s="2" t="s">
        <v>1987</v>
      </c>
      <c r="L146" s="2" t="s">
        <v>1988</v>
      </c>
      <c r="M146" s="3" t="s">
        <v>684</v>
      </c>
      <c r="O146" s="3" t="s">
        <v>65</v>
      </c>
      <c r="P146" s="3" t="s">
        <v>323</v>
      </c>
      <c r="R146" s="3" t="s">
        <v>68</v>
      </c>
      <c r="S146" s="4">
        <v>9</v>
      </c>
      <c r="T146" s="4">
        <v>9</v>
      </c>
      <c r="U146" s="5" t="s">
        <v>1989</v>
      </c>
      <c r="V146" s="5" t="s">
        <v>1989</v>
      </c>
      <c r="W146" s="5" t="s">
        <v>1990</v>
      </c>
      <c r="X146" s="5" t="s">
        <v>1990</v>
      </c>
      <c r="Y146" s="4">
        <v>549</v>
      </c>
      <c r="Z146" s="4">
        <v>492</v>
      </c>
      <c r="AA146" s="4">
        <v>657</v>
      </c>
      <c r="AB146" s="4">
        <v>3</v>
      </c>
      <c r="AC146" s="4">
        <v>3</v>
      </c>
      <c r="AD146" s="4">
        <v>23</v>
      </c>
      <c r="AE146" s="4">
        <v>30</v>
      </c>
      <c r="AF146" s="4">
        <v>8</v>
      </c>
      <c r="AG146" s="4">
        <v>14</v>
      </c>
      <c r="AH146" s="4">
        <v>6</v>
      </c>
      <c r="AI146" s="4">
        <v>8</v>
      </c>
      <c r="AJ146" s="4">
        <v>14</v>
      </c>
      <c r="AK146" s="4">
        <v>16</v>
      </c>
      <c r="AL146" s="4">
        <v>2</v>
      </c>
      <c r="AM146" s="4">
        <v>2</v>
      </c>
      <c r="AN146" s="4">
        <v>0</v>
      </c>
      <c r="AO146" s="4">
        <v>0</v>
      </c>
      <c r="AP146" s="3" t="s">
        <v>59</v>
      </c>
      <c r="AQ146" s="3" t="s">
        <v>71</v>
      </c>
      <c r="AR146" s="6" t="str">
        <f>HYPERLINK("http://catalog.hathitrust.org/Record/006811698","HathiTrust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HYPERLINK("https://creighton-primo.hosted.exlibrisgroup.com/primo-explore/search?tab=default_tab&amp;search_scope=EVERYTHING&amp;vid=01CRU&amp;lang=en_US&amp;offset=0&amp;query=any,contains,991005039739702656","Catalog Record")</f>
        <v>Catalog Record</v>
      </c>
      <c r="AT146" s="6" t="str">
        <f>HYPERLINK("http://www.worldcat.org/oclc/6788880","WorldCat Record")</f>
        <v>WorldCat Record</v>
      </c>
      <c r="AU146" s="3" t="s">
        <v>1991</v>
      </c>
      <c r="AV146" s="3" t="s">
        <v>1992</v>
      </c>
      <c r="AW146" s="3" t="s">
        <v>1993</v>
      </c>
      <c r="AX146" s="3" t="s">
        <v>1993</v>
      </c>
      <c r="AY146" s="3" t="s">
        <v>1994</v>
      </c>
      <c r="AZ146" s="3" t="s">
        <v>76</v>
      </c>
      <c r="BB146" s="3" t="s">
        <v>1995</v>
      </c>
      <c r="BC146" s="3" t="s">
        <v>1996</v>
      </c>
      <c r="BD146" s="3" t="s">
        <v>1997</v>
      </c>
    </row>
    <row r="147" spans="1:56" ht="52.5" customHeight="1" x14ac:dyDescent="0.25">
      <c r="A147" s="7" t="s">
        <v>59</v>
      </c>
      <c r="B147" s="2" t="s">
        <v>1998</v>
      </c>
      <c r="C147" s="2" t="s">
        <v>1999</v>
      </c>
      <c r="D147" s="2" t="s">
        <v>2000</v>
      </c>
      <c r="F147" s="3" t="s">
        <v>59</v>
      </c>
      <c r="G147" s="3" t="s">
        <v>60</v>
      </c>
      <c r="H147" s="3" t="s">
        <v>59</v>
      </c>
      <c r="I147" s="3" t="s">
        <v>59</v>
      </c>
      <c r="J147" s="3" t="s">
        <v>61</v>
      </c>
      <c r="L147" s="2" t="s">
        <v>2001</v>
      </c>
      <c r="M147" s="3" t="s">
        <v>987</v>
      </c>
      <c r="O147" s="3" t="s">
        <v>65</v>
      </c>
      <c r="P147" s="3" t="s">
        <v>1262</v>
      </c>
      <c r="Q147" s="2" t="s">
        <v>2002</v>
      </c>
      <c r="R147" s="3" t="s">
        <v>68</v>
      </c>
      <c r="S147" s="4">
        <v>7</v>
      </c>
      <c r="T147" s="4">
        <v>7</v>
      </c>
      <c r="U147" s="5" t="s">
        <v>2003</v>
      </c>
      <c r="V147" s="5" t="s">
        <v>2003</v>
      </c>
      <c r="W147" s="5" t="s">
        <v>2004</v>
      </c>
      <c r="X147" s="5" t="s">
        <v>2004</v>
      </c>
      <c r="Y147" s="4">
        <v>701</v>
      </c>
      <c r="Z147" s="4">
        <v>504</v>
      </c>
      <c r="AA147" s="4">
        <v>517</v>
      </c>
      <c r="AB147" s="4">
        <v>3</v>
      </c>
      <c r="AC147" s="4">
        <v>3</v>
      </c>
      <c r="AD147" s="4">
        <v>22</v>
      </c>
      <c r="AE147" s="4">
        <v>22</v>
      </c>
      <c r="AF147" s="4">
        <v>8</v>
      </c>
      <c r="AG147" s="4">
        <v>8</v>
      </c>
      <c r="AH147" s="4">
        <v>6</v>
      </c>
      <c r="AI147" s="4">
        <v>6</v>
      </c>
      <c r="AJ147" s="4">
        <v>11</v>
      </c>
      <c r="AK147" s="4">
        <v>11</v>
      </c>
      <c r="AL147" s="4">
        <v>2</v>
      </c>
      <c r="AM147" s="4">
        <v>2</v>
      </c>
      <c r="AN147" s="4">
        <v>0</v>
      </c>
      <c r="AO147" s="4">
        <v>0</v>
      </c>
      <c r="AP147" s="3" t="s">
        <v>59</v>
      </c>
      <c r="AQ147" s="3" t="s">
        <v>71</v>
      </c>
      <c r="AR147" s="6" t="str">
        <f>HYPERLINK("http://catalog.hathitrust.org/Record/000001295","HathiTrust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HYPERLINK("https://creighton-primo.hosted.exlibrisgroup.com/primo-explore/search?tab=default_tab&amp;search_scope=EVERYTHING&amp;vid=01CRU&amp;lang=en_US&amp;offset=0&amp;query=any,contains,991000576769702656","Catalog Record")</f>
        <v>Catalog Record</v>
      </c>
      <c r="AT147" s="6" t="str">
        <f>HYPERLINK("http://www.worldcat.org/oclc/94954","WorldCat Record")</f>
        <v>WorldCat Record</v>
      </c>
      <c r="AU147" s="3" t="s">
        <v>2005</v>
      </c>
      <c r="AV147" s="3" t="s">
        <v>2006</v>
      </c>
      <c r="AW147" s="3" t="s">
        <v>2007</v>
      </c>
      <c r="AX147" s="3" t="s">
        <v>2007</v>
      </c>
      <c r="AY147" s="3" t="s">
        <v>2008</v>
      </c>
      <c r="AZ147" s="3" t="s">
        <v>76</v>
      </c>
      <c r="BB147" s="3" t="s">
        <v>2009</v>
      </c>
      <c r="BC147" s="3" t="s">
        <v>2010</v>
      </c>
      <c r="BD147" s="3" t="s">
        <v>2011</v>
      </c>
    </row>
    <row r="148" spans="1:56" ht="52.5" customHeight="1" x14ac:dyDescent="0.25">
      <c r="A148" s="7" t="s">
        <v>59</v>
      </c>
      <c r="B148" s="2" t="s">
        <v>2012</v>
      </c>
      <c r="C148" s="2" t="s">
        <v>2013</v>
      </c>
      <c r="D148" s="2" t="s">
        <v>2014</v>
      </c>
      <c r="F148" s="3" t="s">
        <v>59</v>
      </c>
      <c r="G148" s="3" t="s">
        <v>60</v>
      </c>
      <c r="H148" s="3" t="s">
        <v>59</v>
      </c>
      <c r="I148" s="3" t="s">
        <v>59</v>
      </c>
      <c r="J148" s="3" t="s">
        <v>61</v>
      </c>
      <c r="K148" s="2" t="s">
        <v>2015</v>
      </c>
      <c r="L148" s="2" t="s">
        <v>2016</v>
      </c>
      <c r="M148" s="3" t="s">
        <v>64</v>
      </c>
      <c r="O148" s="3" t="s">
        <v>65</v>
      </c>
      <c r="P148" s="3" t="s">
        <v>296</v>
      </c>
      <c r="Q148" s="2" t="s">
        <v>2017</v>
      </c>
      <c r="R148" s="3" t="s">
        <v>68</v>
      </c>
      <c r="S148" s="4">
        <v>6</v>
      </c>
      <c r="T148" s="4">
        <v>6</v>
      </c>
      <c r="U148" s="5" t="s">
        <v>2018</v>
      </c>
      <c r="V148" s="5" t="s">
        <v>2018</v>
      </c>
      <c r="W148" s="5" t="s">
        <v>227</v>
      </c>
      <c r="X148" s="5" t="s">
        <v>227</v>
      </c>
      <c r="Y148" s="4">
        <v>504</v>
      </c>
      <c r="Z148" s="4">
        <v>446</v>
      </c>
      <c r="AA148" s="4">
        <v>796</v>
      </c>
      <c r="AB148" s="4">
        <v>4</v>
      </c>
      <c r="AC148" s="4">
        <v>9</v>
      </c>
      <c r="AD148" s="4">
        <v>20</v>
      </c>
      <c r="AE148" s="4">
        <v>35</v>
      </c>
      <c r="AF148" s="4">
        <v>8</v>
      </c>
      <c r="AG148" s="4">
        <v>12</v>
      </c>
      <c r="AH148" s="4">
        <v>4</v>
      </c>
      <c r="AI148" s="4">
        <v>7</v>
      </c>
      <c r="AJ148" s="4">
        <v>9</v>
      </c>
      <c r="AK148" s="4">
        <v>17</v>
      </c>
      <c r="AL148" s="4">
        <v>3</v>
      </c>
      <c r="AM148" s="4">
        <v>6</v>
      </c>
      <c r="AN148" s="4">
        <v>0</v>
      </c>
      <c r="AO148" s="4">
        <v>0</v>
      </c>
      <c r="AP148" s="3" t="s">
        <v>59</v>
      </c>
      <c r="AQ148" s="3" t="s">
        <v>71</v>
      </c>
      <c r="AR148" s="6" t="str">
        <f>HYPERLINK("http://catalog.hathitrust.org/Record/006811721","HathiTrust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HYPERLINK("https://creighton-primo.hosted.exlibrisgroup.com/primo-explore/search?tab=default_tab&amp;search_scope=EVERYTHING&amp;vid=01CRU&amp;lang=en_US&amp;offset=0&amp;query=any,contains,991001369319702656","Catalog Record")</f>
        <v>Catalog Record</v>
      </c>
      <c r="AT148" s="6" t="str">
        <f>HYPERLINK("http://www.worldcat.org/oclc/223049","WorldCat Record")</f>
        <v>WorldCat Record</v>
      </c>
      <c r="AU148" s="3" t="s">
        <v>2019</v>
      </c>
      <c r="AV148" s="3" t="s">
        <v>2020</v>
      </c>
      <c r="AW148" s="3" t="s">
        <v>2021</v>
      </c>
      <c r="AX148" s="3" t="s">
        <v>2021</v>
      </c>
      <c r="AY148" s="3" t="s">
        <v>2022</v>
      </c>
      <c r="AZ148" s="3" t="s">
        <v>76</v>
      </c>
      <c r="BC148" s="3" t="s">
        <v>2023</v>
      </c>
      <c r="BD148" s="3" t="s">
        <v>2024</v>
      </c>
    </row>
    <row r="149" spans="1:56" ht="52.5" customHeight="1" x14ac:dyDescent="0.25">
      <c r="A149" s="7" t="s">
        <v>59</v>
      </c>
      <c r="B149" s="2" t="s">
        <v>2025</v>
      </c>
      <c r="C149" s="2" t="s">
        <v>2026</v>
      </c>
      <c r="D149" s="2" t="s">
        <v>2027</v>
      </c>
      <c r="F149" s="3" t="s">
        <v>59</v>
      </c>
      <c r="G149" s="3" t="s">
        <v>60</v>
      </c>
      <c r="H149" s="3" t="s">
        <v>59</v>
      </c>
      <c r="I149" s="3" t="s">
        <v>59</v>
      </c>
      <c r="J149" s="3" t="s">
        <v>61</v>
      </c>
      <c r="K149" s="2" t="s">
        <v>2028</v>
      </c>
      <c r="L149" s="2" t="s">
        <v>2029</v>
      </c>
      <c r="M149" s="3" t="s">
        <v>350</v>
      </c>
      <c r="O149" s="3" t="s">
        <v>65</v>
      </c>
      <c r="P149" s="3" t="s">
        <v>66</v>
      </c>
      <c r="Q149" s="2" t="s">
        <v>2030</v>
      </c>
      <c r="R149" s="3" t="s">
        <v>68</v>
      </c>
      <c r="S149" s="4">
        <v>4</v>
      </c>
      <c r="T149" s="4">
        <v>4</v>
      </c>
      <c r="U149" s="5" t="s">
        <v>2031</v>
      </c>
      <c r="V149" s="5" t="s">
        <v>2031</v>
      </c>
      <c r="W149" s="5" t="s">
        <v>2032</v>
      </c>
      <c r="X149" s="5" t="s">
        <v>2032</v>
      </c>
      <c r="Y149" s="4">
        <v>83</v>
      </c>
      <c r="Z149" s="4">
        <v>72</v>
      </c>
      <c r="AA149" s="4">
        <v>532</v>
      </c>
      <c r="AB149" s="4">
        <v>1</v>
      </c>
      <c r="AC149" s="4">
        <v>6</v>
      </c>
      <c r="AD149" s="4">
        <v>2</v>
      </c>
      <c r="AE149" s="4">
        <v>24</v>
      </c>
      <c r="AF149" s="4">
        <v>1</v>
      </c>
      <c r="AG149" s="4">
        <v>8</v>
      </c>
      <c r="AH149" s="4">
        <v>1</v>
      </c>
      <c r="AI149" s="4">
        <v>3</v>
      </c>
      <c r="AJ149" s="4">
        <v>1</v>
      </c>
      <c r="AK149" s="4">
        <v>15</v>
      </c>
      <c r="AL149" s="4">
        <v>0</v>
      </c>
      <c r="AM149" s="4">
        <v>4</v>
      </c>
      <c r="AN149" s="4">
        <v>0</v>
      </c>
      <c r="AO149" s="4">
        <v>0</v>
      </c>
      <c r="AP149" s="3" t="s">
        <v>59</v>
      </c>
      <c r="AQ149" s="3" t="s">
        <v>71</v>
      </c>
      <c r="AR149" s="6" t="str">
        <f>HYPERLINK("http://catalog.hathitrust.org/Record/007046390","HathiTrust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HYPERLINK("https://creighton-primo.hosted.exlibrisgroup.com/primo-explore/search?tab=default_tab&amp;search_scope=EVERYTHING&amp;vid=01CRU&amp;lang=en_US&amp;offset=0&amp;query=any,contains,991004271209702656","Catalog Record")</f>
        <v>Catalog Record</v>
      </c>
      <c r="AT149" s="6" t="str">
        <f>HYPERLINK("http://www.worldcat.org/oclc/2876092","WorldCat Record")</f>
        <v>WorldCat Record</v>
      </c>
      <c r="AU149" s="3" t="s">
        <v>2033</v>
      </c>
      <c r="AV149" s="3" t="s">
        <v>2034</v>
      </c>
      <c r="AW149" s="3" t="s">
        <v>2035</v>
      </c>
      <c r="AX149" s="3" t="s">
        <v>2035</v>
      </c>
      <c r="AY149" s="3" t="s">
        <v>2036</v>
      </c>
      <c r="AZ149" s="3" t="s">
        <v>76</v>
      </c>
      <c r="BB149" s="3" t="s">
        <v>2037</v>
      </c>
      <c r="BC149" s="3" t="s">
        <v>2038</v>
      </c>
      <c r="BD149" s="3" t="s">
        <v>2039</v>
      </c>
    </row>
    <row r="150" spans="1:56" ht="52.5" customHeight="1" x14ac:dyDescent="0.25">
      <c r="A150" s="7" t="s">
        <v>59</v>
      </c>
      <c r="B150" s="2" t="s">
        <v>2040</v>
      </c>
      <c r="C150" s="2" t="s">
        <v>2041</v>
      </c>
      <c r="D150" s="2" t="s">
        <v>2042</v>
      </c>
      <c r="F150" s="3" t="s">
        <v>59</v>
      </c>
      <c r="G150" s="3" t="s">
        <v>60</v>
      </c>
      <c r="H150" s="3" t="s">
        <v>59</v>
      </c>
      <c r="I150" s="3" t="s">
        <v>59</v>
      </c>
      <c r="J150" s="3" t="s">
        <v>61</v>
      </c>
      <c r="K150" s="2" t="s">
        <v>2043</v>
      </c>
      <c r="L150" s="2" t="s">
        <v>2044</v>
      </c>
      <c r="M150" s="3" t="s">
        <v>115</v>
      </c>
      <c r="O150" s="3" t="s">
        <v>65</v>
      </c>
      <c r="P150" s="3" t="s">
        <v>66</v>
      </c>
      <c r="R150" s="3" t="s">
        <v>68</v>
      </c>
      <c r="S150" s="4">
        <v>12</v>
      </c>
      <c r="T150" s="4">
        <v>12</v>
      </c>
      <c r="U150" s="5" t="s">
        <v>2045</v>
      </c>
      <c r="V150" s="5" t="s">
        <v>2045</v>
      </c>
      <c r="W150" s="5" t="s">
        <v>269</v>
      </c>
      <c r="X150" s="5" t="s">
        <v>269</v>
      </c>
      <c r="Y150" s="4">
        <v>212</v>
      </c>
      <c r="Z150" s="4">
        <v>193</v>
      </c>
      <c r="AA150" s="4">
        <v>322</v>
      </c>
      <c r="AB150" s="4">
        <v>2</v>
      </c>
      <c r="AC150" s="4">
        <v>3</v>
      </c>
      <c r="AD150" s="4">
        <v>9</v>
      </c>
      <c r="AE150" s="4">
        <v>11</v>
      </c>
      <c r="AF150" s="4">
        <v>4</v>
      </c>
      <c r="AG150" s="4">
        <v>4</v>
      </c>
      <c r="AH150" s="4">
        <v>0</v>
      </c>
      <c r="AI150" s="4">
        <v>1</v>
      </c>
      <c r="AJ150" s="4">
        <v>4</v>
      </c>
      <c r="AK150" s="4">
        <v>4</v>
      </c>
      <c r="AL150" s="4">
        <v>1</v>
      </c>
      <c r="AM150" s="4">
        <v>2</v>
      </c>
      <c r="AN150" s="4">
        <v>1</v>
      </c>
      <c r="AO150" s="4">
        <v>1</v>
      </c>
      <c r="AP150" s="3" t="s">
        <v>59</v>
      </c>
      <c r="AQ150" s="3" t="s">
        <v>71</v>
      </c>
      <c r="AR150" s="6" t="str">
        <f>HYPERLINK("http://catalog.hathitrust.org/Record/102071666","HathiTrust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HYPERLINK("https://creighton-primo.hosted.exlibrisgroup.com/primo-explore/search?tab=default_tab&amp;search_scope=EVERYTHING&amp;vid=01CRU&amp;lang=en_US&amp;offset=0&amp;query=any,contains,991002694489702656","Catalog Record")</f>
        <v>Catalog Record</v>
      </c>
      <c r="AT150" s="6" t="str">
        <f>HYPERLINK("http://www.worldcat.org/oclc/403000","WorldCat Record")</f>
        <v>WorldCat Record</v>
      </c>
      <c r="AU150" s="3" t="s">
        <v>2046</v>
      </c>
      <c r="AV150" s="3" t="s">
        <v>2047</v>
      </c>
      <c r="AW150" s="3" t="s">
        <v>2048</v>
      </c>
      <c r="AX150" s="3" t="s">
        <v>2048</v>
      </c>
      <c r="AY150" s="3" t="s">
        <v>2049</v>
      </c>
      <c r="AZ150" s="3" t="s">
        <v>76</v>
      </c>
      <c r="BC150" s="3" t="s">
        <v>2050</v>
      </c>
      <c r="BD150" s="3" t="s">
        <v>2051</v>
      </c>
    </row>
    <row r="151" spans="1:56" ht="52.5" customHeight="1" x14ac:dyDescent="0.25">
      <c r="A151" s="7" t="s">
        <v>59</v>
      </c>
      <c r="B151" s="2" t="s">
        <v>2052</v>
      </c>
      <c r="C151" s="2" t="s">
        <v>2053</v>
      </c>
      <c r="D151" s="2" t="s">
        <v>2054</v>
      </c>
      <c r="F151" s="3" t="s">
        <v>59</v>
      </c>
      <c r="G151" s="3" t="s">
        <v>60</v>
      </c>
      <c r="H151" s="3" t="s">
        <v>59</v>
      </c>
      <c r="I151" s="3" t="s">
        <v>59</v>
      </c>
      <c r="J151" s="3" t="s">
        <v>61</v>
      </c>
      <c r="K151" s="2" t="s">
        <v>2055</v>
      </c>
      <c r="L151" s="2" t="s">
        <v>2056</v>
      </c>
      <c r="M151" s="3" t="s">
        <v>115</v>
      </c>
      <c r="N151" s="2" t="s">
        <v>2057</v>
      </c>
      <c r="O151" s="3" t="s">
        <v>65</v>
      </c>
      <c r="P151" s="3" t="s">
        <v>66</v>
      </c>
      <c r="Q151" s="2" t="s">
        <v>2058</v>
      </c>
      <c r="R151" s="3" t="s">
        <v>68</v>
      </c>
      <c r="S151" s="4">
        <v>11</v>
      </c>
      <c r="T151" s="4">
        <v>11</v>
      </c>
      <c r="U151" s="5" t="s">
        <v>2059</v>
      </c>
      <c r="V151" s="5" t="s">
        <v>2059</v>
      </c>
      <c r="W151" s="5" t="s">
        <v>2060</v>
      </c>
      <c r="X151" s="5" t="s">
        <v>2060</v>
      </c>
      <c r="Y151" s="4">
        <v>116</v>
      </c>
      <c r="Z151" s="4">
        <v>102</v>
      </c>
      <c r="AA151" s="4">
        <v>1089</v>
      </c>
      <c r="AB151" s="4">
        <v>3</v>
      </c>
      <c r="AC151" s="4">
        <v>10</v>
      </c>
      <c r="AD151" s="4">
        <v>4</v>
      </c>
      <c r="AE151" s="4">
        <v>47</v>
      </c>
      <c r="AF151" s="4">
        <v>1</v>
      </c>
      <c r="AG151" s="4">
        <v>18</v>
      </c>
      <c r="AH151" s="4">
        <v>0</v>
      </c>
      <c r="AI151" s="4">
        <v>9</v>
      </c>
      <c r="AJ151" s="4">
        <v>1</v>
      </c>
      <c r="AK151" s="4">
        <v>21</v>
      </c>
      <c r="AL151" s="4">
        <v>2</v>
      </c>
      <c r="AM151" s="4">
        <v>8</v>
      </c>
      <c r="AN151" s="4">
        <v>0</v>
      </c>
      <c r="AO151" s="4">
        <v>1</v>
      </c>
      <c r="AP151" s="3" t="s">
        <v>59</v>
      </c>
      <c r="AQ151" s="3" t="s">
        <v>59</v>
      </c>
      <c r="AS151" s="6" t="str">
        <f>HYPERLINK("https://creighton-primo.hosted.exlibrisgroup.com/primo-explore/search?tab=default_tab&amp;search_scope=EVERYTHING&amp;vid=01CRU&amp;lang=en_US&amp;offset=0&amp;query=any,contains,991003753689702656","Catalog Record")</f>
        <v>Catalog Record</v>
      </c>
      <c r="AT151" s="6" t="str">
        <f>HYPERLINK("http://www.worldcat.org/oclc/1432768","WorldCat Record")</f>
        <v>WorldCat Record</v>
      </c>
      <c r="AU151" s="3" t="s">
        <v>2061</v>
      </c>
      <c r="AV151" s="3" t="s">
        <v>2062</v>
      </c>
      <c r="AW151" s="3" t="s">
        <v>2063</v>
      </c>
      <c r="AX151" s="3" t="s">
        <v>2063</v>
      </c>
      <c r="AY151" s="3" t="s">
        <v>2064</v>
      </c>
      <c r="AZ151" s="3" t="s">
        <v>76</v>
      </c>
      <c r="BC151" s="3" t="s">
        <v>2065</v>
      </c>
      <c r="BD151" s="3" t="s">
        <v>2066</v>
      </c>
    </row>
    <row r="152" spans="1:56" ht="52.5" customHeight="1" x14ac:dyDescent="0.25">
      <c r="A152" s="7" t="s">
        <v>59</v>
      </c>
      <c r="B152" s="2" t="s">
        <v>2067</v>
      </c>
      <c r="C152" s="2" t="s">
        <v>2068</v>
      </c>
      <c r="D152" s="2" t="s">
        <v>2069</v>
      </c>
      <c r="F152" s="3" t="s">
        <v>59</v>
      </c>
      <c r="G152" s="3" t="s">
        <v>60</v>
      </c>
      <c r="H152" s="3" t="s">
        <v>59</v>
      </c>
      <c r="I152" s="3" t="s">
        <v>59</v>
      </c>
      <c r="J152" s="3" t="s">
        <v>61</v>
      </c>
      <c r="K152" s="2" t="s">
        <v>2070</v>
      </c>
      <c r="L152" s="2" t="s">
        <v>2071</v>
      </c>
      <c r="M152" s="3" t="s">
        <v>684</v>
      </c>
      <c r="O152" s="3" t="s">
        <v>65</v>
      </c>
      <c r="P152" s="3" t="s">
        <v>829</v>
      </c>
      <c r="R152" s="3" t="s">
        <v>68</v>
      </c>
      <c r="S152" s="4">
        <v>6</v>
      </c>
      <c r="T152" s="4">
        <v>6</v>
      </c>
      <c r="U152" s="5" t="s">
        <v>2072</v>
      </c>
      <c r="V152" s="5" t="s">
        <v>2072</v>
      </c>
      <c r="W152" s="5" t="s">
        <v>2073</v>
      </c>
      <c r="X152" s="5" t="s">
        <v>2073</v>
      </c>
      <c r="Y152" s="4">
        <v>502</v>
      </c>
      <c r="Z152" s="4">
        <v>455</v>
      </c>
      <c r="AA152" s="4">
        <v>567</v>
      </c>
      <c r="AB152" s="4">
        <v>4</v>
      </c>
      <c r="AC152" s="4">
        <v>5</v>
      </c>
      <c r="AD152" s="4">
        <v>22</v>
      </c>
      <c r="AE152" s="4">
        <v>25</v>
      </c>
      <c r="AF152" s="4">
        <v>7</v>
      </c>
      <c r="AG152" s="4">
        <v>9</v>
      </c>
      <c r="AH152" s="4">
        <v>7</v>
      </c>
      <c r="AI152" s="4">
        <v>7</v>
      </c>
      <c r="AJ152" s="4">
        <v>10</v>
      </c>
      <c r="AK152" s="4">
        <v>11</v>
      </c>
      <c r="AL152" s="4">
        <v>3</v>
      </c>
      <c r="AM152" s="4">
        <v>4</v>
      </c>
      <c r="AN152" s="4">
        <v>0</v>
      </c>
      <c r="AO152" s="4">
        <v>0</v>
      </c>
      <c r="AP152" s="3" t="s">
        <v>59</v>
      </c>
      <c r="AQ152" s="3" t="s">
        <v>59</v>
      </c>
      <c r="AS152" s="6" t="str">
        <f>HYPERLINK("https://creighton-primo.hosted.exlibrisgroup.com/primo-explore/search?tab=default_tab&amp;search_scope=EVERYTHING&amp;vid=01CRU&amp;lang=en_US&amp;offset=0&amp;query=any,contains,991005175589702656","Catalog Record")</f>
        <v>Catalog Record</v>
      </c>
      <c r="AT152" s="6" t="str">
        <f>HYPERLINK("http://www.worldcat.org/oclc/7920792","WorldCat Record")</f>
        <v>WorldCat Record</v>
      </c>
      <c r="AU152" s="3" t="s">
        <v>2074</v>
      </c>
      <c r="AV152" s="3" t="s">
        <v>2075</v>
      </c>
      <c r="AW152" s="3" t="s">
        <v>2076</v>
      </c>
      <c r="AX152" s="3" t="s">
        <v>2076</v>
      </c>
      <c r="AY152" s="3" t="s">
        <v>2077</v>
      </c>
      <c r="AZ152" s="3" t="s">
        <v>76</v>
      </c>
      <c r="BC152" s="3" t="s">
        <v>2078</v>
      </c>
      <c r="BD152" s="3" t="s">
        <v>2079</v>
      </c>
    </row>
    <row r="153" spans="1:56" ht="52.5" customHeight="1" x14ac:dyDescent="0.25">
      <c r="A153" s="7" t="s">
        <v>59</v>
      </c>
      <c r="B153" s="2" t="s">
        <v>2080</v>
      </c>
      <c r="C153" s="2" t="s">
        <v>2081</v>
      </c>
      <c r="D153" s="2" t="s">
        <v>2082</v>
      </c>
      <c r="F153" s="3" t="s">
        <v>59</v>
      </c>
      <c r="G153" s="3" t="s">
        <v>60</v>
      </c>
      <c r="H153" s="3" t="s">
        <v>59</v>
      </c>
      <c r="I153" s="3" t="s">
        <v>59</v>
      </c>
      <c r="J153" s="3" t="s">
        <v>61</v>
      </c>
      <c r="K153" s="2" t="s">
        <v>2083</v>
      </c>
      <c r="L153" s="2" t="s">
        <v>2084</v>
      </c>
      <c r="M153" s="3" t="s">
        <v>115</v>
      </c>
      <c r="O153" s="3" t="s">
        <v>65</v>
      </c>
      <c r="P153" s="3" t="s">
        <v>420</v>
      </c>
      <c r="R153" s="3" t="s">
        <v>68</v>
      </c>
      <c r="S153" s="4">
        <v>6</v>
      </c>
      <c r="T153" s="4">
        <v>6</v>
      </c>
      <c r="U153" s="5" t="s">
        <v>2085</v>
      </c>
      <c r="V153" s="5" t="s">
        <v>2085</v>
      </c>
      <c r="W153" s="5" t="s">
        <v>2086</v>
      </c>
      <c r="X153" s="5" t="s">
        <v>2086</v>
      </c>
      <c r="Y153" s="4">
        <v>737</v>
      </c>
      <c r="Z153" s="4">
        <v>569</v>
      </c>
      <c r="AA153" s="4">
        <v>574</v>
      </c>
      <c r="AB153" s="4">
        <v>5</v>
      </c>
      <c r="AC153" s="4">
        <v>5</v>
      </c>
      <c r="AD153" s="4">
        <v>28</v>
      </c>
      <c r="AE153" s="4">
        <v>28</v>
      </c>
      <c r="AF153" s="4">
        <v>9</v>
      </c>
      <c r="AG153" s="4">
        <v>9</v>
      </c>
      <c r="AH153" s="4">
        <v>4</v>
      </c>
      <c r="AI153" s="4">
        <v>4</v>
      </c>
      <c r="AJ153" s="4">
        <v>17</v>
      </c>
      <c r="AK153" s="4">
        <v>17</v>
      </c>
      <c r="AL153" s="4">
        <v>4</v>
      </c>
      <c r="AM153" s="4">
        <v>4</v>
      </c>
      <c r="AN153" s="4">
        <v>0</v>
      </c>
      <c r="AO153" s="4">
        <v>0</v>
      </c>
      <c r="AP153" s="3" t="s">
        <v>59</v>
      </c>
      <c r="AQ153" s="3" t="s">
        <v>59</v>
      </c>
      <c r="AS153" s="6" t="str">
        <f>HYPERLINK("https://creighton-primo.hosted.exlibrisgroup.com/primo-explore/search?tab=default_tab&amp;search_scope=EVERYTHING&amp;vid=01CRU&amp;lang=en_US&amp;offset=0&amp;query=any,contains,991002855239702656","Catalog Record")</f>
        <v>Catalog Record</v>
      </c>
      <c r="AT153" s="6" t="str">
        <f>HYPERLINK("http://www.worldcat.org/oclc/489429","WorldCat Record")</f>
        <v>WorldCat Record</v>
      </c>
      <c r="AU153" s="3" t="s">
        <v>2087</v>
      </c>
      <c r="AV153" s="3" t="s">
        <v>2088</v>
      </c>
      <c r="AW153" s="3" t="s">
        <v>2089</v>
      </c>
      <c r="AX153" s="3" t="s">
        <v>2089</v>
      </c>
      <c r="AY153" s="3" t="s">
        <v>2090</v>
      </c>
      <c r="AZ153" s="3" t="s">
        <v>76</v>
      </c>
      <c r="BB153" s="3" t="s">
        <v>2091</v>
      </c>
      <c r="BC153" s="3" t="s">
        <v>2092</v>
      </c>
      <c r="BD153" s="3" t="s">
        <v>2093</v>
      </c>
    </row>
    <row r="154" spans="1:56" ht="52.5" customHeight="1" x14ac:dyDescent="0.25">
      <c r="A154" s="7" t="s">
        <v>59</v>
      </c>
      <c r="B154" s="2" t="s">
        <v>2094</v>
      </c>
      <c r="C154" s="2" t="s">
        <v>2095</v>
      </c>
      <c r="D154" s="2" t="s">
        <v>2096</v>
      </c>
      <c r="F154" s="3" t="s">
        <v>59</v>
      </c>
      <c r="G154" s="3" t="s">
        <v>60</v>
      </c>
      <c r="H154" s="3" t="s">
        <v>59</v>
      </c>
      <c r="I154" s="3" t="s">
        <v>59</v>
      </c>
      <c r="J154" s="3" t="s">
        <v>61</v>
      </c>
      <c r="K154" s="2" t="s">
        <v>2097</v>
      </c>
      <c r="L154" s="2" t="s">
        <v>2098</v>
      </c>
      <c r="M154" s="3" t="s">
        <v>224</v>
      </c>
      <c r="O154" s="3" t="s">
        <v>65</v>
      </c>
      <c r="P154" s="3" t="s">
        <v>66</v>
      </c>
      <c r="Q154" s="2" t="s">
        <v>2099</v>
      </c>
      <c r="R154" s="3" t="s">
        <v>68</v>
      </c>
      <c r="S154" s="4">
        <v>8</v>
      </c>
      <c r="T154" s="4">
        <v>8</v>
      </c>
      <c r="U154" s="5" t="s">
        <v>2100</v>
      </c>
      <c r="V154" s="5" t="s">
        <v>2100</v>
      </c>
      <c r="W154" s="5" t="s">
        <v>269</v>
      </c>
      <c r="X154" s="5" t="s">
        <v>269</v>
      </c>
      <c r="Y154" s="4">
        <v>663</v>
      </c>
      <c r="Z154" s="4">
        <v>618</v>
      </c>
      <c r="AA154" s="4">
        <v>757</v>
      </c>
      <c r="AB154" s="4">
        <v>4</v>
      </c>
      <c r="AC154" s="4">
        <v>5</v>
      </c>
      <c r="AD154" s="4">
        <v>21</v>
      </c>
      <c r="AE154" s="4">
        <v>27</v>
      </c>
      <c r="AF154" s="4">
        <v>5</v>
      </c>
      <c r="AG154" s="4">
        <v>7</v>
      </c>
      <c r="AH154" s="4">
        <v>5</v>
      </c>
      <c r="AI154" s="4">
        <v>6</v>
      </c>
      <c r="AJ154" s="4">
        <v>15</v>
      </c>
      <c r="AK154" s="4">
        <v>17</v>
      </c>
      <c r="AL154" s="4">
        <v>2</v>
      </c>
      <c r="AM154" s="4">
        <v>3</v>
      </c>
      <c r="AN154" s="4">
        <v>0</v>
      </c>
      <c r="AO154" s="4">
        <v>0</v>
      </c>
      <c r="AP154" s="3" t="s">
        <v>59</v>
      </c>
      <c r="AQ154" s="3" t="s">
        <v>71</v>
      </c>
      <c r="AR154" s="6" t="str">
        <f>HYPERLINK("http://catalog.hathitrust.org/Record/000030989","HathiTrust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HYPERLINK("https://creighton-primo.hosted.exlibrisgroup.com/primo-explore/search?tab=default_tab&amp;search_scope=EVERYTHING&amp;vid=01CRU&amp;lang=en_US&amp;offset=0&amp;query=any,contains,991003690229702656","Catalog Record")</f>
        <v>Catalog Record</v>
      </c>
      <c r="AT154" s="6" t="str">
        <f>HYPERLINK("http://www.worldcat.org/oclc/1320704","WorldCat Record")</f>
        <v>WorldCat Record</v>
      </c>
      <c r="AU154" s="3" t="s">
        <v>2101</v>
      </c>
      <c r="AV154" s="3" t="s">
        <v>2102</v>
      </c>
      <c r="AW154" s="3" t="s">
        <v>2103</v>
      </c>
      <c r="AX154" s="3" t="s">
        <v>2103</v>
      </c>
      <c r="AY154" s="3" t="s">
        <v>2104</v>
      </c>
      <c r="AZ154" s="3" t="s">
        <v>76</v>
      </c>
      <c r="BB154" s="3" t="s">
        <v>2105</v>
      </c>
      <c r="BC154" s="3" t="s">
        <v>2106</v>
      </c>
      <c r="BD154" s="3" t="s">
        <v>2107</v>
      </c>
    </row>
    <row r="155" spans="1:56" ht="52.5" customHeight="1" x14ac:dyDescent="0.25">
      <c r="A155" s="7" t="s">
        <v>59</v>
      </c>
      <c r="B155" s="2" t="s">
        <v>2108</v>
      </c>
      <c r="C155" s="2" t="s">
        <v>2109</v>
      </c>
      <c r="D155" s="2" t="s">
        <v>2110</v>
      </c>
      <c r="F155" s="3" t="s">
        <v>59</v>
      </c>
      <c r="G155" s="3" t="s">
        <v>60</v>
      </c>
      <c r="H155" s="3" t="s">
        <v>59</v>
      </c>
      <c r="I155" s="3" t="s">
        <v>59</v>
      </c>
      <c r="J155" s="3" t="s">
        <v>61</v>
      </c>
      <c r="K155" s="2" t="s">
        <v>2111</v>
      </c>
      <c r="L155" s="2" t="s">
        <v>2112</v>
      </c>
      <c r="M155" s="3" t="s">
        <v>1467</v>
      </c>
      <c r="O155" s="3" t="s">
        <v>65</v>
      </c>
      <c r="P155" s="3" t="s">
        <v>420</v>
      </c>
      <c r="Q155" s="2" t="s">
        <v>2113</v>
      </c>
      <c r="R155" s="3" t="s">
        <v>68</v>
      </c>
      <c r="S155" s="4">
        <v>13</v>
      </c>
      <c r="T155" s="4">
        <v>13</v>
      </c>
      <c r="U155" s="5" t="s">
        <v>2114</v>
      </c>
      <c r="V155" s="5" t="s">
        <v>2114</v>
      </c>
      <c r="W155" s="5" t="s">
        <v>269</v>
      </c>
      <c r="X155" s="5" t="s">
        <v>269</v>
      </c>
      <c r="Y155" s="4">
        <v>530</v>
      </c>
      <c r="Z155" s="4">
        <v>472</v>
      </c>
      <c r="AA155" s="4">
        <v>472</v>
      </c>
      <c r="AB155" s="4">
        <v>3</v>
      </c>
      <c r="AC155" s="4">
        <v>3</v>
      </c>
      <c r="AD155" s="4">
        <v>19</v>
      </c>
      <c r="AE155" s="4">
        <v>19</v>
      </c>
      <c r="AF155" s="4">
        <v>6</v>
      </c>
      <c r="AG155" s="4">
        <v>6</v>
      </c>
      <c r="AH155" s="4">
        <v>6</v>
      </c>
      <c r="AI155" s="4">
        <v>6</v>
      </c>
      <c r="AJ155" s="4">
        <v>11</v>
      </c>
      <c r="AK155" s="4">
        <v>11</v>
      </c>
      <c r="AL155" s="4">
        <v>2</v>
      </c>
      <c r="AM155" s="4">
        <v>2</v>
      </c>
      <c r="AN155" s="4">
        <v>0</v>
      </c>
      <c r="AO155" s="4">
        <v>0</v>
      </c>
      <c r="AP155" s="3" t="s">
        <v>59</v>
      </c>
      <c r="AQ155" s="3" t="s">
        <v>59</v>
      </c>
      <c r="AS155" s="6" t="str">
        <f>HYPERLINK("https://creighton-primo.hosted.exlibrisgroup.com/primo-explore/search?tab=default_tab&amp;search_scope=EVERYTHING&amp;vid=01CRU&amp;lang=en_US&amp;offset=0&amp;query=any,contains,991001369279702656","Catalog Record")</f>
        <v>Catalog Record</v>
      </c>
      <c r="AT155" s="6" t="str">
        <f>HYPERLINK("http://www.worldcat.org/oclc/223042","WorldCat Record")</f>
        <v>WorldCat Record</v>
      </c>
      <c r="AU155" s="3" t="s">
        <v>2115</v>
      </c>
      <c r="AV155" s="3" t="s">
        <v>2116</v>
      </c>
      <c r="AW155" s="3" t="s">
        <v>2117</v>
      </c>
      <c r="AX155" s="3" t="s">
        <v>2117</v>
      </c>
      <c r="AY155" s="3" t="s">
        <v>2118</v>
      </c>
      <c r="AZ155" s="3" t="s">
        <v>76</v>
      </c>
      <c r="BC155" s="3" t="s">
        <v>2119</v>
      </c>
      <c r="BD155" s="3" t="s">
        <v>2120</v>
      </c>
    </row>
    <row r="156" spans="1:56" ht="52.5" customHeight="1" x14ac:dyDescent="0.25">
      <c r="A156" s="7" t="s">
        <v>59</v>
      </c>
      <c r="B156" s="2" t="s">
        <v>2121</v>
      </c>
      <c r="C156" s="2" t="s">
        <v>2122</v>
      </c>
      <c r="D156" s="2" t="s">
        <v>2123</v>
      </c>
      <c r="F156" s="3" t="s">
        <v>59</v>
      </c>
      <c r="G156" s="3" t="s">
        <v>60</v>
      </c>
      <c r="H156" s="3" t="s">
        <v>59</v>
      </c>
      <c r="I156" s="3" t="s">
        <v>59</v>
      </c>
      <c r="J156" s="3" t="s">
        <v>61</v>
      </c>
      <c r="K156" s="2" t="s">
        <v>2124</v>
      </c>
      <c r="L156" s="2" t="s">
        <v>2125</v>
      </c>
      <c r="M156" s="3" t="s">
        <v>1000</v>
      </c>
      <c r="O156" s="3" t="s">
        <v>65</v>
      </c>
      <c r="P156" s="3" t="s">
        <v>771</v>
      </c>
      <c r="R156" s="3" t="s">
        <v>68</v>
      </c>
      <c r="S156" s="4">
        <v>4</v>
      </c>
      <c r="T156" s="4">
        <v>4</v>
      </c>
      <c r="U156" s="5" t="s">
        <v>1989</v>
      </c>
      <c r="V156" s="5" t="s">
        <v>1989</v>
      </c>
      <c r="W156" s="5" t="s">
        <v>2032</v>
      </c>
      <c r="X156" s="5" t="s">
        <v>2032</v>
      </c>
      <c r="Y156" s="4">
        <v>54</v>
      </c>
      <c r="Z156" s="4">
        <v>46</v>
      </c>
      <c r="AA156" s="4">
        <v>527</v>
      </c>
      <c r="AB156" s="4">
        <v>1</v>
      </c>
      <c r="AC156" s="4">
        <v>2</v>
      </c>
      <c r="AD156" s="4">
        <v>0</v>
      </c>
      <c r="AE156" s="4">
        <v>25</v>
      </c>
      <c r="AF156" s="4">
        <v>0</v>
      </c>
      <c r="AG156" s="4">
        <v>15</v>
      </c>
      <c r="AH156" s="4">
        <v>0</v>
      </c>
      <c r="AI156" s="4">
        <v>5</v>
      </c>
      <c r="AJ156" s="4">
        <v>0</v>
      </c>
      <c r="AK156" s="4">
        <v>9</v>
      </c>
      <c r="AL156" s="4">
        <v>0</v>
      </c>
      <c r="AM156" s="4">
        <v>1</v>
      </c>
      <c r="AN156" s="4">
        <v>0</v>
      </c>
      <c r="AO156" s="4">
        <v>0</v>
      </c>
      <c r="AP156" s="3" t="s">
        <v>59</v>
      </c>
      <c r="AQ156" s="3" t="s">
        <v>71</v>
      </c>
      <c r="AR156" s="6" t="str">
        <f>HYPERLINK("http://catalog.hathitrust.org/Record/007886223","HathiTrust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HYPERLINK("https://creighton-primo.hosted.exlibrisgroup.com/primo-explore/search?tab=default_tab&amp;search_scope=EVERYTHING&amp;vid=01CRU&amp;lang=en_US&amp;offset=0&amp;query=any,contains,991004686399702656","Catalog Record")</f>
        <v>Catalog Record</v>
      </c>
      <c r="AT156" s="6" t="str">
        <f>HYPERLINK("http://www.worldcat.org/oclc/4593137","WorldCat Record")</f>
        <v>WorldCat Record</v>
      </c>
      <c r="AU156" s="3" t="s">
        <v>2126</v>
      </c>
      <c r="AV156" s="3" t="s">
        <v>2127</v>
      </c>
      <c r="AW156" s="3" t="s">
        <v>2128</v>
      </c>
      <c r="AX156" s="3" t="s">
        <v>2128</v>
      </c>
      <c r="AY156" s="3" t="s">
        <v>2129</v>
      </c>
      <c r="AZ156" s="3" t="s">
        <v>76</v>
      </c>
      <c r="BB156" s="3" t="s">
        <v>2130</v>
      </c>
      <c r="BC156" s="3" t="s">
        <v>2131</v>
      </c>
      <c r="BD156" s="3" t="s">
        <v>2132</v>
      </c>
    </row>
    <row r="157" spans="1:56" ht="52.5" customHeight="1" x14ac:dyDescent="0.25">
      <c r="A157" s="7" t="s">
        <v>59</v>
      </c>
      <c r="B157" s="2" t="s">
        <v>2133</v>
      </c>
      <c r="C157" s="2" t="s">
        <v>2134</v>
      </c>
      <c r="D157" s="2" t="s">
        <v>2135</v>
      </c>
      <c r="F157" s="3" t="s">
        <v>59</v>
      </c>
      <c r="G157" s="3" t="s">
        <v>60</v>
      </c>
      <c r="H157" s="3" t="s">
        <v>59</v>
      </c>
      <c r="I157" s="3" t="s">
        <v>59</v>
      </c>
      <c r="J157" s="3" t="s">
        <v>61</v>
      </c>
      <c r="K157" s="2" t="s">
        <v>2136</v>
      </c>
      <c r="L157" s="2" t="s">
        <v>2137</v>
      </c>
      <c r="M157" s="3" t="s">
        <v>1404</v>
      </c>
      <c r="O157" s="3" t="s">
        <v>65</v>
      </c>
      <c r="P157" s="3" t="s">
        <v>283</v>
      </c>
      <c r="Q157" s="2" t="s">
        <v>2138</v>
      </c>
      <c r="R157" s="3" t="s">
        <v>68</v>
      </c>
      <c r="S157" s="4">
        <v>5</v>
      </c>
      <c r="T157" s="4">
        <v>5</v>
      </c>
      <c r="U157" s="5" t="s">
        <v>2139</v>
      </c>
      <c r="V157" s="5" t="s">
        <v>2139</v>
      </c>
      <c r="W157" s="5" t="s">
        <v>930</v>
      </c>
      <c r="X157" s="5" t="s">
        <v>930</v>
      </c>
      <c r="Y157" s="4">
        <v>373</v>
      </c>
      <c r="Z157" s="4">
        <v>292</v>
      </c>
      <c r="AA157" s="4">
        <v>299</v>
      </c>
      <c r="AB157" s="4">
        <v>2</v>
      </c>
      <c r="AC157" s="4">
        <v>2</v>
      </c>
      <c r="AD157" s="4">
        <v>25</v>
      </c>
      <c r="AE157" s="4">
        <v>25</v>
      </c>
      <c r="AF157" s="4">
        <v>8</v>
      </c>
      <c r="AG157" s="4">
        <v>8</v>
      </c>
      <c r="AH157" s="4">
        <v>6</v>
      </c>
      <c r="AI157" s="4">
        <v>6</v>
      </c>
      <c r="AJ157" s="4">
        <v>16</v>
      </c>
      <c r="AK157" s="4">
        <v>16</v>
      </c>
      <c r="AL157" s="4">
        <v>1</v>
      </c>
      <c r="AM157" s="4">
        <v>1</v>
      </c>
      <c r="AN157" s="4">
        <v>0</v>
      </c>
      <c r="AO157" s="4">
        <v>0</v>
      </c>
      <c r="AP157" s="3" t="s">
        <v>71</v>
      </c>
      <c r="AQ157" s="3" t="s">
        <v>59</v>
      </c>
      <c r="AR157" s="6" t="str">
        <f>HYPERLINK("http://catalog.hathitrust.org/Record/001407173","HathiTrust Record")</f>
        <v>HathiTrust Record</v>
      </c>
      <c r="AS157" s="6" t="str">
        <f>HYPERLINK("https://creighton-primo.hosted.exlibrisgroup.com/primo-explore/search?tab=default_tab&amp;search_scope=EVERYTHING&amp;vid=01CRU&amp;lang=en_US&amp;offset=0&amp;query=any,contains,991003203079702656","Catalog Record")</f>
        <v>Catalog Record</v>
      </c>
      <c r="AT157" s="6" t="str">
        <f>HYPERLINK("http://www.worldcat.org/oclc/728122","WorldCat Record")</f>
        <v>WorldCat Record</v>
      </c>
      <c r="AU157" s="3" t="s">
        <v>2140</v>
      </c>
      <c r="AV157" s="3" t="s">
        <v>2141</v>
      </c>
      <c r="AW157" s="3" t="s">
        <v>2142</v>
      </c>
      <c r="AX157" s="3" t="s">
        <v>2142</v>
      </c>
      <c r="AY157" s="3" t="s">
        <v>2143</v>
      </c>
      <c r="AZ157" s="3" t="s">
        <v>76</v>
      </c>
      <c r="BC157" s="3" t="s">
        <v>2144</v>
      </c>
      <c r="BD157" s="3" t="s">
        <v>2145</v>
      </c>
    </row>
    <row r="158" spans="1:56" ht="52.5" customHeight="1" x14ac:dyDescent="0.25">
      <c r="A158" s="7" t="s">
        <v>59</v>
      </c>
      <c r="B158" s="2" t="s">
        <v>2146</v>
      </c>
      <c r="C158" s="2" t="s">
        <v>2147</v>
      </c>
      <c r="D158" s="2" t="s">
        <v>2148</v>
      </c>
      <c r="F158" s="3" t="s">
        <v>59</v>
      </c>
      <c r="G158" s="3" t="s">
        <v>60</v>
      </c>
      <c r="H158" s="3" t="s">
        <v>59</v>
      </c>
      <c r="I158" s="3" t="s">
        <v>59</v>
      </c>
      <c r="J158" s="3" t="s">
        <v>61</v>
      </c>
      <c r="K158" s="2" t="s">
        <v>2149</v>
      </c>
      <c r="L158" s="2" t="s">
        <v>2150</v>
      </c>
      <c r="M158" s="3" t="s">
        <v>100</v>
      </c>
      <c r="N158" s="2" t="s">
        <v>1289</v>
      </c>
      <c r="O158" s="3" t="s">
        <v>65</v>
      </c>
      <c r="P158" s="3" t="s">
        <v>1262</v>
      </c>
      <c r="R158" s="3" t="s">
        <v>68</v>
      </c>
      <c r="S158" s="4">
        <v>2</v>
      </c>
      <c r="T158" s="4">
        <v>2</v>
      </c>
      <c r="U158" s="5" t="s">
        <v>2151</v>
      </c>
      <c r="V158" s="5" t="s">
        <v>2151</v>
      </c>
      <c r="W158" s="5" t="s">
        <v>1292</v>
      </c>
      <c r="X158" s="5" t="s">
        <v>1292</v>
      </c>
      <c r="Y158" s="4">
        <v>66</v>
      </c>
      <c r="Z158" s="4">
        <v>46</v>
      </c>
      <c r="AA158" s="4">
        <v>334</v>
      </c>
      <c r="AB158" s="4">
        <v>1</v>
      </c>
      <c r="AC158" s="4">
        <v>5</v>
      </c>
      <c r="AD158" s="4">
        <v>3</v>
      </c>
      <c r="AE158" s="4">
        <v>17</v>
      </c>
      <c r="AF158" s="4">
        <v>0</v>
      </c>
      <c r="AG158" s="4">
        <v>3</v>
      </c>
      <c r="AH158" s="4">
        <v>3</v>
      </c>
      <c r="AI158" s="4">
        <v>5</v>
      </c>
      <c r="AJ158" s="4">
        <v>2</v>
      </c>
      <c r="AK158" s="4">
        <v>9</v>
      </c>
      <c r="AL158" s="4">
        <v>0</v>
      </c>
      <c r="AM158" s="4">
        <v>4</v>
      </c>
      <c r="AN158" s="4">
        <v>0</v>
      </c>
      <c r="AO158" s="4">
        <v>0</v>
      </c>
      <c r="AP158" s="3" t="s">
        <v>59</v>
      </c>
      <c r="AQ158" s="3" t="s">
        <v>59</v>
      </c>
      <c r="AS158" s="6" t="str">
        <f>HYPERLINK("https://creighton-primo.hosted.exlibrisgroup.com/primo-explore/search?tab=default_tab&amp;search_scope=EVERYTHING&amp;vid=01CRU&amp;lang=en_US&amp;offset=0&amp;query=any,contains,991004378469702656","Catalog Record")</f>
        <v>Catalog Record</v>
      </c>
      <c r="AT158" s="6" t="str">
        <f>HYPERLINK("http://www.worldcat.org/oclc/3207658","WorldCat Record")</f>
        <v>WorldCat Record</v>
      </c>
      <c r="AU158" s="3" t="s">
        <v>2152</v>
      </c>
      <c r="AV158" s="3" t="s">
        <v>2153</v>
      </c>
      <c r="AW158" s="3" t="s">
        <v>2154</v>
      </c>
      <c r="AX158" s="3" t="s">
        <v>2154</v>
      </c>
      <c r="AY158" s="3" t="s">
        <v>2155</v>
      </c>
      <c r="AZ158" s="3" t="s">
        <v>76</v>
      </c>
      <c r="BB158" s="3" t="s">
        <v>2156</v>
      </c>
      <c r="BC158" s="3" t="s">
        <v>2157</v>
      </c>
      <c r="BD158" s="3" t="s">
        <v>2158</v>
      </c>
    </row>
    <row r="159" spans="1:56" ht="52.5" customHeight="1" x14ac:dyDescent="0.25">
      <c r="A159" s="7" t="s">
        <v>59</v>
      </c>
      <c r="B159" s="2" t="s">
        <v>2159</v>
      </c>
      <c r="C159" s="2" t="s">
        <v>2160</v>
      </c>
      <c r="D159" s="2" t="s">
        <v>2161</v>
      </c>
      <c r="F159" s="3" t="s">
        <v>59</v>
      </c>
      <c r="G159" s="3" t="s">
        <v>60</v>
      </c>
      <c r="H159" s="3" t="s">
        <v>59</v>
      </c>
      <c r="I159" s="3" t="s">
        <v>59</v>
      </c>
      <c r="J159" s="3" t="s">
        <v>61</v>
      </c>
      <c r="L159" s="2" t="s">
        <v>2162</v>
      </c>
      <c r="M159" s="3" t="s">
        <v>164</v>
      </c>
      <c r="N159" s="2" t="s">
        <v>887</v>
      </c>
      <c r="O159" s="3" t="s">
        <v>65</v>
      </c>
      <c r="P159" s="3" t="s">
        <v>420</v>
      </c>
      <c r="R159" s="3" t="s">
        <v>68</v>
      </c>
      <c r="S159" s="4">
        <v>4</v>
      </c>
      <c r="T159" s="4">
        <v>4</v>
      </c>
      <c r="U159" s="5" t="s">
        <v>2163</v>
      </c>
      <c r="V159" s="5" t="s">
        <v>2163</v>
      </c>
      <c r="W159" s="5" t="s">
        <v>2164</v>
      </c>
      <c r="X159" s="5" t="s">
        <v>2164</v>
      </c>
      <c r="Y159" s="4">
        <v>363</v>
      </c>
      <c r="Z159" s="4">
        <v>321</v>
      </c>
      <c r="AA159" s="4">
        <v>325</v>
      </c>
      <c r="AB159" s="4">
        <v>2</v>
      </c>
      <c r="AC159" s="4">
        <v>2</v>
      </c>
      <c r="AD159" s="4">
        <v>7</v>
      </c>
      <c r="AE159" s="4">
        <v>7</v>
      </c>
      <c r="AF159" s="4">
        <v>2</v>
      </c>
      <c r="AG159" s="4">
        <v>2</v>
      </c>
      <c r="AH159" s="4">
        <v>1</v>
      </c>
      <c r="AI159" s="4">
        <v>1</v>
      </c>
      <c r="AJ159" s="4">
        <v>3</v>
      </c>
      <c r="AK159" s="4">
        <v>3</v>
      </c>
      <c r="AL159" s="4">
        <v>1</v>
      </c>
      <c r="AM159" s="4">
        <v>1</v>
      </c>
      <c r="AN159" s="4">
        <v>0</v>
      </c>
      <c r="AO159" s="4">
        <v>0</v>
      </c>
      <c r="AP159" s="3" t="s">
        <v>59</v>
      </c>
      <c r="AQ159" s="3" t="s">
        <v>59</v>
      </c>
      <c r="AS159" s="6" t="str">
        <f>HYPERLINK("https://creighton-primo.hosted.exlibrisgroup.com/primo-explore/search?tab=default_tab&amp;search_scope=EVERYTHING&amp;vid=01CRU&amp;lang=en_US&amp;offset=0&amp;query=any,contains,991004983539702656","Catalog Record")</f>
        <v>Catalog Record</v>
      </c>
      <c r="AT159" s="6" t="str">
        <f>HYPERLINK("http://www.worldcat.org/oclc/6442853","WorldCat Record")</f>
        <v>WorldCat Record</v>
      </c>
      <c r="AU159" s="3" t="s">
        <v>2165</v>
      </c>
      <c r="AV159" s="3" t="s">
        <v>2166</v>
      </c>
      <c r="AW159" s="3" t="s">
        <v>2167</v>
      </c>
      <c r="AX159" s="3" t="s">
        <v>2167</v>
      </c>
      <c r="AY159" s="3" t="s">
        <v>2168</v>
      </c>
      <c r="AZ159" s="3" t="s">
        <v>76</v>
      </c>
      <c r="BB159" s="3" t="s">
        <v>2169</v>
      </c>
      <c r="BC159" s="3" t="s">
        <v>2170</v>
      </c>
      <c r="BD159" s="3" t="s">
        <v>2171</v>
      </c>
    </row>
    <row r="160" spans="1:56" ht="52.5" customHeight="1" x14ac:dyDescent="0.25">
      <c r="A160" s="7" t="s">
        <v>59</v>
      </c>
      <c r="B160" s="2" t="s">
        <v>2172</v>
      </c>
      <c r="C160" s="2" t="s">
        <v>2173</v>
      </c>
      <c r="D160" s="2" t="s">
        <v>2174</v>
      </c>
      <c r="F160" s="3" t="s">
        <v>59</v>
      </c>
      <c r="G160" s="3" t="s">
        <v>60</v>
      </c>
      <c r="H160" s="3" t="s">
        <v>59</v>
      </c>
      <c r="I160" s="3" t="s">
        <v>59</v>
      </c>
      <c r="J160" s="3" t="s">
        <v>61</v>
      </c>
      <c r="L160" s="2" t="s">
        <v>2175</v>
      </c>
      <c r="M160" s="3" t="s">
        <v>164</v>
      </c>
      <c r="O160" s="3" t="s">
        <v>65</v>
      </c>
      <c r="P160" s="3" t="s">
        <v>66</v>
      </c>
      <c r="R160" s="3" t="s">
        <v>68</v>
      </c>
      <c r="S160" s="4">
        <v>6</v>
      </c>
      <c r="T160" s="4">
        <v>6</v>
      </c>
      <c r="U160" s="5" t="s">
        <v>1963</v>
      </c>
      <c r="V160" s="5" t="s">
        <v>1963</v>
      </c>
      <c r="W160" s="5" t="s">
        <v>2176</v>
      </c>
      <c r="X160" s="5" t="s">
        <v>2176</v>
      </c>
      <c r="Y160" s="4">
        <v>410</v>
      </c>
      <c r="Z160" s="4">
        <v>312</v>
      </c>
      <c r="AA160" s="4">
        <v>319</v>
      </c>
      <c r="AB160" s="4">
        <v>2</v>
      </c>
      <c r="AC160" s="4">
        <v>2</v>
      </c>
      <c r="AD160" s="4">
        <v>16</v>
      </c>
      <c r="AE160" s="4">
        <v>16</v>
      </c>
      <c r="AF160" s="4">
        <v>5</v>
      </c>
      <c r="AG160" s="4">
        <v>5</v>
      </c>
      <c r="AH160" s="4">
        <v>5</v>
      </c>
      <c r="AI160" s="4">
        <v>5</v>
      </c>
      <c r="AJ160" s="4">
        <v>10</v>
      </c>
      <c r="AK160" s="4">
        <v>10</v>
      </c>
      <c r="AL160" s="4">
        <v>1</v>
      </c>
      <c r="AM160" s="4">
        <v>1</v>
      </c>
      <c r="AN160" s="4">
        <v>0</v>
      </c>
      <c r="AO160" s="4">
        <v>0</v>
      </c>
      <c r="AP160" s="3" t="s">
        <v>59</v>
      </c>
      <c r="AQ160" s="3" t="s">
        <v>71</v>
      </c>
      <c r="AR160" s="6" t="str">
        <f>HYPERLINK("http://catalog.hathitrust.org/Record/004443827","HathiTrust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HYPERLINK("https://creighton-primo.hosted.exlibrisgroup.com/primo-explore/search?tab=default_tab&amp;search_scope=EVERYTHING&amp;vid=01CRU&amp;lang=en_US&amp;offset=0&amp;query=any,contains,991004948689702656","Catalog Record")</f>
        <v>Catalog Record</v>
      </c>
      <c r="AT160" s="6" t="str">
        <f>HYPERLINK("http://www.worldcat.org/oclc/6223459","WorldCat Record")</f>
        <v>WorldCat Record</v>
      </c>
      <c r="AU160" s="3" t="s">
        <v>2177</v>
      </c>
      <c r="AV160" s="3" t="s">
        <v>2178</v>
      </c>
      <c r="AW160" s="3" t="s">
        <v>2179</v>
      </c>
      <c r="AX160" s="3" t="s">
        <v>2179</v>
      </c>
      <c r="AY160" s="3" t="s">
        <v>2180</v>
      </c>
      <c r="AZ160" s="3" t="s">
        <v>76</v>
      </c>
      <c r="BB160" s="3" t="s">
        <v>2181</v>
      </c>
      <c r="BC160" s="3" t="s">
        <v>2182</v>
      </c>
      <c r="BD160" s="3" t="s">
        <v>2183</v>
      </c>
    </row>
    <row r="161" spans="1:56" ht="52.5" customHeight="1" x14ac:dyDescent="0.25">
      <c r="A161" s="7" t="s">
        <v>59</v>
      </c>
      <c r="B161" s="2" t="s">
        <v>2184</v>
      </c>
      <c r="C161" s="2" t="s">
        <v>2185</v>
      </c>
      <c r="D161" s="2" t="s">
        <v>2186</v>
      </c>
      <c r="F161" s="3" t="s">
        <v>59</v>
      </c>
      <c r="G161" s="3" t="s">
        <v>60</v>
      </c>
      <c r="H161" s="3" t="s">
        <v>59</v>
      </c>
      <c r="I161" s="3" t="s">
        <v>59</v>
      </c>
      <c r="J161" s="3" t="s">
        <v>61</v>
      </c>
      <c r="K161" s="2" t="s">
        <v>2187</v>
      </c>
      <c r="L161" s="2" t="s">
        <v>2188</v>
      </c>
      <c r="M161" s="3" t="s">
        <v>164</v>
      </c>
      <c r="O161" s="3" t="s">
        <v>65</v>
      </c>
      <c r="P161" s="3" t="s">
        <v>1262</v>
      </c>
      <c r="Q161" s="2" t="s">
        <v>2189</v>
      </c>
      <c r="R161" s="3" t="s">
        <v>68</v>
      </c>
      <c r="S161" s="4">
        <v>9</v>
      </c>
      <c r="T161" s="4">
        <v>9</v>
      </c>
      <c r="U161" s="5" t="s">
        <v>2151</v>
      </c>
      <c r="V161" s="5" t="s">
        <v>2151</v>
      </c>
      <c r="W161" s="5" t="s">
        <v>1977</v>
      </c>
      <c r="X161" s="5" t="s">
        <v>1977</v>
      </c>
      <c r="Y161" s="4">
        <v>529</v>
      </c>
      <c r="Z161" s="4">
        <v>384</v>
      </c>
      <c r="AA161" s="4">
        <v>422</v>
      </c>
      <c r="AB161" s="4">
        <v>6</v>
      </c>
      <c r="AC161" s="4">
        <v>6</v>
      </c>
      <c r="AD161" s="4">
        <v>24</v>
      </c>
      <c r="AE161" s="4">
        <v>26</v>
      </c>
      <c r="AF161" s="4">
        <v>9</v>
      </c>
      <c r="AG161" s="4">
        <v>10</v>
      </c>
      <c r="AH161" s="4">
        <v>4</v>
      </c>
      <c r="AI161" s="4">
        <v>5</v>
      </c>
      <c r="AJ161" s="4">
        <v>14</v>
      </c>
      <c r="AK161" s="4">
        <v>14</v>
      </c>
      <c r="AL161" s="4">
        <v>5</v>
      </c>
      <c r="AM161" s="4">
        <v>5</v>
      </c>
      <c r="AN161" s="4">
        <v>0</v>
      </c>
      <c r="AO161" s="4">
        <v>0</v>
      </c>
      <c r="AP161" s="3" t="s">
        <v>59</v>
      </c>
      <c r="AQ161" s="3" t="s">
        <v>71</v>
      </c>
      <c r="AR161" s="6" t="str">
        <f>HYPERLINK("http://catalog.hathitrust.org/Record/000692231","HathiTrust Record")</f>
        <v>HathiTrust Record</v>
      </c>
      <c r="AS161" s="6" t="str">
        <f>HYPERLINK("https://creighton-primo.hosted.exlibrisgroup.com/primo-explore/search?tab=default_tab&amp;search_scope=EVERYTHING&amp;vid=01CRU&amp;lang=en_US&amp;offset=0&amp;query=any,contains,991004807939702656","Catalog Record")</f>
        <v>Catalog Record</v>
      </c>
      <c r="AT161" s="6" t="str">
        <f>HYPERLINK("http://www.worldcat.org/oclc/5264198","WorldCat Record")</f>
        <v>WorldCat Record</v>
      </c>
      <c r="AU161" s="3" t="s">
        <v>2190</v>
      </c>
      <c r="AV161" s="3" t="s">
        <v>2191</v>
      </c>
      <c r="AW161" s="3" t="s">
        <v>2192</v>
      </c>
      <c r="AX161" s="3" t="s">
        <v>2192</v>
      </c>
      <c r="AY161" s="3" t="s">
        <v>2193</v>
      </c>
      <c r="AZ161" s="3" t="s">
        <v>76</v>
      </c>
      <c r="BB161" s="3" t="s">
        <v>2194</v>
      </c>
      <c r="BC161" s="3" t="s">
        <v>2195</v>
      </c>
      <c r="BD161" s="3" t="s">
        <v>2196</v>
      </c>
    </row>
    <row r="162" spans="1:56" ht="52.5" customHeight="1" x14ac:dyDescent="0.25">
      <c r="A162" s="7" t="s">
        <v>59</v>
      </c>
      <c r="B162" s="2" t="s">
        <v>2197</v>
      </c>
      <c r="C162" s="2" t="s">
        <v>2198</v>
      </c>
      <c r="D162" s="2" t="s">
        <v>2199</v>
      </c>
      <c r="F162" s="3" t="s">
        <v>59</v>
      </c>
      <c r="G162" s="3" t="s">
        <v>60</v>
      </c>
      <c r="H162" s="3" t="s">
        <v>59</v>
      </c>
      <c r="I162" s="3" t="s">
        <v>59</v>
      </c>
      <c r="J162" s="3" t="s">
        <v>61</v>
      </c>
      <c r="K162" s="2" t="s">
        <v>2200</v>
      </c>
      <c r="L162" s="2" t="s">
        <v>2201</v>
      </c>
      <c r="M162" s="3" t="s">
        <v>514</v>
      </c>
      <c r="O162" s="3" t="s">
        <v>65</v>
      </c>
      <c r="P162" s="3" t="s">
        <v>66</v>
      </c>
      <c r="Q162" s="2" t="s">
        <v>2202</v>
      </c>
      <c r="R162" s="3" t="s">
        <v>68</v>
      </c>
      <c r="S162" s="4">
        <v>3</v>
      </c>
      <c r="T162" s="4">
        <v>3</v>
      </c>
      <c r="U162" s="5" t="s">
        <v>2203</v>
      </c>
      <c r="V162" s="5" t="s">
        <v>2203</v>
      </c>
      <c r="W162" s="5" t="s">
        <v>1292</v>
      </c>
      <c r="X162" s="5" t="s">
        <v>1292</v>
      </c>
      <c r="Y162" s="4">
        <v>634</v>
      </c>
      <c r="Z162" s="4">
        <v>491</v>
      </c>
      <c r="AA162" s="4">
        <v>497</v>
      </c>
      <c r="AB162" s="4">
        <v>4</v>
      </c>
      <c r="AC162" s="4">
        <v>4</v>
      </c>
      <c r="AD162" s="4">
        <v>31</v>
      </c>
      <c r="AE162" s="4">
        <v>31</v>
      </c>
      <c r="AF162" s="4">
        <v>13</v>
      </c>
      <c r="AG162" s="4">
        <v>13</v>
      </c>
      <c r="AH162" s="4">
        <v>8</v>
      </c>
      <c r="AI162" s="4">
        <v>8</v>
      </c>
      <c r="AJ162" s="4">
        <v>20</v>
      </c>
      <c r="AK162" s="4">
        <v>20</v>
      </c>
      <c r="AL162" s="4">
        <v>2</v>
      </c>
      <c r="AM162" s="4">
        <v>2</v>
      </c>
      <c r="AN162" s="4">
        <v>0</v>
      </c>
      <c r="AO162" s="4">
        <v>0</v>
      </c>
      <c r="AP162" s="3" t="s">
        <v>59</v>
      </c>
      <c r="AQ162" s="3" t="s">
        <v>71</v>
      </c>
      <c r="AR162" s="6" t="str">
        <f>HYPERLINK("http://catalog.hathitrust.org/Record/000620979","HathiTrust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HYPERLINK("https://creighton-primo.hosted.exlibrisgroup.com/primo-explore/search?tab=default_tab&amp;search_scope=EVERYTHING&amp;vid=01CRU&amp;lang=en_US&amp;offset=0&amp;query=any,contains,991002158189702656","Catalog Record")</f>
        <v>Catalog Record</v>
      </c>
      <c r="AT162" s="6" t="str">
        <f>HYPERLINK("http://www.worldcat.org/oclc/273288","WorldCat Record")</f>
        <v>WorldCat Record</v>
      </c>
      <c r="AU162" s="3" t="s">
        <v>2204</v>
      </c>
      <c r="AV162" s="3" t="s">
        <v>2205</v>
      </c>
      <c r="AW162" s="3" t="s">
        <v>2206</v>
      </c>
      <c r="AX162" s="3" t="s">
        <v>2206</v>
      </c>
      <c r="AY162" s="3" t="s">
        <v>2207</v>
      </c>
      <c r="AZ162" s="3" t="s">
        <v>76</v>
      </c>
      <c r="BC162" s="3" t="s">
        <v>2208</v>
      </c>
      <c r="BD162" s="3" t="s">
        <v>2209</v>
      </c>
    </row>
    <row r="163" spans="1:56" ht="52.5" customHeight="1" x14ac:dyDescent="0.25">
      <c r="A163" s="7" t="s">
        <v>59</v>
      </c>
      <c r="B163" s="2" t="s">
        <v>2210</v>
      </c>
      <c r="C163" s="2" t="s">
        <v>2211</v>
      </c>
      <c r="D163" s="2" t="s">
        <v>2212</v>
      </c>
      <c r="E163" s="3" t="s">
        <v>870</v>
      </c>
      <c r="F163" s="3" t="s">
        <v>71</v>
      </c>
      <c r="G163" s="3" t="s">
        <v>60</v>
      </c>
      <c r="H163" s="3" t="s">
        <v>59</v>
      </c>
      <c r="I163" s="3" t="s">
        <v>59</v>
      </c>
      <c r="J163" s="3" t="s">
        <v>61</v>
      </c>
      <c r="K163" s="2" t="s">
        <v>2213</v>
      </c>
      <c r="L163" s="2" t="s">
        <v>2214</v>
      </c>
      <c r="M163" s="3" t="s">
        <v>756</v>
      </c>
      <c r="O163" s="3" t="s">
        <v>65</v>
      </c>
      <c r="P163" s="3" t="s">
        <v>829</v>
      </c>
      <c r="R163" s="3" t="s">
        <v>68</v>
      </c>
      <c r="S163" s="4">
        <v>3</v>
      </c>
      <c r="T163" s="4">
        <v>5</v>
      </c>
      <c r="U163" s="5" t="s">
        <v>2215</v>
      </c>
      <c r="V163" s="5" t="s">
        <v>2215</v>
      </c>
      <c r="W163" s="5" t="s">
        <v>1977</v>
      </c>
      <c r="X163" s="5" t="s">
        <v>1977</v>
      </c>
      <c r="Y163" s="4">
        <v>1414</v>
      </c>
      <c r="Z163" s="4">
        <v>1248</v>
      </c>
      <c r="AA163" s="4">
        <v>1359</v>
      </c>
      <c r="AB163" s="4">
        <v>6</v>
      </c>
      <c r="AC163" s="4">
        <v>8</v>
      </c>
      <c r="AD163" s="4">
        <v>44</v>
      </c>
      <c r="AE163" s="4">
        <v>47</v>
      </c>
      <c r="AF163" s="4">
        <v>19</v>
      </c>
      <c r="AG163" s="4">
        <v>21</v>
      </c>
      <c r="AH163" s="4">
        <v>10</v>
      </c>
      <c r="AI163" s="4">
        <v>10</v>
      </c>
      <c r="AJ163" s="4">
        <v>23</v>
      </c>
      <c r="AK163" s="4">
        <v>23</v>
      </c>
      <c r="AL163" s="4">
        <v>4</v>
      </c>
      <c r="AM163" s="4">
        <v>5</v>
      </c>
      <c r="AN163" s="4">
        <v>0</v>
      </c>
      <c r="AO163" s="4">
        <v>0</v>
      </c>
      <c r="AP163" s="3" t="s">
        <v>59</v>
      </c>
      <c r="AQ163" s="3" t="s">
        <v>71</v>
      </c>
      <c r="AR163" s="6" t="str">
        <f>HYPERLINK("http://catalog.hathitrust.org/Record/000313891","HathiTrust Record")</f>
        <v>HathiTrust Record</v>
      </c>
      <c r="AS163" s="6" t="str">
        <f>HYPERLINK("https://creighton-primo.hosted.exlibrisgroup.com/primo-explore/search?tab=default_tab&amp;search_scope=EVERYTHING&amp;vid=01CRU&amp;lang=en_US&amp;offset=0&amp;query=any,contains,991001376109702656","Catalog Record")</f>
        <v>Catalog Record</v>
      </c>
      <c r="AT163" s="6" t="str">
        <f>HYPERLINK("http://www.worldcat.org/oclc/224928","WorldCat Record")</f>
        <v>WorldCat Record</v>
      </c>
      <c r="AU163" s="3" t="s">
        <v>2216</v>
      </c>
      <c r="AV163" s="3" t="s">
        <v>2217</v>
      </c>
      <c r="AW163" s="3" t="s">
        <v>2218</v>
      </c>
      <c r="AX163" s="3" t="s">
        <v>2218</v>
      </c>
      <c r="AY163" s="3" t="s">
        <v>2219</v>
      </c>
      <c r="AZ163" s="3" t="s">
        <v>76</v>
      </c>
      <c r="BB163" s="3" t="s">
        <v>2220</v>
      </c>
      <c r="BC163" s="3" t="s">
        <v>2221</v>
      </c>
      <c r="BD163" s="3" t="s">
        <v>2222</v>
      </c>
    </row>
    <row r="164" spans="1:56" ht="52.5" customHeight="1" x14ac:dyDescent="0.25">
      <c r="A164" s="7" t="s">
        <v>59</v>
      </c>
      <c r="B164" s="2" t="s">
        <v>2210</v>
      </c>
      <c r="C164" s="2" t="s">
        <v>2211</v>
      </c>
      <c r="D164" s="2" t="s">
        <v>2212</v>
      </c>
      <c r="E164" s="3" t="s">
        <v>768</v>
      </c>
      <c r="F164" s="3" t="s">
        <v>71</v>
      </c>
      <c r="G164" s="3" t="s">
        <v>60</v>
      </c>
      <c r="H164" s="3" t="s">
        <v>59</v>
      </c>
      <c r="I164" s="3" t="s">
        <v>59</v>
      </c>
      <c r="J164" s="3" t="s">
        <v>61</v>
      </c>
      <c r="K164" s="2" t="s">
        <v>2213</v>
      </c>
      <c r="L164" s="2" t="s">
        <v>2214</v>
      </c>
      <c r="M164" s="3" t="s">
        <v>756</v>
      </c>
      <c r="O164" s="3" t="s">
        <v>65</v>
      </c>
      <c r="P164" s="3" t="s">
        <v>829</v>
      </c>
      <c r="R164" s="3" t="s">
        <v>68</v>
      </c>
      <c r="S164" s="4">
        <v>1</v>
      </c>
      <c r="T164" s="4">
        <v>5</v>
      </c>
      <c r="U164" s="5" t="s">
        <v>2223</v>
      </c>
      <c r="V164" s="5" t="s">
        <v>2215</v>
      </c>
      <c r="W164" s="5" t="s">
        <v>1977</v>
      </c>
      <c r="X164" s="5" t="s">
        <v>1977</v>
      </c>
      <c r="Y164" s="4">
        <v>1414</v>
      </c>
      <c r="Z164" s="4">
        <v>1248</v>
      </c>
      <c r="AA164" s="4">
        <v>1359</v>
      </c>
      <c r="AB164" s="4">
        <v>6</v>
      </c>
      <c r="AC164" s="4">
        <v>8</v>
      </c>
      <c r="AD164" s="4">
        <v>44</v>
      </c>
      <c r="AE164" s="4">
        <v>47</v>
      </c>
      <c r="AF164" s="4">
        <v>19</v>
      </c>
      <c r="AG164" s="4">
        <v>21</v>
      </c>
      <c r="AH164" s="4">
        <v>10</v>
      </c>
      <c r="AI164" s="4">
        <v>10</v>
      </c>
      <c r="AJ164" s="4">
        <v>23</v>
      </c>
      <c r="AK164" s="4">
        <v>23</v>
      </c>
      <c r="AL164" s="4">
        <v>4</v>
      </c>
      <c r="AM164" s="4">
        <v>5</v>
      </c>
      <c r="AN164" s="4">
        <v>0</v>
      </c>
      <c r="AO164" s="4">
        <v>0</v>
      </c>
      <c r="AP164" s="3" t="s">
        <v>59</v>
      </c>
      <c r="AQ164" s="3" t="s">
        <v>71</v>
      </c>
      <c r="AR164" s="6" t="str">
        <f>HYPERLINK("http://catalog.hathitrust.org/Record/000313891","HathiTrust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HYPERLINK("https://creighton-primo.hosted.exlibrisgroup.com/primo-explore/search?tab=default_tab&amp;search_scope=EVERYTHING&amp;vid=01CRU&amp;lang=en_US&amp;offset=0&amp;query=any,contains,991001376109702656","Catalog Record")</f>
        <v>Catalog Record</v>
      </c>
      <c r="AT164" s="6" t="str">
        <f>HYPERLINK("http://www.worldcat.org/oclc/224928","WorldCat Record")</f>
        <v>WorldCat Record</v>
      </c>
      <c r="AU164" s="3" t="s">
        <v>2216</v>
      </c>
      <c r="AV164" s="3" t="s">
        <v>2217</v>
      </c>
      <c r="AW164" s="3" t="s">
        <v>2218</v>
      </c>
      <c r="AX164" s="3" t="s">
        <v>2218</v>
      </c>
      <c r="AY164" s="3" t="s">
        <v>2219</v>
      </c>
      <c r="AZ164" s="3" t="s">
        <v>76</v>
      </c>
      <c r="BB164" s="3" t="s">
        <v>2220</v>
      </c>
      <c r="BC164" s="3" t="s">
        <v>2224</v>
      </c>
      <c r="BD164" s="3" t="s">
        <v>2225</v>
      </c>
    </row>
    <row r="165" spans="1:56" ht="52.5" customHeight="1" x14ac:dyDescent="0.25">
      <c r="A165" s="7" t="s">
        <v>59</v>
      </c>
      <c r="B165" s="2" t="s">
        <v>2210</v>
      </c>
      <c r="C165" s="2" t="s">
        <v>2211</v>
      </c>
      <c r="D165" s="2" t="s">
        <v>2212</v>
      </c>
      <c r="E165" s="3" t="s">
        <v>781</v>
      </c>
      <c r="F165" s="3" t="s">
        <v>71</v>
      </c>
      <c r="G165" s="3" t="s">
        <v>60</v>
      </c>
      <c r="H165" s="3" t="s">
        <v>59</v>
      </c>
      <c r="I165" s="3" t="s">
        <v>59</v>
      </c>
      <c r="J165" s="3" t="s">
        <v>61</v>
      </c>
      <c r="K165" s="2" t="s">
        <v>2213</v>
      </c>
      <c r="L165" s="2" t="s">
        <v>2214</v>
      </c>
      <c r="M165" s="3" t="s">
        <v>756</v>
      </c>
      <c r="O165" s="3" t="s">
        <v>65</v>
      </c>
      <c r="P165" s="3" t="s">
        <v>829</v>
      </c>
      <c r="R165" s="3" t="s">
        <v>68</v>
      </c>
      <c r="S165" s="4">
        <v>1</v>
      </c>
      <c r="T165" s="4">
        <v>5</v>
      </c>
      <c r="U165" s="5" t="s">
        <v>2223</v>
      </c>
      <c r="V165" s="5" t="s">
        <v>2215</v>
      </c>
      <c r="W165" s="5" t="s">
        <v>1977</v>
      </c>
      <c r="X165" s="5" t="s">
        <v>1977</v>
      </c>
      <c r="Y165" s="4">
        <v>1414</v>
      </c>
      <c r="Z165" s="4">
        <v>1248</v>
      </c>
      <c r="AA165" s="4">
        <v>1359</v>
      </c>
      <c r="AB165" s="4">
        <v>6</v>
      </c>
      <c r="AC165" s="4">
        <v>8</v>
      </c>
      <c r="AD165" s="4">
        <v>44</v>
      </c>
      <c r="AE165" s="4">
        <v>47</v>
      </c>
      <c r="AF165" s="4">
        <v>19</v>
      </c>
      <c r="AG165" s="4">
        <v>21</v>
      </c>
      <c r="AH165" s="4">
        <v>10</v>
      </c>
      <c r="AI165" s="4">
        <v>10</v>
      </c>
      <c r="AJ165" s="4">
        <v>23</v>
      </c>
      <c r="AK165" s="4">
        <v>23</v>
      </c>
      <c r="AL165" s="4">
        <v>4</v>
      </c>
      <c r="AM165" s="4">
        <v>5</v>
      </c>
      <c r="AN165" s="4">
        <v>0</v>
      </c>
      <c r="AO165" s="4">
        <v>0</v>
      </c>
      <c r="AP165" s="3" t="s">
        <v>59</v>
      </c>
      <c r="AQ165" s="3" t="s">
        <v>71</v>
      </c>
      <c r="AR165" s="6" t="str">
        <f>HYPERLINK("http://catalog.hathitrust.org/Record/000313891","HathiTrust Record")</f>
        <v>HathiTrust Record</v>
      </c>
      <c r="AS165" s="6" t="str">
        <f>HYPERLINK("https://creighton-primo.hosted.exlibrisgroup.com/primo-explore/search?tab=default_tab&amp;search_scope=EVERYTHING&amp;vid=01CRU&amp;lang=en_US&amp;offset=0&amp;query=any,contains,991001376109702656","Catalog Record")</f>
        <v>Catalog Record</v>
      </c>
      <c r="AT165" s="6" t="str">
        <f>HYPERLINK("http://www.worldcat.org/oclc/224928","WorldCat Record")</f>
        <v>WorldCat Record</v>
      </c>
      <c r="AU165" s="3" t="s">
        <v>2216</v>
      </c>
      <c r="AV165" s="3" t="s">
        <v>2217</v>
      </c>
      <c r="AW165" s="3" t="s">
        <v>2218</v>
      </c>
      <c r="AX165" s="3" t="s">
        <v>2218</v>
      </c>
      <c r="AY165" s="3" t="s">
        <v>2219</v>
      </c>
      <c r="AZ165" s="3" t="s">
        <v>76</v>
      </c>
      <c r="BB165" s="3" t="s">
        <v>2220</v>
      </c>
      <c r="BC165" s="3" t="s">
        <v>2226</v>
      </c>
      <c r="BD165" s="3" t="s">
        <v>2227</v>
      </c>
    </row>
    <row r="166" spans="1:56" ht="52.5" customHeight="1" x14ac:dyDescent="0.25">
      <c r="A166" s="7" t="s">
        <v>59</v>
      </c>
      <c r="B166" s="2" t="s">
        <v>2228</v>
      </c>
      <c r="C166" s="2" t="s">
        <v>2229</v>
      </c>
      <c r="D166" s="2" t="s">
        <v>2230</v>
      </c>
      <c r="F166" s="3" t="s">
        <v>59</v>
      </c>
      <c r="G166" s="3" t="s">
        <v>60</v>
      </c>
      <c r="H166" s="3" t="s">
        <v>59</v>
      </c>
      <c r="I166" s="3" t="s">
        <v>59</v>
      </c>
      <c r="J166" s="3" t="s">
        <v>61</v>
      </c>
      <c r="K166" s="2" t="s">
        <v>2231</v>
      </c>
      <c r="L166" s="2" t="s">
        <v>1906</v>
      </c>
      <c r="M166" s="3" t="s">
        <v>987</v>
      </c>
      <c r="O166" s="3" t="s">
        <v>65</v>
      </c>
      <c r="P166" s="3" t="s">
        <v>296</v>
      </c>
      <c r="R166" s="3" t="s">
        <v>68</v>
      </c>
      <c r="S166" s="4">
        <v>2</v>
      </c>
      <c r="T166" s="4">
        <v>2</v>
      </c>
      <c r="U166" s="5" t="s">
        <v>2232</v>
      </c>
      <c r="V166" s="5" t="s">
        <v>2232</v>
      </c>
      <c r="W166" s="5" t="s">
        <v>2233</v>
      </c>
      <c r="X166" s="5" t="s">
        <v>2233</v>
      </c>
      <c r="Y166" s="4">
        <v>420</v>
      </c>
      <c r="Z166" s="4">
        <v>323</v>
      </c>
      <c r="AA166" s="4">
        <v>342</v>
      </c>
      <c r="AB166" s="4">
        <v>2</v>
      </c>
      <c r="AC166" s="4">
        <v>2</v>
      </c>
      <c r="AD166" s="4">
        <v>20</v>
      </c>
      <c r="AE166" s="4">
        <v>21</v>
      </c>
      <c r="AF166" s="4">
        <v>10</v>
      </c>
      <c r="AG166" s="4">
        <v>10</v>
      </c>
      <c r="AH166" s="4">
        <v>3</v>
      </c>
      <c r="AI166" s="4">
        <v>4</v>
      </c>
      <c r="AJ166" s="4">
        <v>9</v>
      </c>
      <c r="AK166" s="4">
        <v>10</v>
      </c>
      <c r="AL166" s="4">
        <v>1</v>
      </c>
      <c r="AM166" s="4">
        <v>1</v>
      </c>
      <c r="AN166" s="4">
        <v>0</v>
      </c>
      <c r="AO166" s="4">
        <v>0</v>
      </c>
      <c r="AP166" s="3" t="s">
        <v>59</v>
      </c>
      <c r="AQ166" s="3" t="s">
        <v>59</v>
      </c>
      <c r="AS166" s="6" t="str">
        <f>HYPERLINK("https://creighton-primo.hosted.exlibrisgroup.com/primo-explore/search?tab=default_tab&amp;search_scope=EVERYTHING&amp;vid=01CRU&amp;lang=en_US&amp;offset=0&amp;query=any,contains,991000368669702656","Catalog Record")</f>
        <v>Catalog Record</v>
      </c>
      <c r="AT166" s="6" t="str">
        <f>HYPERLINK("http://www.worldcat.org/oclc/71232","WorldCat Record")</f>
        <v>WorldCat Record</v>
      </c>
      <c r="AU166" s="3" t="s">
        <v>2234</v>
      </c>
      <c r="AV166" s="3" t="s">
        <v>2235</v>
      </c>
      <c r="AW166" s="3" t="s">
        <v>2236</v>
      </c>
      <c r="AX166" s="3" t="s">
        <v>2236</v>
      </c>
      <c r="AY166" s="3" t="s">
        <v>2237</v>
      </c>
      <c r="AZ166" s="3" t="s">
        <v>76</v>
      </c>
      <c r="BC166" s="3" t="s">
        <v>2238</v>
      </c>
      <c r="BD166" s="3" t="s">
        <v>2239</v>
      </c>
    </row>
    <row r="167" spans="1:56" ht="52.5" customHeight="1" x14ac:dyDescent="0.25">
      <c r="A167" s="7" t="s">
        <v>59</v>
      </c>
      <c r="B167" s="2" t="s">
        <v>2240</v>
      </c>
      <c r="C167" s="2" t="s">
        <v>2241</v>
      </c>
      <c r="D167" s="2" t="s">
        <v>2242</v>
      </c>
      <c r="F167" s="3" t="s">
        <v>59</v>
      </c>
      <c r="G167" s="3" t="s">
        <v>60</v>
      </c>
      <c r="H167" s="3" t="s">
        <v>59</v>
      </c>
      <c r="I167" s="3" t="s">
        <v>59</v>
      </c>
      <c r="J167" s="3" t="s">
        <v>61</v>
      </c>
      <c r="K167" s="2" t="s">
        <v>2243</v>
      </c>
      <c r="L167" s="2" t="s">
        <v>2244</v>
      </c>
      <c r="M167" s="3" t="s">
        <v>64</v>
      </c>
      <c r="O167" s="3" t="s">
        <v>65</v>
      </c>
      <c r="P167" s="3" t="s">
        <v>1262</v>
      </c>
      <c r="R167" s="3" t="s">
        <v>68</v>
      </c>
      <c r="S167" s="4">
        <v>2</v>
      </c>
      <c r="T167" s="4">
        <v>2</v>
      </c>
      <c r="U167" s="5" t="s">
        <v>2203</v>
      </c>
      <c r="V167" s="5" t="s">
        <v>2203</v>
      </c>
      <c r="W167" s="5" t="s">
        <v>1292</v>
      </c>
      <c r="X167" s="5" t="s">
        <v>1292</v>
      </c>
      <c r="Y167" s="4">
        <v>609</v>
      </c>
      <c r="Z167" s="4">
        <v>450</v>
      </c>
      <c r="AA167" s="4">
        <v>473</v>
      </c>
      <c r="AB167" s="4">
        <v>4</v>
      </c>
      <c r="AC167" s="4">
        <v>4</v>
      </c>
      <c r="AD167" s="4">
        <v>26</v>
      </c>
      <c r="AE167" s="4">
        <v>26</v>
      </c>
      <c r="AF167" s="4">
        <v>8</v>
      </c>
      <c r="AG167" s="4">
        <v>8</v>
      </c>
      <c r="AH167" s="4">
        <v>9</v>
      </c>
      <c r="AI167" s="4">
        <v>9</v>
      </c>
      <c r="AJ167" s="4">
        <v>14</v>
      </c>
      <c r="AK167" s="4">
        <v>14</v>
      </c>
      <c r="AL167" s="4">
        <v>3</v>
      </c>
      <c r="AM167" s="4">
        <v>3</v>
      </c>
      <c r="AN167" s="4">
        <v>0</v>
      </c>
      <c r="AO167" s="4">
        <v>0</v>
      </c>
      <c r="AP167" s="3" t="s">
        <v>59</v>
      </c>
      <c r="AQ167" s="3" t="s">
        <v>71</v>
      </c>
      <c r="AR167" s="6" t="str">
        <f>HYPERLINK("http://catalog.hathitrust.org/Record/000621378","HathiTrust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HYPERLINK("https://creighton-primo.hosted.exlibrisgroup.com/primo-explore/search?tab=default_tab&amp;search_scope=EVERYTHING&amp;vid=01CRU&amp;lang=en_US&amp;offset=0&amp;query=any,contains,991001213819702656","Catalog Record")</f>
        <v>Catalog Record</v>
      </c>
      <c r="AT167" s="6" t="str">
        <f>HYPERLINK("http://www.worldcat.org/oclc/193352","WorldCat Record")</f>
        <v>WorldCat Record</v>
      </c>
      <c r="AU167" s="3" t="s">
        <v>2245</v>
      </c>
      <c r="AV167" s="3" t="s">
        <v>2246</v>
      </c>
      <c r="AW167" s="3" t="s">
        <v>2247</v>
      </c>
      <c r="AX167" s="3" t="s">
        <v>2247</v>
      </c>
      <c r="AY167" s="3" t="s">
        <v>2248</v>
      </c>
      <c r="AZ167" s="3" t="s">
        <v>76</v>
      </c>
      <c r="BC167" s="3" t="s">
        <v>2249</v>
      </c>
      <c r="BD167" s="3" t="s">
        <v>2250</v>
      </c>
    </row>
    <row r="168" spans="1:56" ht="52.5" customHeight="1" x14ac:dyDescent="0.25">
      <c r="A168" s="7" t="s">
        <v>59</v>
      </c>
      <c r="B168" s="2" t="s">
        <v>2251</v>
      </c>
      <c r="C168" s="2" t="s">
        <v>2252</v>
      </c>
      <c r="D168" s="2" t="s">
        <v>2253</v>
      </c>
      <c r="F168" s="3" t="s">
        <v>59</v>
      </c>
      <c r="G168" s="3" t="s">
        <v>60</v>
      </c>
      <c r="H168" s="3" t="s">
        <v>59</v>
      </c>
      <c r="I168" s="3" t="s">
        <v>59</v>
      </c>
      <c r="J168" s="3" t="s">
        <v>61</v>
      </c>
      <c r="K168" s="2" t="s">
        <v>2254</v>
      </c>
      <c r="L168" s="2" t="s">
        <v>2255</v>
      </c>
      <c r="M168" s="3" t="s">
        <v>756</v>
      </c>
      <c r="O168" s="3" t="s">
        <v>65</v>
      </c>
      <c r="P168" s="3" t="s">
        <v>66</v>
      </c>
      <c r="Q168" s="2" t="s">
        <v>2256</v>
      </c>
      <c r="R168" s="3" t="s">
        <v>68</v>
      </c>
      <c r="S168" s="4">
        <v>1</v>
      </c>
      <c r="T168" s="4">
        <v>1</v>
      </c>
      <c r="U168" s="5" t="s">
        <v>2257</v>
      </c>
      <c r="V168" s="5" t="s">
        <v>2257</v>
      </c>
      <c r="W168" s="5" t="s">
        <v>1292</v>
      </c>
      <c r="X168" s="5" t="s">
        <v>1292</v>
      </c>
      <c r="Y168" s="4">
        <v>433</v>
      </c>
      <c r="Z168" s="4">
        <v>336</v>
      </c>
      <c r="AA168" s="4">
        <v>383</v>
      </c>
      <c r="AB168" s="4">
        <v>3</v>
      </c>
      <c r="AC168" s="4">
        <v>3</v>
      </c>
      <c r="AD168" s="4">
        <v>15</v>
      </c>
      <c r="AE168" s="4">
        <v>18</v>
      </c>
      <c r="AF168" s="4">
        <v>4</v>
      </c>
      <c r="AG168" s="4">
        <v>6</v>
      </c>
      <c r="AH168" s="4">
        <v>3</v>
      </c>
      <c r="AI168" s="4">
        <v>4</v>
      </c>
      <c r="AJ168" s="4">
        <v>10</v>
      </c>
      <c r="AK168" s="4">
        <v>12</v>
      </c>
      <c r="AL168" s="4">
        <v>2</v>
      </c>
      <c r="AM168" s="4">
        <v>2</v>
      </c>
      <c r="AN168" s="4">
        <v>0</v>
      </c>
      <c r="AO168" s="4">
        <v>0</v>
      </c>
      <c r="AP168" s="3" t="s">
        <v>59</v>
      </c>
      <c r="AQ168" s="3" t="s">
        <v>71</v>
      </c>
      <c r="AR168" s="6" t="str">
        <f>HYPERLINK("http://catalog.hathitrust.org/Record/000621380","HathiTrust Record")</f>
        <v>HathiTrust Record</v>
      </c>
      <c r="AS168" s="6" t="str">
        <f>HYPERLINK("https://creighton-primo.hosted.exlibrisgroup.com/primo-explore/search?tab=default_tab&amp;search_scope=EVERYTHING&amp;vid=01CRU&amp;lang=en_US&amp;offset=0&amp;query=any,contains,991001214329702656","Catalog Record")</f>
        <v>Catalog Record</v>
      </c>
      <c r="AT168" s="6" t="str">
        <f>HYPERLINK("http://www.worldcat.org/oclc/193507","WorldCat Record")</f>
        <v>WorldCat Record</v>
      </c>
      <c r="AU168" s="3" t="s">
        <v>2258</v>
      </c>
      <c r="AV168" s="3" t="s">
        <v>2259</v>
      </c>
      <c r="AW168" s="3" t="s">
        <v>2260</v>
      </c>
      <c r="AX168" s="3" t="s">
        <v>2260</v>
      </c>
      <c r="AY168" s="3" t="s">
        <v>2261</v>
      </c>
      <c r="AZ168" s="3" t="s">
        <v>76</v>
      </c>
      <c r="BC168" s="3" t="s">
        <v>2262</v>
      </c>
      <c r="BD168" s="3" t="s">
        <v>2263</v>
      </c>
    </row>
    <row r="169" spans="1:56" ht="52.5" customHeight="1" x14ac:dyDescent="0.25">
      <c r="A169" s="7" t="s">
        <v>59</v>
      </c>
      <c r="B169" s="2" t="s">
        <v>2264</v>
      </c>
      <c r="C169" s="2" t="s">
        <v>2265</v>
      </c>
      <c r="D169" s="2" t="s">
        <v>2266</v>
      </c>
      <c r="F169" s="3" t="s">
        <v>59</v>
      </c>
      <c r="G169" s="3" t="s">
        <v>60</v>
      </c>
      <c r="H169" s="3" t="s">
        <v>59</v>
      </c>
      <c r="I169" s="3" t="s">
        <v>59</v>
      </c>
      <c r="J169" s="3" t="s">
        <v>61</v>
      </c>
      <c r="K169" s="2" t="s">
        <v>2267</v>
      </c>
      <c r="L169" s="2" t="s">
        <v>2268</v>
      </c>
      <c r="M169" s="3" t="s">
        <v>1163</v>
      </c>
      <c r="O169" s="3" t="s">
        <v>65</v>
      </c>
      <c r="P169" s="3" t="s">
        <v>66</v>
      </c>
      <c r="R169" s="3" t="s">
        <v>68</v>
      </c>
      <c r="S169" s="4">
        <v>7</v>
      </c>
      <c r="T169" s="4">
        <v>7</v>
      </c>
      <c r="U169" s="5" t="s">
        <v>2269</v>
      </c>
      <c r="V169" s="5" t="s">
        <v>2269</v>
      </c>
      <c r="W169" s="5" t="s">
        <v>2032</v>
      </c>
      <c r="X169" s="5" t="s">
        <v>2032</v>
      </c>
      <c r="Y169" s="4">
        <v>466</v>
      </c>
      <c r="Z169" s="4">
        <v>411</v>
      </c>
      <c r="AA169" s="4">
        <v>431</v>
      </c>
      <c r="AB169" s="4">
        <v>3</v>
      </c>
      <c r="AC169" s="4">
        <v>3</v>
      </c>
      <c r="AD169" s="4">
        <v>6</v>
      </c>
      <c r="AE169" s="4">
        <v>6</v>
      </c>
      <c r="AF169" s="4">
        <v>3</v>
      </c>
      <c r="AG169" s="4">
        <v>3</v>
      </c>
      <c r="AH169" s="4">
        <v>1</v>
      </c>
      <c r="AI169" s="4">
        <v>1</v>
      </c>
      <c r="AJ169" s="4">
        <v>3</v>
      </c>
      <c r="AK169" s="4">
        <v>3</v>
      </c>
      <c r="AL169" s="4">
        <v>1</v>
      </c>
      <c r="AM169" s="4">
        <v>1</v>
      </c>
      <c r="AN169" s="4">
        <v>0</v>
      </c>
      <c r="AO169" s="4">
        <v>0</v>
      </c>
      <c r="AP169" s="3" t="s">
        <v>59</v>
      </c>
      <c r="AQ169" s="3" t="s">
        <v>59</v>
      </c>
      <c r="AS169" s="6" t="str">
        <f>HYPERLINK("https://creighton-primo.hosted.exlibrisgroup.com/primo-explore/search?tab=default_tab&amp;search_scope=EVERYTHING&amp;vid=01CRU&amp;lang=en_US&amp;offset=0&amp;query=any,contains,991000638019702656","Catalog Record")</f>
        <v>Catalog Record</v>
      </c>
      <c r="AT169" s="6" t="str">
        <f>HYPERLINK("http://www.worldcat.org/oclc/12083784","WorldCat Record")</f>
        <v>WorldCat Record</v>
      </c>
      <c r="AU169" s="3" t="s">
        <v>2270</v>
      </c>
      <c r="AV169" s="3" t="s">
        <v>2271</v>
      </c>
      <c r="AW169" s="3" t="s">
        <v>2272</v>
      </c>
      <c r="AX169" s="3" t="s">
        <v>2272</v>
      </c>
      <c r="AY169" s="3" t="s">
        <v>2273</v>
      </c>
      <c r="AZ169" s="3" t="s">
        <v>76</v>
      </c>
      <c r="BB169" s="3" t="s">
        <v>2274</v>
      </c>
      <c r="BC169" s="3" t="s">
        <v>2275</v>
      </c>
      <c r="BD169" s="3" t="s">
        <v>2276</v>
      </c>
    </row>
    <row r="170" spans="1:56" ht="52.5" customHeight="1" x14ac:dyDescent="0.25">
      <c r="A170" s="7" t="s">
        <v>59</v>
      </c>
      <c r="B170" s="2" t="s">
        <v>2277</v>
      </c>
      <c r="C170" s="2" t="s">
        <v>2278</v>
      </c>
      <c r="D170" s="2" t="s">
        <v>2279</v>
      </c>
      <c r="F170" s="3" t="s">
        <v>59</v>
      </c>
      <c r="G170" s="3" t="s">
        <v>60</v>
      </c>
      <c r="H170" s="3" t="s">
        <v>59</v>
      </c>
      <c r="I170" s="3" t="s">
        <v>59</v>
      </c>
      <c r="J170" s="3" t="s">
        <v>61</v>
      </c>
      <c r="K170" s="2" t="s">
        <v>2280</v>
      </c>
      <c r="L170" s="2" t="s">
        <v>2281</v>
      </c>
      <c r="M170" s="3" t="s">
        <v>254</v>
      </c>
      <c r="O170" s="3" t="s">
        <v>65</v>
      </c>
      <c r="P170" s="3" t="s">
        <v>66</v>
      </c>
      <c r="Q170" s="2" t="s">
        <v>2282</v>
      </c>
      <c r="R170" s="3" t="s">
        <v>68</v>
      </c>
      <c r="S170" s="4">
        <v>11</v>
      </c>
      <c r="T170" s="4">
        <v>11</v>
      </c>
      <c r="U170" s="5" t="s">
        <v>2283</v>
      </c>
      <c r="V170" s="5" t="s">
        <v>2283</v>
      </c>
      <c r="W170" s="5" t="s">
        <v>2284</v>
      </c>
      <c r="X170" s="5" t="s">
        <v>2284</v>
      </c>
      <c r="Y170" s="4">
        <v>352</v>
      </c>
      <c r="Z170" s="4">
        <v>289</v>
      </c>
      <c r="AA170" s="4">
        <v>488</v>
      </c>
      <c r="AB170" s="4">
        <v>2</v>
      </c>
      <c r="AC170" s="4">
        <v>6</v>
      </c>
      <c r="AD170" s="4">
        <v>14</v>
      </c>
      <c r="AE170" s="4">
        <v>24</v>
      </c>
      <c r="AF170" s="4">
        <v>5</v>
      </c>
      <c r="AG170" s="4">
        <v>8</v>
      </c>
      <c r="AH170" s="4">
        <v>4</v>
      </c>
      <c r="AI170" s="4">
        <v>4</v>
      </c>
      <c r="AJ170" s="4">
        <v>7</v>
      </c>
      <c r="AK170" s="4">
        <v>13</v>
      </c>
      <c r="AL170" s="4">
        <v>1</v>
      </c>
      <c r="AM170" s="4">
        <v>5</v>
      </c>
      <c r="AN170" s="4">
        <v>0</v>
      </c>
      <c r="AO170" s="4">
        <v>0</v>
      </c>
      <c r="AP170" s="3" t="s">
        <v>59</v>
      </c>
      <c r="AQ170" s="3" t="s">
        <v>59</v>
      </c>
      <c r="AS170" s="6" t="str">
        <f>HYPERLINK("https://creighton-primo.hosted.exlibrisgroup.com/primo-explore/search?tab=default_tab&amp;search_scope=EVERYTHING&amp;vid=01CRU&amp;lang=en_US&amp;offset=0&amp;query=any,contains,991000060469702656","Catalog Record")</f>
        <v>Catalog Record</v>
      </c>
      <c r="AT170" s="6" t="str">
        <f>HYPERLINK("http://www.worldcat.org/oclc/24468","WorldCat Record")</f>
        <v>WorldCat Record</v>
      </c>
      <c r="AU170" s="3" t="s">
        <v>2285</v>
      </c>
      <c r="AV170" s="3" t="s">
        <v>2286</v>
      </c>
      <c r="AW170" s="3" t="s">
        <v>2287</v>
      </c>
      <c r="AX170" s="3" t="s">
        <v>2287</v>
      </c>
      <c r="AY170" s="3" t="s">
        <v>2288</v>
      </c>
      <c r="AZ170" s="3" t="s">
        <v>76</v>
      </c>
      <c r="BB170" s="3" t="s">
        <v>2289</v>
      </c>
      <c r="BC170" s="3" t="s">
        <v>2290</v>
      </c>
      <c r="BD170" s="3" t="s">
        <v>2291</v>
      </c>
    </row>
    <row r="171" spans="1:56" ht="52.5" customHeight="1" x14ac:dyDescent="0.25">
      <c r="A171" s="7" t="s">
        <v>59</v>
      </c>
      <c r="B171" s="2" t="s">
        <v>2292</v>
      </c>
      <c r="C171" s="2" t="s">
        <v>2293</v>
      </c>
      <c r="D171" s="2" t="s">
        <v>2294</v>
      </c>
      <c r="F171" s="3" t="s">
        <v>59</v>
      </c>
      <c r="G171" s="3" t="s">
        <v>60</v>
      </c>
      <c r="H171" s="3" t="s">
        <v>59</v>
      </c>
      <c r="I171" s="3" t="s">
        <v>59</v>
      </c>
      <c r="J171" s="3" t="s">
        <v>61</v>
      </c>
      <c r="K171" s="2" t="s">
        <v>2295</v>
      </c>
      <c r="L171" s="2" t="s">
        <v>2296</v>
      </c>
      <c r="M171" s="3" t="s">
        <v>115</v>
      </c>
      <c r="O171" s="3" t="s">
        <v>65</v>
      </c>
      <c r="P171" s="3" t="s">
        <v>1262</v>
      </c>
      <c r="R171" s="3" t="s">
        <v>68</v>
      </c>
      <c r="S171" s="4">
        <v>2</v>
      </c>
      <c r="T171" s="4">
        <v>2</v>
      </c>
      <c r="U171" s="5" t="s">
        <v>2297</v>
      </c>
      <c r="V171" s="5" t="s">
        <v>2297</v>
      </c>
      <c r="W171" s="5" t="s">
        <v>2298</v>
      </c>
      <c r="X171" s="5" t="s">
        <v>2298</v>
      </c>
      <c r="Y171" s="4">
        <v>746</v>
      </c>
      <c r="Z171" s="4">
        <v>562</v>
      </c>
      <c r="AA171" s="4">
        <v>800</v>
      </c>
      <c r="AB171" s="4">
        <v>3</v>
      </c>
      <c r="AC171" s="4">
        <v>5</v>
      </c>
      <c r="AD171" s="4">
        <v>25</v>
      </c>
      <c r="AE171" s="4">
        <v>36</v>
      </c>
      <c r="AF171" s="4">
        <v>10</v>
      </c>
      <c r="AG171" s="4">
        <v>14</v>
      </c>
      <c r="AH171" s="4">
        <v>6</v>
      </c>
      <c r="AI171" s="4">
        <v>9</v>
      </c>
      <c r="AJ171" s="4">
        <v>11</v>
      </c>
      <c r="AK171" s="4">
        <v>17</v>
      </c>
      <c r="AL171" s="4">
        <v>2</v>
      </c>
      <c r="AM171" s="4">
        <v>3</v>
      </c>
      <c r="AN171" s="4">
        <v>0</v>
      </c>
      <c r="AO171" s="4">
        <v>0</v>
      </c>
      <c r="AP171" s="3" t="s">
        <v>59</v>
      </c>
      <c r="AQ171" s="3" t="s">
        <v>71</v>
      </c>
      <c r="AR171" s="6" t="str">
        <f>HYPERLINK("http://catalog.hathitrust.org/Record/000318230","HathiTrust Record")</f>
        <v>HathiTrust Record</v>
      </c>
      <c r="AS171" s="6" t="str">
        <f>HYPERLINK("https://creighton-primo.hosted.exlibrisgroup.com/primo-explore/search?tab=default_tab&amp;search_scope=EVERYTHING&amp;vid=01CRU&amp;lang=en_US&amp;offset=0&amp;query=any,contains,991004414879702656","Catalog Record")</f>
        <v>Catalog Record</v>
      </c>
      <c r="AT171" s="6" t="str">
        <f>HYPERLINK("http://www.worldcat.org/oclc/577077","WorldCat Record")</f>
        <v>WorldCat Record</v>
      </c>
      <c r="AU171" s="3" t="s">
        <v>2299</v>
      </c>
      <c r="AV171" s="3" t="s">
        <v>2300</v>
      </c>
      <c r="AW171" s="3" t="s">
        <v>2301</v>
      </c>
      <c r="AX171" s="3" t="s">
        <v>2301</v>
      </c>
      <c r="AY171" s="3" t="s">
        <v>2302</v>
      </c>
      <c r="AZ171" s="3" t="s">
        <v>76</v>
      </c>
      <c r="BB171" s="3" t="s">
        <v>2303</v>
      </c>
      <c r="BC171" s="3" t="s">
        <v>2304</v>
      </c>
      <c r="BD171" s="3" t="s">
        <v>2305</v>
      </c>
    </row>
    <row r="172" spans="1:56" ht="52.5" customHeight="1" x14ac:dyDescent="0.25">
      <c r="A172" s="7" t="s">
        <v>59</v>
      </c>
      <c r="B172" s="2" t="s">
        <v>2306</v>
      </c>
      <c r="C172" s="2" t="s">
        <v>2307</v>
      </c>
      <c r="D172" s="2" t="s">
        <v>2308</v>
      </c>
      <c r="F172" s="3" t="s">
        <v>59</v>
      </c>
      <c r="G172" s="3" t="s">
        <v>60</v>
      </c>
      <c r="H172" s="3" t="s">
        <v>59</v>
      </c>
      <c r="I172" s="3" t="s">
        <v>59</v>
      </c>
      <c r="J172" s="3" t="s">
        <v>61</v>
      </c>
      <c r="K172" s="2" t="s">
        <v>2309</v>
      </c>
      <c r="L172" s="2" t="s">
        <v>2310</v>
      </c>
      <c r="M172" s="3" t="s">
        <v>2311</v>
      </c>
      <c r="O172" s="3" t="s">
        <v>65</v>
      </c>
      <c r="P172" s="3" t="s">
        <v>406</v>
      </c>
      <c r="Q172" s="2" t="s">
        <v>2312</v>
      </c>
      <c r="R172" s="3" t="s">
        <v>68</v>
      </c>
      <c r="S172" s="4">
        <v>3</v>
      </c>
      <c r="T172" s="4">
        <v>3</v>
      </c>
      <c r="U172" s="5" t="s">
        <v>2313</v>
      </c>
      <c r="V172" s="5" t="s">
        <v>2313</v>
      </c>
      <c r="W172" s="5" t="s">
        <v>1249</v>
      </c>
      <c r="X172" s="5" t="s">
        <v>1249</v>
      </c>
      <c r="Y172" s="4">
        <v>204</v>
      </c>
      <c r="Z172" s="4">
        <v>179</v>
      </c>
      <c r="AA172" s="4">
        <v>182</v>
      </c>
      <c r="AB172" s="4">
        <v>1</v>
      </c>
      <c r="AC172" s="4">
        <v>1</v>
      </c>
      <c r="AD172" s="4">
        <v>10</v>
      </c>
      <c r="AE172" s="4">
        <v>10</v>
      </c>
      <c r="AF172" s="4">
        <v>4</v>
      </c>
      <c r="AG172" s="4">
        <v>4</v>
      </c>
      <c r="AH172" s="4">
        <v>1</v>
      </c>
      <c r="AI172" s="4">
        <v>1</v>
      </c>
      <c r="AJ172" s="4">
        <v>9</v>
      </c>
      <c r="AK172" s="4">
        <v>9</v>
      </c>
      <c r="AL172" s="4">
        <v>0</v>
      </c>
      <c r="AM172" s="4">
        <v>0</v>
      </c>
      <c r="AN172" s="4">
        <v>0</v>
      </c>
      <c r="AO172" s="4">
        <v>0</v>
      </c>
      <c r="AP172" s="3" t="s">
        <v>59</v>
      </c>
      <c r="AQ172" s="3" t="s">
        <v>59</v>
      </c>
      <c r="AS172" s="6" t="str">
        <f>HYPERLINK("https://creighton-primo.hosted.exlibrisgroup.com/primo-explore/search?tab=default_tab&amp;search_scope=EVERYTHING&amp;vid=01CRU&amp;lang=en_US&amp;offset=0&amp;query=any,contains,991003814299702656","Catalog Record")</f>
        <v>Catalog Record</v>
      </c>
      <c r="AT172" s="6" t="str">
        <f>HYPERLINK("http://www.worldcat.org/oclc/1544519","WorldCat Record")</f>
        <v>WorldCat Record</v>
      </c>
      <c r="AU172" s="3" t="s">
        <v>2314</v>
      </c>
      <c r="AV172" s="3" t="s">
        <v>2315</v>
      </c>
      <c r="AW172" s="3" t="s">
        <v>2316</v>
      </c>
      <c r="AX172" s="3" t="s">
        <v>2316</v>
      </c>
      <c r="AY172" s="3" t="s">
        <v>2317</v>
      </c>
      <c r="AZ172" s="3" t="s">
        <v>76</v>
      </c>
      <c r="BC172" s="3" t="s">
        <v>2318</v>
      </c>
      <c r="BD172" s="3" t="s">
        <v>2319</v>
      </c>
    </row>
    <row r="173" spans="1:56" ht="52.5" customHeight="1" x14ac:dyDescent="0.25">
      <c r="A173" s="7" t="s">
        <v>59</v>
      </c>
      <c r="B173" s="2" t="s">
        <v>2320</v>
      </c>
      <c r="C173" s="2" t="s">
        <v>2321</v>
      </c>
      <c r="D173" s="2" t="s">
        <v>2322</v>
      </c>
      <c r="F173" s="3" t="s">
        <v>59</v>
      </c>
      <c r="G173" s="3" t="s">
        <v>60</v>
      </c>
      <c r="H173" s="3" t="s">
        <v>59</v>
      </c>
      <c r="I173" s="3" t="s">
        <v>59</v>
      </c>
      <c r="J173" s="3" t="s">
        <v>61</v>
      </c>
      <c r="K173" s="2" t="s">
        <v>2323</v>
      </c>
      <c r="L173" s="2" t="s">
        <v>2324</v>
      </c>
      <c r="M173" s="3" t="s">
        <v>100</v>
      </c>
      <c r="O173" s="3" t="s">
        <v>65</v>
      </c>
      <c r="P173" s="3" t="s">
        <v>66</v>
      </c>
      <c r="R173" s="3" t="s">
        <v>68</v>
      </c>
      <c r="S173" s="4">
        <v>7</v>
      </c>
      <c r="T173" s="4">
        <v>7</v>
      </c>
      <c r="U173" s="5" t="s">
        <v>2325</v>
      </c>
      <c r="V173" s="5" t="s">
        <v>2325</v>
      </c>
      <c r="W173" s="5" t="s">
        <v>2326</v>
      </c>
      <c r="X173" s="5" t="s">
        <v>2326</v>
      </c>
      <c r="Y173" s="4">
        <v>403</v>
      </c>
      <c r="Z173" s="4">
        <v>378</v>
      </c>
      <c r="AA173" s="4">
        <v>560</v>
      </c>
      <c r="AB173" s="4">
        <v>5</v>
      </c>
      <c r="AC173" s="4">
        <v>6</v>
      </c>
      <c r="AD173" s="4">
        <v>11</v>
      </c>
      <c r="AE173" s="4">
        <v>19</v>
      </c>
      <c r="AF173" s="4">
        <v>4</v>
      </c>
      <c r="AG173" s="4">
        <v>8</v>
      </c>
      <c r="AH173" s="4">
        <v>2</v>
      </c>
      <c r="AI173" s="4">
        <v>3</v>
      </c>
      <c r="AJ173" s="4">
        <v>6</v>
      </c>
      <c r="AK173" s="4">
        <v>9</v>
      </c>
      <c r="AL173" s="4">
        <v>2</v>
      </c>
      <c r="AM173" s="4">
        <v>3</v>
      </c>
      <c r="AN173" s="4">
        <v>0</v>
      </c>
      <c r="AO173" s="4">
        <v>0</v>
      </c>
      <c r="AP173" s="3" t="s">
        <v>59</v>
      </c>
      <c r="AQ173" s="3" t="s">
        <v>59</v>
      </c>
      <c r="AS173" s="6" t="str">
        <f>HYPERLINK("https://creighton-primo.hosted.exlibrisgroup.com/primo-explore/search?tab=default_tab&amp;search_scope=EVERYTHING&amp;vid=01CRU&amp;lang=en_US&amp;offset=0&amp;query=any,contains,991000918619702656","Catalog Record")</f>
        <v>Catalog Record</v>
      </c>
      <c r="AT173" s="6" t="str">
        <f>HYPERLINK("http://www.worldcat.org/oclc/160905","WorldCat Record")</f>
        <v>WorldCat Record</v>
      </c>
      <c r="AU173" s="3" t="s">
        <v>2327</v>
      </c>
      <c r="AV173" s="3" t="s">
        <v>2328</v>
      </c>
      <c r="AW173" s="3" t="s">
        <v>2329</v>
      </c>
      <c r="AX173" s="3" t="s">
        <v>2329</v>
      </c>
      <c r="AY173" s="3" t="s">
        <v>2330</v>
      </c>
      <c r="AZ173" s="3" t="s">
        <v>76</v>
      </c>
      <c r="BB173" s="3" t="s">
        <v>2331</v>
      </c>
      <c r="BC173" s="3" t="s">
        <v>2332</v>
      </c>
      <c r="BD173" s="3" t="s">
        <v>2333</v>
      </c>
    </row>
    <row r="174" spans="1:56" ht="52.5" customHeight="1" x14ac:dyDescent="0.25">
      <c r="A174" s="7" t="s">
        <v>59</v>
      </c>
      <c r="B174" s="2" t="s">
        <v>2334</v>
      </c>
      <c r="C174" s="2" t="s">
        <v>2335</v>
      </c>
      <c r="D174" s="2" t="s">
        <v>2336</v>
      </c>
      <c r="F174" s="3" t="s">
        <v>59</v>
      </c>
      <c r="G174" s="3" t="s">
        <v>60</v>
      </c>
      <c r="H174" s="3" t="s">
        <v>59</v>
      </c>
      <c r="I174" s="3" t="s">
        <v>59</v>
      </c>
      <c r="J174" s="3" t="s">
        <v>61</v>
      </c>
      <c r="K174" s="2" t="s">
        <v>2337</v>
      </c>
      <c r="L174" s="2" t="s">
        <v>2338</v>
      </c>
      <c r="M174" s="3" t="s">
        <v>1015</v>
      </c>
      <c r="O174" s="3" t="s">
        <v>65</v>
      </c>
      <c r="P174" s="3" t="s">
        <v>66</v>
      </c>
      <c r="R174" s="3" t="s">
        <v>68</v>
      </c>
      <c r="S174" s="4">
        <v>1</v>
      </c>
      <c r="T174" s="4">
        <v>1</v>
      </c>
      <c r="U174" s="5" t="s">
        <v>2339</v>
      </c>
      <c r="V174" s="5" t="s">
        <v>2339</v>
      </c>
      <c r="W174" s="5" t="s">
        <v>1123</v>
      </c>
      <c r="X174" s="5" t="s">
        <v>1123</v>
      </c>
      <c r="Y174" s="4">
        <v>222</v>
      </c>
      <c r="Z174" s="4">
        <v>194</v>
      </c>
      <c r="AA174" s="4">
        <v>690</v>
      </c>
      <c r="AB174" s="4">
        <v>3</v>
      </c>
      <c r="AC174" s="4">
        <v>3</v>
      </c>
      <c r="AD174" s="4">
        <v>15</v>
      </c>
      <c r="AE174" s="4">
        <v>29</v>
      </c>
      <c r="AF174" s="4">
        <v>7</v>
      </c>
      <c r="AG174" s="4">
        <v>12</v>
      </c>
      <c r="AH174" s="4">
        <v>5</v>
      </c>
      <c r="AI174" s="4">
        <v>7</v>
      </c>
      <c r="AJ174" s="4">
        <v>5</v>
      </c>
      <c r="AK174" s="4">
        <v>15</v>
      </c>
      <c r="AL174" s="4">
        <v>2</v>
      </c>
      <c r="AM174" s="4">
        <v>2</v>
      </c>
      <c r="AN174" s="4">
        <v>0</v>
      </c>
      <c r="AO174" s="4">
        <v>0</v>
      </c>
      <c r="AP174" s="3" t="s">
        <v>59</v>
      </c>
      <c r="AQ174" s="3" t="s">
        <v>59</v>
      </c>
      <c r="AS174" s="6" t="str">
        <f>HYPERLINK("https://creighton-primo.hosted.exlibrisgroup.com/primo-explore/search?tab=default_tab&amp;search_scope=EVERYTHING&amp;vid=01CRU&amp;lang=en_US&amp;offset=0&amp;query=any,contains,991003895189702656","Catalog Record")</f>
        <v>Catalog Record</v>
      </c>
      <c r="AT174" s="6" t="str">
        <f>HYPERLINK("http://www.worldcat.org/oclc/1807395","WorldCat Record")</f>
        <v>WorldCat Record</v>
      </c>
      <c r="AU174" s="3" t="s">
        <v>2340</v>
      </c>
      <c r="AV174" s="3" t="s">
        <v>2341</v>
      </c>
      <c r="AW174" s="3" t="s">
        <v>2342</v>
      </c>
      <c r="AX174" s="3" t="s">
        <v>2342</v>
      </c>
      <c r="AY174" s="3" t="s">
        <v>2343</v>
      </c>
      <c r="AZ174" s="3" t="s">
        <v>76</v>
      </c>
      <c r="BC174" s="3" t="s">
        <v>2344</v>
      </c>
      <c r="BD174" s="3" t="s">
        <v>2345</v>
      </c>
    </row>
    <row r="175" spans="1:56" ht="52.5" customHeight="1" x14ac:dyDescent="0.25">
      <c r="A175" s="7" t="s">
        <v>59</v>
      </c>
      <c r="B175" s="2" t="s">
        <v>2346</v>
      </c>
      <c r="C175" s="2" t="s">
        <v>2347</v>
      </c>
      <c r="D175" s="2" t="s">
        <v>2348</v>
      </c>
      <c r="F175" s="3" t="s">
        <v>59</v>
      </c>
      <c r="G175" s="3" t="s">
        <v>60</v>
      </c>
      <c r="H175" s="3" t="s">
        <v>59</v>
      </c>
      <c r="I175" s="3" t="s">
        <v>59</v>
      </c>
      <c r="J175" s="3" t="s">
        <v>61</v>
      </c>
      <c r="K175" s="2" t="s">
        <v>2349</v>
      </c>
      <c r="L175" s="2" t="s">
        <v>2350</v>
      </c>
      <c r="M175" s="3" t="s">
        <v>514</v>
      </c>
      <c r="O175" s="3" t="s">
        <v>65</v>
      </c>
      <c r="P175" s="3" t="s">
        <v>420</v>
      </c>
      <c r="Q175" s="2" t="s">
        <v>1305</v>
      </c>
      <c r="R175" s="3" t="s">
        <v>68</v>
      </c>
      <c r="S175" s="4">
        <v>3</v>
      </c>
      <c r="T175" s="4">
        <v>3</v>
      </c>
      <c r="U175" s="5" t="s">
        <v>2351</v>
      </c>
      <c r="V175" s="5" t="s">
        <v>2351</v>
      </c>
      <c r="W175" s="5" t="s">
        <v>1292</v>
      </c>
      <c r="X175" s="5" t="s">
        <v>1292</v>
      </c>
      <c r="Y175" s="4">
        <v>332</v>
      </c>
      <c r="Z175" s="4">
        <v>244</v>
      </c>
      <c r="AA175" s="4">
        <v>259</v>
      </c>
      <c r="AB175" s="4">
        <v>4</v>
      </c>
      <c r="AC175" s="4">
        <v>4</v>
      </c>
      <c r="AD175" s="4">
        <v>14</v>
      </c>
      <c r="AE175" s="4">
        <v>14</v>
      </c>
      <c r="AF175" s="4">
        <v>5</v>
      </c>
      <c r="AG175" s="4">
        <v>5</v>
      </c>
      <c r="AH175" s="4">
        <v>3</v>
      </c>
      <c r="AI175" s="4">
        <v>3</v>
      </c>
      <c r="AJ175" s="4">
        <v>7</v>
      </c>
      <c r="AK175" s="4">
        <v>7</v>
      </c>
      <c r="AL175" s="4">
        <v>3</v>
      </c>
      <c r="AM175" s="4">
        <v>3</v>
      </c>
      <c r="AN175" s="4">
        <v>0</v>
      </c>
      <c r="AO175" s="4">
        <v>0</v>
      </c>
      <c r="AP175" s="3" t="s">
        <v>59</v>
      </c>
      <c r="AQ175" s="3" t="s">
        <v>71</v>
      </c>
      <c r="AR175" s="6" t="str">
        <f>HYPERLINK("http://catalog.hathitrust.org/Record/009510448","HathiTrust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HYPERLINK("https://creighton-primo.hosted.exlibrisgroup.com/primo-explore/search?tab=default_tab&amp;search_scope=EVERYTHING&amp;vid=01CRU&amp;lang=en_US&amp;offset=0&amp;query=any,contains,991003202869702656","Catalog Record")</f>
        <v>Catalog Record</v>
      </c>
      <c r="AT175" s="6" t="str">
        <f>HYPERLINK("http://www.worldcat.org/oclc/727880","WorldCat Record")</f>
        <v>WorldCat Record</v>
      </c>
      <c r="AU175" s="3" t="s">
        <v>2352</v>
      </c>
      <c r="AV175" s="3" t="s">
        <v>2353</v>
      </c>
      <c r="AW175" s="3" t="s">
        <v>2354</v>
      </c>
      <c r="AX175" s="3" t="s">
        <v>2354</v>
      </c>
      <c r="AY175" s="3" t="s">
        <v>2355</v>
      </c>
      <c r="AZ175" s="3" t="s">
        <v>76</v>
      </c>
      <c r="BC175" s="3" t="s">
        <v>2356</v>
      </c>
      <c r="BD175" s="3" t="s">
        <v>2357</v>
      </c>
    </row>
    <row r="176" spans="1:56" ht="52.5" customHeight="1" x14ac:dyDescent="0.25">
      <c r="A176" s="7" t="s">
        <v>59</v>
      </c>
      <c r="B176" s="2" t="s">
        <v>2358</v>
      </c>
      <c r="C176" s="2" t="s">
        <v>2359</v>
      </c>
      <c r="D176" s="2" t="s">
        <v>2360</v>
      </c>
      <c r="F176" s="3" t="s">
        <v>59</v>
      </c>
      <c r="G176" s="3" t="s">
        <v>60</v>
      </c>
      <c r="H176" s="3" t="s">
        <v>59</v>
      </c>
      <c r="I176" s="3" t="s">
        <v>59</v>
      </c>
      <c r="J176" s="3" t="s">
        <v>61</v>
      </c>
      <c r="K176" s="2" t="s">
        <v>2361</v>
      </c>
      <c r="L176" s="2" t="s">
        <v>2362</v>
      </c>
      <c r="M176" s="3" t="s">
        <v>148</v>
      </c>
      <c r="O176" s="3" t="s">
        <v>65</v>
      </c>
      <c r="P176" s="3" t="s">
        <v>771</v>
      </c>
      <c r="R176" s="3" t="s">
        <v>68</v>
      </c>
      <c r="S176" s="4">
        <v>3</v>
      </c>
      <c r="T176" s="4">
        <v>3</v>
      </c>
      <c r="U176" s="5" t="s">
        <v>2363</v>
      </c>
      <c r="V176" s="5" t="s">
        <v>2363</v>
      </c>
      <c r="W176" s="5" t="s">
        <v>2364</v>
      </c>
      <c r="X176" s="5" t="s">
        <v>2364</v>
      </c>
      <c r="Y176" s="4">
        <v>82</v>
      </c>
      <c r="Z176" s="4">
        <v>77</v>
      </c>
      <c r="AA176" s="4">
        <v>582</v>
      </c>
      <c r="AB176" s="4">
        <v>1</v>
      </c>
      <c r="AC176" s="4">
        <v>4</v>
      </c>
      <c r="AD176" s="4">
        <v>2</v>
      </c>
      <c r="AE176" s="4">
        <v>23</v>
      </c>
      <c r="AF176" s="4">
        <v>0</v>
      </c>
      <c r="AG176" s="4">
        <v>11</v>
      </c>
      <c r="AH176" s="4">
        <v>1</v>
      </c>
      <c r="AI176" s="4">
        <v>5</v>
      </c>
      <c r="AJ176" s="4">
        <v>1</v>
      </c>
      <c r="AK176" s="4">
        <v>9</v>
      </c>
      <c r="AL176" s="4">
        <v>0</v>
      </c>
      <c r="AM176" s="4">
        <v>3</v>
      </c>
      <c r="AN176" s="4">
        <v>0</v>
      </c>
      <c r="AO176" s="4">
        <v>0</v>
      </c>
      <c r="AP176" s="3" t="s">
        <v>59</v>
      </c>
      <c r="AQ176" s="3" t="s">
        <v>71</v>
      </c>
      <c r="AR176" s="6" t="str">
        <f>HYPERLINK("http://catalog.hathitrust.org/Record/102023575","HathiTrust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HYPERLINK("https://creighton-primo.hosted.exlibrisgroup.com/primo-explore/search?tab=default_tab&amp;search_scope=EVERYTHING&amp;vid=01CRU&amp;lang=en_US&amp;offset=0&amp;query=any,contains,991004069409702656","Catalog Record")</f>
        <v>Catalog Record</v>
      </c>
      <c r="AT176" s="6" t="str">
        <f>HYPERLINK("http://www.worldcat.org/oclc/2295023","WorldCat Record")</f>
        <v>WorldCat Record</v>
      </c>
      <c r="AU176" s="3" t="s">
        <v>2365</v>
      </c>
      <c r="AV176" s="3" t="s">
        <v>2366</v>
      </c>
      <c r="AW176" s="3" t="s">
        <v>2367</v>
      </c>
      <c r="AX176" s="3" t="s">
        <v>2367</v>
      </c>
      <c r="AY176" s="3" t="s">
        <v>2368</v>
      </c>
      <c r="AZ176" s="3" t="s">
        <v>76</v>
      </c>
      <c r="BB176" s="3" t="s">
        <v>2369</v>
      </c>
      <c r="BC176" s="3" t="s">
        <v>2370</v>
      </c>
      <c r="BD176" s="3" t="s">
        <v>2371</v>
      </c>
    </row>
    <row r="177" spans="1:56" ht="52.5" customHeight="1" x14ac:dyDescent="0.25">
      <c r="A177" s="7" t="s">
        <v>59</v>
      </c>
      <c r="B177" s="2" t="s">
        <v>2372</v>
      </c>
      <c r="C177" s="2" t="s">
        <v>2373</v>
      </c>
      <c r="D177" s="2" t="s">
        <v>2374</v>
      </c>
      <c r="F177" s="3" t="s">
        <v>59</v>
      </c>
      <c r="G177" s="3" t="s">
        <v>60</v>
      </c>
      <c r="H177" s="3" t="s">
        <v>59</v>
      </c>
      <c r="I177" s="3" t="s">
        <v>59</v>
      </c>
      <c r="J177" s="3" t="s">
        <v>61</v>
      </c>
      <c r="K177" s="2" t="s">
        <v>2375</v>
      </c>
      <c r="L177" s="2" t="s">
        <v>2376</v>
      </c>
      <c r="M177" s="3" t="s">
        <v>224</v>
      </c>
      <c r="O177" s="3" t="s">
        <v>65</v>
      </c>
      <c r="P177" s="3" t="s">
        <v>66</v>
      </c>
      <c r="R177" s="3" t="s">
        <v>68</v>
      </c>
      <c r="S177" s="4">
        <v>4</v>
      </c>
      <c r="T177" s="4">
        <v>4</v>
      </c>
      <c r="U177" s="5" t="s">
        <v>2377</v>
      </c>
      <c r="V177" s="5" t="s">
        <v>2377</v>
      </c>
      <c r="W177" s="5" t="s">
        <v>1977</v>
      </c>
      <c r="X177" s="5" t="s">
        <v>1977</v>
      </c>
      <c r="Y177" s="4">
        <v>42</v>
      </c>
      <c r="Z177" s="4">
        <v>34</v>
      </c>
      <c r="AA177" s="4">
        <v>649</v>
      </c>
      <c r="AB177" s="4">
        <v>1</v>
      </c>
      <c r="AC177" s="4">
        <v>4</v>
      </c>
      <c r="AD177" s="4">
        <v>4</v>
      </c>
      <c r="AE177" s="4">
        <v>29</v>
      </c>
      <c r="AF177" s="4">
        <v>0</v>
      </c>
      <c r="AG177" s="4">
        <v>9</v>
      </c>
      <c r="AH177" s="4">
        <v>1</v>
      </c>
      <c r="AI177" s="4">
        <v>9</v>
      </c>
      <c r="AJ177" s="4">
        <v>4</v>
      </c>
      <c r="AK177" s="4">
        <v>15</v>
      </c>
      <c r="AL177" s="4">
        <v>0</v>
      </c>
      <c r="AM177" s="4">
        <v>3</v>
      </c>
      <c r="AN177" s="4">
        <v>0</v>
      </c>
      <c r="AO177" s="4">
        <v>0</v>
      </c>
      <c r="AP177" s="3" t="s">
        <v>59</v>
      </c>
      <c r="AQ177" s="3" t="s">
        <v>59</v>
      </c>
      <c r="AS177" s="6" t="str">
        <f>HYPERLINK("https://creighton-primo.hosted.exlibrisgroup.com/primo-explore/search?tab=default_tab&amp;search_scope=EVERYTHING&amp;vid=01CRU&amp;lang=en_US&amp;offset=0&amp;query=any,contains,991004116929702656","Catalog Record")</f>
        <v>Catalog Record</v>
      </c>
      <c r="AT177" s="6" t="str">
        <f>HYPERLINK("http://www.worldcat.org/oclc/2416526","WorldCat Record")</f>
        <v>WorldCat Record</v>
      </c>
      <c r="AU177" s="3" t="s">
        <v>2378</v>
      </c>
      <c r="AV177" s="3" t="s">
        <v>2379</v>
      </c>
      <c r="AW177" s="3" t="s">
        <v>2380</v>
      </c>
      <c r="AX177" s="3" t="s">
        <v>2380</v>
      </c>
      <c r="AY177" s="3" t="s">
        <v>2381</v>
      </c>
      <c r="AZ177" s="3" t="s">
        <v>76</v>
      </c>
      <c r="BC177" s="3" t="s">
        <v>2382</v>
      </c>
      <c r="BD177" s="3" t="s">
        <v>2383</v>
      </c>
    </row>
    <row r="178" spans="1:56" ht="52.5" customHeight="1" x14ac:dyDescent="0.25">
      <c r="A178" s="7" t="s">
        <v>59</v>
      </c>
      <c r="B178" s="2" t="s">
        <v>2384</v>
      </c>
      <c r="C178" s="2" t="s">
        <v>2385</v>
      </c>
      <c r="D178" s="2" t="s">
        <v>2386</v>
      </c>
      <c r="F178" s="3" t="s">
        <v>59</v>
      </c>
      <c r="G178" s="3" t="s">
        <v>60</v>
      </c>
      <c r="H178" s="3" t="s">
        <v>59</v>
      </c>
      <c r="I178" s="3" t="s">
        <v>59</v>
      </c>
      <c r="J178" s="3" t="s">
        <v>61</v>
      </c>
      <c r="K178" s="2" t="s">
        <v>2387</v>
      </c>
      <c r="L178" s="2" t="s">
        <v>2388</v>
      </c>
      <c r="M178" s="3" t="s">
        <v>2389</v>
      </c>
      <c r="O178" s="3" t="s">
        <v>65</v>
      </c>
      <c r="P178" s="3" t="s">
        <v>491</v>
      </c>
      <c r="R178" s="3" t="s">
        <v>68</v>
      </c>
      <c r="S178" s="4">
        <v>6</v>
      </c>
      <c r="T178" s="4">
        <v>6</v>
      </c>
      <c r="U178" s="5" t="s">
        <v>2390</v>
      </c>
      <c r="V178" s="5" t="s">
        <v>2390</v>
      </c>
      <c r="W178" s="5" t="s">
        <v>1292</v>
      </c>
      <c r="X178" s="5" t="s">
        <v>1292</v>
      </c>
      <c r="Y178" s="4">
        <v>280</v>
      </c>
      <c r="Z178" s="4">
        <v>244</v>
      </c>
      <c r="AA178" s="4">
        <v>258</v>
      </c>
      <c r="AB178" s="4">
        <v>4</v>
      </c>
      <c r="AC178" s="4">
        <v>4</v>
      </c>
      <c r="AD178" s="4">
        <v>14</v>
      </c>
      <c r="AE178" s="4">
        <v>14</v>
      </c>
      <c r="AF178" s="4">
        <v>3</v>
      </c>
      <c r="AG178" s="4">
        <v>3</v>
      </c>
      <c r="AH178" s="4">
        <v>3</v>
      </c>
      <c r="AI178" s="4">
        <v>3</v>
      </c>
      <c r="AJ178" s="4">
        <v>7</v>
      </c>
      <c r="AK178" s="4">
        <v>7</v>
      </c>
      <c r="AL178" s="4">
        <v>3</v>
      </c>
      <c r="AM178" s="4">
        <v>3</v>
      </c>
      <c r="AN178" s="4">
        <v>0</v>
      </c>
      <c r="AO178" s="4">
        <v>0</v>
      </c>
      <c r="AP178" s="3" t="s">
        <v>59</v>
      </c>
      <c r="AQ178" s="3" t="s">
        <v>71</v>
      </c>
      <c r="AR178" s="6" t="str">
        <f>HYPERLINK("http://catalog.hathitrust.org/Record/000583141","HathiTrust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HYPERLINK("https://creighton-primo.hosted.exlibrisgroup.com/primo-explore/search?tab=default_tab&amp;search_scope=EVERYTHING&amp;vid=01CRU&amp;lang=en_US&amp;offset=0&amp;query=any,contains,991000949489702656","Catalog Record")</f>
        <v>Catalog Record</v>
      </c>
      <c r="AT178" s="6" t="str">
        <f>HYPERLINK("http://www.worldcat.org/oclc/14619894","WorldCat Record")</f>
        <v>WorldCat Record</v>
      </c>
      <c r="AU178" s="3" t="s">
        <v>2391</v>
      </c>
      <c r="AV178" s="3" t="s">
        <v>2392</v>
      </c>
      <c r="AW178" s="3" t="s">
        <v>2393</v>
      </c>
      <c r="AX178" s="3" t="s">
        <v>2393</v>
      </c>
      <c r="AY178" s="3" t="s">
        <v>2394</v>
      </c>
      <c r="AZ178" s="3" t="s">
        <v>76</v>
      </c>
      <c r="BC178" s="3" t="s">
        <v>2395</v>
      </c>
      <c r="BD178" s="3" t="s">
        <v>2396</v>
      </c>
    </row>
    <row r="179" spans="1:56" ht="52.5" customHeight="1" x14ac:dyDescent="0.25">
      <c r="A179" s="7" t="s">
        <v>59</v>
      </c>
      <c r="B179" s="2" t="s">
        <v>2397</v>
      </c>
      <c r="C179" s="2" t="s">
        <v>2398</v>
      </c>
      <c r="D179" s="2" t="s">
        <v>2399</v>
      </c>
      <c r="F179" s="3" t="s">
        <v>59</v>
      </c>
      <c r="G179" s="3" t="s">
        <v>60</v>
      </c>
      <c r="H179" s="3" t="s">
        <v>59</v>
      </c>
      <c r="I179" s="3" t="s">
        <v>59</v>
      </c>
      <c r="J179" s="3" t="s">
        <v>61</v>
      </c>
      <c r="K179" s="2" t="s">
        <v>2400</v>
      </c>
      <c r="L179" s="2" t="s">
        <v>2401</v>
      </c>
      <c r="M179" s="3" t="s">
        <v>1000</v>
      </c>
      <c r="O179" s="3" t="s">
        <v>65</v>
      </c>
      <c r="P179" s="3" t="s">
        <v>66</v>
      </c>
      <c r="R179" s="3" t="s">
        <v>68</v>
      </c>
      <c r="S179" s="4">
        <v>9</v>
      </c>
      <c r="T179" s="4">
        <v>9</v>
      </c>
      <c r="U179" s="5" t="s">
        <v>2402</v>
      </c>
      <c r="V179" s="5" t="s">
        <v>2402</v>
      </c>
      <c r="W179" s="5" t="s">
        <v>1977</v>
      </c>
      <c r="X179" s="5" t="s">
        <v>1977</v>
      </c>
      <c r="Y179" s="4">
        <v>982</v>
      </c>
      <c r="Z179" s="4">
        <v>812</v>
      </c>
      <c r="AA179" s="4">
        <v>953</v>
      </c>
      <c r="AB179" s="4">
        <v>6</v>
      </c>
      <c r="AC179" s="4">
        <v>7</v>
      </c>
      <c r="AD179" s="4">
        <v>29</v>
      </c>
      <c r="AE179" s="4">
        <v>35</v>
      </c>
      <c r="AF179" s="4">
        <v>11</v>
      </c>
      <c r="AG179" s="4">
        <v>14</v>
      </c>
      <c r="AH179" s="4">
        <v>7</v>
      </c>
      <c r="AI179" s="4">
        <v>9</v>
      </c>
      <c r="AJ179" s="4">
        <v>16</v>
      </c>
      <c r="AK179" s="4">
        <v>17</v>
      </c>
      <c r="AL179" s="4">
        <v>4</v>
      </c>
      <c r="AM179" s="4">
        <v>5</v>
      </c>
      <c r="AN179" s="4">
        <v>0</v>
      </c>
      <c r="AO179" s="4">
        <v>0</v>
      </c>
      <c r="AP179" s="3" t="s">
        <v>59</v>
      </c>
      <c r="AQ179" s="3" t="s">
        <v>71</v>
      </c>
      <c r="AR179" s="6" t="str">
        <f>HYPERLINK("http://catalog.hathitrust.org/Record/000038380","HathiTrust Record")</f>
        <v>HathiTrust Record</v>
      </c>
      <c r="AS179" s="6" t="str">
        <f>HYPERLINK("https://creighton-primo.hosted.exlibrisgroup.com/primo-explore/search?tab=default_tab&amp;search_scope=EVERYTHING&amp;vid=01CRU&amp;lang=en_US&amp;offset=0&amp;query=any,contains,991004677119702656","Catalog Record")</f>
        <v>Catalog Record</v>
      </c>
      <c r="AT179" s="6" t="str">
        <f>HYPERLINK("http://www.worldcat.org/oclc/4549318","WorldCat Record")</f>
        <v>WorldCat Record</v>
      </c>
      <c r="AU179" s="3" t="s">
        <v>2403</v>
      </c>
      <c r="AV179" s="3" t="s">
        <v>2404</v>
      </c>
      <c r="AW179" s="3" t="s">
        <v>2405</v>
      </c>
      <c r="AX179" s="3" t="s">
        <v>2405</v>
      </c>
      <c r="AY179" s="3" t="s">
        <v>2406</v>
      </c>
      <c r="AZ179" s="3" t="s">
        <v>76</v>
      </c>
      <c r="BB179" s="3" t="s">
        <v>2407</v>
      </c>
      <c r="BC179" s="3" t="s">
        <v>2408</v>
      </c>
      <c r="BD179" s="3" t="s">
        <v>2409</v>
      </c>
    </row>
    <row r="180" spans="1:56" ht="52.5" customHeight="1" x14ac:dyDescent="0.25">
      <c r="A180" s="7" t="s">
        <v>59</v>
      </c>
      <c r="B180" s="2" t="s">
        <v>2410</v>
      </c>
      <c r="C180" s="2" t="s">
        <v>2411</v>
      </c>
      <c r="D180" s="2" t="s">
        <v>2412</v>
      </c>
      <c r="F180" s="3" t="s">
        <v>59</v>
      </c>
      <c r="G180" s="3" t="s">
        <v>60</v>
      </c>
      <c r="H180" s="3" t="s">
        <v>59</v>
      </c>
      <c r="I180" s="3" t="s">
        <v>59</v>
      </c>
      <c r="J180" s="3" t="s">
        <v>61</v>
      </c>
      <c r="K180" s="2" t="s">
        <v>2413</v>
      </c>
      <c r="L180" s="2" t="s">
        <v>2414</v>
      </c>
      <c r="M180" s="3" t="s">
        <v>295</v>
      </c>
      <c r="O180" s="3" t="s">
        <v>65</v>
      </c>
      <c r="P180" s="3" t="s">
        <v>66</v>
      </c>
      <c r="R180" s="3" t="s">
        <v>68</v>
      </c>
      <c r="S180" s="4">
        <v>6</v>
      </c>
      <c r="T180" s="4">
        <v>6</v>
      </c>
      <c r="U180" s="5" t="s">
        <v>2415</v>
      </c>
      <c r="V180" s="5" t="s">
        <v>2415</v>
      </c>
      <c r="W180" s="5" t="s">
        <v>2416</v>
      </c>
      <c r="X180" s="5" t="s">
        <v>2416</v>
      </c>
      <c r="Y180" s="4">
        <v>958</v>
      </c>
      <c r="Z180" s="4">
        <v>881</v>
      </c>
      <c r="AA180" s="4">
        <v>1610</v>
      </c>
      <c r="AB180" s="4">
        <v>6</v>
      </c>
      <c r="AC180" s="4">
        <v>13</v>
      </c>
      <c r="AD180" s="4">
        <v>33</v>
      </c>
      <c r="AE180" s="4">
        <v>58</v>
      </c>
      <c r="AF180" s="4">
        <v>14</v>
      </c>
      <c r="AG180" s="4">
        <v>25</v>
      </c>
      <c r="AH180" s="4">
        <v>7</v>
      </c>
      <c r="AI180" s="4">
        <v>10</v>
      </c>
      <c r="AJ180" s="4">
        <v>16</v>
      </c>
      <c r="AK180" s="4">
        <v>24</v>
      </c>
      <c r="AL180" s="4">
        <v>4</v>
      </c>
      <c r="AM180" s="4">
        <v>10</v>
      </c>
      <c r="AN180" s="4">
        <v>1</v>
      </c>
      <c r="AO180" s="4">
        <v>1</v>
      </c>
      <c r="AP180" s="3" t="s">
        <v>59</v>
      </c>
      <c r="AQ180" s="3" t="s">
        <v>71</v>
      </c>
      <c r="AR180" s="6" t="str">
        <f>HYPERLINK("http://catalog.hathitrust.org/Record/000656492","HathiTrust Record")</f>
        <v>HathiTrust Record</v>
      </c>
      <c r="AS180" s="6" t="str">
        <f>HYPERLINK("https://creighton-primo.hosted.exlibrisgroup.com/primo-explore/search?tab=default_tab&amp;search_scope=EVERYTHING&amp;vid=01CRU&amp;lang=en_US&amp;offset=0&amp;query=any,contains,991001206129702656","Catalog Record")</f>
        <v>Catalog Record</v>
      </c>
      <c r="AT180" s="6" t="str">
        <f>HYPERLINK("http://www.worldcat.org/oclc/192144","WorldCat Record")</f>
        <v>WorldCat Record</v>
      </c>
      <c r="AU180" s="3" t="s">
        <v>2417</v>
      </c>
      <c r="AV180" s="3" t="s">
        <v>2418</v>
      </c>
      <c r="AW180" s="3" t="s">
        <v>2419</v>
      </c>
      <c r="AX180" s="3" t="s">
        <v>2419</v>
      </c>
      <c r="AY180" s="3" t="s">
        <v>2420</v>
      </c>
      <c r="AZ180" s="3" t="s">
        <v>76</v>
      </c>
      <c r="BC180" s="3" t="s">
        <v>2421</v>
      </c>
      <c r="BD180" s="3" t="s">
        <v>2422</v>
      </c>
    </row>
    <row r="181" spans="1:56" ht="52.5" customHeight="1" x14ac:dyDescent="0.25">
      <c r="A181" s="7" t="s">
        <v>59</v>
      </c>
      <c r="B181" s="2" t="s">
        <v>2423</v>
      </c>
      <c r="C181" s="2" t="s">
        <v>2424</v>
      </c>
      <c r="D181" s="2" t="s">
        <v>2425</v>
      </c>
      <c r="F181" s="3" t="s">
        <v>59</v>
      </c>
      <c r="G181" s="3" t="s">
        <v>60</v>
      </c>
      <c r="H181" s="3" t="s">
        <v>59</v>
      </c>
      <c r="I181" s="3" t="s">
        <v>59</v>
      </c>
      <c r="J181" s="3" t="s">
        <v>61</v>
      </c>
      <c r="K181" s="2" t="s">
        <v>2426</v>
      </c>
      <c r="L181" s="2" t="s">
        <v>2427</v>
      </c>
      <c r="M181" s="3" t="s">
        <v>2428</v>
      </c>
      <c r="O181" s="3" t="s">
        <v>65</v>
      </c>
      <c r="P181" s="3" t="s">
        <v>66</v>
      </c>
      <c r="R181" s="3" t="s">
        <v>68</v>
      </c>
      <c r="S181" s="4">
        <v>6</v>
      </c>
      <c r="T181" s="4">
        <v>6</v>
      </c>
      <c r="U181" s="5" t="s">
        <v>2429</v>
      </c>
      <c r="V181" s="5" t="s">
        <v>2429</v>
      </c>
      <c r="W181" s="5" t="s">
        <v>1292</v>
      </c>
      <c r="X181" s="5" t="s">
        <v>1292</v>
      </c>
      <c r="Y181" s="4">
        <v>183</v>
      </c>
      <c r="Z181" s="4">
        <v>159</v>
      </c>
      <c r="AA181" s="4">
        <v>159</v>
      </c>
      <c r="AB181" s="4">
        <v>1</v>
      </c>
      <c r="AC181" s="4">
        <v>1</v>
      </c>
      <c r="AD181" s="4">
        <v>25</v>
      </c>
      <c r="AE181" s="4">
        <v>25</v>
      </c>
      <c r="AF181" s="4">
        <v>8</v>
      </c>
      <c r="AG181" s="4">
        <v>8</v>
      </c>
      <c r="AH181" s="4">
        <v>7</v>
      </c>
      <c r="AI181" s="4">
        <v>7</v>
      </c>
      <c r="AJ181" s="4">
        <v>19</v>
      </c>
      <c r="AK181" s="4">
        <v>19</v>
      </c>
      <c r="AL181" s="4">
        <v>0</v>
      </c>
      <c r="AM181" s="4">
        <v>0</v>
      </c>
      <c r="AN181" s="4">
        <v>0</v>
      </c>
      <c r="AO181" s="4">
        <v>0</v>
      </c>
      <c r="AP181" s="3" t="s">
        <v>59</v>
      </c>
      <c r="AQ181" s="3" t="s">
        <v>59</v>
      </c>
      <c r="AS181" s="6" t="str">
        <f>HYPERLINK("https://creighton-primo.hosted.exlibrisgroup.com/primo-explore/search?tab=default_tab&amp;search_scope=EVERYTHING&amp;vid=01CRU&amp;lang=en_US&amp;offset=0&amp;query=any,contains,991003726169702656","Catalog Record")</f>
        <v>Catalog Record</v>
      </c>
      <c r="AT181" s="6" t="str">
        <f>HYPERLINK("http://www.worldcat.org/oclc/1373538","WorldCat Record")</f>
        <v>WorldCat Record</v>
      </c>
      <c r="AU181" s="3" t="s">
        <v>2430</v>
      </c>
      <c r="AV181" s="3" t="s">
        <v>2431</v>
      </c>
      <c r="AW181" s="3" t="s">
        <v>2432</v>
      </c>
      <c r="AX181" s="3" t="s">
        <v>2432</v>
      </c>
      <c r="AY181" s="3" t="s">
        <v>2433</v>
      </c>
      <c r="AZ181" s="3" t="s">
        <v>76</v>
      </c>
      <c r="BC181" s="3" t="s">
        <v>2434</v>
      </c>
      <c r="BD181" s="3" t="s">
        <v>2435</v>
      </c>
    </row>
    <row r="182" spans="1:56" ht="52.5" customHeight="1" x14ac:dyDescent="0.25">
      <c r="A182" s="7" t="s">
        <v>59</v>
      </c>
      <c r="B182" s="2" t="s">
        <v>2436</v>
      </c>
      <c r="C182" s="2" t="s">
        <v>2437</v>
      </c>
      <c r="D182" s="2" t="s">
        <v>2438</v>
      </c>
      <c r="F182" s="3" t="s">
        <v>59</v>
      </c>
      <c r="G182" s="3" t="s">
        <v>60</v>
      </c>
      <c r="H182" s="3" t="s">
        <v>59</v>
      </c>
      <c r="I182" s="3" t="s">
        <v>59</v>
      </c>
      <c r="J182" s="3" t="s">
        <v>61</v>
      </c>
      <c r="K182" s="2" t="s">
        <v>2439</v>
      </c>
      <c r="L182" s="2" t="s">
        <v>2440</v>
      </c>
      <c r="M182" s="3" t="s">
        <v>2389</v>
      </c>
      <c r="O182" s="3" t="s">
        <v>65</v>
      </c>
      <c r="P182" s="3" t="s">
        <v>283</v>
      </c>
      <c r="R182" s="3" t="s">
        <v>68</v>
      </c>
      <c r="S182" s="4">
        <v>2</v>
      </c>
      <c r="T182" s="4">
        <v>2</v>
      </c>
      <c r="U182" s="5" t="s">
        <v>2441</v>
      </c>
      <c r="V182" s="5" t="s">
        <v>2441</v>
      </c>
      <c r="W182" s="5" t="s">
        <v>2442</v>
      </c>
      <c r="X182" s="5" t="s">
        <v>2442</v>
      </c>
      <c r="Y182" s="4">
        <v>229</v>
      </c>
      <c r="Z182" s="4">
        <v>183</v>
      </c>
      <c r="AA182" s="4">
        <v>652</v>
      </c>
      <c r="AB182" s="4">
        <v>4</v>
      </c>
      <c r="AC182" s="4">
        <v>5</v>
      </c>
      <c r="AD182" s="4">
        <v>10</v>
      </c>
      <c r="AE182" s="4">
        <v>25</v>
      </c>
      <c r="AF182" s="4">
        <v>4</v>
      </c>
      <c r="AG182" s="4">
        <v>9</v>
      </c>
      <c r="AH182" s="4">
        <v>1</v>
      </c>
      <c r="AI182" s="4">
        <v>4</v>
      </c>
      <c r="AJ182" s="4">
        <v>2</v>
      </c>
      <c r="AK182" s="4">
        <v>12</v>
      </c>
      <c r="AL182" s="4">
        <v>3</v>
      </c>
      <c r="AM182" s="4">
        <v>4</v>
      </c>
      <c r="AN182" s="4">
        <v>0</v>
      </c>
      <c r="AO182" s="4">
        <v>0</v>
      </c>
      <c r="AP182" s="3" t="s">
        <v>59</v>
      </c>
      <c r="AQ182" s="3" t="s">
        <v>71</v>
      </c>
      <c r="AR182" s="6" t="str">
        <f>HYPERLINK("http://catalog.hathitrust.org/Record/000656251","HathiTrust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HYPERLINK("https://creighton-primo.hosted.exlibrisgroup.com/primo-explore/search?tab=default_tab&amp;search_scope=EVERYTHING&amp;vid=01CRU&amp;lang=en_US&amp;offset=0&amp;query=any,contains,991001376149702656","Catalog Record")</f>
        <v>Catalog Record</v>
      </c>
      <c r="AT182" s="6" t="str">
        <f>HYPERLINK("http://www.worldcat.org/oclc/224934","WorldCat Record")</f>
        <v>WorldCat Record</v>
      </c>
      <c r="AU182" s="3" t="s">
        <v>2443</v>
      </c>
      <c r="AV182" s="3" t="s">
        <v>2444</v>
      </c>
      <c r="AW182" s="3" t="s">
        <v>2445</v>
      </c>
      <c r="AX182" s="3" t="s">
        <v>2445</v>
      </c>
      <c r="AY182" s="3" t="s">
        <v>2446</v>
      </c>
      <c r="AZ182" s="3" t="s">
        <v>76</v>
      </c>
      <c r="BC182" s="3" t="s">
        <v>2447</v>
      </c>
      <c r="BD182" s="3" t="s">
        <v>2448</v>
      </c>
    </row>
    <row r="183" spans="1:56" ht="52.5" customHeight="1" x14ac:dyDescent="0.25">
      <c r="A183" s="7" t="s">
        <v>59</v>
      </c>
      <c r="B183" s="2" t="s">
        <v>2449</v>
      </c>
      <c r="C183" s="2" t="s">
        <v>2450</v>
      </c>
      <c r="D183" s="2" t="s">
        <v>2451</v>
      </c>
      <c r="F183" s="3" t="s">
        <v>59</v>
      </c>
      <c r="G183" s="3" t="s">
        <v>60</v>
      </c>
      <c r="H183" s="3" t="s">
        <v>59</v>
      </c>
      <c r="I183" s="3" t="s">
        <v>59</v>
      </c>
      <c r="J183" s="3" t="s">
        <v>61</v>
      </c>
      <c r="K183" s="2" t="s">
        <v>2452</v>
      </c>
      <c r="L183" s="2" t="s">
        <v>2453</v>
      </c>
      <c r="M183" s="3" t="s">
        <v>85</v>
      </c>
      <c r="O183" s="3" t="s">
        <v>65</v>
      </c>
      <c r="P183" s="3" t="s">
        <v>66</v>
      </c>
      <c r="Q183" s="2" t="s">
        <v>2454</v>
      </c>
      <c r="R183" s="3" t="s">
        <v>68</v>
      </c>
      <c r="S183" s="4">
        <v>2</v>
      </c>
      <c r="T183" s="4">
        <v>2</v>
      </c>
      <c r="U183" s="5" t="s">
        <v>2455</v>
      </c>
      <c r="V183" s="5" t="s">
        <v>2455</v>
      </c>
      <c r="W183" s="5" t="s">
        <v>2456</v>
      </c>
      <c r="X183" s="5" t="s">
        <v>2456</v>
      </c>
      <c r="Y183" s="4">
        <v>1498</v>
      </c>
      <c r="Z183" s="4">
        <v>1388</v>
      </c>
      <c r="AA183" s="4">
        <v>1389</v>
      </c>
      <c r="AB183" s="4">
        <v>11</v>
      </c>
      <c r="AC183" s="4">
        <v>11</v>
      </c>
      <c r="AD183" s="4">
        <v>34</v>
      </c>
      <c r="AE183" s="4">
        <v>34</v>
      </c>
      <c r="AF183" s="4">
        <v>18</v>
      </c>
      <c r="AG183" s="4">
        <v>18</v>
      </c>
      <c r="AH183" s="4">
        <v>3</v>
      </c>
      <c r="AI183" s="4">
        <v>3</v>
      </c>
      <c r="AJ183" s="4">
        <v>16</v>
      </c>
      <c r="AK183" s="4">
        <v>16</v>
      </c>
      <c r="AL183" s="4">
        <v>5</v>
      </c>
      <c r="AM183" s="4">
        <v>5</v>
      </c>
      <c r="AN183" s="4">
        <v>0</v>
      </c>
      <c r="AO183" s="4">
        <v>0</v>
      </c>
      <c r="AP183" s="3" t="s">
        <v>59</v>
      </c>
      <c r="AQ183" s="3" t="s">
        <v>59</v>
      </c>
      <c r="AR183" s="6" t="str">
        <f>HYPERLINK("http://catalog.hathitrust.org/Record/000657613","HathiTrust Record")</f>
        <v>HathiTrust Record</v>
      </c>
      <c r="AS183" s="6" t="str">
        <f>HYPERLINK("https://creighton-primo.hosted.exlibrisgroup.com/primo-explore/search?tab=default_tab&amp;search_scope=EVERYTHING&amp;vid=01CRU&amp;lang=en_US&amp;offset=0&amp;query=any,contains,991003426629702656","Catalog Record")</f>
        <v>Catalog Record</v>
      </c>
      <c r="AT183" s="6" t="str">
        <f>HYPERLINK("http://www.worldcat.org/oclc/964732","WorldCat Record")</f>
        <v>WorldCat Record</v>
      </c>
      <c r="AU183" s="3" t="s">
        <v>2457</v>
      </c>
      <c r="AV183" s="3" t="s">
        <v>2458</v>
      </c>
      <c r="AW183" s="3" t="s">
        <v>2459</v>
      </c>
      <c r="AX183" s="3" t="s">
        <v>2459</v>
      </c>
      <c r="AY183" s="3" t="s">
        <v>2460</v>
      </c>
      <c r="AZ183" s="3" t="s">
        <v>76</v>
      </c>
      <c r="BC183" s="3" t="s">
        <v>2461</v>
      </c>
      <c r="BD183" s="3" t="s">
        <v>2462</v>
      </c>
    </row>
    <row r="184" spans="1:56" ht="52.5" customHeight="1" x14ac:dyDescent="0.25">
      <c r="A184" s="7" t="s">
        <v>59</v>
      </c>
      <c r="B184" s="2" t="s">
        <v>2463</v>
      </c>
      <c r="C184" s="2" t="s">
        <v>2464</v>
      </c>
      <c r="D184" s="2" t="s">
        <v>2465</v>
      </c>
      <c r="F184" s="3" t="s">
        <v>59</v>
      </c>
      <c r="G184" s="3" t="s">
        <v>60</v>
      </c>
      <c r="H184" s="3" t="s">
        <v>59</v>
      </c>
      <c r="I184" s="3" t="s">
        <v>59</v>
      </c>
      <c r="J184" s="3" t="s">
        <v>61</v>
      </c>
      <c r="K184" s="2" t="s">
        <v>2452</v>
      </c>
      <c r="L184" s="2" t="s">
        <v>2466</v>
      </c>
      <c r="M184" s="3" t="s">
        <v>2467</v>
      </c>
      <c r="O184" s="3" t="s">
        <v>65</v>
      </c>
      <c r="P184" s="3" t="s">
        <v>66</v>
      </c>
      <c r="R184" s="3" t="s">
        <v>68</v>
      </c>
      <c r="S184" s="4">
        <v>3</v>
      </c>
      <c r="T184" s="4">
        <v>3</v>
      </c>
      <c r="U184" s="5" t="s">
        <v>2468</v>
      </c>
      <c r="V184" s="5" t="s">
        <v>2468</v>
      </c>
      <c r="W184" s="5" t="s">
        <v>1292</v>
      </c>
      <c r="X184" s="5" t="s">
        <v>1292</v>
      </c>
      <c r="Y184" s="4">
        <v>16</v>
      </c>
      <c r="Z184" s="4">
        <v>16</v>
      </c>
      <c r="AA184" s="4">
        <v>795</v>
      </c>
      <c r="AB184" s="4">
        <v>1</v>
      </c>
      <c r="AC184" s="4">
        <v>8</v>
      </c>
      <c r="AD184" s="4">
        <v>0</v>
      </c>
      <c r="AE184" s="4">
        <v>34</v>
      </c>
      <c r="AF184" s="4">
        <v>0</v>
      </c>
      <c r="AG184" s="4">
        <v>12</v>
      </c>
      <c r="AH184" s="4">
        <v>0</v>
      </c>
      <c r="AI184" s="4">
        <v>7</v>
      </c>
      <c r="AJ184" s="4">
        <v>0</v>
      </c>
      <c r="AK184" s="4">
        <v>16</v>
      </c>
      <c r="AL184" s="4">
        <v>0</v>
      </c>
      <c r="AM184" s="4">
        <v>6</v>
      </c>
      <c r="AN184" s="4">
        <v>0</v>
      </c>
      <c r="AO184" s="4">
        <v>0</v>
      </c>
      <c r="AP184" s="3" t="s">
        <v>59</v>
      </c>
      <c r="AQ184" s="3" t="s">
        <v>59</v>
      </c>
      <c r="AS184" s="6" t="str">
        <f>HYPERLINK("https://creighton-primo.hosted.exlibrisgroup.com/primo-explore/search?tab=default_tab&amp;search_scope=EVERYTHING&amp;vid=01CRU&amp;lang=en_US&amp;offset=0&amp;query=any,contains,991000658349702656","Catalog Record")</f>
        <v>Catalog Record</v>
      </c>
      <c r="AT184" s="6" t="str">
        <f>HYPERLINK("http://www.worldcat.org/oclc/12224135","WorldCat Record")</f>
        <v>WorldCat Record</v>
      </c>
      <c r="AU184" s="3" t="s">
        <v>2469</v>
      </c>
      <c r="AV184" s="3" t="s">
        <v>2470</v>
      </c>
      <c r="AW184" s="3" t="s">
        <v>2471</v>
      </c>
      <c r="AX184" s="3" t="s">
        <v>2471</v>
      </c>
      <c r="AY184" s="3" t="s">
        <v>2472</v>
      </c>
      <c r="AZ184" s="3" t="s">
        <v>76</v>
      </c>
      <c r="BC184" s="3" t="s">
        <v>2473</v>
      </c>
      <c r="BD184" s="3" t="s">
        <v>2474</v>
      </c>
    </row>
    <row r="185" spans="1:56" ht="52.5" customHeight="1" x14ac:dyDescent="0.25">
      <c r="A185" s="7" t="s">
        <v>59</v>
      </c>
      <c r="B185" s="2" t="s">
        <v>2475</v>
      </c>
      <c r="C185" s="2" t="s">
        <v>2476</v>
      </c>
      <c r="D185" s="2" t="s">
        <v>2477</v>
      </c>
      <c r="F185" s="3" t="s">
        <v>59</v>
      </c>
      <c r="G185" s="3" t="s">
        <v>60</v>
      </c>
      <c r="H185" s="3" t="s">
        <v>59</v>
      </c>
      <c r="I185" s="3" t="s">
        <v>59</v>
      </c>
      <c r="J185" s="3" t="s">
        <v>61</v>
      </c>
      <c r="K185" s="2" t="s">
        <v>2478</v>
      </c>
      <c r="L185" s="2" t="s">
        <v>2479</v>
      </c>
      <c r="M185" s="3" t="s">
        <v>64</v>
      </c>
      <c r="O185" s="3" t="s">
        <v>65</v>
      </c>
      <c r="P185" s="3" t="s">
        <v>66</v>
      </c>
      <c r="R185" s="3" t="s">
        <v>68</v>
      </c>
      <c r="S185" s="4">
        <v>2</v>
      </c>
      <c r="T185" s="4">
        <v>2</v>
      </c>
      <c r="U185" s="5" t="s">
        <v>2480</v>
      </c>
      <c r="V185" s="5" t="s">
        <v>2480</v>
      </c>
      <c r="W185" s="5" t="s">
        <v>1292</v>
      </c>
      <c r="X185" s="5" t="s">
        <v>1292</v>
      </c>
      <c r="Y185" s="4">
        <v>449</v>
      </c>
      <c r="Z185" s="4">
        <v>347</v>
      </c>
      <c r="AA185" s="4">
        <v>632</v>
      </c>
      <c r="AB185" s="4">
        <v>4</v>
      </c>
      <c r="AC185" s="4">
        <v>6</v>
      </c>
      <c r="AD185" s="4">
        <v>18</v>
      </c>
      <c r="AE185" s="4">
        <v>27</v>
      </c>
      <c r="AF185" s="4">
        <v>4</v>
      </c>
      <c r="AG185" s="4">
        <v>8</v>
      </c>
      <c r="AH185" s="4">
        <v>5</v>
      </c>
      <c r="AI185" s="4">
        <v>7</v>
      </c>
      <c r="AJ185" s="4">
        <v>11</v>
      </c>
      <c r="AK185" s="4">
        <v>15</v>
      </c>
      <c r="AL185" s="4">
        <v>3</v>
      </c>
      <c r="AM185" s="4">
        <v>5</v>
      </c>
      <c r="AN185" s="4">
        <v>0</v>
      </c>
      <c r="AO185" s="4">
        <v>0</v>
      </c>
      <c r="AP185" s="3" t="s">
        <v>59</v>
      </c>
      <c r="AQ185" s="3" t="s">
        <v>71</v>
      </c>
      <c r="AR185" s="6" t="str">
        <f>HYPERLINK("http://catalog.hathitrust.org/Record/001563931","HathiTrust Record")</f>
        <v>HathiTrust Record</v>
      </c>
      <c r="AS185" s="6" t="str">
        <f>HYPERLINK("https://creighton-primo.hosted.exlibrisgroup.com/primo-explore/search?tab=default_tab&amp;search_scope=EVERYTHING&amp;vid=01CRU&amp;lang=en_US&amp;offset=0&amp;query=any,contains,991004096349702656","Catalog Record")</f>
        <v>Catalog Record</v>
      </c>
      <c r="AT185" s="6" t="str">
        <f>HYPERLINK("http://www.worldcat.org/oclc/2360203","WorldCat Record")</f>
        <v>WorldCat Record</v>
      </c>
      <c r="AU185" s="3" t="s">
        <v>2481</v>
      </c>
      <c r="AV185" s="3" t="s">
        <v>2482</v>
      </c>
      <c r="AW185" s="3" t="s">
        <v>2483</v>
      </c>
      <c r="AX185" s="3" t="s">
        <v>2483</v>
      </c>
      <c r="AY185" s="3" t="s">
        <v>2484</v>
      </c>
      <c r="AZ185" s="3" t="s">
        <v>76</v>
      </c>
      <c r="BC185" s="3" t="s">
        <v>2485</v>
      </c>
      <c r="BD185" s="3" t="s">
        <v>2486</v>
      </c>
    </row>
    <row r="186" spans="1:56" ht="52.5" customHeight="1" x14ac:dyDescent="0.25">
      <c r="A186" s="7" t="s">
        <v>59</v>
      </c>
      <c r="B186" s="2" t="s">
        <v>2487</v>
      </c>
      <c r="C186" s="2" t="s">
        <v>2488</v>
      </c>
      <c r="D186" s="2" t="s">
        <v>2489</v>
      </c>
      <c r="F186" s="3" t="s">
        <v>59</v>
      </c>
      <c r="G186" s="3" t="s">
        <v>60</v>
      </c>
      <c r="H186" s="3" t="s">
        <v>59</v>
      </c>
      <c r="I186" s="3" t="s">
        <v>59</v>
      </c>
      <c r="J186" s="3" t="s">
        <v>61</v>
      </c>
      <c r="K186" s="2" t="s">
        <v>2490</v>
      </c>
      <c r="L186" s="2" t="s">
        <v>2491</v>
      </c>
      <c r="M186" s="3" t="s">
        <v>164</v>
      </c>
      <c r="O186" s="3" t="s">
        <v>65</v>
      </c>
      <c r="P186" s="3" t="s">
        <v>771</v>
      </c>
      <c r="R186" s="3" t="s">
        <v>68</v>
      </c>
      <c r="S186" s="4">
        <v>4</v>
      </c>
      <c r="T186" s="4">
        <v>4</v>
      </c>
      <c r="U186" s="5" t="s">
        <v>2492</v>
      </c>
      <c r="V186" s="5" t="s">
        <v>2492</v>
      </c>
      <c r="W186" s="5" t="s">
        <v>2493</v>
      </c>
      <c r="X186" s="5" t="s">
        <v>2493</v>
      </c>
      <c r="Y186" s="4">
        <v>312</v>
      </c>
      <c r="Z186" s="4">
        <v>259</v>
      </c>
      <c r="AA186" s="4">
        <v>259</v>
      </c>
      <c r="AB186" s="4">
        <v>3</v>
      </c>
      <c r="AC186" s="4">
        <v>3</v>
      </c>
      <c r="AD186" s="4">
        <v>13</v>
      </c>
      <c r="AE186" s="4">
        <v>13</v>
      </c>
      <c r="AF186" s="4">
        <v>2</v>
      </c>
      <c r="AG186" s="4">
        <v>2</v>
      </c>
      <c r="AH186" s="4">
        <v>3</v>
      </c>
      <c r="AI186" s="4">
        <v>3</v>
      </c>
      <c r="AJ186" s="4">
        <v>8</v>
      </c>
      <c r="AK186" s="4">
        <v>8</v>
      </c>
      <c r="AL186" s="4">
        <v>2</v>
      </c>
      <c r="AM186" s="4">
        <v>2</v>
      </c>
      <c r="AN186" s="4">
        <v>0</v>
      </c>
      <c r="AO186" s="4">
        <v>0</v>
      </c>
      <c r="AP186" s="3" t="s">
        <v>59</v>
      </c>
      <c r="AQ186" s="3" t="s">
        <v>59</v>
      </c>
      <c r="AS186" s="6" t="str">
        <f>HYPERLINK("https://creighton-primo.hosted.exlibrisgroup.com/primo-explore/search?tab=default_tab&amp;search_scope=EVERYTHING&amp;vid=01CRU&amp;lang=en_US&amp;offset=0&amp;query=any,contains,991004927189702656","Catalog Record")</f>
        <v>Catalog Record</v>
      </c>
      <c r="AT186" s="6" t="str">
        <f>HYPERLINK("http://www.worldcat.org/oclc/6086794","WorldCat Record")</f>
        <v>WorldCat Record</v>
      </c>
      <c r="AU186" s="3" t="s">
        <v>2494</v>
      </c>
      <c r="AV186" s="3" t="s">
        <v>2495</v>
      </c>
      <c r="AW186" s="3" t="s">
        <v>2496</v>
      </c>
      <c r="AX186" s="3" t="s">
        <v>2496</v>
      </c>
      <c r="AY186" s="3" t="s">
        <v>2497</v>
      </c>
      <c r="AZ186" s="3" t="s">
        <v>76</v>
      </c>
      <c r="BB186" s="3" t="s">
        <v>2498</v>
      </c>
      <c r="BC186" s="3" t="s">
        <v>2499</v>
      </c>
      <c r="BD186" s="3" t="s">
        <v>2500</v>
      </c>
    </row>
    <row r="187" spans="1:56" ht="52.5" customHeight="1" x14ac:dyDescent="0.25">
      <c r="A187" s="7" t="s">
        <v>59</v>
      </c>
      <c r="B187" s="2" t="s">
        <v>2501</v>
      </c>
      <c r="C187" s="2" t="s">
        <v>2502</v>
      </c>
      <c r="D187" s="2" t="s">
        <v>2503</v>
      </c>
      <c r="F187" s="3" t="s">
        <v>59</v>
      </c>
      <c r="G187" s="3" t="s">
        <v>60</v>
      </c>
      <c r="H187" s="3" t="s">
        <v>59</v>
      </c>
      <c r="I187" s="3" t="s">
        <v>59</v>
      </c>
      <c r="J187" s="3" t="s">
        <v>61</v>
      </c>
      <c r="L187" s="2" t="s">
        <v>2504</v>
      </c>
      <c r="M187" s="3" t="s">
        <v>616</v>
      </c>
      <c r="O187" s="3" t="s">
        <v>65</v>
      </c>
      <c r="P187" s="3" t="s">
        <v>1262</v>
      </c>
      <c r="R187" s="3" t="s">
        <v>68</v>
      </c>
      <c r="S187" s="4">
        <v>1</v>
      </c>
      <c r="T187" s="4">
        <v>1</v>
      </c>
      <c r="U187" s="5" t="s">
        <v>2339</v>
      </c>
      <c r="V187" s="5" t="s">
        <v>2339</v>
      </c>
      <c r="W187" s="5" t="s">
        <v>2505</v>
      </c>
      <c r="X187" s="5" t="s">
        <v>2505</v>
      </c>
      <c r="Y187" s="4">
        <v>408</v>
      </c>
      <c r="Z187" s="4">
        <v>292</v>
      </c>
      <c r="AA187" s="4">
        <v>299</v>
      </c>
      <c r="AB187" s="4">
        <v>4</v>
      </c>
      <c r="AC187" s="4">
        <v>4</v>
      </c>
      <c r="AD187" s="4">
        <v>18</v>
      </c>
      <c r="AE187" s="4">
        <v>18</v>
      </c>
      <c r="AF187" s="4">
        <v>3</v>
      </c>
      <c r="AG187" s="4">
        <v>3</v>
      </c>
      <c r="AH187" s="4">
        <v>5</v>
      </c>
      <c r="AI187" s="4">
        <v>5</v>
      </c>
      <c r="AJ187" s="4">
        <v>11</v>
      </c>
      <c r="AK187" s="4">
        <v>11</v>
      </c>
      <c r="AL187" s="4">
        <v>3</v>
      </c>
      <c r="AM187" s="4">
        <v>3</v>
      </c>
      <c r="AN187" s="4">
        <v>0</v>
      </c>
      <c r="AO187" s="4">
        <v>0</v>
      </c>
      <c r="AP187" s="3" t="s">
        <v>59</v>
      </c>
      <c r="AQ187" s="3" t="s">
        <v>71</v>
      </c>
      <c r="AR187" s="6" t="str">
        <f>HYPERLINK("http://catalog.hathitrust.org/Record/000910407","HathiTrust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HYPERLINK("https://creighton-primo.hosted.exlibrisgroup.com/primo-explore/search?tab=default_tab&amp;search_scope=EVERYTHING&amp;vid=01CRU&amp;lang=en_US&amp;offset=0&amp;query=any,contains,991001136069702656","Catalog Record")</f>
        <v>Catalog Record</v>
      </c>
      <c r="AT187" s="6" t="str">
        <f>HYPERLINK("http://www.worldcat.org/oclc/16713298","WorldCat Record")</f>
        <v>WorldCat Record</v>
      </c>
      <c r="AU187" s="3" t="s">
        <v>2506</v>
      </c>
      <c r="AV187" s="3" t="s">
        <v>2507</v>
      </c>
      <c r="AW187" s="3" t="s">
        <v>2508</v>
      </c>
      <c r="AX187" s="3" t="s">
        <v>2508</v>
      </c>
      <c r="AY187" s="3" t="s">
        <v>2509</v>
      </c>
      <c r="AZ187" s="3" t="s">
        <v>76</v>
      </c>
      <c r="BB187" s="3" t="s">
        <v>2510</v>
      </c>
      <c r="BC187" s="3" t="s">
        <v>2511</v>
      </c>
      <c r="BD187" s="3" t="s">
        <v>2512</v>
      </c>
    </row>
    <row r="188" spans="1:56" ht="52.5" customHeight="1" x14ac:dyDescent="0.25">
      <c r="A188" s="7" t="s">
        <v>59</v>
      </c>
      <c r="B188" s="2" t="s">
        <v>2513</v>
      </c>
      <c r="C188" s="2" t="s">
        <v>2514</v>
      </c>
      <c r="D188" s="2" t="s">
        <v>2515</v>
      </c>
      <c r="F188" s="3" t="s">
        <v>59</v>
      </c>
      <c r="G188" s="3" t="s">
        <v>60</v>
      </c>
      <c r="H188" s="3" t="s">
        <v>59</v>
      </c>
      <c r="I188" s="3" t="s">
        <v>59</v>
      </c>
      <c r="J188" s="3" t="s">
        <v>61</v>
      </c>
      <c r="K188" s="2" t="s">
        <v>2516</v>
      </c>
      <c r="L188" s="2" t="s">
        <v>2517</v>
      </c>
      <c r="M188" s="3" t="s">
        <v>2428</v>
      </c>
      <c r="O188" s="3" t="s">
        <v>65</v>
      </c>
      <c r="P188" s="3" t="s">
        <v>491</v>
      </c>
      <c r="Q188" s="2" t="s">
        <v>2518</v>
      </c>
      <c r="R188" s="3" t="s">
        <v>68</v>
      </c>
      <c r="S188" s="4">
        <v>3</v>
      </c>
      <c r="T188" s="4">
        <v>3</v>
      </c>
      <c r="U188" s="5" t="s">
        <v>2519</v>
      </c>
      <c r="V188" s="5" t="s">
        <v>2519</v>
      </c>
      <c r="W188" s="5" t="s">
        <v>930</v>
      </c>
      <c r="X188" s="5" t="s">
        <v>930</v>
      </c>
      <c r="Y188" s="4">
        <v>817</v>
      </c>
      <c r="Z188" s="4">
        <v>742</v>
      </c>
      <c r="AA188" s="4">
        <v>1018</v>
      </c>
      <c r="AB188" s="4">
        <v>3</v>
      </c>
      <c r="AC188" s="4">
        <v>5</v>
      </c>
      <c r="AD188" s="4">
        <v>30</v>
      </c>
      <c r="AE188" s="4">
        <v>45</v>
      </c>
      <c r="AF188" s="4">
        <v>13</v>
      </c>
      <c r="AG188" s="4">
        <v>21</v>
      </c>
      <c r="AH188" s="4">
        <v>7</v>
      </c>
      <c r="AI188" s="4">
        <v>9</v>
      </c>
      <c r="AJ188" s="4">
        <v>16</v>
      </c>
      <c r="AK188" s="4">
        <v>22</v>
      </c>
      <c r="AL188" s="4">
        <v>2</v>
      </c>
      <c r="AM188" s="4">
        <v>4</v>
      </c>
      <c r="AN188" s="4">
        <v>0</v>
      </c>
      <c r="AO188" s="4">
        <v>0</v>
      </c>
      <c r="AP188" s="3" t="s">
        <v>59</v>
      </c>
      <c r="AQ188" s="3" t="s">
        <v>71</v>
      </c>
      <c r="AR188" s="6" t="str">
        <f>HYPERLINK("http://catalog.hathitrust.org/Record/000657200","HathiTrust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HYPERLINK("https://creighton-primo.hosted.exlibrisgroup.com/primo-explore/search?tab=default_tab&amp;search_scope=EVERYTHING&amp;vid=01CRU&amp;lang=en_US&amp;offset=0&amp;query=any,contains,991005265809702656","Catalog Record")</f>
        <v>Catalog Record</v>
      </c>
      <c r="AT188" s="6" t="str">
        <f>HYPERLINK("http://www.worldcat.org/oclc/14669372","WorldCat Record")</f>
        <v>WorldCat Record</v>
      </c>
      <c r="AU188" s="3" t="s">
        <v>2520</v>
      </c>
      <c r="AV188" s="3" t="s">
        <v>2521</v>
      </c>
      <c r="AW188" s="3" t="s">
        <v>2522</v>
      </c>
      <c r="AX188" s="3" t="s">
        <v>2522</v>
      </c>
      <c r="AY188" s="3" t="s">
        <v>2523</v>
      </c>
      <c r="AZ188" s="3" t="s">
        <v>76</v>
      </c>
      <c r="BC188" s="3" t="s">
        <v>2524</v>
      </c>
      <c r="BD188" s="3" t="s">
        <v>2525</v>
      </c>
    </row>
    <row r="189" spans="1:56" ht="52.5" customHeight="1" x14ac:dyDescent="0.25">
      <c r="A189" s="7" t="s">
        <v>59</v>
      </c>
      <c r="B189" s="2" t="s">
        <v>2526</v>
      </c>
      <c r="C189" s="2" t="s">
        <v>2527</v>
      </c>
      <c r="D189" s="2" t="s">
        <v>2528</v>
      </c>
      <c r="F189" s="3" t="s">
        <v>59</v>
      </c>
      <c r="G189" s="3" t="s">
        <v>60</v>
      </c>
      <c r="H189" s="3" t="s">
        <v>59</v>
      </c>
      <c r="I189" s="3" t="s">
        <v>59</v>
      </c>
      <c r="J189" s="3" t="s">
        <v>61</v>
      </c>
      <c r="K189" s="2" t="s">
        <v>2529</v>
      </c>
      <c r="L189" s="2" t="s">
        <v>2530</v>
      </c>
      <c r="M189" s="3" t="s">
        <v>987</v>
      </c>
      <c r="O189" s="3" t="s">
        <v>65</v>
      </c>
      <c r="P189" s="3" t="s">
        <v>771</v>
      </c>
      <c r="R189" s="3" t="s">
        <v>68</v>
      </c>
      <c r="S189" s="4">
        <v>2</v>
      </c>
      <c r="T189" s="4">
        <v>2</v>
      </c>
      <c r="U189" s="5" t="s">
        <v>2531</v>
      </c>
      <c r="V189" s="5" t="s">
        <v>2531</v>
      </c>
      <c r="W189" s="5" t="s">
        <v>1292</v>
      </c>
      <c r="X189" s="5" t="s">
        <v>1292</v>
      </c>
      <c r="Y189" s="4">
        <v>228</v>
      </c>
      <c r="Z189" s="4">
        <v>192</v>
      </c>
      <c r="AA189" s="4">
        <v>568</v>
      </c>
      <c r="AB189" s="4">
        <v>2</v>
      </c>
      <c r="AC189" s="4">
        <v>3</v>
      </c>
      <c r="AD189" s="4">
        <v>10</v>
      </c>
      <c r="AE189" s="4">
        <v>31</v>
      </c>
      <c r="AF189" s="4">
        <v>7</v>
      </c>
      <c r="AG189" s="4">
        <v>15</v>
      </c>
      <c r="AH189" s="4">
        <v>2</v>
      </c>
      <c r="AI189" s="4">
        <v>6</v>
      </c>
      <c r="AJ189" s="4">
        <v>4</v>
      </c>
      <c r="AK189" s="4">
        <v>14</v>
      </c>
      <c r="AL189" s="4">
        <v>1</v>
      </c>
      <c r="AM189" s="4">
        <v>2</v>
      </c>
      <c r="AN189" s="4">
        <v>0</v>
      </c>
      <c r="AO189" s="4">
        <v>0</v>
      </c>
      <c r="AP189" s="3" t="s">
        <v>59</v>
      </c>
      <c r="AQ189" s="3" t="s">
        <v>59</v>
      </c>
      <c r="AS189" s="6" t="str">
        <f>HYPERLINK("https://creighton-primo.hosted.exlibrisgroup.com/primo-explore/search?tab=default_tab&amp;search_scope=EVERYTHING&amp;vid=01CRU&amp;lang=en_US&amp;offset=0&amp;query=any,contains,991000636249702656","Catalog Record")</f>
        <v>Catalog Record</v>
      </c>
      <c r="AT189" s="6" t="str">
        <f>HYPERLINK("http://www.worldcat.org/oclc/108010","WorldCat Record")</f>
        <v>WorldCat Record</v>
      </c>
      <c r="AU189" s="3" t="s">
        <v>2532</v>
      </c>
      <c r="AV189" s="3" t="s">
        <v>2533</v>
      </c>
      <c r="AW189" s="3" t="s">
        <v>2534</v>
      </c>
      <c r="AX189" s="3" t="s">
        <v>2534</v>
      </c>
      <c r="AY189" s="3" t="s">
        <v>2535</v>
      </c>
      <c r="AZ189" s="3" t="s">
        <v>76</v>
      </c>
      <c r="BB189" s="3" t="s">
        <v>2536</v>
      </c>
      <c r="BC189" s="3" t="s">
        <v>2537</v>
      </c>
      <c r="BD189" s="3" t="s">
        <v>2538</v>
      </c>
    </row>
    <row r="190" spans="1:56" ht="52.5" customHeight="1" x14ac:dyDescent="0.25">
      <c r="A190" s="7" t="s">
        <v>59</v>
      </c>
      <c r="B190" s="2" t="s">
        <v>2539</v>
      </c>
      <c r="C190" s="2" t="s">
        <v>2540</v>
      </c>
      <c r="D190" s="2" t="s">
        <v>2541</v>
      </c>
      <c r="F190" s="3" t="s">
        <v>59</v>
      </c>
      <c r="G190" s="3" t="s">
        <v>60</v>
      </c>
      <c r="H190" s="3" t="s">
        <v>59</v>
      </c>
      <c r="I190" s="3" t="s">
        <v>59</v>
      </c>
      <c r="J190" s="3" t="s">
        <v>61</v>
      </c>
      <c r="K190" s="2" t="s">
        <v>2542</v>
      </c>
      <c r="L190" s="2" t="s">
        <v>2543</v>
      </c>
      <c r="M190" s="3" t="s">
        <v>1404</v>
      </c>
      <c r="O190" s="3" t="s">
        <v>65</v>
      </c>
      <c r="P190" s="3" t="s">
        <v>66</v>
      </c>
      <c r="R190" s="3" t="s">
        <v>68</v>
      </c>
      <c r="S190" s="4">
        <v>2</v>
      </c>
      <c r="T190" s="4">
        <v>2</v>
      </c>
      <c r="U190" s="5" t="s">
        <v>2544</v>
      </c>
      <c r="V190" s="5" t="s">
        <v>2544</v>
      </c>
      <c r="W190" s="5" t="s">
        <v>2545</v>
      </c>
      <c r="X190" s="5" t="s">
        <v>2545</v>
      </c>
      <c r="Y190" s="4">
        <v>541</v>
      </c>
      <c r="Z190" s="4">
        <v>509</v>
      </c>
      <c r="AA190" s="4">
        <v>1173</v>
      </c>
      <c r="AB190" s="4">
        <v>5</v>
      </c>
      <c r="AC190" s="4">
        <v>8</v>
      </c>
      <c r="AD190" s="4">
        <v>20</v>
      </c>
      <c r="AE190" s="4">
        <v>47</v>
      </c>
      <c r="AF190" s="4">
        <v>7</v>
      </c>
      <c r="AG190" s="4">
        <v>22</v>
      </c>
      <c r="AH190" s="4">
        <v>3</v>
      </c>
      <c r="AI190" s="4">
        <v>10</v>
      </c>
      <c r="AJ190" s="4">
        <v>10</v>
      </c>
      <c r="AK190" s="4">
        <v>22</v>
      </c>
      <c r="AL190" s="4">
        <v>4</v>
      </c>
      <c r="AM190" s="4">
        <v>6</v>
      </c>
      <c r="AN190" s="4">
        <v>0</v>
      </c>
      <c r="AO190" s="4">
        <v>0</v>
      </c>
      <c r="AP190" s="3" t="s">
        <v>59</v>
      </c>
      <c r="AQ190" s="3" t="s">
        <v>71</v>
      </c>
      <c r="AR190" s="6" t="str">
        <f>HYPERLINK("http://catalog.hathitrust.org/Record/000147049","HathiTrust Record")</f>
        <v>HathiTrust Record</v>
      </c>
      <c r="AS190" s="6" t="str">
        <f>HYPERLINK("https://creighton-primo.hosted.exlibrisgroup.com/primo-explore/search?tab=default_tab&amp;search_scope=EVERYTHING&amp;vid=01CRU&amp;lang=en_US&amp;offset=0&amp;query=any,contains,991001215379702656","Catalog Record")</f>
        <v>Catalog Record</v>
      </c>
      <c r="AT190" s="6" t="str">
        <f>HYPERLINK("http://www.worldcat.org/oclc/193778","WorldCat Record")</f>
        <v>WorldCat Record</v>
      </c>
      <c r="AU190" s="3" t="s">
        <v>2546</v>
      </c>
      <c r="AV190" s="3" t="s">
        <v>2547</v>
      </c>
      <c r="AW190" s="3" t="s">
        <v>2548</v>
      </c>
      <c r="AX190" s="3" t="s">
        <v>2548</v>
      </c>
      <c r="AY190" s="3" t="s">
        <v>2549</v>
      </c>
      <c r="AZ190" s="3" t="s">
        <v>76</v>
      </c>
      <c r="BC190" s="3" t="s">
        <v>2550</v>
      </c>
      <c r="BD190" s="3" t="s">
        <v>2551</v>
      </c>
    </row>
    <row r="191" spans="1:56" ht="52.5" customHeight="1" x14ac:dyDescent="0.25">
      <c r="A191" s="7" t="s">
        <v>59</v>
      </c>
      <c r="B191" s="2" t="s">
        <v>2552</v>
      </c>
      <c r="C191" s="2" t="s">
        <v>2553</v>
      </c>
      <c r="D191" s="2" t="s">
        <v>2554</v>
      </c>
      <c r="F191" s="3" t="s">
        <v>59</v>
      </c>
      <c r="G191" s="3" t="s">
        <v>60</v>
      </c>
      <c r="H191" s="3" t="s">
        <v>59</v>
      </c>
      <c r="I191" s="3" t="s">
        <v>59</v>
      </c>
      <c r="J191" s="3" t="s">
        <v>61</v>
      </c>
      <c r="K191" s="2" t="s">
        <v>2542</v>
      </c>
      <c r="L191" s="2" t="s">
        <v>2555</v>
      </c>
      <c r="M191" s="3" t="s">
        <v>1868</v>
      </c>
      <c r="O191" s="3" t="s">
        <v>65</v>
      </c>
      <c r="P191" s="3" t="s">
        <v>66</v>
      </c>
      <c r="R191" s="3" t="s">
        <v>68</v>
      </c>
      <c r="S191" s="4">
        <v>1</v>
      </c>
      <c r="T191" s="4">
        <v>1</v>
      </c>
      <c r="U191" s="5" t="s">
        <v>2544</v>
      </c>
      <c r="V191" s="5" t="s">
        <v>2544</v>
      </c>
      <c r="W191" s="5" t="s">
        <v>1292</v>
      </c>
      <c r="X191" s="5" t="s">
        <v>1292</v>
      </c>
      <c r="Y191" s="4">
        <v>15</v>
      </c>
      <c r="Z191" s="4">
        <v>15</v>
      </c>
      <c r="AA191" s="4">
        <v>492</v>
      </c>
      <c r="AB191" s="4">
        <v>1</v>
      </c>
      <c r="AC191" s="4">
        <v>1</v>
      </c>
      <c r="AD191" s="4">
        <v>0</v>
      </c>
      <c r="AE191" s="4">
        <v>11</v>
      </c>
      <c r="AF191" s="4">
        <v>0</v>
      </c>
      <c r="AG191" s="4">
        <v>1</v>
      </c>
      <c r="AH191" s="4">
        <v>0</v>
      </c>
      <c r="AI191" s="4">
        <v>2</v>
      </c>
      <c r="AJ191" s="4">
        <v>0</v>
      </c>
      <c r="AK191" s="4">
        <v>9</v>
      </c>
      <c r="AL191" s="4">
        <v>0</v>
      </c>
      <c r="AM191" s="4">
        <v>0</v>
      </c>
      <c r="AN191" s="4">
        <v>0</v>
      </c>
      <c r="AO191" s="4">
        <v>0</v>
      </c>
      <c r="AP191" s="3" t="s">
        <v>59</v>
      </c>
      <c r="AQ191" s="3" t="s">
        <v>59</v>
      </c>
      <c r="AS191" s="6" t="str">
        <f>HYPERLINK("https://creighton-primo.hosted.exlibrisgroup.com/primo-explore/search?tab=default_tab&amp;search_scope=EVERYTHING&amp;vid=01CRU&amp;lang=en_US&amp;offset=0&amp;query=any,contains,991004882099702656","Catalog Record")</f>
        <v>Catalog Record</v>
      </c>
      <c r="AT191" s="6" t="str">
        <f>HYPERLINK("http://www.worldcat.org/oclc/5826707","WorldCat Record")</f>
        <v>WorldCat Record</v>
      </c>
      <c r="AU191" s="3" t="s">
        <v>2556</v>
      </c>
      <c r="AV191" s="3" t="s">
        <v>2557</v>
      </c>
      <c r="AW191" s="3" t="s">
        <v>2558</v>
      </c>
      <c r="AX191" s="3" t="s">
        <v>2558</v>
      </c>
      <c r="AY191" s="3" t="s">
        <v>2559</v>
      </c>
      <c r="AZ191" s="3" t="s">
        <v>76</v>
      </c>
      <c r="BC191" s="3" t="s">
        <v>2560</v>
      </c>
      <c r="BD191" s="3" t="s">
        <v>2561</v>
      </c>
    </row>
    <row r="192" spans="1:56" ht="52.5" customHeight="1" x14ac:dyDescent="0.25">
      <c r="A192" s="7" t="s">
        <v>59</v>
      </c>
      <c r="B192" s="2" t="s">
        <v>2562</v>
      </c>
      <c r="C192" s="2" t="s">
        <v>2563</v>
      </c>
      <c r="D192" s="2" t="s">
        <v>2564</v>
      </c>
      <c r="F192" s="3" t="s">
        <v>59</v>
      </c>
      <c r="G192" s="3" t="s">
        <v>60</v>
      </c>
      <c r="H192" s="3" t="s">
        <v>59</v>
      </c>
      <c r="I192" s="3" t="s">
        <v>59</v>
      </c>
      <c r="J192" s="3" t="s">
        <v>61</v>
      </c>
      <c r="K192" s="2" t="s">
        <v>2565</v>
      </c>
      <c r="L192" s="2" t="s">
        <v>2566</v>
      </c>
      <c r="M192" s="3" t="s">
        <v>365</v>
      </c>
      <c r="N192" s="2" t="s">
        <v>2567</v>
      </c>
      <c r="O192" s="3" t="s">
        <v>65</v>
      </c>
      <c r="P192" s="3" t="s">
        <v>283</v>
      </c>
      <c r="R192" s="3" t="s">
        <v>68</v>
      </c>
      <c r="S192" s="4">
        <v>4</v>
      </c>
      <c r="T192" s="4">
        <v>4</v>
      </c>
      <c r="U192" s="5" t="s">
        <v>2568</v>
      </c>
      <c r="V192" s="5" t="s">
        <v>2568</v>
      </c>
      <c r="W192" s="5" t="s">
        <v>2569</v>
      </c>
      <c r="X192" s="5" t="s">
        <v>2569</v>
      </c>
      <c r="Y192" s="4">
        <v>389</v>
      </c>
      <c r="Z192" s="4">
        <v>358</v>
      </c>
      <c r="AA192" s="4">
        <v>396</v>
      </c>
      <c r="AB192" s="4">
        <v>3</v>
      </c>
      <c r="AC192" s="4">
        <v>3</v>
      </c>
      <c r="AD192" s="4">
        <v>8</v>
      </c>
      <c r="AE192" s="4">
        <v>9</v>
      </c>
      <c r="AF192" s="4">
        <v>1</v>
      </c>
      <c r="AG192" s="4">
        <v>2</v>
      </c>
      <c r="AH192" s="4">
        <v>2</v>
      </c>
      <c r="AI192" s="4">
        <v>2</v>
      </c>
      <c r="AJ192" s="4">
        <v>5</v>
      </c>
      <c r="AK192" s="4">
        <v>6</v>
      </c>
      <c r="AL192" s="4">
        <v>2</v>
      </c>
      <c r="AM192" s="4">
        <v>2</v>
      </c>
      <c r="AN192" s="4">
        <v>0</v>
      </c>
      <c r="AO192" s="4">
        <v>0</v>
      </c>
      <c r="AP192" s="3" t="s">
        <v>59</v>
      </c>
      <c r="AQ192" s="3" t="s">
        <v>59</v>
      </c>
      <c r="AS192" s="6" t="str">
        <f>HYPERLINK("https://creighton-primo.hosted.exlibrisgroup.com/primo-explore/search?tab=default_tab&amp;search_scope=EVERYTHING&amp;vid=01CRU&amp;lang=en_US&amp;offset=0&amp;query=any,contains,991001491559702656","Catalog Record")</f>
        <v>Catalog Record</v>
      </c>
      <c r="AT192" s="6" t="str">
        <f>HYPERLINK("http://www.worldcat.org/oclc/19723788","WorldCat Record")</f>
        <v>WorldCat Record</v>
      </c>
      <c r="AU192" s="3" t="s">
        <v>2570</v>
      </c>
      <c r="AV192" s="3" t="s">
        <v>2571</v>
      </c>
      <c r="AW192" s="3" t="s">
        <v>2572</v>
      </c>
      <c r="AX192" s="3" t="s">
        <v>2572</v>
      </c>
      <c r="AY192" s="3" t="s">
        <v>2573</v>
      </c>
      <c r="AZ192" s="3" t="s">
        <v>76</v>
      </c>
      <c r="BB192" s="3" t="s">
        <v>2574</v>
      </c>
      <c r="BC192" s="3" t="s">
        <v>2575</v>
      </c>
      <c r="BD192" s="3" t="s">
        <v>2576</v>
      </c>
    </row>
    <row r="193" spans="1:56" ht="52.5" customHeight="1" x14ac:dyDescent="0.25">
      <c r="A193" s="7" t="s">
        <v>59</v>
      </c>
      <c r="B193" s="2" t="s">
        <v>2577</v>
      </c>
      <c r="C193" s="2" t="s">
        <v>2578</v>
      </c>
      <c r="D193" s="2" t="s">
        <v>2579</v>
      </c>
      <c r="E193" s="3" t="s">
        <v>781</v>
      </c>
      <c r="F193" s="3" t="s">
        <v>71</v>
      </c>
      <c r="G193" s="3" t="s">
        <v>60</v>
      </c>
      <c r="H193" s="3" t="s">
        <v>59</v>
      </c>
      <c r="I193" s="3" t="s">
        <v>59</v>
      </c>
      <c r="J193" s="3" t="s">
        <v>61</v>
      </c>
      <c r="K193" s="2" t="s">
        <v>2580</v>
      </c>
      <c r="L193" s="2" t="s">
        <v>2581</v>
      </c>
      <c r="M193" s="3" t="s">
        <v>2582</v>
      </c>
      <c r="N193" s="2" t="s">
        <v>2583</v>
      </c>
      <c r="O193" s="3" t="s">
        <v>65</v>
      </c>
      <c r="P193" s="3" t="s">
        <v>66</v>
      </c>
      <c r="Q193" s="2" t="s">
        <v>2584</v>
      </c>
      <c r="R193" s="3" t="s">
        <v>68</v>
      </c>
      <c r="S193" s="4">
        <v>2</v>
      </c>
      <c r="T193" s="4">
        <v>6</v>
      </c>
      <c r="U193" s="5" t="s">
        <v>1652</v>
      </c>
      <c r="V193" s="5" t="s">
        <v>2585</v>
      </c>
      <c r="W193" s="5" t="s">
        <v>1292</v>
      </c>
      <c r="X193" s="5" t="s">
        <v>1292</v>
      </c>
      <c r="Y193" s="4">
        <v>171</v>
      </c>
      <c r="Z193" s="4">
        <v>158</v>
      </c>
      <c r="AA193" s="4">
        <v>352</v>
      </c>
      <c r="AB193" s="4">
        <v>1</v>
      </c>
      <c r="AC193" s="4">
        <v>2</v>
      </c>
      <c r="AD193" s="4">
        <v>3</v>
      </c>
      <c r="AE193" s="4">
        <v>10</v>
      </c>
      <c r="AF193" s="4">
        <v>3</v>
      </c>
      <c r="AG193" s="4">
        <v>4</v>
      </c>
      <c r="AH193" s="4">
        <v>0</v>
      </c>
      <c r="AI193" s="4">
        <v>3</v>
      </c>
      <c r="AJ193" s="4">
        <v>1</v>
      </c>
      <c r="AK193" s="4">
        <v>4</v>
      </c>
      <c r="AL193" s="4">
        <v>0</v>
      </c>
      <c r="AM193" s="4">
        <v>1</v>
      </c>
      <c r="AN193" s="4">
        <v>0</v>
      </c>
      <c r="AO193" s="4">
        <v>0</v>
      </c>
      <c r="AP193" s="3" t="s">
        <v>59</v>
      </c>
      <c r="AQ193" s="3" t="s">
        <v>71</v>
      </c>
      <c r="AR193" s="6" t="str">
        <f>HYPERLINK("http://catalog.hathitrust.org/Record/000657821","HathiTrust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HYPERLINK("https://creighton-primo.hosted.exlibrisgroup.com/primo-explore/search?tab=default_tab&amp;search_scope=EVERYTHING&amp;vid=01CRU&amp;lang=en_US&amp;offset=0&amp;query=any,contains,991003269519702656","Catalog Record")</f>
        <v>Catalog Record</v>
      </c>
      <c r="AT193" s="6" t="str">
        <f>HYPERLINK("http://www.worldcat.org/oclc/795528","WorldCat Record")</f>
        <v>WorldCat Record</v>
      </c>
      <c r="AU193" s="3" t="s">
        <v>2586</v>
      </c>
      <c r="AV193" s="3" t="s">
        <v>2587</v>
      </c>
      <c r="AW193" s="3" t="s">
        <v>2588</v>
      </c>
      <c r="AX193" s="3" t="s">
        <v>2588</v>
      </c>
      <c r="AY193" s="3" t="s">
        <v>2589</v>
      </c>
      <c r="AZ193" s="3" t="s">
        <v>76</v>
      </c>
      <c r="BC193" s="3" t="s">
        <v>2590</v>
      </c>
      <c r="BD193" s="3" t="s">
        <v>2591</v>
      </c>
    </row>
    <row r="194" spans="1:56" ht="52.5" customHeight="1" x14ac:dyDescent="0.25">
      <c r="A194" s="7" t="s">
        <v>59</v>
      </c>
      <c r="B194" s="2" t="s">
        <v>2577</v>
      </c>
      <c r="C194" s="2" t="s">
        <v>2578</v>
      </c>
      <c r="D194" s="2" t="s">
        <v>2579</v>
      </c>
      <c r="E194" s="3" t="s">
        <v>768</v>
      </c>
      <c r="F194" s="3" t="s">
        <v>71</v>
      </c>
      <c r="G194" s="3" t="s">
        <v>60</v>
      </c>
      <c r="H194" s="3" t="s">
        <v>59</v>
      </c>
      <c r="I194" s="3" t="s">
        <v>59</v>
      </c>
      <c r="J194" s="3" t="s">
        <v>61</v>
      </c>
      <c r="K194" s="2" t="s">
        <v>2580</v>
      </c>
      <c r="L194" s="2" t="s">
        <v>2581</v>
      </c>
      <c r="M194" s="3" t="s">
        <v>2582</v>
      </c>
      <c r="N194" s="2" t="s">
        <v>2583</v>
      </c>
      <c r="O194" s="3" t="s">
        <v>65</v>
      </c>
      <c r="P194" s="3" t="s">
        <v>66</v>
      </c>
      <c r="Q194" s="2" t="s">
        <v>2584</v>
      </c>
      <c r="R194" s="3" t="s">
        <v>68</v>
      </c>
      <c r="S194" s="4">
        <v>4</v>
      </c>
      <c r="T194" s="4">
        <v>6</v>
      </c>
      <c r="U194" s="5" t="s">
        <v>2585</v>
      </c>
      <c r="V194" s="5" t="s">
        <v>2585</v>
      </c>
      <c r="W194" s="5" t="s">
        <v>1292</v>
      </c>
      <c r="X194" s="5" t="s">
        <v>1292</v>
      </c>
      <c r="Y194" s="4">
        <v>171</v>
      </c>
      <c r="Z194" s="4">
        <v>158</v>
      </c>
      <c r="AA194" s="4">
        <v>352</v>
      </c>
      <c r="AB194" s="4">
        <v>1</v>
      </c>
      <c r="AC194" s="4">
        <v>2</v>
      </c>
      <c r="AD194" s="4">
        <v>3</v>
      </c>
      <c r="AE194" s="4">
        <v>10</v>
      </c>
      <c r="AF194" s="4">
        <v>3</v>
      </c>
      <c r="AG194" s="4">
        <v>4</v>
      </c>
      <c r="AH194" s="4">
        <v>0</v>
      </c>
      <c r="AI194" s="4">
        <v>3</v>
      </c>
      <c r="AJ194" s="4">
        <v>1</v>
      </c>
      <c r="AK194" s="4">
        <v>4</v>
      </c>
      <c r="AL194" s="4">
        <v>0</v>
      </c>
      <c r="AM194" s="4">
        <v>1</v>
      </c>
      <c r="AN194" s="4">
        <v>0</v>
      </c>
      <c r="AO194" s="4">
        <v>0</v>
      </c>
      <c r="AP194" s="3" t="s">
        <v>59</v>
      </c>
      <c r="AQ194" s="3" t="s">
        <v>71</v>
      </c>
      <c r="AR194" s="6" t="str">
        <f>HYPERLINK("http://catalog.hathitrust.org/Record/000657821","HathiTrust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HYPERLINK("https://creighton-primo.hosted.exlibrisgroup.com/primo-explore/search?tab=default_tab&amp;search_scope=EVERYTHING&amp;vid=01CRU&amp;lang=en_US&amp;offset=0&amp;query=any,contains,991003269519702656","Catalog Record")</f>
        <v>Catalog Record</v>
      </c>
      <c r="AT194" s="6" t="str">
        <f>HYPERLINK("http://www.worldcat.org/oclc/795528","WorldCat Record")</f>
        <v>WorldCat Record</v>
      </c>
      <c r="AU194" s="3" t="s">
        <v>2586</v>
      </c>
      <c r="AV194" s="3" t="s">
        <v>2587</v>
      </c>
      <c r="AW194" s="3" t="s">
        <v>2588</v>
      </c>
      <c r="AX194" s="3" t="s">
        <v>2588</v>
      </c>
      <c r="AY194" s="3" t="s">
        <v>2589</v>
      </c>
      <c r="AZ194" s="3" t="s">
        <v>76</v>
      </c>
      <c r="BC194" s="3" t="s">
        <v>2592</v>
      </c>
      <c r="BD194" s="3" t="s">
        <v>2593</v>
      </c>
    </row>
    <row r="195" spans="1:56" ht="52.5" customHeight="1" x14ac:dyDescent="0.25">
      <c r="A195" s="7" t="s">
        <v>59</v>
      </c>
      <c r="B195" s="2" t="s">
        <v>2594</v>
      </c>
      <c r="C195" s="2" t="s">
        <v>2595</v>
      </c>
      <c r="D195" s="2" t="s">
        <v>2596</v>
      </c>
      <c r="F195" s="3" t="s">
        <v>59</v>
      </c>
      <c r="G195" s="3" t="s">
        <v>60</v>
      </c>
      <c r="H195" s="3" t="s">
        <v>59</v>
      </c>
      <c r="I195" s="3" t="s">
        <v>59</v>
      </c>
      <c r="J195" s="3" t="s">
        <v>61</v>
      </c>
      <c r="K195" s="2" t="s">
        <v>2597</v>
      </c>
      <c r="L195" s="2" t="s">
        <v>2598</v>
      </c>
      <c r="M195" s="3" t="s">
        <v>2599</v>
      </c>
      <c r="O195" s="3" t="s">
        <v>65</v>
      </c>
      <c r="P195" s="3" t="s">
        <v>66</v>
      </c>
      <c r="R195" s="3" t="s">
        <v>68</v>
      </c>
      <c r="S195" s="4">
        <v>1</v>
      </c>
      <c r="T195" s="4">
        <v>1</v>
      </c>
      <c r="U195" s="5" t="s">
        <v>2600</v>
      </c>
      <c r="V195" s="5" t="s">
        <v>2600</v>
      </c>
      <c r="W195" s="5" t="s">
        <v>2493</v>
      </c>
      <c r="X195" s="5" t="s">
        <v>2493</v>
      </c>
      <c r="Y195" s="4">
        <v>519</v>
      </c>
      <c r="Z195" s="4">
        <v>473</v>
      </c>
      <c r="AA195" s="4">
        <v>830</v>
      </c>
      <c r="AB195" s="4">
        <v>2</v>
      </c>
      <c r="AC195" s="4">
        <v>4</v>
      </c>
      <c r="AD195" s="4">
        <v>22</v>
      </c>
      <c r="AE195" s="4">
        <v>39</v>
      </c>
      <c r="AF195" s="4">
        <v>10</v>
      </c>
      <c r="AG195" s="4">
        <v>16</v>
      </c>
      <c r="AH195" s="4">
        <v>4</v>
      </c>
      <c r="AI195" s="4">
        <v>9</v>
      </c>
      <c r="AJ195" s="4">
        <v>13</v>
      </c>
      <c r="AK195" s="4">
        <v>22</v>
      </c>
      <c r="AL195" s="4">
        <v>1</v>
      </c>
      <c r="AM195" s="4">
        <v>3</v>
      </c>
      <c r="AN195" s="4">
        <v>0</v>
      </c>
      <c r="AO195" s="4">
        <v>0</v>
      </c>
      <c r="AP195" s="3" t="s">
        <v>59</v>
      </c>
      <c r="AQ195" s="3" t="s">
        <v>71</v>
      </c>
      <c r="AR195" s="6" t="str">
        <f>HYPERLINK("http://catalog.hathitrust.org/Record/000657839","HathiTrust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HYPERLINK("https://creighton-primo.hosted.exlibrisgroup.com/primo-explore/search?tab=default_tab&amp;search_scope=EVERYTHING&amp;vid=01CRU&amp;lang=en_US&amp;offset=0&amp;query=any,contains,991002942779702656","Catalog Record")</f>
        <v>Catalog Record</v>
      </c>
      <c r="AT195" s="6" t="str">
        <f>HYPERLINK("http://www.worldcat.org/oclc/542657","WorldCat Record")</f>
        <v>WorldCat Record</v>
      </c>
      <c r="AU195" s="3" t="s">
        <v>2601</v>
      </c>
      <c r="AV195" s="3" t="s">
        <v>2602</v>
      </c>
      <c r="AW195" s="3" t="s">
        <v>2603</v>
      </c>
      <c r="AX195" s="3" t="s">
        <v>2603</v>
      </c>
      <c r="AY195" s="3" t="s">
        <v>2604</v>
      </c>
      <c r="AZ195" s="3" t="s">
        <v>76</v>
      </c>
      <c r="BC195" s="3" t="s">
        <v>2605</v>
      </c>
      <c r="BD195" s="3" t="s">
        <v>2606</v>
      </c>
    </row>
    <row r="196" spans="1:56" ht="52.5" customHeight="1" x14ac:dyDescent="0.25">
      <c r="A196" s="7" t="s">
        <v>59</v>
      </c>
      <c r="B196" s="2" t="s">
        <v>2607</v>
      </c>
      <c r="C196" s="2" t="s">
        <v>2608</v>
      </c>
      <c r="D196" s="2" t="s">
        <v>2609</v>
      </c>
      <c r="F196" s="3" t="s">
        <v>59</v>
      </c>
      <c r="G196" s="3" t="s">
        <v>60</v>
      </c>
      <c r="H196" s="3" t="s">
        <v>59</v>
      </c>
      <c r="I196" s="3" t="s">
        <v>59</v>
      </c>
      <c r="J196" s="3" t="s">
        <v>61</v>
      </c>
      <c r="K196" s="2" t="s">
        <v>2610</v>
      </c>
      <c r="L196" s="2" t="s">
        <v>2611</v>
      </c>
      <c r="M196" s="3" t="s">
        <v>64</v>
      </c>
      <c r="O196" s="3" t="s">
        <v>65</v>
      </c>
      <c r="P196" s="3" t="s">
        <v>491</v>
      </c>
      <c r="Q196" s="2" t="s">
        <v>2612</v>
      </c>
      <c r="R196" s="3" t="s">
        <v>68</v>
      </c>
      <c r="S196" s="4">
        <v>2</v>
      </c>
      <c r="T196" s="4">
        <v>2</v>
      </c>
      <c r="U196" s="5" t="s">
        <v>2531</v>
      </c>
      <c r="V196" s="5" t="s">
        <v>2531</v>
      </c>
      <c r="W196" s="5" t="s">
        <v>1292</v>
      </c>
      <c r="X196" s="5" t="s">
        <v>1292</v>
      </c>
      <c r="Y196" s="4">
        <v>158</v>
      </c>
      <c r="Z196" s="4">
        <v>137</v>
      </c>
      <c r="AA196" s="4">
        <v>559</v>
      </c>
      <c r="AB196" s="4">
        <v>1</v>
      </c>
      <c r="AC196" s="4">
        <v>3</v>
      </c>
      <c r="AD196" s="4">
        <v>4</v>
      </c>
      <c r="AE196" s="4">
        <v>24</v>
      </c>
      <c r="AF196" s="4">
        <v>2</v>
      </c>
      <c r="AG196" s="4">
        <v>8</v>
      </c>
      <c r="AH196" s="4">
        <v>0</v>
      </c>
      <c r="AI196" s="4">
        <v>6</v>
      </c>
      <c r="AJ196" s="4">
        <v>2</v>
      </c>
      <c r="AK196" s="4">
        <v>12</v>
      </c>
      <c r="AL196" s="4">
        <v>0</v>
      </c>
      <c r="AM196" s="4">
        <v>1</v>
      </c>
      <c r="AN196" s="4">
        <v>0</v>
      </c>
      <c r="AO196" s="4">
        <v>0</v>
      </c>
      <c r="AP196" s="3" t="s">
        <v>59</v>
      </c>
      <c r="AQ196" s="3" t="s">
        <v>71</v>
      </c>
      <c r="AR196" s="6" t="str">
        <f>HYPERLINK("http://catalog.hathitrust.org/Record/009906648","HathiTrust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HYPERLINK("https://creighton-primo.hosted.exlibrisgroup.com/primo-explore/search?tab=default_tab&amp;search_scope=EVERYTHING&amp;vid=01CRU&amp;lang=en_US&amp;offset=0&amp;query=any,contains,991003533359702656","Catalog Record")</f>
        <v>Catalog Record</v>
      </c>
      <c r="AT196" s="6" t="str">
        <f>HYPERLINK("http://www.worldcat.org/oclc/1095881","WorldCat Record")</f>
        <v>WorldCat Record</v>
      </c>
      <c r="AU196" s="3" t="s">
        <v>2613</v>
      </c>
      <c r="AV196" s="3" t="s">
        <v>2614</v>
      </c>
      <c r="AW196" s="3" t="s">
        <v>2615</v>
      </c>
      <c r="AX196" s="3" t="s">
        <v>2615</v>
      </c>
      <c r="AY196" s="3" t="s">
        <v>2616</v>
      </c>
      <c r="AZ196" s="3" t="s">
        <v>76</v>
      </c>
      <c r="BC196" s="3" t="s">
        <v>2617</v>
      </c>
      <c r="BD196" s="3" t="s">
        <v>2618</v>
      </c>
    </row>
    <row r="197" spans="1:56" ht="52.5" customHeight="1" x14ac:dyDescent="0.25">
      <c r="A197" s="7" t="s">
        <v>59</v>
      </c>
      <c r="B197" s="2" t="s">
        <v>2619</v>
      </c>
      <c r="C197" s="2" t="s">
        <v>2620</v>
      </c>
      <c r="D197" s="2" t="s">
        <v>2621</v>
      </c>
      <c r="F197" s="3" t="s">
        <v>59</v>
      </c>
      <c r="G197" s="3" t="s">
        <v>60</v>
      </c>
      <c r="H197" s="3" t="s">
        <v>59</v>
      </c>
      <c r="I197" s="3" t="s">
        <v>59</v>
      </c>
      <c r="J197" s="3" t="s">
        <v>61</v>
      </c>
      <c r="K197" s="2" t="s">
        <v>2622</v>
      </c>
      <c r="L197" s="2" t="s">
        <v>670</v>
      </c>
      <c r="M197" s="3" t="s">
        <v>64</v>
      </c>
      <c r="N197" s="2" t="s">
        <v>671</v>
      </c>
      <c r="O197" s="3" t="s">
        <v>65</v>
      </c>
      <c r="P197" s="3" t="s">
        <v>66</v>
      </c>
      <c r="R197" s="3" t="s">
        <v>68</v>
      </c>
      <c r="S197" s="4">
        <v>2</v>
      </c>
      <c r="T197" s="4">
        <v>2</v>
      </c>
      <c r="U197" s="5" t="s">
        <v>2623</v>
      </c>
      <c r="V197" s="5" t="s">
        <v>2623</v>
      </c>
      <c r="W197" s="5" t="s">
        <v>2624</v>
      </c>
      <c r="X197" s="5" t="s">
        <v>2624</v>
      </c>
      <c r="Y197" s="4">
        <v>598</v>
      </c>
      <c r="Z197" s="4">
        <v>496</v>
      </c>
      <c r="AA197" s="4">
        <v>1074</v>
      </c>
      <c r="AB197" s="4">
        <v>6</v>
      </c>
      <c r="AC197" s="4">
        <v>8</v>
      </c>
      <c r="AD197" s="4">
        <v>22</v>
      </c>
      <c r="AE197" s="4">
        <v>44</v>
      </c>
      <c r="AF197" s="4">
        <v>7</v>
      </c>
      <c r="AG197" s="4">
        <v>18</v>
      </c>
      <c r="AH197" s="4">
        <v>5</v>
      </c>
      <c r="AI197" s="4">
        <v>8</v>
      </c>
      <c r="AJ197" s="4">
        <v>9</v>
      </c>
      <c r="AK197" s="4">
        <v>19</v>
      </c>
      <c r="AL197" s="4">
        <v>4</v>
      </c>
      <c r="AM197" s="4">
        <v>6</v>
      </c>
      <c r="AN197" s="4">
        <v>0</v>
      </c>
      <c r="AO197" s="4">
        <v>1</v>
      </c>
      <c r="AP197" s="3" t="s">
        <v>59</v>
      </c>
      <c r="AQ197" s="3" t="s">
        <v>71</v>
      </c>
      <c r="AR197" s="6" t="str">
        <f>HYPERLINK("http://catalog.hathitrust.org/Record/001564007","HathiTrust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HYPERLINK("https://creighton-primo.hosted.exlibrisgroup.com/primo-explore/search?tab=default_tab&amp;search_scope=EVERYTHING&amp;vid=01CRU&amp;lang=en_US&amp;offset=0&amp;query=any,contains,991005264459702656","Catalog Record")</f>
        <v>Catalog Record</v>
      </c>
      <c r="AT197" s="6" t="str">
        <f>HYPERLINK("http://www.worldcat.org/oclc/191971","WorldCat Record")</f>
        <v>WorldCat Record</v>
      </c>
      <c r="AU197" s="3" t="s">
        <v>2625</v>
      </c>
      <c r="AV197" s="3" t="s">
        <v>2626</v>
      </c>
      <c r="AW197" s="3" t="s">
        <v>2627</v>
      </c>
      <c r="AX197" s="3" t="s">
        <v>2627</v>
      </c>
      <c r="AY197" s="3" t="s">
        <v>2628</v>
      </c>
      <c r="AZ197" s="3" t="s">
        <v>76</v>
      </c>
      <c r="BC197" s="3" t="s">
        <v>2629</v>
      </c>
      <c r="BD197" s="3" t="s">
        <v>2630</v>
      </c>
    </row>
    <row r="198" spans="1:56" ht="52.5" customHeight="1" x14ac:dyDescent="0.25">
      <c r="A198" s="7" t="s">
        <v>59</v>
      </c>
      <c r="B198" s="2" t="s">
        <v>2631</v>
      </c>
      <c r="C198" s="2" t="s">
        <v>2632</v>
      </c>
      <c r="D198" s="2" t="s">
        <v>2633</v>
      </c>
      <c r="F198" s="3" t="s">
        <v>59</v>
      </c>
      <c r="G198" s="3" t="s">
        <v>60</v>
      </c>
      <c r="H198" s="3" t="s">
        <v>59</v>
      </c>
      <c r="I198" s="3" t="s">
        <v>59</v>
      </c>
      <c r="J198" s="3" t="s">
        <v>61</v>
      </c>
      <c r="K198" s="2" t="s">
        <v>2634</v>
      </c>
      <c r="L198" s="2" t="s">
        <v>2635</v>
      </c>
      <c r="M198" s="3" t="s">
        <v>309</v>
      </c>
      <c r="O198" s="3" t="s">
        <v>65</v>
      </c>
      <c r="P198" s="3" t="s">
        <v>699</v>
      </c>
      <c r="Q198" s="2" t="s">
        <v>2636</v>
      </c>
      <c r="R198" s="3" t="s">
        <v>68</v>
      </c>
      <c r="S198" s="4">
        <v>1</v>
      </c>
      <c r="T198" s="4">
        <v>1</v>
      </c>
      <c r="U198" s="5" t="s">
        <v>2637</v>
      </c>
      <c r="V198" s="5" t="s">
        <v>2637</v>
      </c>
      <c r="W198" s="5" t="s">
        <v>2638</v>
      </c>
      <c r="X198" s="5" t="s">
        <v>2638</v>
      </c>
      <c r="Y198" s="4">
        <v>215</v>
      </c>
      <c r="Z198" s="4">
        <v>174</v>
      </c>
      <c r="AA198" s="4">
        <v>668</v>
      </c>
      <c r="AB198" s="4">
        <v>1</v>
      </c>
      <c r="AC198" s="4">
        <v>4</v>
      </c>
      <c r="AD198" s="4">
        <v>12</v>
      </c>
      <c r="AE198" s="4">
        <v>32</v>
      </c>
      <c r="AF198" s="4">
        <v>5</v>
      </c>
      <c r="AG198" s="4">
        <v>11</v>
      </c>
      <c r="AH198" s="4">
        <v>5</v>
      </c>
      <c r="AI198" s="4">
        <v>8</v>
      </c>
      <c r="AJ198" s="4">
        <v>5</v>
      </c>
      <c r="AK198" s="4">
        <v>17</v>
      </c>
      <c r="AL198" s="4">
        <v>0</v>
      </c>
      <c r="AM198" s="4">
        <v>3</v>
      </c>
      <c r="AN198" s="4">
        <v>0</v>
      </c>
      <c r="AO198" s="4">
        <v>0</v>
      </c>
      <c r="AP198" s="3" t="s">
        <v>59</v>
      </c>
      <c r="AQ198" s="3" t="s">
        <v>59</v>
      </c>
      <c r="AS198" s="6" t="str">
        <f>HYPERLINK("https://creighton-primo.hosted.exlibrisgroup.com/primo-explore/search?tab=default_tab&amp;search_scope=EVERYTHING&amp;vid=01CRU&amp;lang=en_US&amp;offset=0&amp;query=any,contains,991004675279702656","Catalog Record")</f>
        <v>Catalog Record</v>
      </c>
      <c r="AT198" s="6" t="str">
        <f>HYPERLINK("http://www.worldcat.org/oclc/4534479","WorldCat Record")</f>
        <v>WorldCat Record</v>
      </c>
      <c r="AU198" s="3" t="s">
        <v>2639</v>
      </c>
      <c r="AV198" s="3" t="s">
        <v>2640</v>
      </c>
      <c r="AW198" s="3" t="s">
        <v>2641</v>
      </c>
      <c r="AX198" s="3" t="s">
        <v>2641</v>
      </c>
      <c r="AY198" s="3" t="s">
        <v>2642</v>
      </c>
      <c r="AZ198" s="3" t="s">
        <v>76</v>
      </c>
      <c r="BC198" s="3" t="s">
        <v>2643</v>
      </c>
      <c r="BD198" s="3" t="s">
        <v>2644</v>
      </c>
    </row>
    <row r="199" spans="1:56" ht="52.5" customHeight="1" x14ac:dyDescent="0.25">
      <c r="A199" s="7" t="s">
        <v>59</v>
      </c>
      <c r="B199" s="2" t="s">
        <v>2645</v>
      </c>
      <c r="C199" s="2" t="s">
        <v>2646</v>
      </c>
      <c r="D199" s="2" t="s">
        <v>2647</v>
      </c>
      <c r="F199" s="3" t="s">
        <v>59</v>
      </c>
      <c r="G199" s="3" t="s">
        <v>60</v>
      </c>
      <c r="H199" s="3" t="s">
        <v>59</v>
      </c>
      <c r="I199" s="3" t="s">
        <v>59</v>
      </c>
      <c r="J199" s="3" t="s">
        <v>61</v>
      </c>
      <c r="K199" s="2" t="s">
        <v>2648</v>
      </c>
      <c r="L199" s="2" t="s">
        <v>2649</v>
      </c>
      <c r="M199" s="3" t="s">
        <v>148</v>
      </c>
      <c r="O199" s="3" t="s">
        <v>65</v>
      </c>
      <c r="P199" s="3" t="s">
        <v>699</v>
      </c>
      <c r="R199" s="3" t="s">
        <v>68</v>
      </c>
      <c r="S199" s="4">
        <v>3</v>
      </c>
      <c r="T199" s="4">
        <v>3</v>
      </c>
      <c r="U199" s="5" t="s">
        <v>2650</v>
      </c>
      <c r="V199" s="5" t="s">
        <v>2650</v>
      </c>
      <c r="W199" s="5" t="s">
        <v>2651</v>
      </c>
      <c r="X199" s="5" t="s">
        <v>2651</v>
      </c>
      <c r="Y199" s="4">
        <v>78</v>
      </c>
      <c r="Z199" s="4">
        <v>68</v>
      </c>
      <c r="AA199" s="4">
        <v>453</v>
      </c>
      <c r="AB199" s="4">
        <v>2</v>
      </c>
      <c r="AC199" s="4">
        <v>4</v>
      </c>
      <c r="AD199" s="4">
        <v>4</v>
      </c>
      <c r="AE199" s="4">
        <v>13</v>
      </c>
      <c r="AF199" s="4">
        <v>2</v>
      </c>
      <c r="AG199" s="4">
        <v>5</v>
      </c>
      <c r="AH199" s="4">
        <v>0</v>
      </c>
      <c r="AI199" s="4">
        <v>2</v>
      </c>
      <c r="AJ199" s="4">
        <v>3</v>
      </c>
      <c r="AK199" s="4">
        <v>8</v>
      </c>
      <c r="AL199" s="4">
        <v>0</v>
      </c>
      <c r="AM199" s="4">
        <v>1</v>
      </c>
      <c r="AN199" s="4">
        <v>0</v>
      </c>
      <c r="AO199" s="4">
        <v>0</v>
      </c>
      <c r="AP199" s="3" t="s">
        <v>59</v>
      </c>
      <c r="AQ199" s="3" t="s">
        <v>59</v>
      </c>
      <c r="AS199" s="6" t="str">
        <f>HYPERLINK("https://creighton-primo.hosted.exlibrisgroup.com/primo-explore/search?tab=default_tab&amp;search_scope=EVERYTHING&amp;vid=01CRU&amp;lang=en_US&amp;offset=0&amp;query=any,contains,991004212079702656","Catalog Record")</f>
        <v>Catalog Record</v>
      </c>
      <c r="AT199" s="6" t="str">
        <f>HYPERLINK("http://www.worldcat.org/oclc/2685348","WorldCat Record")</f>
        <v>WorldCat Record</v>
      </c>
      <c r="AU199" s="3" t="s">
        <v>2652</v>
      </c>
      <c r="AV199" s="3" t="s">
        <v>2653</v>
      </c>
      <c r="AW199" s="3" t="s">
        <v>2654</v>
      </c>
      <c r="AX199" s="3" t="s">
        <v>2654</v>
      </c>
      <c r="AY199" s="3" t="s">
        <v>2655</v>
      </c>
      <c r="AZ199" s="3" t="s">
        <v>76</v>
      </c>
      <c r="BB199" s="3" t="s">
        <v>2656</v>
      </c>
      <c r="BC199" s="3" t="s">
        <v>2657</v>
      </c>
      <c r="BD199" s="3" t="s">
        <v>2658</v>
      </c>
    </row>
    <row r="200" spans="1:56" ht="52.5" customHeight="1" x14ac:dyDescent="0.25">
      <c r="A200" s="7" t="s">
        <v>59</v>
      </c>
      <c r="B200" s="2" t="s">
        <v>2659</v>
      </c>
      <c r="C200" s="2" t="s">
        <v>2660</v>
      </c>
      <c r="D200" s="2" t="s">
        <v>2661</v>
      </c>
      <c r="F200" s="3" t="s">
        <v>59</v>
      </c>
      <c r="G200" s="3" t="s">
        <v>60</v>
      </c>
      <c r="H200" s="3" t="s">
        <v>59</v>
      </c>
      <c r="I200" s="3" t="s">
        <v>59</v>
      </c>
      <c r="J200" s="3" t="s">
        <v>61</v>
      </c>
      <c r="K200" s="2" t="s">
        <v>2662</v>
      </c>
      <c r="L200" s="2" t="s">
        <v>2663</v>
      </c>
      <c r="M200" s="3" t="s">
        <v>684</v>
      </c>
      <c r="O200" s="3" t="s">
        <v>65</v>
      </c>
      <c r="P200" s="3" t="s">
        <v>66</v>
      </c>
      <c r="R200" s="3" t="s">
        <v>68</v>
      </c>
      <c r="S200" s="4">
        <v>4</v>
      </c>
      <c r="T200" s="4">
        <v>4</v>
      </c>
      <c r="U200" s="5" t="s">
        <v>2664</v>
      </c>
      <c r="V200" s="5" t="s">
        <v>2664</v>
      </c>
      <c r="W200" s="5" t="s">
        <v>1977</v>
      </c>
      <c r="X200" s="5" t="s">
        <v>1977</v>
      </c>
      <c r="Y200" s="4">
        <v>330</v>
      </c>
      <c r="Z200" s="4">
        <v>270</v>
      </c>
      <c r="AA200" s="4">
        <v>286</v>
      </c>
      <c r="AB200" s="4">
        <v>2</v>
      </c>
      <c r="AC200" s="4">
        <v>2</v>
      </c>
      <c r="AD200" s="4">
        <v>10</v>
      </c>
      <c r="AE200" s="4">
        <v>12</v>
      </c>
      <c r="AF200" s="4">
        <v>2</v>
      </c>
      <c r="AG200" s="4">
        <v>3</v>
      </c>
      <c r="AH200" s="4">
        <v>3</v>
      </c>
      <c r="AI200" s="4">
        <v>4</v>
      </c>
      <c r="AJ200" s="4">
        <v>7</v>
      </c>
      <c r="AK200" s="4">
        <v>7</v>
      </c>
      <c r="AL200" s="4">
        <v>1</v>
      </c>
      <c r="AM200" s="4">
        <v>1</v>
      </c>
      <c r="AN200" s="4">
        <v>0</v>
      </c>
      <c r="AO200" s="4">
        <v>0</v>
      </c>
      <c r="AP200" s="3" t="s">
        <v>59</v>
      </c>
      <c r="AQ200" s="3" t="s">
        <v>71</v>
      </c>
      <c r="AR200" s="6" t="str">
        <f>HYPERLINK("http://catalog.hathitrust.org/Record/000182498","HathiTrust Record")</f>
        <v>HathiTrust Record</v>
      </c>
      <c r="AS200" s="6" t="str">
        <f>HYPERLINK("https://creighton-primo.hosted.exlibrisgroup.com/primo-explore/search?tab=default_tab&amp;search_scope=EVERYTHING&amp;vid=01CRU&amp;lang=en_US&amp;offset=0&amp;query=any,contains,991005126139702656","Catalog Record")</f>
        <v>Catalog Record</v>
      </c>
      <c r="AT200" s="6" t="str">
        <f>HYPERLINK("http://www.worldcat.org/oclc/7553706","WorldCat Record")</f>
        <v>WorldCat Record</v>
      </c>
      <c r="AU200" s="3" t="s">
        <v>2665</v>
      </c>
      <c r="AV200" s="3" t="s">
        <v>2666</v>
      </c>
      <c r="AW200" s="3" t="s">
        <v>2667</v>
      </c>
      <c r="AX200" s="3" t="s">
        <v>2667</v>
      </c>
      <c r="AY200" s="3" t="s">
        <v>2668</v>
      </c>
      <c r="AZ200" s="3" t="s">
        <v>76</v>
      </c>
      <c r="BB200" s="3" t="s">
        <v>2669</v>
      </c>
      <c r="BC200" s="3" t="s">
        <v>2670</v>
      </c>
      <c r="BD200" s="3" t="s">
        <v>2671</v>
      </c>
    </row>
    <row r="201" spans="1:56" ht="52.5" customHeight="1" x14ac:dyDescent="0.25">
      <c r="A201" s="7" t="s">
        <v>59</v>
      </c>
      <c r="B201" s="2" t="s">
        <v>2672</v>
      </c>
      <c r="C201" s="2" t="s">
        <v>2673</v>
      </c>
      <c r="D201" s="2" t="s">
        <v>2674</v>
      </c>
      <c r="F201" s="3" t="s">
        <v>59</v>
      </c>
      <c r="G201" s="3" t="s">
        <v>60</v>
      </c>
      <c r="H201" s="3" t="s">
        <v>59</v>
      </c>
      <c r="I201" s="3" t="s">
        <v>59</v>
      </c>
      <c r="J201" s="3" t="s">
        <v>61</v>
      </c>
      <c r="K201" s="2" t="s">
        <v>2675</v>
      </c>
      <c r="L201" s="2" t="s">
        <v>2676</v>
      </c>
      <c r="M201" s="3" t="s">
        <v>549</v>
      </c>
      <c r="O201" s="3" t="s">
        <v>65</v>
      </c>
      <c r="P201" s="3" t="s">
        <v>66</v>
      </c>
      <c r="R201" s="3" t="s">
        <v>68</v>
      </c>
      <c r="S201" s="4">
        <v>4</v>
      </c>
      <c r="T201" s="4">
        <v>4</v>
      </c>
      <c r="U201" s="5" t="s">
        <v>2677</v>
      </c>
      <c r="V201" s="5" t="s">
        <v>2677</v>
      </c>
      <c r="W201" s="5" t="s">
        <v>2678</v>
      </c>
      <c r="X201" s="5" t="s">
        <v>2678</v>
      </c>
      <c r="Y201" s="4">
        <v>595</v>
      </c>
      <c r="Z201" s="4">
        <v>420</v>
      </c>
      <c r="AA201" s="4">
        <v>420</v>
      </c>
      <c r="AB201" s="4">
        <v>3</v>
      </c>
      <c r="AC201" s="4">
        <v>3</v>
      </c>
      <c r="AD201" s="4">
        <v>22</v>
      </c>
      <c r="AE201" s="4">
        <v>22</v>
      </c>
      <c r="AF201" s="4">
        <v>6</v>
      </c>
      <c r="AG201" s="4">
        <v>6</v>
      </c>
      <c r="AH201" s="4">
        <v>8</v>
      </c>
      <c r="AI201" s="4">
        <v>8</v>
      </c>
      <c r="AJ201" s="4">
        <v>11</v>
      </c>
      <c r="AK201" s="4">
        <v>11</v>
      </c>
      <c r="AL201" s="4">
        <v>2</v>
      </c>
      <c r="AM201" s="4">
        <v>2</v>
      </c>
      <c r="AN201" s="4">
        <v>0</v>
      </c>
      <c r="AO201" s="4">
        <v>0</v>
      </c>
      <c r="AP201" s="3" t="s">
        <v>59</v>
      </c>
      <c r="AQ201" s="3" t="s">
        <v>59</v>
      </c>
      <c r="AS201" s="6" t="str">
        <f>HYPERLINK("https://creighton-primo.hosted.exlibrisgroup.com/primo-explore/search?tab=default_tab&amp;search_scope=EVERYTHING&amp;vid=01CRU&amp;lang=en_US&amp;offset=0&amp;query=any,contains,991000700469702656","Catalog Record")</f>
        <v>Catalog Record</v>
      </c>
      <c r="AT201" s="6" t="str">
        <f>HYPERLINK("http://www.worldcat.org/oclc/12549177","WorldCat Record")</f>
        <v>WorldCat Record</v>
      </c>
      <c r="AU201" s="3" t="s">
        <v>2679</v>
      </c>
      <c r="AV201" s="3" t="s">
        <v>2680</v>
      </c>
      <c r="AW201" s="3" t="s">
        <v>2681</v>
      </c>
      <c r="AX201" s="3" t="s">
        <v>2681</v>
      </c>
      <c r="AY201" s="3" t="s">
        <v>2682</v>
      </c>
      <c r="AZ201" s="3" t="s">
        <v>76</v>
      </c>
      <c r="BB201" s="3" t="s">
        <v>2683</v>
      </c>
      <c r="BC201" s="3" t="s">
        <v>2684</v>
      </c>
      <c r="BD201" s="3" t="s">
        <v>2685</v>
      </c>
    </row>
    <row r="202" spans="1:56" ht="52.5" customHeight="1" x14ac:dyDescent="0.25">
      <c r="A202" s="7" t="s">
        <v>59</v>
      </c>
      <c r="B202" s="2" t="s">
        <v>2686</v>
      </c>
      <c r="C202" s="2" t="s">
        <v>2687</v>
      </c>
      <c r="D202" s="2" t="s">
        <v>2688</v>
      </c>
      <c r="F202" s="3" t="s">
        <v>59</v>
      </c>
      <c r="G202" s="3" t="s">
        <v>60</v>
      </c>
      <c r="H202" s="3" t="s">
        <v>59</v>
      </c>
      <c r="I202" s="3" t="s">
        <v>59</v>
      </c>
      <c r="J202" s="3" t="s">
        <v>61</v>
      </c>
      <c r="K202" s="2" t="s">
        <v>2689</v>
      </c>
      <c r="L202" s="2" t="s">
        <v>2690</v>
      </c>
      <c r="M202" s="3" t="s">
        <v>616</v>
      </c>
      <c r="O202" s="3" t="s">
        <v>65</v>
      </c>
      <c r="P202" s="3" t="s">
        <v>66</v>
      </c>
      <c r="R202" s="3" t="s">
        <v>68</v>
      </c>
      <c r="S202" s="4">
        <v>5</v>
      </c>
      <c r="T202" s="4">
        <v>5</v>
      </c>
      <c r="U202" s="5" t="s">
        <v>2691</v>
      </c>
      <c r="V202" s="5" t="s">
        <v>2691</v>
      </c>
      <c r="W202" s="5" t="s">
        <v>2176</v>
      </c>
      <c r="X202" s="5" t="s">
        <v>2176</v>
      </c>
      <c r="Y202" s="4">
        <v>872</v>
      </c>
      <c r="Z202" s="4">
        <v>796</v>
      </c>
      <c r="AA202" s="4">
        <v>837</v>
      </c>
      <c r="AB202" s="4">
        <v>6</v>
      </c>
      <c r="AC202" s="4">
        <v>6</v>
      </c>
      <c r="AD202" s="4">
        <v>24</v>
      </c>
      <c r="AE202" s="4">
        <v>24</v>
      </c>
      <c r="AF202" s="4">
        <v>12</v>
      </c>
      <c r="AG202" s="4">
        <v>12</v>
      </c>
      <c r="AH202" s="4">
        <v>4</v>
      </c>
      <c r="AI202" s="4">
        <v>4</v>
      </c>
      <c r="AJ202" s="4">
        <v>9</v>
      </c>
      <c r="AK202" s="4">
        <v>9</v>
      </c>
      <c r="AL202" s="4">
        <v>5</v>
      </c>
      <c r="AM202" s="4">
        <v>5</v>
      </c>
      <c r="AN202" s="4">
        <v>0</v>
      </c>
      <c r="AO202" s="4">
        <v>0</v>
      </c>
      <c r="AP202" s="3" t="s">
        <v>59</v>
      </c>
      <c r="AQ202" s="3" t="s">
        <v>59</v>
      </c>
      <c r="AS202" s="6" t="str">
        <f>HYPERLINK("https://creighton-primo.hosted.exlibrisgroup.com/primo-explore/search?tab=default_tab&amp;search_scope=EVERYTHING&amp;vid=01CRU&amp;lang=en_US&amp;offset=0&amp;query=any,contains,991001312129702656","Catalog Record")</f>
        <v>Catalog Record</v>
      </c>
      <c r="AT202" s="6" t="str">
        <f>HYPERLINK("http://www.worldcat.org/oclc/18162374","WorldCat Record")</f>
        <v>WorldCat Record</v>
      </c>
      <c r="AU202" s="3" t="s">
        <v>2692</v>
      </c>
      <c r="AV202" s="3" t="s">
        <v>2693</v>
      </c>
      <c r="AW202" s="3" t="s">
        <v>2694</v>
      </c>
      <c r="AX202" s="3" t="s">
        <v>2694</v>
      </c>
      <c r="AY202" s="3" t="s">
        <v>2695</v>
      </c>
      <c r="AZ202" s="3" t="s">
        <v>76</v>
      </c>
      <c r="BB202" s="3" t="s">
        <v>2696</v>
      </c>
      <c r="BC202" s="3" t="s">
        <v>2697</v>
      </c>
      <c r="BD202" s="3" t="s">
        <v>2698</v>
      </c>
    </row>
    <row r="203" spans="1:56" ht="52.5" customHeight="1" x14ac:dyDescent="0.25">
      <c r="A203" s="7" t="s">
        <v>59</v>
      </c>
      <c r="B203" s="2" t="s">
        <v>2699</v>
      </c>
      <c r="C203" s="2" t="s">
        <v>2700</v>
      </c>
      <c r="D203" s="2" t="s">
        <v>2701</v>
      </c>
      <c r="F203" s="3" t="s">
        <v>59</v>
      </c>
      <c r="G203" s="3" t="s">
        <v>60</v>
      </c>
      <c r="H203" s="3" t="s">
        <v>59</v>
      </c>
      <c r="I203" s="3" t="s">
        <v>59</v>
      </c>
      <c r="J203" s="3" t="s">
        <v>61</v>
      </c>
      <c r="K203" s="2" t="s">
        <v>2702</v>
      </c>
      <c r="L203" s="2" t="s">
        <v>2703</v>
      </c>
      <c r="M203" s="3" t="s">
        <v>195</v>
      </c>
      <c r="O203" s="3" t="s">
        <v>65</v>
      </c>
      <c r="P203" s="3" t="s">
        <v>771</v>
      </c>
      <c r="R203" s="3" t="s">
        <v>68</v>
      </c>
      <c r="S203" s="4">
        <v>2</v>
      </c>
      <c r="T203" s="4">
        <v>2</v>
      </c>
      <c r="U203" s="5" t="s">
        <v>2704</v>
      </c>
      <c r="V203" s="5" t="s">
        <v>2704</v>
      </c>
      <c r="W203" s="5" t="s">
        <v>1977</v>
      </c>
      <c r="X203" s="5" t="s">
        <v>1977</v>
      </c>
      <c r="Y203" s="4">
        <v>337</v>
      </c>
      <c r="Z203" s="4">
        <v>273</v>
      </c>
      <c r="AA203" s="4">
        <v>273</v>
      </c>
      <c r="AB203" s="4">
        <v>4</v>
      </c>
      <c r="AC203" s="4">
        <v>4</v>
      </c>
      <c r="AD203" s="4">
        <v>19</v>
      </c>
      <c r="AE203" s="4">
        <v>19</v>
      </c>
      <c r="AF203" s="4">
        <v>6</v>
      </c>
      <c r="AG203" s="4">
        <v>6</v>
      </c>
      <c r="AH203" s="4">
        <v>4</v>
      </c>
      <c r="AI203" s="4">
        <v>4</v>
      </c>
      <c r="AJ203" s="4">
        <v>12</v>
      </c>
      <c r="AK203" s="4">
        <v>12</v>
      </c>
      <c r="AL203" s="4">
        <v>2</v>
      </c>
      <c r="AM203" s="4">
        <v>2</v>
      </c>
      <c r="AN203" s="4">
        <v>0</v>
      </c>
      <c r="AO203" s="4">
        <v>0</v>
      </c>
      <c r="AP203" s="3" t="s">
        <v>59</v>
      </c>
      <c r="AQ203" s="3" t="s">
        <v>59</v>
      </c>
      <c r="AS203" s="6" t="str">
        <f>HYPERLINK("https://creighton-primo.hosted.exlibrisgroup.com/primo-explore/search?tab=default_tab&amp;search_scope=EVERYTHING&amp;vid=01CRU&amp;lang=en_US&amp;offset=0&amp;query=any,contains,991005211989702656","Catalog Record")</f>
        <v>Catalog Record</v>
      </c>
      <c r="AT203" s="6" t="str">
        <f>HYPERLINK("http://www.worldcat.org/oclc/8169995","WorldCat Record")</f>
        <v>WorldCat Record</v>
      </c>
      <c r="AU203" s="3" t="s">
        <v>2705</v>
      </c>
      <c r="AV203" s="3" t="s">
        <v>2706</v>
      </c>
      <c r="AW203" s="3" t="s">
        <v>2707</v>
      </c>
      <c r="AX203" s="3" t="s">
        <v>2707</v>
      </c>
      <c r="AY203" s="3" t="s">
        <v>2708</v>
      </c>
      <c r="AZ203" s="3" t="s">
        <v>76</v>
      </c>
      <c r="BB203" s="3" t="s">
        <v>2709</v>
      </c>
      <c r="BC203" s="3" t="s">
        <v>2710</v>
      </c>
      <c r="BD203" s="3" t="s">
        <v>2711</v>
      </c>
    </row>
    <row r="204" spans="1:56" ht="52.5" customHeight="1" x14ac:dyDescent="0.25">
      <c r="A204" s="7" t="s">
        <v>59</v>
      </c>
      <c r="B204" s="2" t="s">
        <v>2712</v>
      </c>
      <c r="C204" s="2" t="s">
        <v>2713</v>
      </c>
      <c r="D204" s="2" t="s">
        <v>2714</v>
      </c>
      <c r="F204" s="3" t="s">
        <v>59</v>
      </c>
      <c r="G204" s="3" t="s">
        <v>60</v>
      </c>
      <c r="H204" s="3" t="s">
        <v>59</v>
      </c>
      <c r="I204" s="3" t="s">
        <v>59</v>
      </c>
      <c r="J204" s="3" t="s">
        <v>61</v>
      </c>
      <c r="K204" s="2" t="s">
        <v>2715</v>
      </c>
      <c r="L204" s="2" t="s">
        <v>2716</v>
      </c>
      <c r="M204" s="3" t="s">
        <v>350</v>
      </c>
      <c r="O204" s="3" t="s">
        <v>65</v>
      </c>
      <c r="P204" s="3" t="s">
        <v>66</v>
      </c>
      <c r="R204" s="3" t="s">
        <v>68</v>
      </c>
      <c r="S204" s="4">
        <v>1</v>
      </c>
      <c r="T204" s="4">
        <v>1</v>
      </c>
      <c r="U204" s="5" t="s">
        <v>2717</v>
      </c>
      <c r="V204" s="5" t="s">
        <v>2717</v>
      </c>
      <c r="W204" s="5" t="s">
        <v>1292</v>
      </c>
      <c r="X204" s="5" t="s">
        <v>1292</v>
      </c>
      <c r="Y204" s="4">
        <v>801</v>
      </c>
      <c r="Z204" s="4">
        <v>709</v>
      </c>
      <c r="AA204" s="4">
        <v>909</v>
      </c>
      <c r="AB204" s="4">
        <v>6</v>
      </c>
      <c r="AC204" s="4">
        <v>7</v>
      </c>
      <c r="AD204" s="4">
        <v>32</v>
      </c>
      <c r="AE204" s="4">
        <v>43</v>
      </c>
      <c r="AF204" s="4">
        <v>13</v>
      </c>
      <c r="AG204" s="4">
        <v>20</v>
      </c>
      <c r="AH204" s="4">
        <v>7</v>
      </c>
      <c r="AI204" s="4">
        <v>8</v>
      </c>
      <c r="AJ204" s="4">
        <v>15</v>
      </c>
      <c r="AK204" s="4">
        <v>21</v>
      </c>
      <c r="AL204" s="4">
        <v>4</v>
      </c>
      <c r="AM204" s="4">
        <v>5</v>
      </c>
      <c r="AN204" s="4">
        <v>0</v>
      </c>
      <c r="AO204" s="4">
        <v>0</v>
      </c>
      <c r="AP204" s="3" t="s">
        <v>59</v>
      </c>
      <c r="AQ204" s="3" t="s">
        <v>59</v>
      </c>
      <c r="AS204" s="6" t="str">
        <f>HYPERLINK("https://creighton-primo.hosted.exlibrisgroup.com/primo-explore/search?tab=default_tab&amp;search_scope=EVERYTHING&amp;vid=01CRU&amp;lang=en_US&amp;offset=0&amp;query=any,contains,991004197109702656","Catalog Record")</f>
        <v>Catalog Record</v>
      </c>
      <c r="AT204" s="6" t="str">
        <f>HYPERLINK("http://www.worldcat.org/oclc/2645180","WorldCat Record")</f>
        <v>WorldCat Record</v>
      </c>
      <c r="AU204" s="3" t="s">
        <v>2718</v>
      </c>
      <c r="AV204" s="3" t="s">
        <v>2719</v>
      </c>
      <c r="AW204" s="3" t="s">
        <v>2720</v>
      </c>
      <c r="AX204" s="3" t="s">
        <v>2720</v>
      </c>
      <c r="AY204" s="3" t="s">
        <v>2721</v>
      </c>
      <c r="AZ204" s="3" t="s">
        <v>76</v>
      </c>
      <c r="BB204" s="3" t="s">
        <v>2722</v>
      </c>
      <c r="BC204" s="3" t="s">
        <v>2723</v>
      </c>
      <c r="BD204" s="3" t="s">
        <v>2724</v>
      </c>
    </row>
    <row r="205" spans="1:56" ht="52.5" customHeight="1" x14ac:dyDescent="0.25">
      <c r="A205" s="7" t="s">
        <v>59</v>
      </c>
      <c r="B205" s="2" t="s">
        <v>2725</v>
      </c>
      <c r="C205" s="2" t="s">
        <v>2726</v>
      </c>
      <c r="D205" s="2" t="s">
        <v>2727</v>
      </c>
      <c r="F205" s="3" t="s">
        <v>59</v>
      </c>
      <c r="G205" s="3" t="s">
        <v>60</v>
      </c>
      <c r="H205" s="3" t="s">
        <v>59</v>
      </c>
      <c r="I205" s="3" t="s">
        <v>59</v>
      </c>
      <c r="J205" s="3" t="s">
        <v>61</v>
      </c>
      <c r="L205" s="2" t="s">
        <v>2728</v>
      </c>
      <c r="M205" s="3" t="s">
        <v>350</v>
      </c>
      <c r="O205" s="3" t="s">
        <v>65</v>
      </c>
      <c r="P205" s="3" t="s">
        <v>296</v>
      </c>
      <c r="R205" s="3" t="s">
        <v>68</v>
      </c>
      <c r="S205" s="4">
        <v>3</v>
      </c>
      <c r="T205" s="4">
        <v>3</v>
      </c>
      <c r="U205" s="5" t="s">
        <v>2729</v>
      </c>
      <c r="V205" s="5" t="s">
        <v>2729</v>
      </c>
      <c r="W205" s="5" t="s">
        <v>2730</v>
      </c>
      <c r="X205" s="5" t="s">
        <v>2730</v>
      </c>
      <c r="Y205" s="4">
        <v>444</v>
      </c>
      <c r="Z205" s="4">
        <v>388</v>
      </c>
      <c r="AA205" s="4">
        <v>397</v>
      </c>
      <c r="AB205" s="4">
        <v>3</v>
      </c>
      <c r="AC205" s="4">
        <v>4</v>
      </c>
      <c r="AD205" s="4">
        <v>15</v>
      </c>
      <c r="AE205" s="4">
        <v>16</v>
      </c>
      <c r="AF205" s="4">
        <v>6</v>
      </c>
      <c r="AG205" s="4">
        <v>6</v>
      </c>
      <c r="AH205" s="4">
        <v>2</v>
      </c>
      <c r="AI205" s="4">
        <v>2</v>
      </c>
      <c r="AJ205" s="4">
        <v>7</v>
      </c>
      <c r="AK205" s="4">
        <v>7</v>
      </c>
      <c r="AL205" s="4">
        <v>2</v>
      </c>
      <c r="AM205" s="4">
        <v>3</v>
      </c>
      <c r="AN205" s="4">
        <v>0</v>
      </c>
      <c r="AO205" s="4">
        <v>0</v>
      </c>
      <c r="AP205" s="3" t="s">
        <v>59</v>
      </c>
      <c r="AQ205" s="3" t="s">
        <v>71</v>
      </c>
      <c r="AR205" s="6" t="str">
        <f>HYPERLINK("http://catalog.hathitrust.org/Record/000171224","HathiTrust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HYPERLINK("https://creighton-primo.hosted.exlibrisgroup.com/primo-explore/search?tab=default_tab&amp;search_scope=EVERYTHING&amp;vid=01CRU&amp;lang=en_US&amp;offset=0&amp;query=any,contains,991004220079702656","Catalog Record")</f>
        <v>Catalog Record</v>
      </c>
      <c r="AT205" s="6" t="str">
        <f>HYPERLINK("http://www.worldcat.org/oclc/2709576","WorldCat Record")</f>
        <v>WorldCat Record</v>
      </c>
      <c r="AU205" s="3" t="s">
        <v>2731</v>
      </c>
      <c r="AV205" s="3" t="s">
        <v>2732</v>
      </c>
      <c r="AW205" s="3" t="s">
        <v>2733</v>
      </c>
      <c r="AX205" s="3" t="s">
        <v>2733</v>
      </c>
      <c r="AY205" s="3" t="s">
        <v>2734</v>
      </c>
      <c r="AZ205" s="3" t="s">
        <v>76</v>
      </c>
      <c r="BB205" s="3" t="s">
        <v>2735</v>
      </c>
      <c r="BC205" s="3" t="s">
        <v>2736</v>
      </c>
      <c r="BD205" s="3" t="s">
        <v>2737</v>
      </c>
    </row>
    <row r="206" spans="1:56" ht="52.5" customHeight="1" x14ac:dyDescent="0.25">
      <c r="A206" s="7" t="s">
        <v>59</v>
      </c>
      <c r="B206" s="2" t="s">
        <v>2738</v>
      </c>
      <c r="C206" s="2" t="s">
        <v>2739</v>
      </c>
      <c r="D206" s="2" t="s">
        <v>2740</v>
      </c>
      <c r="F206" s="3" t="s">
        <v>59</v>
      </c>
      <c r="G206" s="3" t="s">
        <v>60</v>
      </c>
      <c r="H206" s="3" t="s">
        <v>59</v>
      </c>
      <c r="I206" s="3" t="s">
        <v>59</v>
      </c>
      <c r="J206" s="3" t="s">
        <v>61</v>
      </c>
      <c r="K206" s="2" t="s">
        <v>727</v>
      </c>
      <c r="L206" s="2" t="s">
        <v>2741</v>
      </c>
      <c r="M206" s="3" t="s">
        <v>164</v>
      </c>
      <c r="N206" s="2" t="s">
        <v>887</v>
      </c>
      <c r="O206" s="3" t="s">
        <v>65</v>
      </c>
      <c r="P206" s="3" t="s">
        <v>66</v>
      </c>
      <c r="R206" s="3" t="s">
        <v>68</v>
      </c>
      <c r="S206" s="4">
        <v>3</v>
      </c>
      <c r="T206" s="4">
        <v>3</v>
      </c>
      <c r="U206" s="5" t="s">
        <v>2742</v>
      </c>
      <c r="V206" s="5" t="s">
        <v>2742</v>
      </c>
      <c r="W206" s="5" t="s">
        <v>2176</v>
      </c>
      <c r="X206" s="5" t="s">
        <v>2176</v>
      </c>
      <c r="Y206" s="4">
        <v>1181</v>
      </c>
      <c r="Z206" s="4">
        <v>1071</v>
      </c>
      <c r="AA206" s="4">
        <v>1365</v>
      </c>
      <c r="AB206" s="4">
        <v>5</v>
      </c>
      <c r="AC206" s="4">
        <v>7</v>
      </c>
      <c r="AD206" s="4">
        <v>33</v>
      </c>
      <c r="AE206" s="4">
        <v>40</v>
      </c>
      <c r="AF206" s="4">
        <v>15</v>
      </c>
      <c r="AG206" s="4">
        <v>20</v>
      </c>
      <c r="AH206" s="4">
        <v>8</v>
      </c>
      <c r="AI206" s="4">
        <v>8</v>
      </c>
      <c r="AJ206" s="4">
        <v>17</v>
      </c>
      <c r="AK206" s="4">
        <v>18</v>
      </c>
      <c r="AL206" s="4">
        <v>3</v>
      </c>
      <c r="AM206" s="4">
        <v>5</v>
      </c>
      <c r="AN206" s="4">
        <v>0</v>
      </c>
      <c r="AO206" s="4">
        <v>0</v>
      </c>
      <c r="AP206" s="3" t="s">
        <v>59</v>
      </c>
      <c r="AQ206" s="3" t="s">
        <v>71</v>
      </c>
      <c r="AR206" s="6" t="str">
        <f>HYPERLINK("http://catalog.hathitrust.org/Record/000708694","HathiTrust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HYPERLINK("https://creighton-primo.hosted.exlibrisgroup.com/primo-explore/search?tab=default_tab&amp;search_scope=EVERYTHING&amp;vid=01CRU&amp;lang=en_US&amp;offset=0&amp;query=any,contains,991004914429702656","Catalog Record")</f>
        <v>Catalog Record</v>
      </c>
      <c r="AT206" s="6" t="str">
        <f>HYPERLINK("http://www.worldcat.org/oclc/6014895","WorldCat Record")</f>
        <v>WorldCat Record</v>
      </c>
      <c r="AU206" s="3" t="s">
        <v>2743</v>
      </c>
      <c r="AV206" s="3" t="s">
        <v>2744</v>
      </c>
      <c r="AW206" s="3" t="s">
        <v>2745</v>
      </c>
      <c r="AX206" s="3" t="s">
        <v>2745</v>
      </c>
      <c r="AY206" s="3" t="s">
        <v>2746</v>
      </c>
      <c r="AZ206" s="3" t="s">
        <v>76</v>
      </c>
      <c r="BB206" s="3" t="s">
        <v>2747</v>
      </c>
      <c r="BC206" s="3" t="s">
        <v>2748</v>
      </c>
      <c r="BD206" s="3" t="s">
        <v>2749</v>
      </c>
    </row>
    <row r="207" spans="1:56" ht="52.5" customHeight="1" x14ac:dyDescent="0.25">
      <c r="A207" s="7" t="s">
        <v>59</v>
      </c>
      <c r="B207" s="2" t="s">
        <v>2750</v>
      </c>
      <c r="C207" s="2" t="s">
        <v>2751</v>
      </c>
      <c r="D207" s="2" t="s">
        <v>2752</v>
      </c>
      <c r="F207" s="3" t="s">
        <v>59</v>
      </c>
      <c r="G207" s="3" t="s">
        <v>60</v>
      </c>
      <c r="H207" s="3" t="s">
        <v>59</v>
      </c>
      <c r="I207" s="3" t="s">
        <v>59</v>
      </c>
      <c r="J207" s="3" t="s">
        <v>61</v>
      </c>
      <c r="K207" s="2" t="s">
        <v>2753</v>
      </c>
      <c r="L207" s="2" t="s">
        <v>2754</v>
      </c>
      <c r="M207" s="3" t="s">
        <v>616</v>
      </c>
      <c r="O207" s="3" t="s">
        <v>65</v>
      </c>
      <c r="P207" s="3" t="s">
        <v>66</v>
      </c>
      <c r="Q207" s="2" t="s">
        <v>2755</v>
      </c>
      <c r="R207" s="3" t="s">
        <v>68</v>
      </c>
      <c r="S207" s="4">
        <v>2</v>
      </c>
      <c r="T207" s="4">
        <v>2</v>
      </c>
      <c r="U207" s="5" t="s">
        <v>2704</v>
      </c>
      <c r="V207" s="5" t="s">
        <v>2704</v>
      </c>
      <c r="W207" s="5" t="s">
        <v>2756</v>
      </c>
      <c r="X207" s="5" t="s">
        <v>2756</v>
      </c>
      <c r="Y207" s="4">
        <v>418</v>
      </c>
      <c r="Z207" s="4">
        <v>321</v>
      </c>
      <c r="AA207" s="4">
        <v>321</v>
      </c>
      <c r="AB207" s="4">
        <v>3</v>
      </c>
      <c r="AC207" s="4">
        <v>3</v>
      </c>
      <c r="AD207" s="4">
        <v>15</v>
      </c>
      <c r="AE207" s="4">
        <v>15</v>
      </c>
      <c r="AF207" s="4">
        <v>4</v>
      </c>
      <c r="AG207" s="4">
        <v>4</v>
      </c>
      <c r="AH207" s="4">
        <v>3</v>
      </c>
      <c r="AI207" s="4">
        <v>3</v>
      </c>
      <c r="AJ207" s="4">
        <v>10</v>
      </c>
      <c r="AK207" s="4">
        <v>10</v>
      </c>
      <c r="AL207" s="4">
        <v>2</v>
      </c>
      <c r="AM207" s="4">
        <v>2</v>
      </c>
      <c r="AN207" s="4">
        <v>0</v>
      </c>
      <c r="AO207" s="4">
        <v>0</v>
      </c>
      <c r="AP207" s="3" t="s">
        <v>59</v>
      </c>
      <c r="AQ207" s="3" t="s">
        <v>59</v>
      </c>
      <c r="AS207" s="6" t="str">
        <f>HYPERLINK("https://creighton-primo.hosted.exlibrisgroup.com/primo-explore/search?tab=default_tab&amp;search_scope=EVERYTHING&amp;vid=01CRU&amp;lang=en_US&amp;offset=0&amp;query=any,contains,991001138189702656","Catalog Record")</f>
        <v>Catalog Record</v>
      </c>
      <c r="AT207" s="6" t="str">
        <f>HYPERLINK("http://www.worldcat.org/oclc/16718686","WorldCat Record")</f>
        <v>WorldCat Record</v>
      </c>
      <c r="AU207" s="3" t="s">
        <v>2757</v>
      </c>
      <c r="AV207" s="3" t="s">
        <v>2758</v>
      </c>
      <c r="AW207" s="3" t="s">
        <v>2759</v>
      </c>
      <c r="AX207" s="3" t="s">
        <v>2759</v>
      </c>
      <c r="AY207" s="3" t="s">
        <v>2760</v>
      </c>
      <c r="AZ207" s="3" t="s">
        <v>76</v>
      </c>
      <c r="BB207" s="3" t="s">
        <v>2761</v>
      </c>
      <c r="BC207" s="3" t="s">
        <v>2762</v>
      </c>
      <c r="BD207" s="3" t="s">
        <v>2763</v>
      </c>
    </row>
    <row r="208" spans="1:56" ht="52.5" customHeight="1" x14ac:dyDescent="0.25">
      <c r="A208" s="7" t="s">
        <v>59</v>
      </c>
      <c r="B208" s="2" t="s">
        <v>2764</v>
      </c>
      <c r="C208" s="2" t="s">
        <v>2765</v>
      </c>
      <c r="D208" s="2" t="s">
        <v>2766</v>
      </c>
      <c r="F208" s="3" t="s">
        <v>59</v>
      </c>
      <c r="G208" s="3" t="s">
        <v>60</v>
      </c>
      <c r="H208" s="3" t="s">
        <v>59</v>
      </c>
      <c r="I208" s="3" t="s">
        <v>59</v>
      </c>
      <c r="J208" s="3" t="s">
        <v>61</v>
      </c>
      <c r="K208" s="2" t="s">
        <v>2767</v>
      </c>
      <c r="L208" s="2" t="s">
        <v>2768</v>
      </c>
      <c r="M208" s="3" t="s">
        <v>549</v>
      </c>
      <c r="O208" s="3" t="s">
        <v>65</v>
      </c>
      <c r="P208" s="3" t="s">
        <v>66</v>
      </c>
      <c r="R208" s="3" t="s">
        <v>68</v>
      </c>
      <c r="S208" s="4">
        <v>5</v>
      </c>
      <c r="T208" s="4">
        <v>5</v>
      </c>
      <c r="U208" s="5" t="s">
        <v>2742</v>
      </c>
      <c r="V208" s="5" t="s">
        <v>2742</v>
      </c>
      <c r="W208" s="5" t="s">
        <v>2493</v>
      </c>
      <c r="X208" s="5" t="s">
        <v>2493</v>
      </c>
      <c r="Y208" s="4">
        <v>999</v>
      </c>
      <c r="Z208" s="4">
        <v>877</v>
      </c>
      <c r="AA208" s="4">
        <v>886</v>
      </c>
      <c r="AB208" s="4">
        <v>6</v>
      </c>
      <c r="AC208" s="4">
        <v>6</v>
      </c>
      <c r="AD208" s="4">
        <v>35</v>
      </c>
      <c r="AE208" s="4">
        <v>35</v>
      </c>
      <c r="AF208" s="4">
        <v>11</v>
      </c>
      <c r="AG208" s="4">
        <v>11</v>
      </c>
      <c r="AH208" s="4">
        <v>9</v>
      </c>
      <c r="AI208" s="4">
        <v>9</v>
      </c>
      <c r="AJ208" s="4">
        <v>18</v>
      </c>
      <c r="AK208" s="4">
        <v>18</v>
      </c>
      <c r="AL208" s="4">
        <v>5</v>
      </c>
      <c r="AM208" s="4">
        <v>5</v>
      </c>
      <c r="AN208" s="4">
        <v>0</v>
      </c>
      <c r="AO208" s="4">
        <v>0</v>
      </c>
      <c r="AP208" s="3" t="s">
        <v>59</v>
      </c>
      <c r="AQ208" s="3" t="s">
        <v>71</v>
      </c>
      <c r="AR208" s="6" t="str">
        <f>HYPERLINK("http://catalog.hathitrust.org/Record/000616199","HathiTrust Record")</f>
        <v>HathiTrust Record</v>
      </c>
      <c r="AS208" s="6" t="str">
        <f>HYPERLINK("https://creighton-primo.hosted.exlibrisgroup.com/primo-explore/search?tab=default_tab&amp;search_scope=EVERYTHING&amp;vid=01CRU&amp;lang=en_US&amp;offset=0&amp;query=any,contains,991000731699702656","Catalog Record")</f>
        <v>Catalog Record</v>
      </c>
      <c r="AT208" s="6" t="str">
        <f>HYPERLINK("http://www.worldcat.org/oclc/12724799","WorldCat Record")</f>
        <v>WorldCat Record</v>
      </c>
      <c r="AU208" s="3" t="s">
        <v>2769</v>
      </c>
      <c r="AV208" s="3" t="s">
        <v>2770</v>
      </c>
      <c r="AW208" s="3" t="s">
        <v>2771</v>
      </c>
      <c r="AX208" s="3" t="s">
        <v>2771</v>
      </c>
      <c r="AY208" s="3" t="s">
        <v>2772</v>
      </c>
      <c r="AZ208" s="3" t="s">
        <v>76</v>
      </c>
      <c r="BB208" s="3" t="s">
        <v>2773</v>
      </c>
      <c r="BC208" s="3" t="s">
        <v>2774</v>
      </c>
      <c r="BD208" s="3" t="s">
        <v>2775</v>
      </c>
    </row>
    <row r="209" spans="1:56" ht="52.5" customHeight="1" x14ac:dyDescent="0.25">
      <c r="A209" s="7" t="s">
        <v>59</v>
      </c>
      <c r="B209" s="2" t="s">
        <v>2776</v>
      </c>
      <c r="C209" s="2" t="s">
        <v>2777</v>
      </c>
      <c r="D209" s="2" t="s">
        <v>2778</v>
      </c>
      <c r="F209" s="3" t="s">
        <v>59</v>
      </c>
      <c r="G209" s="3" t="s">
        <v>60</v>
      </c>
      <c r="H209" s="3" t="s">
        <v>59</v>
      </c>
      <c r="I209" s="3" t="s">
        <v>59</v>
      </c>
      <c r="J209" s="3" t="s">
        <v>61</v>
      </c>
      <c r="K209" s="2" t="s">
        <v>2779</v>
      </c>
      <c r="L209" s="2" t="s">
        <v>2780</v>
      </c>
      <c r="M209" s="3" t="s">
        <v>1217</v>
      </c>
      <c r="O209" s="3" t="s">
        <v>65</v>
      </c>
      <c r="P209" s="3" t="s">
        <v>283</v>
      </c>
      <c r="R209" s="3" t="s">
        <v>68</v>
      </c>
      <c r="S209" s="4">
        <v>3</v>
      </c>
      <c r="T209" s="4">
        <v>3</v>
      </c>
      <c r="U209" s="5" t="s">
        <v>2781</v>
      </c>
      <c r="V209" s="5" t="s">
        <v>2781</v>
      </c>
      <c r="W209" s="5" t="s">
        <v>2493</v>
      </c>
      <c r="X209" s="5" t="s">
        <v>2493</v>
      </c>
      <c r="Y209" s="4">
        <v>452</v>
      </c>
      <c r="Z209" s="4">
        <v>356</v>
      </c>
      <c r="AA209" s="4">
        <v>432</v>
      </c>
      <c r="AB209" s="4">
        <v>2</v>
      </c>
      <c r="AC209" s="4">
        <v>2</v>
      </c>
      <c r="AD209" s="4">
        <v>16</v>
      </c>
      <c r="AE209" s="4">
        <v>19</v>
      </c>
      <c r="AF209" s="4">
        <v>5</v>
      </c>
      <c r="AG209" s="4">
        <v>5</v>
      </c>
      <c r="AH209" s="4">
        <v>5</v>
      </c>
      <c r="AI209" s="4">
        <v>6</v>
      </c>
      <c r="AJ209" s="4">
        <v>10</v>
      </c>
      <c r="AK209" s="4">
        <v>13</v>
      </c>
      <c r="AL209" s="4">
        <v>1</v>
      </c>
      <c r="AM209" s="4">
        <v>1</v>
      </c>
      <c r="AN209" s="4">
        <v>0</v>
      </c>
      <c r="AO209" s="4">
        <v>0</v>
      </c>
      <c r="AP209" s="3" t="s">
        <v>59</v>
      </c>
      <c r="AQ209" s="3" t="s">
        <v>59</v>
      </c>
      <c r="AS209" s="6" t="str">
        <f>HYPERLINK("https://creighton-primo.hosted.exlibrisgroup.com/primo-explore/search?tab=default_tab&amp;search_scope=EVERYTHING&amp;vid=01CRU&amp;lang=en_US&amp;offset=0&amp;query=any,contains,991000347959702656","Catalog Record")</f>
        <v>Catalog Record</v>
      </c>
      <c r="AT209" s="6" t="str">
        <f>HYPERLINK("http://www.worldcat.org/oclc/10299208","WorldCat Record")</f>
        <v>WorldCat Record</v>
      </c>
      <c r="AU209" s="3" t="s">
        <v>2782</v>
      </c>
      <c r="AV209" s="3" t="s">
        <v>2783</v>
      </c>
      <c r="AW209" s="3" t="s">
        <v>2784</v>
      </c>
      <c r="AX209" s="3" t="s">
        <v>2784</v>
      </c>
      <c r="AY209" s="3" t="s">
        <v>2785</v>
      </c>
      <c r="AZ209" s="3" t="s">
        <v>76</v>
      </c>
      <c r="BB209" s="3" t="s">
        <v>2786</v>
      </c>
      <c r="BC209" s="3" t="s">
        <v>2787</v>
      </c>
      <c r="BD209" s="3" t="s">
        <v>2788</v>
      </c>
    </row>
    <row r="210" spans="1:56" ht="52.5" customHeight="1" x14ac:dyDescent="0.25">
      <c r="A210" s="7" t="s">
        <v>59</v>
      </c>
      <c r="B210" s="2" t="s">
        <v>2789</v>
      </c>
      <c r="C210" s="2" t="s">
        <v>2790</v>
      </c>
      <c r="D210" s="2" t="s">
        <v>2791</v>
      </c>
      <c r="F210" s="3" t="s">
        <v>59</v>
      </c>
      <c r="G210" s="3" t="s">
        <v>60</v>
      </c>
      <c r="H210" s="3" t="s">
        <v>59</v>
      </c>
      <c r="I210" s="3" t="s">
        <v>59</v>
      </c>
      <c r="J210" s="3" t="s">
        <v>61</v>
      </c>
      <c r="K210" s="2" t="s">
        <v>2792</v>
      </c>
      <c r="L210" s="2" t="s">
        <v>2793</v>
      </c>
      <c r="M210" s="3" t="s">
        <v>475</v>
      </c>
      <c r="O210" s="3" t="s">
        <v>65</v>
      </c>
      <c r="P210" s="3" t="s">
        <v>66</v>
      </c>
      <c r="R210" s="3" t="s">
        <v>68</v>
      </c>
      <c r="S210" s="4">
        <v>5</v>
      </c>
      <c r="T210" s="4">
        <v>5</v>
      </c>
      <c r="U210" s="5" t="s">
        <v>2794</v>
      </c>
      <c r="V210" s="5" t="s">
        <v>2794</v>
      </c>
      <c r="W210" s="5" t="s">
        <v>2795</v>
      </c>
      <c r="X210" s="5" t="s">
        <v>2795</v>
      </c>
      <c r="Y210" s="4">
        <v>1134</v>
      </c>
      <c r="Z210" s="4">
        <v>1024</v>
      </c>
      <c r="AA210" s="4">
        <v>1224</v>
      </c>
      <c r="AB210" s="4">
        <v>9</v>
      </c>
      <c r="AC210" s="4">
        <v>10</v>
      </c>
      <c r="AD210" s="4">
        <v>36</v>
      </c>
      <c r="AE210" s="4">
        <v>42</v>
      </c>
      <c r="AF210" s="4">
        <v>14</v>
      </c>
      <c r="AG210" s="4">
        <v>17</v>
      </c>
      <c r="AH210" s="4">
        <v>8</v>
      </c>
      <c r="AI210" s="4">
        <v>9</v>
      </c>
      <c r="AJ210" s="4">
        <v>16</v>
      </c>
      <c r="AK210" s="4">
        <v>19</v>
      </c>
      <c r="AL210" s="4">
        <v>5</v>
      </c>
      <c r="AM210" s="4">
        <v>6</v>
      </c>
      <c r="AN210" s="4">
        <v>0</v>
      </c>
      <c r="AO210" s="4">
        <v>0</v>
      </c>
      <c r="AP210" s="3" t="s">
        <v>59</v>
      </c>
      <c r="AQ210" s="3" t="s">
        <v>59</v>
      </c>
      <c r="AS210" s="6" t="str">
        <f>HYPERLINK("https://creighton-primo.hosted.exlibrisgroup.com/primo-explore/search?tab=default_tab&amp;search_scope=EVERYTHING&amp;vid=01CRU&amp;lang=en_US&amp;offset=0&amp;query=any,contains,991000328309702656","Catalog Record")</f>
        <v>Catalog Record</v>
      </c>
      <c r="AT210" s="6" t="str">
        <f>HYPERLINK("http://www.worldcat.org/oclc/10185193","WorldCat Record")</f>
        <v>WorldCat Record</v>
      </c>
      <c r="AU210" s="3" t="s">
        <v>2796</v>
      </c>
      <c r="AV210" s="3" t="s">
        <v>2797</v>
      </c>
      <c r="AW210" s="3" t="s">
        <v>2798</v>
      </c>
      <c r="AX210" s="3" t="s">
        <v>2798</v>
      </c>
      <c r="AY210" s="3" t="s">
        <v>2799</v>
      </c>
      <c r="AZ210" s="3" t="s">
        <v>76</v>
      </c>
      <c r="BB210" s="3" t="s">
        <v>2800</v>
      </c>
      <c r="BC210" s="3" t="s">
        <v>2801</v>
      </c>
      <c r="BD210" s="3" t="s">
        <v>2802</v>
      </c>
    </row>
    <row r="211" spans="1:56" ht="52.5" customHeight="1" x14ac:dyDescent="0.25">
      <c r="A211" s="7" t="s">
        <v>59</v>
      </c>
      <c r="B211" s="2" t="s">
        <v>2803</v>
      </c>
      <c r="C211" s="2" t="s">
        <v>2804</v>
      </c>
      <c r="D211" s="2" t="s">
        <v>2805</v>
      </c>
      <c r="F211" s="3" t="s">
        <v>59</v>
      </c>
      <c r="G211" s="3" t="s">
        <v>60</v>
      </c>
      <c r="H211" s="3" t="s">
        <v>59</v>
      </c>
      <c r="I211" s="3" t="s">
        <v>59</v>
      </c>
      <c r="J211" s="3" t="s">
        <v>61</v>
      </c>
      <c r="K211" s="2" t="s">
        <v>2806</v>
      </c>
      <c r="L211" s="2" t="s">
        <v>2807</v>
      </c>
      <c r="M211" s="3" t="s">
        <v>131</v>
      </c>
      <c r="O211" s="3" t="s">
        <v>65</v>
      </c>
      <c r="P211" s="3" t="s">
        <v>283</v>
      </c>
      <c r="R211" s="3" t="s">
        <v>68</v>
      </c>
      <c r="S211" s="4">
        <v>8</v>
      </c>
      <c r="T211" s="4">
        <v>8</v>
      </c>
      <c r="U211" s="5" t="s">
        <v>2808</v>
      </c>
      <c r="V211" s="5" t="s">
        <v>2808</v>
      </c>
      <c r="W211" s="5" t="s">
        <v>2545</v>
      </c>
      <c r="X211" s="5" t="s">
        <v>2545</v>
      </c>
      <c r="Y211" s="4">
        <v>77</v>
      </c>
      <c r="Z211" s="4">
        <v>75</v>
      </c>
      <c r="AA211" s="4">
        <v>757</v>
      </c>
      <c r="AB211" s="4">
        <v>2</v>
      </c>
      <c r="AC211" s="4">
        <v>4</v>
      </c>
      <c r="AD211" s="4">
        <v>5</v>
      </c>
      <c r="AE211" s="4">
        <v>32</v>
      </c>
      <c r="AF211" s="4">
        <v>2</v>
      </c>
      <c r="AG211" s="4">
        <v>12</v>
      </c>
      <c r="AH211" s="4">
        <v>0</v>
      </c>
      <c r="AI211" s="4">
        <v>6</v>
      </c>
      <c r="AJ211" s="4">
        <v>3</v>
      </c>
      <c r="AK211" s="4">
        <v>18</v>
      </c>
      <c r="AL211" s="4">
        <v>1</v>
      </c>
      <c r="AM211" s="4">
        <v>3</v>
      </c>
      <c r="AN211" s="4">
        <v>0</v>
      </c>
      <c r="AO211" s="4">
        <v>0</v>
      </c>
      <c r="AP211" s="3" t="s">
        <v>59</v>
      </c>
      <c r="AQ211" s="3" t="s">
        <v>71</v>
      </c>
      <c r="AR211" s="6" t="str">
        <f>HYPERLINK("http://catalog.hathitrust.org/Record/102065577","HathiTrust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HYPERLINK("https://creighton-primo.hosted.exlibrisgroup.com/primo-explore/search?tab=default_tab&amp;search_scope=EVERYTHING&amp;vid=01CRU&amp;lang=en_US&amp;offset=0&amp;query=any,contains,991003895829702656","Catalog Record")</f>
        <v>Catalog Record</v>
      </c>
      <c r="AT211" s="6" t="str">
        <f>HYPERLINK("http://www.worldcat.org/oclc/1809428","WorldCat Record")</f>
        <v>WorldCat Record</v>
      </c>
      <c r="AU211" s="3" t="s">
        <v>2809</v>
      </c>
      <c r="AV211" s="3" t="s">
        <v>2810</v>
      </c>
      <c r="AW211" s="3" t="s">
        <v>2811</v>
      </c>
      <c r="AX211" s="3" t="s">
        <v>2811</v>
      </c>
      <c r="AY211" s="3" t="s">
        <v>2812</v>
      </c>
      <c r="AZ211" s="3" t="s">
        <v>76</v>
      </c>
      <c r="BB211" s="3" t="s">
        <v>2813</v>
      </c>
      <c r="BC211" s="3" t="s">
        <v>2814</v>
      </c>
      <c r="BD211" s="3" t="s">
        <v>2815</v>
      </c>
    </row>
    <row r="212" spans="1:56" ht="52.5" customHeight="1" x14ac:dyDescent="0.25">
      <c r="A212" s="7" t="s">
        <v>59</v>
      </c>
      <c r="B212" s="2" t="s">
        <v>2816</v>
      </c>
      <c r="C212" s="2" t="s">
        <v>2817</v>
      </c>
      <c r="D212" s="2" t="s">
        <v>2818</v>
      </c>
      <c r="F212" s="3" t="s">
        <v>59</v>
      </c>
      <c r="G212" s="3" t="s">
        <v>60</v>
      </c>
      <c r="H212" s="3" t="s">
        <v>59</v>
      </c>
      <c r="I212" s="3" t="s">
        <v>59</v>
      </c>
      <c r="J212" s="3" t="s">
        <v>61</v>
      </c>
      <c r="L212" s="2" t="s">
        <v>2819</v>
      </c>
      <c r="M212" s="3" t="s">
        <v>195</v>
      </c>
      <c r="O212" s="3" t="s">
        <v>65</v>
      </c>
      <c r="P212" s="3" t="s">
        <v>1262</v>
      </c>
      <c r="R212" s="3" t="s">
        <v>68</v>
      </c>
      <c r="S212" s="4">
        <v>1</v>
      </c>
      <c r="T212" s="4">
        <v>1</v>
      </c>
      <c r="U212" s="5" t="s">
        <v>2820</v>
      </c>
      <c r="V212" s="5" t="s">
        <v>2820</v>
      </c>
      <c r="W212" s="5" t="s">
        <v>2820</v>
      </c>
      <c r="X212" s="5" t="s">
        <v>2820</v>
      </c>
      <c r="Y212" s="4">
        <v>550</v>
      </c>
      <c r="Z212" s="4">
        <v>353</v>
      </c>
      <c r="AA212" s="4">
        <v>366</v>
      </c>
      <c r="AB212" s="4">
        <v>3</v>
      </c>
      <c r="AC212" s="4">
        <v>3</v>
      </c>
      <c r="AD212" s="4">
        <v>17</v>
      </c>
      <c r="AE212" s="4">
        <v>17</v>
      </c>
      <c r="AF212" s="4">
        <v>5</v>
      </c>
      <c r="AG212" s="4">
        <v>5</v>
      </c>
      <c r="AH212" s="4">
        <v>4</v>
      </c>
      <c r="AI212" s="4">
        <v>4</v>
      </c>
      <c r="AJ212" s="4">
        <v>10</v>
      </c>
      <c r="AK212" s="4">
        <v>10</v>
      </c>
      <c r="AL212" s="4">
        <v>2</v>
      </c>
      <c r="AM212" s="4">
        <v>2</v>
      </c>
      <c r="AN212" s="4">
        <v>0</v>
      </c>
      <c r="AO212" s="4">
        <v>0</v>
      </c>
      <c r="AP212" s="3" t="s">
        <v>59</v>
      </c>
      <c r="AQ212" s="3" t="s">
        <v>59</v>
      </c>
      <c r="AS212" s="6" t="str">
        <f>HYPERLINK("https://creighton-primo.hosted.exlibrisgroup.com/primo-explore/search?tab=default_tab&amp;search_scope=EVERYTHING&amp;vid=01CRU&amp;lang=en_US&amp;offset=0&amp;query=any,contains,991004139509702656","Catalog Record")</f>
        <v>Catalog Record</v>
      </c>
      <c r="AT212" s="6" t="str">
        <f>HYPERLINK("http://www.worldcat.org/oclc/8170519","WorldCat Record")</f>
        <v>WorldCat Record</v>
      </c>
      <c r="AU212" s="3" t="s">
        <v>2821</v>
      </c>
      <c r="AV212" s="3" t="s">
        <v>2822</v>
      </c>
      <c r="AW212" s="3" t="s">
        <v>2823</v>
      </c>
      <c r="AX212" s="3" t="s">
        <v>2823</v>
      </c>
      <c r="AY212" s="3" t="s">
        <v>2824</v>
      </c>
      <c r="AZ212" s="3" t="s">
        <v>76</v>
      </c>
      <c r="BB212" s="3" t="s">
        <v>2825</v>
      </c>
      <c r="BC212" s="3" t="s">
        <v>2826</v>
      </c>
      <c r="BD212" s="3" t="s">
        <v>2827</v>
      </c>
    </row>
    <row r="213" spans="1:56" ht="52.5" customHeight="1" x14ac:dyDescent="0.25">
      <c r="A213" s="7" t="s">
        <v>59</v>
      </c>
      <c r="B213" s="2" t="s">
        <v>2828</v>
      </c>
      <c r="C213" s="2" t="s">
        <v>2829</v>
      </c>
      <c r="D213" s="2" t="s">
        <v>2830</v>
      </c>
      <c r="F213" s="3" t="s">
        <v>59</v>
      </c>
      <c r="G213" s="3" t="s">
        <v>60</v>
      </c>
      <c r="H213" s="3" t="s">
        <v>59</v>
      </c>
      <c r="I213" s="3" t="s">
        <v>59</v>
      </c>
      <c r="J213" s="3" t="s">
        <v>61</v>
      </c>
      <c r="K213" s="2" t="s">
        <v>2831</v>
      </c>
      <c r="L213" s="2" t="s">
        <v>2832</v>
      </c>
      <c r="M213" s="3" t="s">
        <v>405</v>
      </c>
      <c r="O213" s="3" t="s">
        <v>65</v>
      </c>
      <c r="P213" s="3" t="s">
        <v>66</v>
      </c>
      <c r="R213" s="3" t="s">
        <v>68</v>
      </c>
      <c r="S213" s="4">
        <v>2</v>
      </c>
      <c r="T213" s="4">
        <v>2</v>
      </c>
      <c r="U213" s="5" t="s">
        <v>2339</v>
      </c>
      <c r="V213" s="5" t="s">
        <v>2339</v>
      </c>
      <c r="W213" s="5" t="s">
        <v>2493</v>
      </c>
      <c r="X213" s="5" t="s">
        <v>2493</v>
      </c>
      <c r="Y213" s="4">
        <v>411</v>
      </c>
      <c r="Z213" s="4">
        <v>341</v>
      </c>
      <c r="AA213" s="4">
        <v>533</v>
      </c>
      <c r="AB213" s="4">
        <v>3</v>
      </c>
      <c r="AC213" s="4">
        <v>4</v>
      </c>
      <c r="AD213" s="4">
        <v>19</v>
      </c>
      <c r="AE213" s="4">
        <v>27</v>
      </c>
      <c r="AF213" s="4">
        <v>7</v>
      </c>
      <c r="AG213" s="4">
        <v>12</v>
      </c>
      <c r="AH213" s="4">
        <v>3</v>
      </c>
      <c r="AI213" s="4">
        <v>6</v>
      </c>
      <c r="AJ213" s="4">
        <v>13</v>
      </c>
      <c r="AK213" s="4">
        <v>15</v>
      </c>
      <c r="AL213" s="4">
        <v>2</v>
      </c>
      <c r="AM213" s="4">
        <v>3</v>
      </c>
      <c r="AN213" s="4">
        <v>0</v>
      </c>
      <c r="AO213" s="4">
        <v>0</v>
      </c>
      <c r="AP213" s="3" t="s">
        <v>59</v>
      </c>
      <c r="AQ213" s="3" t="s">
        <v>71</v>
      </c>
      <c r="AR213" s="6" t="str">
        <f>HYPERLINK("http://catalog.hathitrust.org/Record/000828455","HathiTrust Record")</f>
        <v>HathiTrust Record</v>
      </c>
      <c r="AS213" s="6" t="str">
        <f>HYPERLINK("https://creighton-primo.hosted.exlibrisgroup.com/primo-explore/search?tab=default_tab&amp;search_scope=EVERYTHING&amp;vid=01CRU&amp;lang=en_US&amp;offset=0&amp;query=any,contains,991000960629702656","Catalog Record")</f>
        <v>Catalog Record</v>
      </c>
      <c r="AT213" s="6" t="str">
        <f>HYPERLINK("http://www.worldcat.org/oclc/14818480","WorldCat Record")</f>
        <v>WorldCat Record</v>
      </c>
      <c r="AU213" s="3" t="s">
        <v>2833</v>
      </c>
      <c r="AV213" s="3" t="s">
        <v>2834</v>
      </c>
      <c r="AW213" s="3" t="s">
        <v>2835</v>
      </c>
      <c r="AX213" s="3" t="s">
        <v>2835</v>
      </c>
      <c r="AY213" s="3" t="s">
        <v>2836</v>
      </c>
      <c r="AZ213" s="3" t="s">
        <v>76</v>
      </c>
      <c r="BB213" s="3" t="s">
        <v>2837</v>
      </c>
      <c r="BC213" s="3" t="s">
        <v>2838</v>
      </c>
      <c r="BD213" s="3" t="s">
        <v>2839</v>
      </c>
    </row>
    <row r="214" spans="1:56" ht="52.5" customHeight="1" x14ac:dyDescent="0.25">
      <c r="A214" s="7" t="s">
        <v>59</v>
      </c>
      <c r="B214" s="2" t="s">
        <v>2840</v>
      </c>
      <c r="C214" s="2" t="s">
        <v>2841</v>
      </c>
      <c r="D214" s="2" t="s">
        <v>2842</v>
      </c>
      <c r="F214" s="3" t="s">
        <v>59</v>
      </c>
      <c r="G214" s="3" t="s">
        <v>60</v>
      </c>
      <c r="H214" s="3" t="s">
        <v>59</v>
      </c>
      <c r="I214" s="3" t="s">
        <v>59</v>
      </c>
      <c r="J214" s="3" t="s">
        <v>61</v>
      </c>
      <c r="K214" s="2" t="s">
        <v>2843</v>
      </c>
      <c r="L214" s="2" t="s">
        <v>2844</v>
      </c>
      <c r="M214" s="3" t="s">
        <v>1233</v>
      </c>
      <c r="O214" s="3" t="s">
        <v>65</v>
      </c>
      <c r="P214" s="3" t="s">
        <v>2845</v>
      </c>
      <c r="R214" s="3" t="s">
        <v>68</v>
      </c>
      <c r="S214" s="4">
        <v>4</v>
      </c>
      <c r="T214" s="4">
        <v>4</v>
      </c>
      <c r="U214" s="5" t="s">
        <v>2846</v>
      </c>
      <c r="V214" s="5" t="s">
        <v>2846</v>
      </c>
      <c r="W214" s="5" t="s">
        <v>2847</v>
      </c>
      <c r="X214" s="5" t="s">
        <v>2847</v>
      </c>
      <c r="Y214" s="4">
        <v>535</v>
      </c>
      <c r="Z214" s="4">
        <v>470</v>
      </c>
      <c r="AA214" s="4">
        <v>504</v>
      </c>
      <c r="AB214" s="4">
        <v>2</v>
      </c>
      <c r="AC214" s="4">
        <v>3</v>
      </c>
      <c r="AD214" s="4">
        <v>14</v>
      </c>
      <c r="AE214" s="4">
        <v>15</v>
      </c>
      <c r="AF214" s="4">
        <v>5</v>
      </c>
      <c r="AG214" s="4">
        <v>5</v>
      </c>
      <c r="AH214" s="4">
        <v>6</v>
      </c>
      <c r="AI214" s="4">
        <v>6</v>
      </c>
      <c r="AJ214" s="4">
        <v>6</v>
      </c>
      <c r="AK214" s="4">
        <v>6</v>
      </c>
      <c r="AL214" s="4">
        <v>1</v>
      </c>
      <c r="AM214" s="4">
        <v>2</v>
      </c>
      <c r="AN214" s="4">
        <v>0</v>
      </c>
      <c r="AO214" s="4">
        <v>0</v>
      </c>
      <c r="AP214" s="3" t="s">
        <v>59</v>
      </c>
      <c r="AQ214" s="3" t="s">
        <v>71</v>
      </c>
      <c r="AR214" s="6" t="str">
        <f>HYPERLINK("http://catalog.hathitrust.org/Record/000658013","HathiTrust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HYPERLINK("https://creighton-primo.hosted.exlibrisgroup.com/primo-explore/search?tab=default_tab&amp;search_scope=EVERYTHING&amp;vid=01CRU&amp;lang=en_US&amp;offset=0&amp;query=any,contains,991002655689702656","Catalog Record")</f>
        <v>Catalog Record</v>
      </c>
      <c r="AT214" s="6" t="str">
        <f>HYPERLINK("http://www.worldcat.org/oclc/388636","WorldCat Record")</f>
        <v>WorldCat Record</v>
      </c>
      <c r="AU214" s="3" t="s">
        <v>2848</v>
      </c>
      <c r="AV214" s="3" t="s">
        <v>2849</v>
      </c>
      <c r="AW214" s="3" t="s">
        <v>2850</v>
      </c>
      <c r="AX214" s="3" t="s">
        <v>2850</v>
      </c>
      <c r="AY214" s="3" t="s">
        <v>2851</v>
      </c>
      <c r="AZ214" s="3" t="s">
        <v>76</v>
      </c>
      <c r="BB214" s="3" t="s">
        <v>2852</v>
      </c>
      <c r="BC214" s="3" t="s">
        <v>2853</v>
      </c>
      <c r="BD214" s="3" t="s">
        <v>2854</v>
      </c>
    </row>
    <row r="215" spans="1:56" ht="52.5" customHeight="1" x14ac:dyDescent="0.25">
      <c r="A215" s="7" t="s">
        <v>59</v>
      </c>
      <c r="B215" s="2" t="s">
        <v>2855</v>
      </c>
      <c r="C215" s="2" t="s">
        <v>2856</v>
      </c>
      <c r="D215" s="2" t="s">
        <v>2857</v>
      </c>
      <c r="F215" s="3" t="s">
        <v>59</v>
      </c>
      <c r="G215" s="3" t="s">
        <v>60</v>
      </c>
      <c r="H215" s="3" t="s">
        <v>59</v>
      </c>
      <c r="I215" s="3" t="s">
        <v>59</v>
      </c>
      <c r="J215" s="3" t="s">
        <v>61</v>
      </c>
      <c r="L215" s="2" t="s">
        <v>308</v>
      </c>
      <c r="M215" s="3" t="s">
        <v>309</v>
      </c>
      <c r="O215" s="3" t="s">
        <v>65</v>
      </c>
      <c r="P215" s="3" t="s">
        <v>66</v>
      </c>
      <c r="R215" s="3" t="s">
        <v>68</v>
      </c>
      <c r="S215" s="4">
        <v>4</v>
      </c>
      <c r="T215" s="4">
        <v>4</v>
      </c>
      <c r="U215" s="5" t="s">
        <v>2858</v>
      </c>
      <c r="V215" s="5" t="s">
        <v>2858</v>
      </c>
      <c r="W215" s="5" t="s">
        <v>2859</v>
      </c>
      <c r="X215" s="5" t="s">
        <v>2859</v>
      </c>
      <c r="Y215" s="4">
        <v>339</v>
      </c>
      <c r="Z215" s="4">
        <v>303</v>
      </c>
      <c r="AA215" s="4">
        <v>314</v>
      </c>
      <c r="AB215" s="4">
        <v>3</v>
      </c>
      <c r="AC215" s="4">
        <v>3</v>
      </c>
      <c r="AD215" s="4">
        <v>14</v>
      </c>
      <c r="AE215" s="4">
        <v>14</v>
      </c>
      <c r="AF215" s="4">
        <v>3</v>
      </c>
      <c r="AG215" s="4">
        <v>3</v>
      </c>
      <c r="AH215" s="4">
        <v>6</v>
      </c>
      <c r="AI215" s="4">
        <v>6</v>
      </c>
      <c r="AJ215" s="4">
        <v>8</v>
      </c>
      <c r="AK215" s="4">
        <v>8</v>
      </c>
      <c r="AL215" s="4">
        <v>2</v>
      </c>
      <c r="AM215" s="4">
        <v>2</v>
      </c>
      <c r="AN215" s="4">
        <v>0</v>
      </c>
      <c r="AO215" s="4">
        <v>0</v>
      </c>
      <c r="AP215" s="3" t="s">
        <v>59</v>
      </c>
      <c r="AQ215" s="3" t="s">
        <v>71</v>
      </c>
      <c r="AR215" s="6" t="str">
        <f>HYPERLINK("http://catalog.hathitrust.org/Record/000696567","HathiTrust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HYPERLINK("https://creighton-primo.hosted.exlibrisgroup.com/primo-explore/search?tab=default_tab&amp;search_scope=EVERYTHING&amp;vid=01CRU&amp;lang=en_US&amp;offset=0&amp;query=any,contains,991004535299702656","Catalog Record")</f>
        <v>Catalog Record</v>
      </c>
      <c r="AT215" s="6" t="str">
        <f>HYPERLINK("http://www.worldcat.org/oclc/3869295","WorldCat Record")</f>
        <v>WorldCat Record</v>
      </c>
      <c r="AU215" s="3" t="s">
        <v>2860</v>
      </c>
      <c r="AV215" s="3" t="s">
        <v>2861</v>
      </c>
      <c r="AW215" s="3" t="s">
        <v>2862</v>
      </c>
      <c r="AX215" s="3" t="s">
        <v>2862</v>
      </c>
      <c r="AY215" s="3" t="s">
        <v>2863</v>
      </c>
      <c r="AZ215" s="3" t="s">
        <v>76</v>
      </c>
      <c r="BB215" s="3" t="s">
        <v>2864</v>
      </c>
      <c r="BC215" s="3" t="s">
        <v>2865</v>
      </c>
      <c r="BD215" s="3" t="s">
        <v>2866</v>
      </c>
    </row>
    <row r="216" spans="1:56" ht="52.5" customHeight="1" x14ac:dyDescent="0.25">
      <c r="A216" s="7" t="s">
        <v>59</v>
      </c>
      <c r="B216" s="2" t="s">
        <v>2867</v>
      </c>
      <c r="C216" s="2" t="s">
        <v>2868</v>
      </c>
      <c r="D216" s="2" t="s">
        <v>2869</v>
      </c>
      <c r="F216" s="3" t="s">
        <v>59</v>
      </c>
      <c r="G216" s="3" t="s">
        <v>60</v>
      </c>
      <c r="H216" s="3" t="s">
        <v>59</v>
      </c>
      <c r="I216" s="3" t="s">
        <v>59</v>
      </c>
      <c r="J216" s="3" t="s">
        <v>61</v>
      </c>
      <c r="K216" s="2" t="s">
        <v>2870</v>
      </c>
      <c r="L216" s="2" t="s">
        <v>2871</v>
      </c>
      <c r="M216" s="3" t="s">
        <v>1000</v>
      </c>
      <c r="O216" s="3" t="s">
        <v>65</v>
      </c>
      <c r="P216" s="3" t="s">
        <v>66</v>
      </c>
      <c r="R216" s="3" t="s">
        <v>68</v>
      </c>
      <c r="S216" s="4">
        <v>7</v>
      </c>
      <c r="T216" s="4">
        <v>7</v>
      </c>
      <c r="U216" s="5" t="s">
        <v>2872</v>
      </c>
      <c r="V216" s="5" t="s">
        <v>2872</v>
      </c>
      <c r="W216" s="5" t="s">
        <v>2493</v>
      </c>
      <c r="X216" s="5" t="s">
        <v>2493</v>
      </c>
      <c r="Y216" s="4">
        <v>1104</v>
      </c>
      <c r="Z216" s="4">
        <v>994</v>
      </c>
      <c r="AA216" s="4">
        <v>1222</v>
      </c>
      <c r="AB216" s="4">
        <v>10</v>
      </c>
      <c r="AC216" s="4">
        <v>11</v>
      </c>
      <c r="AD216" s="4">
        <v>35</v>
      </c>
      <c r="AE216" s="4">
        <v>44</v>
      </c>
      <c r="AF216" s="4">
        <v>13</v>
      </c>
      <c r="AG216" s="4">
        <v>18</v>
      </c>
      <c r="AH216" s="4">
        <v>6</v>
      </c>
      <c r="AI216" s="4">
        <v>10</v>
      </c>
      <c r="AJ216" s="4">
        <v>17</v>
      </c>
      <c r="AK216" s="4">
        <v>19</v>
      </c>
      <c r="AL216" s="4">
        <v>5</v>
      </c>
      <c r="AM216" s="4">
        <v>6</v>
      </c>
      <c r="AN216" s="4">
        <v>0</v>
      </c>
      <c r="AO216" s="4">
        <v>0</v>
      </c>
      <c r="AP216" s="3" t="s">
        <v>59</v>
      </c>
      <c r="AQ216" s="3" t="s">
        <v>71</v>
      </c>
      <c r="AR216" s="6" t="str">
        <f>HYPERLINK("http://catalog.hathitrust.org/Record/000302604","HathiTrust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HYPERLINK("https://creighton-primo.hosted.exlibrisgroup.com/primo-explore/search?tab=default_tab&amp;search_scope=EVERYTHING&amp;vid=01CRU&amp;lang=en_US&amp;offset=0&amp;query=any,contains,991004769789702656","Catalog Record")</f>
        <v>Catalog Record</v>
      </c>
      <c r="AT216" s="6" t="str">
        <f>HYPERLINK("http://www.worldcat.org/oclc/5051694","WorldCat Record")</f>
        <v>WorldCat Record</v>
      </c>
      <c r="AU216" s="3" t="s">
        <v>2873</v>
      </c>
      <c r="AV216" s="3" t="s">
        <v>2874</v>
      </c>
      <c r="AW216" s="3" t="s">
        <v>2875</v>
      </c>
      <c r="AX216" s="3" t="s">
        <v>2875</v>
      </c>
      <c r="AY216" s="3" t="s">
        <v>2876</v>
      </c>
      <c r="AZ216" s="3" t="s">
        <v>76</v>
      </c>
      <c r="BB216" s="3" t="s">
        <v>2877</v>
      </c>
      <c r="BC216" s="3" t="s">
        <v>2878</v>
      </c>
      <c r="BD216" s="3" t="s">
        <v>2879</v>
      </c>
    </row>
    <row r="217" spans="1:56" ht="52.5" customHeight="1" x14ac:dyDescent="0.25">
      <c r="A217" s="7" t="s">
        <v>59</v>
      </c>
      <c r="B217" s="2" t="s">
        <v>2880</v>
      </c>
      <c r="C217" s="2" t="s">
        <v>2881</v>
      </c>
      <c r="D217" s="2" t="s">
        <v>2882</v>
      </c>
      <c r="F217" s="3" t="s">
        <v>59</v>
      </c>
      <c r="G217" s="3" t="s">
        <v>60</v>
      </c>
      <c r="H217" s="3" t="s">
        <v>59</v>
      </c>
      <c r="I217" s="3" t="s">
        <v>59</v>
      </c>
      <c r="J217" s="3" t="s">
        <v>61</v>
      </c>
      <c r="K217" s="2" t="s">
        <v>2883</v>
      </c>
      <c r="L217" s="2" t="s">
        <v>2884</v>
      </c>
      <c r="M217" s="3" t="s">
        <v>148</v>
      </c>
      <c r="O217" s="3" t="s">
        <v>65</v>
      </c>
      <c r="P217" s="3" t="s">
        <v>1262</v>
      </c>
      <c r="R217" s="3" t="s">
        <v>68</v>
      </c>
      <c r="S217" s="4">
        <v>2</v>
      </c>
      <c r="T217" s="4">
        <v>2</v>
      </c>
      <c r="U217" s="5" t="s">
        <v>2885</v>
      </c>
      <c r="V217" s="5" t="s">
        <v>2885</v>
      </c>
      <c r="W217" s="5" t="s">
        <v>2545</v>
      </c>
      <c r="X217" s="5" t="s">
        <v>2545</v>
      </c>
      <c r="Y217" s="4">
        <v>323</v>
      </c>
      <c r="Z217" s="4">
        <v>210</v>
      </c>
      <c r="AA217" s="4">
        <v>259</v>
      </c>
      <c r="AB217" s="4">
        <v>2</v>
      </c>
      <c r="AC217" s="4">
        <v>3</v>
      </c>
      <c r="AD217" s="4">
        <v>6</v>
      </c>
      <c r="AE217" s="4">
        <v>11</v>
      </c>
      <c r="AF217" s="4">
        <v>1</v>
      </c>
      <c r="AG217" s="4">
        <v>3</v>
      </c>
      <c r="AH217" s="4">
        <v>1</v>
      </c>
      <c r="AI217" s="4">
        <v>3</v>
      </c>
      <c r="AJ217" s="4">
        <v>3</v>
      </c>
      <c r="AK217" s="4">
        <v>6</v>
      </c>
      <c r="AL217" s="4">
        <v>1</v>
      </c>
      <c r="AM217" s="4">
        <v>2</v>
      </c>
      <c r="AN217" s="4">
        <v>0</v>
      </c>
      <c r="AO217" s="4">
        <v>0</v>
      </c>
      <c r="AP217" s="3" t="s">
        <v>59</v>
      </c>
      <c r="AQ217" s="3" t="s">
        <v>71</v>
      </c>
      <c r="AR217" s="6" t="str">
        <f>HYPERLINK("http://catalog.hathitrust.org/Record/000082677","HathiTrust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HYPERLINK("https://creighton-primo.hosted.exlibrisgroup.com/primo-explore/search?tab=default_tab&amp;search_scope=EVERYTHING&amp;vid=01CRU&amp;lang=en_US&amp;offset=0&amp;query=any,contains,991004143819702656","Catalog Record")</f>
        <v>Catalog Record</v>
      </c>
      <c r="AT217" s="6" t="str">
        <f>HYPERLINK("http://www.worldcat.org/oclc/2505825","WorldCat Record")</f>
        <v>WorldCat Record</v>
      </c>
      <c r="AU217" s="3" t="s">
        <v>2886</v>
      </c>
      <c r="AV217" s="3" t="s">
        <v>2887</v>
      </c>
      <c r="AW217" s="3" t="s">
        <v>2888</v>
      </c>
      <c r="AX217" s="3" t="s">
        <v>2888</v>
      </c>
      <c r="AY217" s="3" t="s">
        <v>2889</v>
      </c>
      <c r="AZ217" s="3" t="s">
        <v>76</v>
      </c>
      <c r="BB217" s="3" t="s">
        <v>2890</v>
      </c>
      <c r="BC217" s="3" t="s">
        <v>2891</v>
      </c>
      <c r="BD217" s="3" t="s">
        <v>2892</v>
      </c>
    </row>
    <row r="218" spans="1:56" ht="52.5" customHeight="1" x14ac:dyDescent="0.25">
      <c r="A218" s="7" t="s">
        <v>59</v>
      </c>
      <c r="B218" s="2" t="s">
        <v>2893</v>
      </c>
      <c r="C218" s="2" t="s">
        <v>2894</v>
      </c>
      <c r="D218" s="2" t="s">
        <v>2895</v>
      </c>
      <c r="F218" s="3" t="s">
        <v>59</v>
      </c>
      <c r="G218" s="3" t="s">
        <v>60</v>
      </c>
      <c r="H218" s="3" t="s">
        <v>59</v>
      </c>
      <c r="I218" s="3" t="s">
        <v>59</v>
      </c>
      <c r="J218" s="3" t="s">
        <v>61</v>
      </c>
      <c r="K218" s="2" t="s">
        <v>2896</v>
      </c>
      <c r="L218" s="2" t="s">
        <v>2897</v>
      </c>
      <c r="M218" s="3" t="s">
        <v>2428</v>
      </c>
      <c r="O218" s="3" t="s">
        <v>65</v>
      </c>
      <c r="P218" s="3" t="s">
        <v>283</v>
      </c>
      <c r="Q218" s="2" t="s">
        <v>2898</v>
      </c>
      <c r="R218" s="3" t="s">
        <v>68</v>
      </c>
      <c r="S218" s="4">
        <v>2</v>
      </c>
      <c r="T218" s="4">
        <v>2</v>
      </c>
      <c r="U218" s="5" t="s">
        <v>2899</v>
      </c>
      <c r="V218" s="5" t="s">
        <v>2899</v>
      </c>
      <c r="W218" s="5" t="s">
        <v>2900</v>
      </c>
      <c r="X218" s="5" t="s">
        <v>2900</v>
      </c>
      <c r="Y218" s="4">
        <v>603</v>
      </c>
      <c r="Z218" s="4">
        <v>505</v>
      </c>
      <c r="AA218" s="4">
        <v>511</v>
      </c>
      <c r="AB218" s="4">
        <v>3</v>
      </c>
      <c r="AC218" s="4">
        <v>3</v>
      </c>
      <c r="AD218" s="4">
        <v>23</v>
      </c>
      <c r="AE218" s="4">
        <v>23</v>
      </c>
      <c r="AF218" s="4">
        <v>11</v>
      </c>
      <c r="AG218" s="4">
        <v>11</v>
      </c>
      <c r="AH218" s="4">
        <v>4</v>
      </c>
      <c r="AI218" s="4">
        <v>4</v>
      </c>
      <c r="AJ218" s="4">
        <v>12</v>
      </c>
      <c r="AK218" s="4">
        <v>12</v>
      </c>
      <c r="AL218" s="4">
        <v>2</v>
      </c>
      <c r="AM218" s="4">
        <v>2</v>
      </c>
      <c r="AN218" s="4">
        <v>0</v>
      </c>
      <c r="AO218" s="4">
        <v>0</v>
      </c>
      <c r="AP218" s="3" t="s">
        <v>59</v>
      </c>
      <c r="AQ218" s="3" t="s">
        <v>71</v>
      </c>
      <c r="AR218" s="6" t="str">
        <f>HYPERLINK("http://catalog.hathitrust.org/Record/000656927","HathiTrust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HYPERLINK("https://creighton-primo.hosted.exlibrisgroup.com/primo-explore/search?tab=default_tab&amp;search_scope=EVERYTHING&amp;vid=01CRU&amp;lang=en_US&amp;offset=0&amp;query=any,contains,991004860179702656","Catalog Record")</f>
        <v>Catalog Record</v>
      </c>
      <c r="AT218" s="6" t="str">
        <f>HYPERLINK("http://www.worldcat.org/oclc/5693028","WorldCat Record")</f>
        <v>WorldCat Record</v>
      </c>
      <c r="AU218" s="3" t="s">
        <v>2901</v>
      </c>
      <c r="AV218" s="3" t="s">
        <v>2902</v>
      </c>
      <c r="AW218" s="3" t="s">
        <v>2903</v>
      </c>
      <c r="AX218" s="3" t="s">
        <v>2903</v>
      </c>
      <c r="AY218" s="3" t="s">
        <v>2904</v>
      </c>
      <c r="AZ218" s="3" t="s">
        <v>76</v>
      </c>
      <c r="BC218" s="3" t="s">
        <v>2905</v>
      </c>
      <c r="BD218" s="3" t="s">
        <v>2906</v>
      </c>
    </row>
    <row r="219" spans="1:56" ht="52.5" customHeight="1" x14ac:dyDescent="0.25">
      <c r="A219" s="7" t="s">
        <v>59</v>
      </c>
      <c r="B219" s="2" t="s">
        <v>2907</v>
      </c>
      <c r="C219" s="2" t="s">
        <v>2908</v>
      </c>
      <c r="D219" s="2" t="s">
        <v>2909</v>
      </c>
      <c r="F219" s="3" t="s">
        <v>59</v>
      </c>
      <c r="G219" s="3" t="s">
        <v>60</v>
      </c>
      <c r="H219" s="3" t="s">
        <v>59</v>
      </c>
      <c r="I219" s="3" t="s">
        <v>59</v>
      </c>
      <c r="J219" s="3" t="s">
        <v>61</v>
      </c>
      <c r="K219" s="2" t="s">
        <v>2910</v>
      </c>
      <c r="L219" s="2" t="s">
        <v>2911</v>
      </c>
      <c r="M219" s="3" t="s">
        <v>1163</v>
      </c>
      <c r="O219" s="3" t="s">
        <v>65</v>
      </c>
      <c r="P219" s="3" t="s">
        <v>699</v>
      </c>
      <c r="R219" s="3" t="s">
        <v>68</v>
      </c>
      <c r="S219" s="4">
        <v>3</v>
      </c>
      <c r="T219" s="4">
        <v>3</v>
      </c>
      <c r="U219" s="5" t="s">
        <v>2912</v>
      </c>
      <c r="V219" s="5" t="s">
        <v>2912</v>
      </c>
      <c r="W219" s="5" t="s">
        <v>2493</v>
      </c>
      <c r="X219" s="5" t="s">
        <v>2493</v>
      </c>
      <c r="Y219" s="4">
        <v>232</v>
      </c>
      <c r="Z219" s="4">
        <v>188</v>
      </c>
      <c r="AA219" s="4">
        <v>215</v>
      </c>
      <c r="AB219" s="4">
        <v>3</v>
      </c>
      <c r="AC219" s="4">
        <v>3</v>
      </c>
      <c r="AD219" s="4">
        <v>10</v>
      </c>
      <c r="AE219" s="4">
        <v>10</v>
      </c>
      <c r="AF219" s="4">
        <v>2</v>
      </c>
      <c r="AG219" s="4">
        <v>2</v>
      </c>
      <c r="AH219" s="4">
        <v>2</v>
      </c>
      <c r="AI219" s="4">
        <v>2</v>
      </c>
      <c r="AJ219" s="4">
        <v>6</v>
      </c>
      <c r="AK219" s="4">
        <v>6</v>
      </c>
      <c r="AL219" s="4">
        <v>2</v>
      </c>
      <c r="AM219" s="4">
        <v>2</v>
      </c>
      <c r="AN219" s="4">
        <v>0</v>
      </c>
      <c r="AO219" s="4">
        <v>0</v>
      </c>
      <c r="AP219" s="3" t="s">
        <v>59</v>
      </c>
      <c r="AQ219" s="3" t="s">
        <v>71</v>
      </c>
      <c r="AR219" s="6" t="str">
        <f>HYPERLINK("http://catalog.hathitrust.org/Record/000369108","HathiTrust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HYPERLINK("https://creighton-primo.hosted.exlibrisgroup.com/primo-explore/search?tab=default_tab&amp;search_scope=EVERYTHING&amp;vid=01CRU&amp;lang=en_US&amp;offset=0&amp;query=any,contains,991000510429702656","Catalog Record")</f>
        <v>Catalog Record</v>
      </c>
      <c r="AT219" s="6" t="str">
        <f>HYPERLINK("http://www.worldcat.org/oclc/11235193","WorldCat Record")</f>
        <v>WorldCat Record</v>
      </c>
      <c r="AU219" s="3" t="s">
        <v>2913</v>
      </c>
      <c r="AV219" s="3" t="s">
        <v>2914</v>
      </c>
      <c r="AW219" s="3" t="s">
        <v>2915</v>
      </c>
      <c r="AX219" s="3" t="s">
        <v>2915</v>
      </c>
      <c r="AY219" s="3" t="s">
        <v>2916</v>
      </c>
      <c r="AZ219" s="3" t="s">
        <v>76</v>
      </c>
      <c r="BB219" s="3" t="s">
        <v>2917</v>
      </c>
      <c r="BC219" s="3" t="s">
        <v>2918</v>
      </c>
      <c r="BD219" s="3" t="s">
        <v>2919</v>
      </c>
    </row>
    <row r="220" spans="1:56" ht="52.5" customHeight="1" x14ac:dyDescent="0.25">
      <c r="A220" s="7" t="s">
        <v>59</v>
      </c>
      <c r="B220" s="2" t="s">
        <v>2920</v>
      </c>
      <c r="C220" s="2" t="s">
        <v>2921</v>
      </c>
      <c r="D220" s="2" t="s">
        <v>2922</v>
      </c>
      <c r="F220" s="3" t="s">
        <v>59</v>
      </c>
      <c r="G220" s="3" t="s">
        <v>60</v>
      </c>
      <c r="H220" s="3" t="s">
        <v>59</v>
      </c>
      <c r="I220" s="3" t="s">
        <v>59</v>
      </c>
      <c r="J220" s="3" t="s">
        <v>61</v>
      </c>
      <c r="K220" s="2" t="s">
        <v>2923</v>
      </c>
      <c r="L220" s="2" t="s">
        <v>2924</v>
      </c>
      <c r="M220" s="3" t="s">
        <v>148</v>
      </c>
      <c r="O220" s="3" t="s">
        <v>65</v>
      </c>
      <c r="P220" s="3" t="s">
        <v>66</v>
      </c>
      <c r="R220" s="3" t="s">
        <v>68</v>
      </c>
      <c r="S220" s="4">
        <v>2</v>
      </c>
      <c r="T220" s="4">
        <v>2</v>
      </c>
      <c r="U220" s="5" t="s">
        <v>2925</v>
      </c>
      <c r="V220" s="5" t="s">
        <v>2925</v>
      </c>
      <c r="W220" s="5" t="s">
        <v>2545</v>
      </c>
      <c r="X220" s="5" t="s">
        <v>2545</v>
      </c>
      <c r="Y220" s="4">
        <v>504</v>
      </c>
      <c r="Z220" s="4">
        <v>369</v>
      </c>
      <c r="AA220" s="4">
        <v>414</v>
      </c>
      <c r="AB220" s="4">
        <v>3</v>
      </c>
      <c r="AC220" s="4">
        <v>3</v>
      </c>
      <c r="AD220" s="4">
        <v>16</v>
      </c>
      <c r="AE220" s="4">
        <v>18</v>
      </c>
      <c r="AF220" s="4">
        <v>3</v>
      </c>
      <c r="AG220" s="4">
        <v>4</v>
      </c>
      <c r="AH220" s="4">
        <v>6</v>
      </c>
      <c r="AI220" s="4">
        <v>6</v>
      </c>
      <c r="AJ220" s="4">
        <v>9</v>
      </c>
      <c r="AK220" s="4">
        <v>10</v>
      </c>
      <c r="AL220" s="4">
        <v>2</v>
      </c>
      <c r="AM220" s="4">
        <v>2</v>
      </c>
      <c r="AN220" s="4">
        <v>0</v>
      </c>
      <c r="AO220" s="4">
        <v>0</v>
      </c>
      <c r="AP220" s="3" t="s">
        <v>59</v>
      </c>
      <c r="AQ220" s="3" t="s">
        <v>71</v>
      </c>
      <c r="AR220" s="6" t="str">
        <f>HYPERLINK("http://catalog.hathitrust.org/Record/000706100","HathiTrust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HYPERLINK("https://creighton-primo.hosted.exlibrisgroup.com/primo-explore/search?tab=default_tab&amp;search_scope=EVERYTHING&amp;vid=01CRU&amp;lang=en_US&amp;offset=0&amp;query=any,contains,991004065669702656","Catalog Record")</f>
        <v>Catalog Record</v>
      </c>
      <c r="AT220" s="6" t="str">
        <f>HYPERLINK("http://www.worldcat.org/oclc/2283898","WorldCat Record")</f>
        <v>WorldCat Record</v>
      </c>
      <c r="AU220" s="3" t="s">
        <v>2926</v>
      </c>
      <c r="AV220" s="3" t="s">
        <v>2927</v>
      </c>
      <c r="AW220" s="3" t="s">
        <v>2928</v>
      </c>
      <c r="AX220" s="3" t="s">
        <v>2928</v>
      </c>
      <c r="AY220" s="3" t="s">
        <v>2929</v>
      </c>
      <c r="AZ220" s="3" t="s">
        <v>76</v>
      </c>
      <c r="BB220" s="3" t="s">
        <v>2930</v>
      </c>
      <c r="BC220" s="3" t="s">
        <v>2931</v>
      </c>
      <c r="BD220" s="3" t="s">
        <v>2932</v>
      </c>
    </row>
    <row r="221" spans="1:56" ht="52.5" customHeight="1" x14ac:dyDescent="0.25">
      <c r="A221" s="7" t="s">
        <v>59</v>
      </c>
      <c r="B221" s="2" t="s">
        <v>2933</v>
      </c>
      <c r="C221" s="2" t="s">
        <v>2934</v>
      </c>
      <c r="D221" s="2" t="s">
        <v>2935</v>
      </c>
      <c r="F221" s="3" t="s">
        <v>59</v>
      </c>
      <c r="G221" s="3" t="s">
        <v>60</v>
      </c>
      <c r="H221" s="3" t="s">
        <v>59</v>
      </c>
      <c r="I221" s="3" t="s">
        <v>59</v>
      </c>
      <c r="J221" s="3" t="s">
        <v>61</v>
      </c>
      <c r="K221" s="2" t="s">
        <v>2936</v>
      </c>
      <c r="L221" s="2" t="s">
        <v>2937</v>
      </c>
      <c r="M221" s="3" t="s">
        <v>1015</v>
      </c>
      <c r="O221" s="3" t="s">
        <v>65</v>
      </c>
      <c r="P221" s="3" t="s">
        <v>699</v>
      </c>
      <c r="Q221" s="2" t="s">
        <v>2938</v>
      </c>
      <c r="R221" s="3" t="s">
        <v>68</v>
      </c>
      <c r="S221" s="4">
        <v>1</v>
      </c>
      <c r="T221" s="4">
        <v>1</v>
      </c>
      <c r="U221" s="5" t="s">
        <v>2441</v>
      </c>
      <c r="V221" s="5" t="s">
        <v>2441</v>
      </c>
      <c r="W221" s="5" t="s">
        <v>1292</v>
      </c>
      <c r="X221" s="5" t="s">
        <v>1292</v>
      </c>
      <c r="Y221" s="4">
        <v>653</v>
      </c>
      <c r="Z221" s="4">
        <v>564</v>
      </c>
      <c r="AA221" s="4">
        <v>571</v>
      </c>
      <c r="AB221" s="4">
        <v>5</v>
      </c>
      <c r="AC221" s="4">
        <v>5</v>
      </c>
      <c r="AD221" s="4">
        <v>24</v>
      </c>
      <c r="AE221" s="4">
        <v>24</v>
      </c>
      <c r="AF221" s="4">
        <v>10</v>
      </c>
      <c r="AG221" s="4">
        <v>10</v>
      </c>
      <c r="AH221" s="4">
        <v>6</v>
      </c>
      <c r="AI221" s="4">
        <v>6</v>
      </c>
      <c r="AJ221" s="4">
        <v>9</v>
      </c>
      <c r="AK221" s="4">
        <v>9</v>
      </c>
      <c r="AL221" s="4">
        <v>4</v>
      </c>
      <c r="AM221" s="4">
        <v>4</v>
      </c>
      <c r="AN221" s="4">
        <v>0</v>
      </c>
      <c r="AO221" s="4">
        <v>0</v>
      </c>
      <c r="AP221" s="3" t="s">
        <v>59</v>
      </c>
      <c r="AQ221" s="3" t="s">
        <v>71</v>
      </c>
      <c r="AR221" s="6" t="str">
        <f>HYPERLINK("http://catalog.hathitrust.org/Record/000657022","HathiTrust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HYPERLINK("https://creighton-primo.hosted.exlibrisgroup.com/primo-explore/search?tab=default_tab&amp;search_scope=EVERYTHING&amp;vid=01CRU&amp;lang=en_US&amp;offset=0&amp;query=any,contains,991001215479702656","Catalog Record")</f>
        <v>Catalog Record</v>
      </c>
      <c r="AT221" s="6" t="str">
        <f>HYPERLINK("http://www.worldcat.org/oclc/193799","WorldCat Record")</f>
        <v>WorldCat Record</v>
      </c>
      <c r="AU221" s="3" t="s">
        <v>2939</v>
      </c>
      <c r="AV221" s="3" t="s">
        <v>2940</v>
      </c>
      <c r="AW221" s="3" t="s">
        <v>2941</v>
      </c>
      <c r="AX221" s="3" t="s">
        <v>2941</v>
      </c>
      <c r="AY221" s="3" t="s">
        <v>2942</v>
      </c>
      <c r="AZ221" s="3" t="s">
        <v>76</v>
      </c>
      <c r="BC221" s="3" t="s">
        <v>2943</v>
      </c>
      <c r="BD221" s="3" t="s">
        <v>2944</v>
      </c>
    </row>
    <row r="222" spans="1:56" ht="52.5" customHeight="1" x14ac:dyDescent="0.25">
      <c r="A222" s="7" t="s">
        <v>59</v>
      </c>
      <c r="B222" s="2" t="s">
        <v>2945</v>
      </c>
      <c r="C222" s="2" t="s">
        <v>2946</v>
      </c>
      <c r="D222" s="2" t="s">
        <v>2947</v>
      </c>
      <c r="F222" s="3" t="s">
        <v>59</v>
      </c>
      <c r="G222" s="3" t="s">
        <v>60</v>
      </c>
      <c r="H222" s="3" t="s">
        <v>59</v>
      </c>
      <c r="I222" s="3" t="s">
        <v>59</v>
      </c>
      <c r="J222" s="3" t="s">
        <v>61</v>
      </c>
      <c r="K222" s="2" t="s">
        <v>2948</v>
      </c>
      <c r="L222" s="2" t="s">
        <v>2949</v>
      </c>
      <c r="M222" s="3" t="s">
        <v>115</v>
      </c>
      <c r="O222" s="3" t="s">
        <v>65</v>
      </c>
      <c r="P222" s="3" t="s">
        <v>66</v>
      </c>
      <c r="Q222" s="2" t="s">
        <v>2950</v>
      </c>
      <c r="R222" s="3" t="s">
        <v>68</v>
      </c>
      <c r="S222" s="4">
        <v>3</v>
      </c>
      <c r="T222" s="4">
        <v>3</v>
      </c>
      <c r="U222" s="5" t="s">
        <v>2951</v>
      </c>
      <c r="V222" s="5" t="s">
        <v>2951</v>
      </c>
      <c r="W222" s="5" t="s">
        <v>2952</v>
      </c>
      <c r="X222" s="5" t="s">
        <v>2952</v>
      </c>
      <c r="Y222" s="4">
        <v>853</v>
      </c>
      <c r="Z222" s="4">
        <v>768</v>
      </c>
      <c r="AA222" s="4">
        <v>769</v>
      </c>
      <c r="AB222" s="4">
        <v>5</v>
      </c>
      <c r="AC222" s="4">
        <v>5</v>
      </c>
      <c r="AD222" s="4">
        <v>32</v>
      </c>
      <c r="AE222" s="4">
        <v>32</v>
      </c>
      <c r="AF222" s="4">
        <v>11</v>
      </c>
      <c r="AG222" s="4">
        <v>11</v>
      </c>
      <c r="AH222" s="4">
        <v>8</v>
      </c>
      <c r="AI222" s="4">
        <v>8</v>
      </c>
      <c r="AJ222" s="4">
        <v>16</v>
      </c>
      <c r="AK222" s="4">
        <v>16</v>
      </c>
      <c r="AL222" s="4">
        <v>4</v>
      </c>
      <c r="AM222" s="4">
        <v>4</v>
      </c>
      <c r="AN222" s="4">
        <v>0</v>
      </c>
      <c r="AO222" s="4">
        <v>0</v>
      </c>
      <c r="AP222" s="3" t="s">
        <v>59</v>
      </c>
      <c r="AQ222" s="3" t="s">
        <v>71</v>
      </c>
      <c r="AR222" s="6" t="str">
        <f>HYPERLINK("http://catalog.hathitrust.org/Record/000657368","HathiTrust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HYPERLINK("https://creighton-primo.hosted.exlibrisgroup.com/primo-explore/search?tab=default_tab&amp;search_scope=EVERYTHING&amp;vid=01CRU&amp;lang=en_US&amp;offset=0&amp;query=any,contains,991002918069702656","Catalog Record")</f>
        <v>Catalog Record</v>
      </c>
      <c r="AT222" s="6" t="str">
        <f>HYPERLINK("http://www.worldcat.org/oclc/525359","WorldCat Record")</f>
        <v>WorldCat Record</v>
      </c>
      <c r="AU222" s="3" t="s">
        <v>2953</v>
      </c>
      <c r="AV222" s="3" t="s">
        <v>2954</v>
      </c>
      <c r="AW222" s="3" t="s">
        <v>2955</v>
      </c>
      <c r="AX222" s="3" t="s">
        <v>2955</v>
      </c>
      <c r="AY222" s="3" t="s">
        <v>2956</v>
      </c>
      <c r="AZ222" s="3" t="s">
        <v>76</v>
      </c>
      <c r="BB222" s="3" t="s">
        <v>2957</v>
      </c>
      <c r="BC222" s="3" t="s">
        <v>2958</v>
      </c>
      <c r="BD222" s="3" t="s">
        <v>2959</v>
      </c>
    </row>
    <row r="223" spans="1:56" ht="52.5" customHeight="1" x14ac:dyDescent="0.25">
      <c r="A223" s="7" t="s">
        <v>59</v>
      </c>
      <c r="B223" s="2" t="s">
        <v>2960</v>
      </c>
      <c r="C223" s="2" t="s">
        <v>2961</v>
      </c>
      <c r="D223" s="2" t="s">
        <v>2962</v>
      </c>
      <c r="F223" s="3" t="s">
        <v>59</v>
      </c>
      <c r="G223" s="3" t="s">
        <v>60</v>
      </c>
      <c r="H223" s="3" t="s">
        <v>59</v>
      </c>
      <c r="I223" s="3" t="s">
        <v>59</v>
      </c>
      <c r="J223" s="3" t="s">
        <v>61</v>
      </c>
      <c r="K223" s="2" t="s">
        <v>2963</v>
      </c>
      <c r="L223" s="2" t="s">
        <v>2964</v>
      </c>
      <c r="M223" s="3" t="s">
        <v>756</v>
      </c>
      <c r="O223" s="3" t="s">
        <v>65</v>
      </c>
      <c r="P223" s="3" t="s">
        <v>66</v>
      </c>
      <c r="Q223" s="2" t="s">
        <v>2965</v>
      </c>
      <c r="R223" s="3" t="s">
        <v>68</v>
      </c>
      <c r="S223" s="4">
        <v>4</v>
      </c>
      <c r="T223" s="4">
        <v>4</v>
      </c>
      <c r="U223" s="5" t="s">
        <v>2468</v>
      </c>
      <c r="V223" s="5" t="s">
        <v>2468</v>
      </c>
      <c r="W223" s="5" t="s">
        <v>1292</v>
      </c>
      <c r="X223" s="5" t="s">
        <v>1292</v>
      </c>
      <c r="Y223" s="4">
        <v>798</v>
      </c>
      <c r="Z223" s="4">
        <v>755</v>
      </c>
      <c r="AA223" s="4">
        <v>1071</v>
      </c>
      <c r="AB223" s="4">
        <v>7</v>
      </c>
      <c r="AC223" s="4">
        <v>9</v>
      </c>
      <c r="AD223" s="4">
        <v>26</v>
      </c>
      <c r="AE223" s="4">
        <v>35</v>
      </c>
      <c r="AF223" s="4">
        <v>12</v>
      </c>
      <c r="AG223" s="4">
        <v>14</v>
      </c>
      <c r="AH223" s="4">
        <v>4</v>
      </c>
      <c r="AI223" s="4">
        <v>6</v>
      </c>
      <c r="AJ223" s="4">
        <v>11</v>
      </c>
      <c r="AK223" s="4">
        <v>17</v>
      </c>
      <c r="AL223" s="4">
        <v>4</v>
      </c>
      <c r="AM223" s="4">
        <v>5</v>
      </c>
      <c r="AN223" s="4">
        <v>0</v>
      </c>
      <c r="AO223" s="4">
        <v>0</v>
      </c>
      <c r="AP223" s="3" t="s">
        <v>59</v>
      </c>
      <c r="AQ223" s="3" t="s">
        <v>71</v>
      </c>
      <c r="AR223" s="6" t="str">
        <f>HYPERLINK("http://catalog.hathitrust.org/Record/000658110","HathiTrust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HYPERLINK("https://creighton-primo.hosted.exlibrisgroup.com/primo-explore/search?tab=default_tab&amp;search_scope=EVERYTHING&amp;vid=01CRU&amp;lang=en_US&amp;offset=0&amp;query=any,contains,991003231029702656","Catalog Record")</f>
        <v>Catalog Record</v>
      </c>
      <c r="AT223" s="6" t="str">
        <f>HYPERLINK("http://www.worldcat.org/oclc/755859","WorldCat Record")</f>
        <v>WorldCat Record</v>
      </c>
      <c r="AU223" s="3" t="s">
        <v>2966</v>
      </c>
      <c r="AV223" s="3" t="s">
        <v>2967</v>
      </c>
      <c r="AW223" s="3" t="s">
        <v>2968</v>
      </c>
      <c r="AX223" s="3" t="s">
        <v>2968</v>
      </c>
      <c r="AY223" s="3" t="s">
        <v>2969</v>
      </c>
      <c r="AZ223" s="3" t="s">
        <v>76</v>
      </c>
      <c r="BC223" s="3" t="s">
        <v>2970</v>
      </c>
      <c r="BD223" s="3" t="s">
        <v>2971</v>
      </c>
    </row>
    <row r="224" spans="1:56" ht="52.5" customHeight="1" x14ac:dyDescent="0.25">
      <c r="A224" s="7" t="s">
        <v>59</v>
      </c>
      <c r="B224" s="2" t="s">
        <v>2972</v>
      </c>
      <c r="C224" s="2" t="s">
        <v>2973</v>
      </c>
      <c r="D224" s="2" t="s">
        <v>2974</v>
      </c>
      <c r="F224" s="3" t="s">
        <v>59</v>
      </c>
      <c r="G224" s="3" t="s">
        <v>60</v>
      </c>
      <c r="H224" s="3" t="s">
        <v>59</v>
      </c>
      <c r="I224" s="3" t="s">
        <v>59</v>
      </c>
      <c r="J224" s="3" t="s">
        <v>61</v>
      </c>
      <c r="K224" s="2" t="s">
        <v>2975</v>
      </c>
      <c r="L224" s="2" t="s">
        <v>2976</v>
      </c>
      <c r="M224" s="3" t="s">
        <v>1868</v>
      </c>
      <c r="N224" s="2" t="s">
        <v>887</v>
      </c>
      <c r="O224" s="3" t="s">
        <v>65</v>
      </c>
      <c r="P224" s="3" t="s">
        <v>66</v>
      </c>
      <c r="R224" s="3" t="s">
        <v>68</v>
      </c>
      <c r="S224" s="4">
        <v>5</v>
      </c>
      <c r="T224" s="4">
        <v>5</v>
      </c>
      <c r="U224" s="5" t="s">
        <v>2977</v>
      </c>
      <c r="V224" s="5" t="s">
        <v>2977</v>
      </c>
      <c r="W224" s="5" t="s">
        <v>2978</v>
      </c>
      <c r="X224" s="5" t="s">
        <v>2978</v>
      </c>
      <c r="Y224" s="4">
        <v>188</v>
      </c>
      <c r="Z224" s="4">
        <v>184</v>
      </c>
      <c r="AA224" s="4">
        <v>185</v>
      </c>
      <c r="AB224" s="4">
        <v>2</v>
      </c>
      <c r="AC224" s="4">
        <v>2</v>
      </c>
      <c r="AD224" s="4">
        <v>19</v>
      </c>
      <c r="AE224" s="4">
        <v>19</v>
      </c>
      <c r="AF224" s="4">
        <v>5</v>
      </c>
      <c r="AG224" s="4">
        <v>5</v>
      </c>
      <c r="AH224" s="4">
        <v>3</v>
      </c>
      <c r="AI224" s="4">
        <v>3</v>
      </c>
      <c r="AJ224" s="4">
        <v>15</v>
      </c>
      <c r="AK224" s="4">
        <v>15</v>
      </c>
      <c r="AL224" s="4">
        <v>1</v>
      </c>
      <c r="AM224" s="4">
        <v>1</v>
      </c>
      <c r="AN224" s="4">
        <v>0</v>
      </c>
      <c r="AO224" s="4">
        <v>0</v>
      </c>
      <c r="AP224" s="3" t="s">
        <v>59</v>
      </c>
      <c r="AQ224" s="3" t="s">
        <v>59</v>
      </c>
      <c r="AR224" s="6" t="str">
        <f>HYPERLINK("http://catalog.hathitrust.org/Record/007121227","HathiTrust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HYPERLINK("https://creighton-primo.hosted.exlibrisgroup.com/primo-explore/search?tab=default_tab&amp;search_scope=EVERYTHING&amp;vid=01CRU&amp;lang=en_US&amp;offset=0&amp;query=any,contains,991004292019702656","Catalog Record")</f>
        <v>Catalog Record</v>
      </c>
      <c r="AT224" s="6" t="str">
        <f>HYPERLINK("http://www.worldcat.org/oclc/2949919","WorldCat Record")</f>
        <v>WorldCat Record</v>
      </c>
      <c r="AU224" s="3" t="s">
        <v>2979</v>
      </c>
      <c r="AV224" s="3" t="s">
        <v>2980</v>
      </c>
      <c r="AW224" s="3" t="s">
        <v>2981</v>
      </c>
      <c r="AX224" s="3" t="s">
        <v>2981</v>
      </c>
      <c r="AY224" s="3" t="s">
        <v>2982</v>
      </c>
      <c r="AZ224" s="3" t="s">
        <v>76</v>
      </c>
      <c r="BC224" s="3" t="s">
        <v>2983</v>
      </c>
      <c r="BD224" s="3" t="s">
        <v>2984</v>
      </c>
    </row>
    <row r="225" spans="1:56" ht="52.5" customHeight="1" x14ac:dyDescent="0.25">
      <c r="A225" s="7" t="s">
        <v>59</v>
      </c>
      <c r="B225" s="2" t="s">
        <v>2985</v>
      </c>
      <c r="C225" s="2" t="s">
        <v>2986</v>
      </c>
      <c r="D225" s="2" t="s">
        <v>2987</v>
      </c>
      <c r="F225" s="3" t="s">
        <v>59</v>
      </c>
      <c r="G225" s="3" t="s">
        <v>60</v>
      </c>
      <c r="H225" s="3" t="s">
        <v>59</v>
      </c>
      <c r="I225" s="3" t="s">
        <v>59</v>
      </c>
      <c r="J225" s="3" t="s">
        <v>61</v>
      </c>
      <c r="K225" s="2" t="s">
        <v>2988</v>
      </c>
      <c r="L225" s="2" t="s">
        <v>2989</v>
      </c>
      <c r="M225" s="3" t="s">
        <v>684</v>
      </c>
      <c r="O225" s="3" t="s">
        <v>65</v>
      </c>
      <c r="P225" s="3" t="s">
        <v>420</v>
      </c>
      <c r="R225" s="3" t="s">
        <v>68</v>
      </c>
      <c r="S225" s="4">
        <v>6</v>
      </c>
      <c r="T225" s="4">
        <v>6</v>
      </c>
      <c r="U225" s="5" t="s">
        <v>2990</v>
      </c>
      <c r="V225" s="5" t="s">
        <v>2990</v>
      </c>
      <c r="W225" s="5" t="s">
        <v>2493</v>
      </c>
      <c r="X225" s="5" t="s">
        <v>2493</v>
      </c>
      <c r="Y225" s="4">
        <v>331</v>
      </c>
      <c r="Z225" s="4">
        <v>286</v>
      </c>
      <c r="AA225" s="4">
        <v>314</v>
      </c>
      <c r="AB225" s="4">
        <v>3</v>
      </c>
      <c r="AC225" s="4">
        <v>3</v>
      </c>
      <c r="AD225" s="4">
        <v>12</v>
      </c>
      <c r="AE225" s="4">
        <v>13</v>
      </c>
      <c r="AF225" s="4">
        <v>5</v>
      </c>
      <c r="AG225" s="4">
        <v>6</v>
      </c>
      <c r="AH225" s="4">
        <v>2</v>
      </c>
      <c r="AI225" s="4">
        <v>2</v>
      </c>
      <c r="AJ225" s="4">
        <v>7</v>
      </c>
      <c r="AK225" s="4">
        <v>8</v>
      </c>
      <c r="AL225" s="4">
        <v>2</v>
      </c>
      <c r="AM225" s="4">
        <v>2</v>
      </c>
      <c r="AN225" s="4">
        <v>0</v>
      </c>
      <c r="AO225" s="4">
        <v>0</v>
      </c>
      <c r="AP225" s="3" t="s">
        <v>59</v>
      </c>
      <c r="AQ225" s="3" t="s">
        <v>71</v>
      </c>
      <c r="AR225" s="6" t="str">
        <f>HYPERLINK("http://catalog.hathitrust.org/Record/007116781","HathiTrust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HYPERLINK("https://creighton-primo.hosted.exlibrisgroup.com/primo-explore/search?tab=default_tab&amp;search_scope=EVERYTHING&amp;vid=01CRU&amp;lang=en_US&amp;offset=0&amp;query=any,contains,991005115969702656","Catalog Record")</f>
        <v>Catalog Record</v>
      </c>
      <c r="AT225" s="6" t="str">
        <f>HYPERLINK("http://www.worldcat.org/oclc/7462471","WorldCat Record")</f>
        <v>WorldCat Record</v>
      </c>
      <c r="AU225" s="3" t="s">
        <v>2991</v>
      </c>
      <c r="AV225" s="3" t="s">
        <v>2992</v>
      </c>
      <c r="AW225" s="3" t="s">
        <v>2993</v>
      </c>
      <c r="AX225" s="3" t="s">
        <v>2993</v>
      </c>
      <c r="AY225" s="3" t="s">
        <v>2994</v>
      </c>
      <c r="AZ225" s="3" t="s">
        <v>76</v>
      </c>
      <c r="BB225" s="3" t="s">
        <v>2995</v>
      </c>
      <c r="BC225" s="3" t="s">
        <v>2996</v>
      </c>
      <c r="BD225" s="3" t="s">
        <v>2997</v>
      </c>
    </row>
    <row r="226" spans="1:56" ht="52.5" customHeight="1" x14ac:dyDescent="0.25">
      <c r="A226" s="7" t="s">
        <v>59</v>
      </c>
      <c r="B226" s="2" t="s">
        <v>2998</v>
      </c>
      <c r="C226" s="2" t="s">
        <v>2999</v>
      </c>
      <c r="D226" s="2" t="s">
        <v>3000</v>
      </c>
      <c r="F226" s="3" t="s">
        <v>59</v>
      </c>
      <c r="G226" s="3" t="s">
        <v>60</v>
      </c>
      <c r="H226" s="3" t="s">
        <v>59</v>
      </c>
      <c r="I226" s="3" t="s">
        <v>59</v>
      </c>
      <c r="J226" s="3" t="s">
        <v>61</v>
      </c>
      <c r="K226" s="2" t="s">
        <v>2988</v>
      </c>
      <c r="L226" s="2" t="s">
        <v>3001</v>
      </c>
      <c r="M226" s="3" t="s">
        <v>148</v>
      </c>
      <c r="O226" s="3" t="s">
        <v>65</v>
      </c>
      <c r="P226" s="3" t="s">
        <v>66</v>
      </c>
      <c r="R226" s="3" t="s">
        <v>68</v>
      </c>
      <c r="S226" s="4">
        <v>4</v>
      </c>
      <c r="T226" s="4">
        <v>4</v>
      </c>
      <c r="U226" s="5" t="s">
        <v>2977</v>
      </c>
      <c r="V226" s="5" t="s">
        <v>2977</v>
      </c>
      <c r="W226" s="5" t="s">
        <v>2545</v>
      </c>
      <c r="X226" s="5" t="s">
        <v>2545</v>
      </c>
      <c r="Y226" s="4">
        <v>973</v>
      </c>
      <c r="Z226" s="4">
        <v>890</v>
      </c>
      <c r="AA226" s="4">
        <v>994</v>
      </c>
      <c r="AB226" s="4">
        <v>8</v>
      </c>
      <c r="AC226" s="4">
        <v>8</v>
      </c>
      <c r="AD226" s="4">
        <v>29</v>
      </c>
      <c r="AE226" s="4">
        <v>33</v>
      </c>
      <c r="AF226" s="4">
        <v>10</v>
      </c>
      <c r="AG226" s="4">
        <v>10</v>
      </c>
      <c r="AH226" s="4">
        <v>7</v>
      </c>
      <c r="AI226" s="4">
        <v>8</v>
      </c>
      <c r="AJ226" s="4">
        <v>13</v>
      </c>
      <c r="AK226" s="4">
        <v>17</v>
      </c>
      <c r="AL226" s="4">
        <v>6</v>
      </c>
      <c r="AM226" s="4">
        <v>6</v>
      </c>
      <c r="AN226" s="4">
        <v>0</v>
      </c>
      <c r="AO226" s="4">
        <v>0</v>
      </c>
      <c r="AP226" s="3" t="s">
        <v>59</v>
      </c>
      <c r="AQ226" s="3" t="s">
        <v>71</v>
      </c>
      <c r="AR226" s="6" t="str">
        <f>HYPERLINK("http://catalog.hathitrust.org/Record/000738719","HathiTrust Record")</f>
        <v>HathiTrust Record</v>
      </c>
      <c r="AS226" s="6" t="str">
        <f>HYPERLINK("https://creighton-primo.hosted.exlibrisgroup.com/primo-explore/search?tab=default_tab&amp;search_scope=EVERYTHING&amp;vid=01CRU&amp;lang=en_US&amp;offset=0&amp;query=any,contains,991004083089702656","Catalog Record")</f>
        <v>Catalog Record</v>
      </c>
      <c r="AT226" s="6" t="str">
        <f>HYPERLINK("http://www.worldcat.org/oclc/2331265","WorldCat Record")</f>
        <v>WorldCat Record</v>
      </c>
      <c r="AU226" s="3" t="s">
        <v>3002</v>
      </c>
      <c r="AV226" s="3" t="s">
        <v>3003</v>
      </c>
      <c r="AW226" s="3" t="s">
        <v>3004</v>
      </c>
      <c r="AX226" s="3" t="s">
        <v>3004</v>
      </c>
      <c r="AY226" s="3" t="s">
        <v>3005</v>
      </c>
      <c r="AZ226" s="3" t="s">
        <v>76</v>
      </c>
      <c r="BB226" s="3" t="s">
        <v>3006</v>
      </c>
      <c r="BC226" s="3" t="s">
        <v>3007</v>
      </c>
      <c r="BD226" s="3" t="s">
        <v>3008</v>
      </c>
    </row>
    <row r="227" spans="1:56" ht="52.5" customHeight="1" x14ac:dyDescent="0.25">
      <c r="A227" s="7" t="s">
        <v>59</v>
      </c>
      <c r="B227" s="2" t="s">
        <v>3009</v>
      </c>
      <c r="C227" s="2" t="s">
        <v>3010</v>
      </c>
      <c r="D227" s="2" t="s">
        <v>3011</v>
      </c>
      <c r="F227" s="3" t="s">
        <v>59</v>
      </c>
      <c r="G227" s="3" t="s">
        <v>60</v>
      </c>
      <c r="H227" s="3" t="s">
        <v>59</v>
      </c>
      <c r="I227" s="3" t="s">
        <v>59</v>
      </c>
      <c r="J227" s="3" t="s">
        <v>61</v>
      </c>
      <c r="K227" s="2" t="s">
        <v>3012</v>
      </c>
      <c r="L227" s="2" t="s">
        <v>3013</v>
      </c>
      <c r="M227" s="3" t="s">
        <v>1000</v>
      </c>
      <c r="O227" s="3" t="s">
        <v>65</v>
      </c>
      <c r="P227" s="3" t="s">
        <v>296</v>
      </c>
      <c r="R227" s="3" t="s">
        <v>68</v>
      </c>
      <c r="S227" s="4">
        <v>4</v>
      </c>
      <c r="T227" s="4">
        <v>4</v>
      </c>
      <c r="U227" s="5" t="s">
        <v>3014</v>
      </c>
      <c r="V227" s="5" t="s">
        <v>3014</v>
      </c>
      <c r="W227" s="5" t="s">
        <v>2493</v>
      </c>
      <c r="X227" s="5" t="s">
        <v>2493</v>
      </c>
      <c r="Y227" s="4">
        <v>839</v>
      </c>
      <c r="Z227" s="4">
        <v>715</v>
      </c>
      <c r="AA227" s="4">
        <v>794</v>
      </c>
      <c r="AB227" s="4">
        <v>3</v>
      </c>
      <c r="AC227" s="4">
        <v>3</v>
      </c>
      <c r="AD227" s="4">
        <v>33</v>
      </c>
      <c r="AE227" s="4">
        <v>36</v>
      </c>
      <c r="AF227" s="4">
        <v>12</v>
      </c>
      <c r="AG227" s="4">
        <v>15</v>
      </c>
      <c r="AH227" s="4">
        <v>9</v>
      </c>
      <c r="AI227" s="4">
        <v>9</v>
      </c>
      <c r="AJ227" s="4">
        <v>17</v>
      </c>
      <c r="AK227" s="4">
        <v>18</v>
      </c>
      <c r="AL227" s="4">
        <v>2</v>
      </c>
      <c r="AM227" s="4">
        <v>2</v>
      </c>
      <c r="AN227" s="4">
        <v>0</v>
      </c>
      <c r="AO227" s="4">
        <v>0</v>
      </c>
      <c r="AP227" s="3" t="s">
        <v>59</v>
      </c>
      <c r="AQ227" s="3" t="s">
        <v>59</v>
      </c>
      <c r="AS227" s="6" t="str">
        <f>HYPERLINK("https://creighton-primo.hosted.exlibrisgroup.com/primo-explore/search?tab=default_tab&amp;search_scope=EVERYTHING&amp;vid=01CRU&amp;lang=en_US&amp;offset=0&amp;query=any,contains,991004686459702656","Catalog Record")</f>
        <v>Catalog Record</v>
      </c>
      <c r="AT227" s="6" t="str">
        <f>HYPERLINK("http://www.worldcat.org/oclc/4593155","WorldCat Record")</f>
        <v>WorldCat Record</v>
      </c>
      <c r="AU227" s="3" t="s">
        <v>3015</v>
      </c>
      <c r="AV227" s="3" t="s">
        <v>3016</v>
      </c>
      <c r="AW227" s="3" t="s">
        <v>3017</v>
      </c>
      <c r="AX227" s="3" t="s">
        <v>3017</v>
      </c>
      <c r="AY227" s="3" t="s">
        <v>3018</v>
      </c>
      <c r="AZ227" s="3" t="s">
        <v>76</v>
      </c>
      <c r="BB227" s="3" t="s">
        <v>3019</v>
      </c>
      <c r="BC227" s="3" t="s">
        <v>3020</v>
      </c>
      <c r="BD227" s="3" t="s">
        <v>3021</v>
      </c>
    </row>
    <row r="228" spans="1:56" ht="52.5" customHeight="1" x14ac:dyDescent="0.25">
      <c r="A228" s="7" t="s">
        <v>59</v>
      </c>
      <c r="B228" s="2" t="s">
        <v>3022</v>
      </c>
      <c r="C228" s="2" t="s">
        <v>3023</v>
      </c>
      <c r="D228" s="2" t="s">
        <v>3024</v>
      </c>
      <c r="F228" s="3" t="s">
        <v>59</v>
      </c>
      <c r="G228" s="3" t="s">
        <v>60</v>
      </c>
      <c r="H228" s="3" t="s">
        <v>59</v>
      </c>
      <c r="I228" s="3" t="s">
        <v>59</v>
      </c>
      <c r="J228" s="3" t="s">
        <v>61</v>
      </c>
      <c r="K228" s="2" t="s">
        <v>3025</v>
      </c>
      <c r="L228" s="2" t="s">
        <v>3026</v>
      </c>
      <c r="M228" s="3" t="s">
        <v>1233</v>
      </c>
      <c r="O228" s="3" t="s">
        <v>65</v>
      </c>
      <c r="P228" s="3" t="s">
        <v>66</v>
      </c>
      <c r="R228" s="3" t="s">
        <v>68</v>
      </c>
      <c r="S228" s="4">
        <v>4</v>
      </c>
      <c r="T228" s="4">
        <v>4</v>
      </c>
      <c r="U228" s="5" t="s">
        <v>3027</v>
      </c>
      <c r="V228" s="5" t="s">
        <v>3027</v>
      </c>
      <c r="W228" s="5" t="s">
        <v>3028</v>
      </c>
      <c r="X228" s="5" t="s">
        <v>3028</v>
      </c>
      <c r="Y228" s="4">
        <v>479</v>
      </c>
      <c r="Z228" s="4">
        <v>429</v>
      </c>
      <c r="AA228" s="4">
        <v>543</v>
      </c>
      <c r="AB228" s="4">
        <v>3</v>
      </c>
      <c r="AC228" s="4">
        <v>3</v>
      </c>
      <c r="AD228" s="4">
        <v>19</v>
      </c>
      <c r="AE228" s="4">
        <v>22</v>
      </c>
      <c r="AF228" s="4">
        <v>6</v>
      </c>
      <c r="AG228" s="4">
        <v>7</v>
      </c>
      <c r="AH228" s="4">
        <v>6</v>
      </c>
      <c r="AI228" s="4">
        <v>6</v>
      </c>
      <c r="AJ228" s="4">
        <v>8</v>
      </c>
      <c r="AK228" s="4">
        <v>11</v>
      </c>
      <c r="AL228" s="4">
        <v>2</v>
      </c>
      <c r="AM228" s="4">
        <v>2</v>
      </c>
      <c r="AN228" s="4">
        <v>0</v>
      </c>
      <c r="AO228" s="4">
        <v>0</v>
      </c>
      <c r="AP228" s="3" t="s">
        <v>59</v>
      </c>
      <c r="AQ228" s="3" t="s">
        <v>71</v>
      </c>
      <c r="AR228" s="6" t="str">
        <f>HYPERLINK("http://catalog.hathitrust.org/Record/000656860","HathiTrust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HYPERLINK("https://creighton-primo.hosted.exlibrisgroup.com/primo-explore/search?tab=default_tab&amp;search_scope=EVERYTHING&amp;vid=01CRU&amp;lang=en_US&amp;offset=0&amp;query=any,contains,991003241159702656","Catalog Record")</f>
        <v>Catalog Record</v>
      </c>
      <c r="AT228" s="6" t="str">
        <f>HYPERLINK("http://www.worldcat.org/oclc/763819","WorldCat Record")</f>
        <v>WorldCat Record</v>
      </c>
      <c r="AU228" s="3" t="s">
        <v>3029</v>
      </c>
      <c r="AV228" s="3" t="s">
        <v>3030</v>
      </c>
      <c r="AW228" s="3" t="s">
        <v>3031</v>
      </c>
      <c r="AX228" s="3" t="s">
        <v>3031</v>
      </c>
      <c r="AY228" s="3" t="s">
        <v>3032</v>
      </c>
      <c r="AZ228" s="3" t="s">
        <v>76</v>
      </c>
      <c r="BB228" s="3" t="s">
        <v>3033</v>
      </c>
      <c r="BC228" s="3" t="s">
        <v>3034</v>
      </c>
      <c r="BD228" s="3" t="s">
        <v>3035</v>
      </c>
    </row>
    <row r="229" spans="1:56" ht="52.5" customHeight="1" x14ac:dyDescent="0.25">
      <c r="A229" s="7" t="s">
        <v>59</v>
      </c>
      <c r="B229" s="2" t="s">
        <v>3036</v>
      </c>
      <c r="C229" s="2" t="s">
        <v>3037</v>
      </c>
      <c r="D229" s="2" t="s">
        <v>3038</v>
      </c>
      <c r="F229" s="3" t="s">
        <v>59</v>
      </c>
      <c r="G229" s="3" t="s">
        <v>60</v>
      </c>
      <c r="H229" s="3" t="s">
        <v>59</v>
      </c>
      <c r="I229" s="3" t="s">
        <v>59</v>
      </c>
      <c r="J229" s="3" t="s">
        <v>61</v>
      </c>
      <c r="K229" s="2" t="s">
        <v>3039</v>
      </c>
      <c r="L229" s="2" t="s">
        <v>3040</v>
      </c>
      <c r="M229" s="3" t="s">
        <v>1163</v>
      </c>
      <c r="O229" s="3" t="s">
        <v>65</v>
      </c>
      <c r="P229" s="3" t="s">
        <v>1262</v>
      </c>
      <c r="R229" s="3" t="s">
        <v>68</v>
      </c>
      <c r="S229" s="4">
        <v>4</v>
      </c>
      <c r="T229" s="4">
        <v>4</v>
      </c>
      <c r="U229" s="5" t="s">
        <v>3041</v>
      </c>
      <c r="V229" s="5" t="s">
        <v>3041</v>
      </c>
      <c r="W229" s="5" t="s">
        <v>2493</v>
      </c>
      <c r="X229" s="5" t="s">
        <v>2493</v>
      </c>
      <c r="Y229" s="4">
        <v>635</v>
      </c>
      <c r="Z229" s="4">
        <v>455</v>
      </c>
      <c r="AA229" s="4">
        <v>514</v>
      </c>
      <c r="AB229" s="4">
        <v>3</v>
      </c>
      <c r="AC229" s="4">
        <v>3</v>
      </c>
      <c r="AD229" s="4">
        <v>21</v>
      </c>
      <c r="AE229" s="4">
        <v>23</v>
      </c>
      <c r="AF229" s="4">
        <v>9</v>
      </c>
      <c r="AG229" s="4">
        <v>9</v>
      </c>
      <c r="AH229" s="4">
        <v>3</v>
      </c>
      <c r="AI229" s="4">
        <v>4</v>
      </c>
      <c r="AJ229" s="4">
        <v>12</v>
      </c>
      <c r="AK229" s="4">
        <v>13</v>
      </c>
      <c r="AL229" s="4">
        <v>2</v>
      </c>
      <c r="AM229" s="4">
        <v>2</v>
      </c>
      <c r="AN229" s="4">
        <v>0</v>
      </c>
      <c r="AO229" s="4">
        <v>0</v>
      </c>
      <c r="AP229" s="3" t="s">
        <v>59</v>
      </c>
      <c r="AQ229" s="3" t="s">
        <v>71</v>
      </c>
      <c r="AR229" s="6" t="str">
        <f>HYPERLINK("http://catalog.hathitrust.org/Record/000363014","HathiTrust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HYPERLINK("https://creighton-primo.hosted.exlibrisgroup.com/primo-explore/search?tab=default_tab&amp;search_scope=EVERYTHING&amp;vid=01CRU&amp;lang=en_US&amp;offset=0&amp;query=any,contains,991000425569702656","Catalog Record")</f>
        <v>Catalog Record</v>
      </c>
      <c r="AT229" s="6" t="str">
        <f>HYPERLINK("http://www.worldcat.org/oclc/10753158","WorldCat Record")</f>
        <v>WorldCat Record</v>
      </c>
      <c r="AU229" s="3" t="s">
        <v>3042</v>
      </c>
      <c r="AV229" s="3" t="s">
        <v>3043</v>
      </c>
      <c r="AW229" s="3" t="s">
        <v>3044</v>
      </c>
      <c r="AX229" s="3" t="s">
        <v>3044</v>
      </c>
      <c r="AY229" s="3" t="s">
        <v>3045</v>
      </c>
      <c r="AZ229" s="3" t="s">
        <v>76</v>
      </c>
      <c r="BB229" s="3" t="s">
        <v>3046</v>
      </c>
      <c r="BC229" s="3" t="s">
        <v>3047</v>
      </c>
      <c r="BD229" s="3" t="s">
        <v>3048</v>
      </c>
    </row>
    <row r="230" spans="1:56" ht="52.5" customHeight="1" x14ac:dyDescent="0.25">
      <c r="A230" s="7" t="s">
        <v>59</v>
      </c>
      <c r="B230" s="2" t="s">
        <v>3049</v>
      </c>
      <c r="C230" s="2" t="s">
        <v>3050</v>
      </c>
      <c r="D230" s="2" t="s">
        <v>3051</v>
      </c>
      <c r="F230" s="3" t="s">
        <v>59</v>
      </c>
      <c r="G230" s="3" t="s">
        <v>60</v>
      </c>
      <c r="H230" s="3" t="s">
        <v>59</v>
      </c>
      <c r="I230" s="3" t="s">
        <v>59</v>
      </c>
      <c r="J230" s="3" t="s">
        <v>61</v>
      </c>
      <c r="K230" s="2" t="s">
        <v>3052</v>
      </c>
      <c r="L230" s="2" t="s">
        <v>3053</v>
      </c>
      <c r="M230" s="3" t="s">
        <v>514</v>
      </c>
      <c r="O230" s="3" t="s">
        <v>65</v>
      </c>
      <c r="P230" s="3" t="s">
        <v>66</v>
      </c>
      <c r="R230" s="3" t="s">
        <v>68</v>
      </c>
      <c r="S230" s="4">
        <v>4</v>
      </c>
      <c r="T230" s="4">
        <v>4</v>
      </c>
      <c r="U230" s="5" t="s">
        <v>3054</v>
      </c>
      <c r="V230" s="5" t="s">
        <v>3054</v>
      </c>
      <c r="W230" s="5" t="s">
        <v>3055</v>
      </c>
      <c r="X230" s="5" t="s">
        <v>3055</v>
      </c>
      <c r="Y230" s="4">
        <v>592</v>
      </c>
      <c r="Z230" s="4">
        <v>557</v>
      </c>
      <c r="AA230" s="4">
        <v>663</v>
      </c>
      <c r="AB230" s="4">
        <v>3</v>
      </c>
      <c r="AC230" s="4">
        <v>5</v>
      </c>
      <c r="AD230" s="4">
        <v>25</v>
      </c>
      <c r="AE230" s="4">
        <v>31</v>
      </c>
      <c r="AF230" s="4">
        <v>11</v>
      </c>
      <c r="AG230" s="4">
        <v>13</v>
      </c>
      <c r="AH230" s="4">
        <v>3</v>
      </c>
      <c r="AI230" s="4">
        <v>6</v>
      </c>
      <c r="AJ230" s="4">
        <v>17</v>
      </c>
      <c r="AK230" s="4">
        <v>19</v>
      </c>
      <c r="AL230" s="4">
        <v>2</v>
      </c>
      <c r="AM230" s="4">
        <v>3</v>
      </c>
      <c r="AN230" s="4">
        <v>0</v>
      </c>
      <c r="AO230" s="4">
        <v>0</v>
      </c>
      <c r="AP230" s="3" t="s">
        <v>59</v>
      </c>
      <c r="AQ230" s="3" t="s">
        <v>59</v>
      </c>
      <c r="AS230" s="6" t="str">
        <f>HYPERLINK("https://creighton-primo.hosted.exlibrisgroup.com/primo-explore/search?tab=default_tab&amp;search_scope=EVERYTHING&amp;vid=01CRU&amp;lang=en_US&amp;offset=0&amp;query=any,contains,991003181649702656","Catalog Record")</f>
        <v>Catalog Record</v>
      </c>
      <c r="AT230" s="6" t="str">
        <f>HYPERLINK("http://www.worldcat.org/oclc/711876","WorldCat Record")</f>
        <v>WorldCat Record</v>
      </c>
      <c r="AU230" s="3" t="s">
        <v>3056</v>
      </c>
      <c r="AV230" s="3" t="s">
        <v>3057</v>
      </c>
      <c r="AW230" s="3" t="s">
        <v>3058</v>
      </c>
      <c r="AX230" s="3" t="s">
        <v>3058</v>
      </c>
      <c r="AY230" s="3" t="s">
        <v>3059</v>
      </c>
      <c r="AZ230" s="3" t="s">
        <v>76</v>
      </c>
      <c r="BC230" s="3" t="s">
        <v>3060</v>
      </c>
      <c r="BD230" s="3" t="s">
        <v>3061</v>
      </c>
    </row>
    <row r="231" spans="1:56" ht="52.5" customHeight="1" x14ac:dyDescent="0.25">
      <c r="A231" s="7" t="s">
        <v>59</v>
      </c>
      <c r="B231" s="2" t="s">
        <v>3062</v>
      </c>
      <c r="C231" s="2" t="s">
        <v>3063</v>
      </c>
      <c r="D231" s="2" t="s">
        <v>3064</v>
      </c>
      <c r="F231" s="3" t="s">
        <v>59</v>
      </c>
      <c r="G231" s="3" t="s">
        <v>60</v>
      </c>
      <c r="H231" s="3" t="s">
        <v>59</v>
      </c>
      <c r="I231" s="3" t="s">
        <v>59</v>
      </c>
      <c r="J231" s="3" t="s">
        <v>61</v>
      </c>
      <c r="K231" s="2" t="s">
        <v>3065</v>
      </c>
      <c r="L231" s="2" t="s">
        <v>3066</v>
      </c>
      <c r="M231" s="3" t="s">
        <v>224</v>
      </c>
      <c r="N231" s="2" t="s">
        <v>887</v>
      </c>
      <c r="O231" s="3" t="s">
        <v>65</v>
      </c>
      <c r="P231" s="3" t="s">
        <v>66</v>
      </c>
      <c r="R231" s="3" t="s">
        <v>68</v>
      </c>
      <c r="S231" s="4">
        <v>2</v>
      </c>
      <c r="T231" s="4">
        <v>2</v>
      </c>
      <c r="U231" s="5" t="s">
        <v>3067</v>
      </c>
      <c r="V231" s="5" t="s">
        <v>3067</v>
      </c>
      <c r="W231" s="5" t="s">
        <v>1292</v>
      </c>
      <c r="X231" s="5" t="s">
        <v>1292</v>
      </c>
      <c r="Y231" s="4">
        <v>1397</v>
      </c>
      <c r="Z231" s="4">
        <v>1241</v>
      </c>
      <c r="AA231" s="4">
        <v>1248</v>
      </c>
      <c r="AB231" s="4">
        <v>6</v>
      </c>
      <c r="AC231" s="4">
        <v>6</v>
      </c>
      <c r="AD231" s="4">
        <v>42</v>
      </c>
      <c r="AE231" s="4">
        <v>42</v>
      </c>
      <c r="AF231" s="4">
        <v>20</v>
      </c>
      <c r="AG231" s="4">
        <v>20</v>
      </c>
      <c r="AH231" s="4">
        <v>8</v>
      </c>
      <c r="AI231" s="4">
        <v>8</v>
      </c>
      <c r="AJ231" s="4">
        <v>21</v>
      </c>
      <c r="AK231" s="4">
        <v>21</v>
      </c>
      <c r="AL231" s="4">
        <v>3</v>
      </c>
      <c r="AM231" s="4">
        <v>3</v>
      </c>
      <c r="AN231" s="4">
        <v>0</v>
      </c>
      <c r="AO231" s="4">
        <v>0</v>
      </c>
      <c r="AP231" s="3" t="s">
        <v>59</v>
      </c>
      <c r="AQ231" s="3" t="s">
        <v>59</v>
      </c>
      <c r="AS231" s="6" t="str">
        <f>HYPERLINK("https://creighton-primo.hosted.exlibrisgroup.com/primo-explore/search?tab=default_tab&amp;search_scope=EVERYTHING&amp;vid=01CRU&amp;lang=en_US&amp;offset=0&amp;query=any,contains,991003503699702656","Catalog Record")</f>
        <v>Catalog Record</v>
      </c>
      <c r="AT231" s="6" t="str">
        <f>HYPERLINK("http://www.worldcat.org/oclc/1055523","WorldCat Record")</f>
        <v>WorldCat Record</v>
      </c>
      <c r="AU231" s="3" t="s">
        <v>3068</v>
      </c>
      <c r="AV231" s="3" t="s">
        <v>3069</v>
      </c>
      <c r="AW231" s="3" t="s">
        <v>3070</v>
      </c>
      <c r="AX231" s="3" t="s">
        <v>3070</v>
      </c>
      <c r="AY231" s="3" t="s">
        <v>3071</v>
      </c>
      <c r="AZ231" s="3" t="s">
        <v>76</v>
      </c>
      <c r="BB231" s="3" t="s">
        <v>3072</v>
      </c>
      <c r="BC231" s="3" t="s">
        <v>3073</v>
      </c>
      <c r="BD231" s="3" t="s">
        <v>3074</v>
      </c>
    </row>
    <row r="232" spans="1:56" ht="52.5" customHeight="1" x14ac:dyDescent="0.25">
      <c r="A232" s="7" t="s">
        <v>59</v>
      </c>
      <c r="B232" s="2" t="s">
        <v>3075</v>
      </c>
      <c r="C232" s="2" t="s">
        <v>3076</v>
      </c>
      <c r="D232" s="2" t="s">
        <v>3077</v>
      </c>
      <c r="F232" s="3" t="s">
        <v>59</v>
      </c>
      <c r="G232" s="3" t="s">
        <v>60</v>
      </c>
      <c r="H232" s="3" t="s">
        <v>59</v>
      </c>
      <c r="I232" s="3" t="s">
        <v>59</v>
      </c>
      <c r="J232" s="3" t="s">
        <v>61</v>
      </c>
      <c r="K232" s="2" t="s">
        <v>3078</v>
      </c>
      <c r="L232" s="2" t="s">
        <v>3079</v>
      </c>
      <c r="M232" s="3" t="s">
        <v>224</v>
      </c>
      <c r="O232" s="3" t="s">
        <v>65</v>
      </c>
      <c r="P232" s="3" t="s">
        <v>323</v>
      </c>
      <c r="R232" s="3" t="s">
        <v>68</v>
      </c>
      <c r="S232" s="4">
        <v>1</v>
      </c>
      <c r="T232" s="4">
        <v>1</v>
      </c>
      <c r="U232" s="5" t="s">
        <v>3080</v>
      </c>
      <c r="V232" s="5" t="s">
        <v>3080</v>
      </c>
      <c r="W232" s="5" t="s">
        <v>3081</v>
      </c>
      <c r="X232" s="5" t="s">
        <v>3081</v>
      </c>
      <c r="Y232" s="4">
        <v>624</v>
      </c>
      <c r="Z232" s="4">
        <v>590</v>
      </c>
      <c r="AA232" s="4">
        <v>637</v>
      </c>
      <c r="AB232" s="4">
        <v>3</v>
      </c>
      <c r="AC232" s="4">
        <v>4</v>
      </c>
      <c r="AD232" s="4">
        <v>28</v>
      </c>
      <c r="AE232" s="4">
        <v>30</v>
      </c>
      <c r="AF232" s="4">
        <v>14</v>
      </c>
      <c r="AG232" s="4">
        <v>14</v>
      </c>
      <c r="AH232" s="4">
        <v>5</v>
      </c>
      <c r="AI232" s="4">
        <v>5</v>
      </c>
      <c r="AJ232" s="4">
        <v>15</v>
      </c>
      <c r="AK232" s="4">
        <v>16</v>
      </c>
      <c r="AL232" s="4">
        <v>2</v>
      </c>
      <c r="AM232" s="4">
        <v>3</v>
      </c>
      <c r="AN232" s="4">
        <v>0</v>
      </c>
      <c r="AO232" s="4">
        <v>0</v>
      </c>
      <c r="AP232" s="3" t="s">
        <v>59</v>
      </c>
      <c r="AQ232" s="3" t="s">
        <v>71</v>
      </c>
      <c r="AR232" s="6" t="str">
        <f>HYPERLINK("http://catalog.hathitrust.org/Record/102067808","HathiTrust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HYPERLINK("https://creighton-primo.hosted.exlibrisgroup.com/primo-explore/search?tab=default_tab&amp;search_scope=EVERYTHING&amp;vid=01CRU&amp;lang=en_US&amp;offset=0&amp;query=any,contains,991003962319702656","Catalog Record")</f>
        <v>Catalog Record</v>
      </c>
      <c r="AT232" s="6" t="str">
        <f>HYPERLINK("http://www.worldcat.org/oclc/1975999","WorldCat Record")</f>
        <v>WorldCat Record</v>
      </c>
      <c r="AU232" s="3" t="s">
        <v>3082</v>
      </c>
      <c r="AV232" s="3" t="s">
        <v>3083</v>
      </c>
      <c r="AW232" s="3" t="s">
        <v>3084</v>
      </c>
      <c r="AX232" s="3" t="s">
        <v>3084</v>
      </c>
      <c r="AY232" s="3" t="s">
        <v>3085</v>
      </c>
      <c r="AZ232" s="3" t="s">
        <v>76</v>
      </c>
      <c r="BB232" s="3" t="s">
        <v>3086</v>
      </c>
      <c r="BC232" s="3" t="s">
        <v>3087</v>
      </c>
      <c r="BD232" s="3" t="s">
        <v>3088</v>
      </c>
    </row>
    <row r="233" spans="1:56" ht="52.5" customHeight="1" x14ac:dyDescent="0.25">
      <c r="A233" s="7" t="s">
        <v>59</v>
      </c>
      <c r="B233" s="2" t="s">
        <v>3089</v>
      </c>
      <c r="C233" s="2" t="s">
        <v>3090</v>
      </c>
      <c r="D233" s="2" t="s">
        <v>3091</v>
      </c>
      <c r="F233" s="3" t="s">
        <v>59</v>
      </c>
      <c r="G233" s="3" t="s">
        <v>60</v>
      </c>
      <c r="H233" s="3" t="s">
        <v>59</v>
      </c>
      <c r="I233" s="3" t="s">
        <v>59</v>
      </c>
      <c r="J233" s="3" t="s">
        <v>61</v>
      </c>
      <c r="K233" s="2" t="s">
        <v>3092</v>
      </c>
      <c r="L233" s="2" t="s">
        <v>3093</v>
      </c>
      <c r="M233" s="3" t="s">
        <v>475</v>
      </c>
      <c r="O233" s="3" t="s">
        <v>65</v>
      </c>
      <c r="P233" s="3" t="s">
        <v>972</v>
      </c>
      <c r="R233" s="3" t="s">
        <v>68</v>
      </c>
      <c r="S233" s="4">
        <v>4</v>
      </c>
      <c r="T233" s="4">
        <v>4</v>
      </c>
      <c r="U233" s="5" t="s">
        <v>2691</v>
      </c>
      <c r="V233" s="5" t="s">
        <v>2691</v>
      </c>
      <c r="W233" s="5" t="s">
        <v>3094</v>
      </c>
      <c r="X233" s="5" t="s">
        <v>3094</v>
      </c>
      <c r="Y233" s="4">
        <v>587</v>
      </c>
      <c r="Z233" s="4">
        <v>503</v>
      </c>
      <c r="AA233" s="4">
        <v>573</v>
      </c>
      <c r="AB233" s="4">
        <v>5</v>
      </c>
      <c r="AC233" s="4">
        <v>5</v>
      </c>
      <c r="AD233" s="4">
        <v>25</v>
      </c>
      <c r="AE233" s="4">
        <v>27</v>
      </c>
      <c r="AF233" s="4">
        <v>10</v>
      </c>
      <c r="AG233" s="4">
        <v>12</v>
      </c>
      <c r="AH233" s="4">
        <v>6</v>
      </c>
      <c r="AI233" s="4">
        <v>6</v>
      </c>
      <c r="AJ233" s="4">
        <v>13</v>
      </c>
      <c r="AK233" s="4">
        <v>14</v>
      </c>
      <c r="AL233" s="4">
        <v>3</v>
      </c>
      <c r="AM233" s="4">
        <v>3</v>
      </c>
      <c r="AN233" s="4">
        <v>0</v>
      </c>
      <c r="AO233" s="4">
        <v>0</v>
      </c>
      <c r="AP233" s="3" t="s">
        <v>59</v>
      </c>
      <c r="AQ233" s="3" t="s">
        <v>71</v>
      </c>
      <c r="AR233" s="6" t="str">
        <f>HYPERLINK("http://catalog.hathitrust.org/Record/000318836","HathiTrust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HYPERLINK("https://creighton-primo.hosted.exlibrisgroup.com/primo-explore/search?tab=default_tab&amp;search_scope=EVERYTHING&amp;vid=01CRU&amp;lang=en_US&amp;offset=0&amp;query=any,contains,991000126719702656","Catalog Record")</f>
        <v>Catalog Record</v>
      </c>
      <c r="AT233" s="6" t="str">
        <f>HYPERLINK("http://www.worldcat.org/oclc/9083785","WorldCat Record")</f>
        <v>WorldCat Record</v>
      </c>
      <c r="AU233" s="3" t="s">
        <v>3095</v>
      </c>
      <c r="AV233" s="3" t="s">
        <v>3096</v>
      </c>
      <c r="AW233" s="3" t="s">
        <v>3097</v>
      </c>
      <c r="AX233" s="3" t="s">
        <v>3097</v>
      </c>
      <c r="AY233" s="3" t="s">
        <v>3098</v>
      </c>
      <c r="AZ233" s="3" t="s">
        <v>76</v>
      </c>
      <c r="BB233" s="3" t="s">
        <v>3099</v>
      </c>
      <c r="BC233" s="3" t="s">
        <v>3100</v>
      </c>
      <c r="BD233" s="3" t="s">
        <v>3101</v>
      </c>
    </row>
    <row r="234" spans="1:56" ht="52.5" customHeight="1" x14ac:dyDescent="0.25">
      <c r="A234" s="7" t="s">
        <v>59</v>
      </c>
      <c r="B234" s="2" t="s">
        <v>3102</v>
      </c>
      <c r="C234" s="2" t="s">
        <v>3103</v>
      </c>
      <c r="D234" s="2" t="s">
        <v>3104</v>
      </c>
      <c r="F234" s="3" t="s">
        <v>59</v>
      </c>
      <c r="G234" s="3" t="s">
        <v>60</v>
      </c>
      <c r="H234" s="3" t="s">
        <v>59</v>
      </c>
      <c r="I234" s="3" t="s">
        <v>59</v>
      </c>
      <c r="J234" s="3" t="s">
        <v>61</v>
      </c>
      <c r="K234" s="2" t="s">
        <v>3105</v>
      </c>
      <c r="L234" s="2" t="s">
        <v>3106</v>
      </c>
      <c r="M234" s="3" t="s">
        <v>475</v>
      </c>
      <c r="O234" s="3" t="s">
        <v>65</v>
      </c>
      <c r="P234" s="3" t="s">
        <v>66</v>
      </c>
      <c r="R234" s="3" t="s">
        <v>68</v>
      </c>
      <c r="S234" s="4">
        <v>2</v>
      </c>
      <c r="T234" s="4">
        <v>2</v>
      </c>
      <c r="U234" s="5" t="s">
        <v>3107</v>
      </c>
      <c r="V234" s="5" t="s">
        <v>3107</v>
      </c>
      <c r="W234" s="5" t="s">
        <v>3094</v>
      </c>
      <c r="X234" s="5" t="s">
        <v>3094</v>
      </c>
      <c r="Y234" s="4">
        <v>321</v>
      </c>
      <c r="Z234" s="4">
        <v>268</v>
      </c>
      <c r="AA234" s="4">
        <v>333</v>
      </c>
      <c r="AB234" s="4">
        <v>4</v>
      </c>
      <c r="AC234" s="4">
        <v>4</v>
      </c>
      <c r="AD234" s="4">
        <v>14</v>
      </c>
      <c r="AE234" s="4">
        <v>17</v>
      </c>
      <c r="AF234" s="4">
        <v>3</v>
      </c>
      <c r="AG234" s="4">
        <v>3</v>
      </c>
      <c r="AH234" s="4">
        <v>3</v>
      </c>
      <c r="AI234" s="4">
        <v>4</v>
      </c>
      <c r="AJ234" s="4">
        <v>7</v>
      </c>
      <c r="AK234" s="4">
        <v>9</v>
      </c>
      <c r="AL234" s="4">
        <v>3</v>
      </c>
      <c r="AM234" s="4">
        <v>3</v>
      </c>
      <c r="AN234" s="4">
        <v>0</v>
      </c>
      <c r="AO234" s="4">
        <v>0</v>
      </c>
      <c r="AP234" s="3" t="s">
        <v>59</v>
      </c>
      <c r="AQ234" s="3" t="s">
        <v>59</v>
      </c>
      <c r="AS234" s="6" t="str">
        <f>HYPERLINK("https://creighton-primo.hosted.exlibrisgroup.com/primo-explore/search?tab=default_tab&amp;search_scope=EVERYTHING&amp;vid=01CRU&amp;lang=en_US&amp;offset=0&amp;query=any,contains,991000257749702656","Catalog Record")</f>
        <v>Catalog Record</v>
      </c>
      <c r="AT234" s="6" t="str">
        <f>HYPERLINK("http://www.worldcat.org/oclc/9784260","WorldCat Record")</f>
        <v>WorldCat Record</v>
      </c>
      <c r="AU234" s="3" t="s">
        <v>3108</v>
      </c>
      <c r="AV234" s="3" t="s">
        <v>3109</v>
      </c>
      <c r="AW234" s="3" t="s">
        <v>3110</v>
      </c>
      <c r="AX234" s="3" t="s">
        <v>3110</v>
      </c>
      <c r="AY234" s="3" t="s">
        <v>3111</v>
      </c>
      <c r="AZ234" s="3" t="s">
        <v>76</v>
      </c>
      <c r="BB234" s="3" t="s">
        <v>3112</v>
      </c>
      <c r="BC234" s="3" t="s">
        <v>3113</v>
      </c>
      <c r="BD234" s="3" t="s">
        <v>3114</v>
      </c>
    </row>
    <row r="235" spans="1:56" ht="52.5" customHeight="1" x14ac:dyDescent="0.25">
      <c r="A235" s="7" t="s">
        <v>59</v>
      </c>
      <c r="B235" s="2" t="s">
        <v>3115</v>
      </c>
      <c r="C235" s="2" t="s">
        <v>3116</v>
      </c>
      <c r="D235" s="2" t="s">
        <v>3117</v>
      </c>
      <c r="F235" s="3" t="s">
        <v>59</v>
      </c>
      <c r="G235" s="3" t="s">
        <v>60</v>
      </c>
      <c r="H235" s="3" t="s">
        <v>59</v>
      </c>
      <c r="I235" s="3" t="s">
        <v>59</v>
      </c>
      <c r="J235" s="3" t="s">
        <v>61</v>
      </c>
      <c r="K235" s="2" t="s">
        <v>3118</v>
      </c>
      <c r="L235" s="2" t="s">
        <v>3119</v>
      </c>
      <c r="M235" s="3" t="s">
        <v>475</v>
      </c>
      <c r="O235" s="3" t="s">
        <v>65</v>
      </c>
      <c r="P235" s="3" t="s">
        <v>420</v>
      </c>
      <c r="Q235" s="2" t="s">
        <v>3120</v>
      </c>
      <c r="R235" s="3" t="s">
        <v>68</v>
      </c>
      <c r="S235" s="4">
        <v>2</v>
      </c>
      <c r="T235" s="4">
        <v>2</v>
      </c>
      <c r="U235" s="5" t="s">
        <v>3121</v>
      </c>
      <c r="V235" s="5" t="s">
        <v>3121</v>
      </c>
      <c r="W235" s="5" t="s">
        <v>3094</v>
      </c>
      <c r="X235" s="5" t="s">
        <v>3094</v>
      </c>
      <c r="Y235" s="4">
        <v>303</v>
      </c>
      <c r="Z235" s="4">
        <v>246</v>
      </c>
      <c r="AA235" s="4">
        <v>253</v>
      </c>
      <c r="AB235" s="4">
        <v>3</v>
      </c>
      <c r="AC235" s="4">
        <v>3</v>
      </c>
      <c r="AD235" s="4">
        <v>17</v>
      </c>
      <c r="AE235" s="4">
        <v>17</v>
      </c>
      <c r="AF235" s="4">
        <v>6</v>
      </c>
      <c r="AG235" s="4">
        <v>6</v>
      </c>
      <c r="AH235" s="4">
        <v>3</v>
      </c>
      <c r="AI235" s="4">
        <v>3</v>
      </c>
      <c r="AJ235" s="4">
        <v>12</v>
      </c>
      <c r="AK235" s="4">
        <v>12</v>
      </c>
      <c r="AL235" s="4">
        <v>2</v>
      </c>
      <c r="AM235" s="4">
        <v>2</v>
      </c>
      <c r="AN235" s="4">
        <v>0</v>
      </c>
      <c r="AO235" s="4">
        <v>0</v>
      </c>
      <c r="AP235" s="3" t="s">
        <v>59</v>
      </c>
      <c r="AQ235" s="3" t="s">
        <v>71</v>
      </c>
      <c r="AR235" s="6" t="str">
        <f>HYPERLINK("http://catalog.hathitrust.org/Record/000338006","HathiTrust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HYPERLINK("https://creighton-primo.hosted.exlibrisgroup.com/primo-explore/search?tab=default_tab&amp;search_scope=EVERYTHING&amp;vid=01CRU&amp;lang=en_US&amp;offset=0&amp;query=any,contains,991000087099702656","Catalog Record")</f>
        <v>Catalog Record</v>
      </c>
      <c r="AT235" s="6" t="str">
        <f>HYPERLINK("http://www.worldcat.org/oclc/8866524","WorldCat Record")</f>
        <v>WorldCat Record</v>
      </c>
      <c r="AU235" s="3" t="s">
        <v>3122</v>
      </c>
      <c r="AV235" s="3" t="s">
        <v>3123</v>
      </c>
      <c r="AW235" s="3" t="s">
        <v>3124</v>
      </c>
      <c r="AX235" s="3" t="s">
        <v>3124</v>
      </c>
      <c r="AY235" s="3" t="s">
        <v>3125</v>
      </c>
      <c r="AZ235" s="3" t="s">
        <v>76</v>
      </c>
      <c r="BB235" s="3" t="s">
        <v>3126</v>
      </c>
      <c r="BC235" s="3" t="s">
        <v>3127</v>
      </c>
      <c r="BD235" s="3" t="s">
        <v>3128</v>
      </c>
    </row>
    <row r="236" spans="1:56" ht="52.5" customHeight="1" x14ac:dyDescent="0.25">
      <c r="A236" s="7" t="s">
        <v>59</v>
      </c>
      <c r="B236" s="2" t="s">
        <v>3129</v>
      </c>
      <c r="C236" s="2" t="s">
        <v>3130</v>
      </c>
      <c r="D236" s="2" t="s">
        <v>3131</v>
      </c>
      <c r="F236" s="3" t="s">
        <v>59</v>
      </c>
      <c r="G236" s="3" t="s">
        <v>60</v>
      </c>
      <c r="H236" s="3" t="s">
        <v>59</v>
      </c>
      <c r="I236" s="3" t="s">
        <v>59</v>
      </c>
      <c r="J236" s="3" t="s">
        <v>61</v>
      </c>
      <c r="K236" s="2" t="s">
        <v>3132</v>
      </c>
      <c r="L236" s="2" t="s">
        <v>3133</v>
      </c>
      <c r="M236" s="3" t="s">
        <v>195</v>
      </c>
      <c r="O236" s="3" t="s">
        <v>65</v>
      </c>
      <c r="P236" s="3" t="s">
        <v>66</v>
      </c>
      <c r="R236" s="3" t="s">
        <v>68</v>
      </c>
      <c r="S236" s="4">
        <v>1</v>
      </c>
      <c r="T236" s="4">
        <v>1</v>
      </c>
      <c r="U236" s="5" t="s">
        <v>3134</v>
      </c>
      <c r="V236" s="5" t="s">
        <v>3134</v>
      </c>
      <c r="W236" s="5" t="s">
        <v>3094</v>
      </c>
      <c r="X236" s="5" t="s">
        <v>3094</v>
      </c>
      <c r="Y236" s="4">
        <v>311</v>
      </c>
      <c r="Z236" s="4">
        <v>249</v>
      </c>
      <c r="AA236" s="4">
        <v>353</v>
      </c>
      <c r="AB236" s="4">
        <v>2</v>
      </c>
      <c r="AC236" s="4">
        <v>2</v>
      </c>
      <c r="AD236" s="4">
        <v>7</v>
      </c>
      <c r="AE236" s="4">
        <v>12</v>
      </c>
      <c r="AF236" s="4">
        <v>1</v>
      </c>
      <c r="AG236" s="4">
        <v>3</v>
      </c>
      <c r="AH236" s="4">
        <v>2</v>
      </c>
      <c r="AI236" s="4">
        <v>3</v>
      </c>
      <c r="AJ236" s="4">
        <v>3</v>
      </c>
      <c r="AK236" s="4">
        <v>8</v>
      </c>
      <c r="AL236" s="4">
        <v>1</v>
      </c>
      <c r="AM236" s="4">
        <v>1</v>
      </c>
      <c r="AN236" s="4">
        <v>0</v>
      </c>
      <c r="AO236" s="4">
        <v>0</v>
      </c>
      <c r="AP236" s="3" t="s">
        <v>59</v>
      </c>
      <c r="AQ236" s="3" t="s">
        <v>71</v>
      </c>
      <c r="AR236" s="6" t="str">
        <f>HYPERLINK("http://catalog.hathitrust.org/Record/000101099","HathiTrust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HYPERLINK("https://creighton-primo.hosted.exlibrisgroup.com/primo-explore/search?tab=default_tab&amp;search_scope=EVERYTHING&amp;vid=01CRU&amp;lang=en_US&amp;offset=0&amp;query=any,contains,991000032009702656","Catalog Record")</f>
        <v>Catalog Record</v>
      </c>
      <c r="AT236" s="6" t="str">
        <f>HYPERLINK("http://www.worldcat.org/oclc/8614491","WorldCat Record")</f>
        <v>WorldCat Record</v>
      </c>
      <c r="AU236" s="3" t="s">
        <v>3135</v>
      </c>
      <c r="AV236" s="3" t="s">
        <v>3136</v>
      </c>
      <c r="AW236" s="3" t="s">
        <v>3137</v>
      </c>
      <c r="AX236" s="3" t="s">
        <v>3137</v>
      </c>
      <c r="AY236" s="3" t="s">
        <v>3138</v>
      </c>
      <c r="AZ236" s="3" t="s">
        <v>76</v>
      </c>
      <c r="BB236" s="3" t="s">
        <v>3139</v>
      </c>
      <c r="BC236" s="3" t="s">
        <v>3140</v>
      </c>
      <c r="BD236" s="3" t="s">
        <v>3141</v>
      </c>
    </row>
    <row r="237" spans="1:56" ht="52.5" customHeight="1" x14ac:dyDescent="0.25">
      <c r="A237" s="7" t="s">
        <v>59</v>
      </c>
      <c r="B237" s="2" t="s">
        <v>3142</v>
      </c>
      <c r="C237" s="2" t="s">
        <v>3143</v>
      </c>
      <c r="D237" s="2" t="s">
        <v>3144</v>
      </c>
      <c r="F237" s="3" t="s">
        <v>59</v>
      </c>
      <c r="G237" s="3" t="s">
        <v>60</v>
      </c>
      <c r="H237" s="3" t="s">
        <v>59</v>
      </c>
      <c r="I237" s="3" t="s">
        <v>59</v>
      </c>
      <c r="J237" s="3" t="s">
        <v>61</v>
      </c>
      <c r="K237" s="2" t="s">
        <v>928</v>
      </c>
      <c r="L237" s="2" t="s">
        <v>3145</v>
      </c>
      <c r="M237" s="3" t="s">
        <v>514</v>
      </c>
      <c r="O237" s="3" t="s">
        <v>65</v>
      </c>
      <c r="P237" s="3" t="s">
        <v>66</v>
      </c>
      <c r="Q237" s="2" t="s">
        <v>3146</v>
      </c>
      <c r="R237" s="3" t="s">
        <v>68</v>
      </c>
      <c r="S237" s="4">
        <v>3</v>
      </c>
      <c r="T237" s="4">
        <v>3</v>
      </c>
      <c r="U237" s="5" t="s">
        <v>3147</v>
      </c>
      <c r="V237" s="5" t="s">
        <v>3147</v>
      </c>
      <c r="W237" s="5" t="s">
        <v>1292</v>
      </c>
      <c r="X237" s="5" t="s">
        <v>1292</v>
      </c>
      <c r="Y237" s="4">
        <v>282</v>
      </c>
      <c r="Z237" s="4">
        <v>245</v>
      </c>
      <c r="AA237" s="4">
        <v>278</v>
      </c>
      <c r="AB237" s="4">
        <v>3</v>
      </c>
      <c r="AC237" s="4">
        <v>3</v>
      </c>
      <c r="AD237" s="4">
        <v>11</v>
      </c>
      <c r="AE237" s="4">
        <v>12</v>
      </c>
      <c r="AF237" s="4">
        <v>3</v>
      </c>
      <c r="AG237" s="4">
        <v>3</v>
      </c>
      <c r="AH237" s="4">
        <v>1</v>
      </c>
      <c r="AI237" s="4">
        <v>2</v>
      </c>
      <c r="AJ237" s="4">
        <v>8</v>
      </c>
      <c r="AK237" s="4">
        <v>8</v>
      </c>
      <c r="AL237" s="4">
        <v>1</v>
      </c>
      <c r="AM237" s="4">
        <v>1</v>
      </c>
      <c r="AN237" s="4">
        <v>0</v>
      </c>
      <c r="AO237" s="4">
        <v>0</v>
      </c>
      <c r="AP237" s="3" t="s">
        <v>59</v>
      </c>
      <c r="AQ237" s="3" t="s">
        <v>71</v>
      </c>
      <c r="AR237" s="6" t="str">
        <f>HYPERLINK("http://catalog.hathitrust.org/Record/000659343","HathiTrust Record")</f>
        <v>HathiTrust Record</v>
      </c>
      <c r="AS237" s="6" t="str">
        <f>HYPERLINK("https://creighton-primo.hosted.exlibrisgroup.com/primo-explore/search?tab=default_tab&amp;search_scope=EVERYTHING&amp;vid=01CRU&amp;lang=en_US&amp;offset=0&amp;query=any,contains,991005265839702656","Catalog Record")</f>
        <v>Catalog Record</v>
      </c>
      <c r="AT237" s="6" t="str">
        <f>HYPERLINK("http://www.worldcat.org/oclc/235086","WorldCat Record")</f>
        <v>WorldCat Record</v>
      </c>
      <c r="AU237" s="3" t="s">
        <v>3148</v>
      </c>
      <c r="AV237" s="3" t="s">
        <v>3149</v>
      </c>
      <c r="AW237" s="3" t="s">
        <v>3150</v>
      </c>
      <c r="AX237" s="3" t="s">
        <v>3150</v>
      </c>
      <c r="AY237" s="3" t="s">
        <v>3151</v>
      </c>
      <c r="AZ237" s="3" t="s">
        <v>76</v>
      </c>
      <c r="BC237" s="3" t="s">
        <v>3152</v>
      </c>
      <c r="BD237" s="3" t="s">
        <v>3153</v>
      </c>
    </row>
    <row r="238" spans="1:56" ht="52.5" customHeight="1" x14ac:dyDescent="0.25">
      <c r="A238" s="7" t="s">
        <v>59</v>
      </c>
      <c r="B238" s="2" t="s">
        <v>3154</v>
      </c>
      <c r="C238" s="2" t="s">
        <v>3155</v>
      </c>
      <c r="D238" s="2" t="s">
        <v>3156</v>
      </c>
      <c r="F238" s="3" t="s">
        <v>59</v>
      </c>
      <c r="G238" s="3" t="s">
        <v>60</v>
      </c>
      <c r="H238" s="3" t="s">
        <v>59</v>
      </c>
      <c r="I238" s="3" t="s">
        <v>59</v>
      </c>
      <c r="J238" s="3" t="s">
        <v>61</v>
      </c>
      <c r="K238" s="2" t="s">
        <v>3157</v>
      </c>
      <c r="L238" s="2" t="s">
        <v>3158</v>
      </c>
      <c r="M238" s="3" t="s">
        <v>475</v>
      </c>
      <c r="O238" s="3" t="s">
        <v>65</v>
      </c>
      <c r="P238" s="3" t="s">
        <v>699</v>
      </c>
      <c r="R238" s="3" t="s">
        <v>68</v>
      </c>
      <c r="S238" s="4">
        <v>5</v>
      </c>
      <c r="T238" s="4">
        <v>5</v>
      </c>
      <c r="U238" s="5" t="s">
        <v>3159</v>
      </c>
      <c r="V238" s="5" t="s">
        <v>3159</v>
      </c>
      <c r="W238" s="5" t="s">
        <v>3094</v>
      </c>
      <c r="X238" s="5" t="s">
        <v>3094</v>
      </c>
      <c r="Y238" s="4">
        <v>379</v>
      </c>
      <c r="Z238" s="4">
        <v>313</v>
      </c>
      <c r="AA238" s="4">
        <v>342</v>
      </c>
      <c r="AB238" s="4">
        <v>2</v>
      </c>
      <c r="AC238" s="4">
        <v>2</v>
      </c>
      <c r="AD238" s="4">
        <v>14</v>
      </c>
      <c r="AE238" s="4">
        <v>14</v>
      </c>
      <c r="AF238" s="4">
        <v>4</v>
      </c>
      <c r="AG238" s="4">
        <v>4</v>
      </c>
      <c r="AH238" s="4">
        <v>3</v>
      </c>
      <c r="AI238" s="4">
        <v>3</v>
      </c>
      <c r="AJ238" s="4">
        <v>12</v>
      </c>
      <c r="AK238" s="4">
        <v>12</v>
      </c>
      <c r="AL238" s="4">
        <v>1</v>
      </c>
      <c r="AM238" s="4">
        <v>1</v>
      </c>
      <c r="AN238" s="4">
        <v>0</v>
      </c>
      <c r="AO238" s="4">
        <v>0</v>
      </c>
      <c r="AP238" s="3" t="s">
        <v>59</v>
      </c>
      <c r="AQ238" s="3" t="s">
        <v>71</v>
      </c>
      <c r="AR238" s="6" t="str">
        <f>HYPERLINK("http://catalog.hathitrust.org/Record/000115849","HathiTrust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HYPERLINK("https://creighton-primo.hosted.exlibrisgroup.com/primo-explore/search?tab=default_tab&amp;search_scope=EVERYTHING&amp;vid=01CRU&amp;lang=en_US&amp;offset=0&amp;query=any,contains,991000219119702656","Catalog Record")</f>
        <v>Catalog Record</v>
      </c>
      <c r="AT238" s="6" t="str">
        <f>HYPERLINK("http://www.worldcat.org/oclc/9575501","WorldCat Record")</f>
        <v>WorldCat Record</v>
      </c>
      <c r="AU238" s="3" t="s">
        <v>3160</v>
      </c>
      <c r="AV238" s="3" t="s">
        <v>3161</v>
      </c>
      <c r="AW238" s="3" t="s">
        <v>3162</v>
      </c>
      <c r="AX238" s="3" t="s">
        <v>3162</v>
      </c>
      <c r="AY238" s="3" t="s">
        <v>3163</v>
      </c>
      <c r="AZ238" s="3" t="s">
        <v>76</v>
      </c>
      <c r="BB238" s="3" t="s">
        <v>3164</v>
      </c>
      <c r="BC238" s="3" t="s">
        <v>3165</v>
      </c>
      <c r="BD238" s="3" t="s">
        <v>3166</v>
      </c>
    </row>
    <row r="239" spans="1:56" ht="52.5" customHeight="1" x14ac:dyDescent="0.25">
      <c r="A239" s="7" t="s">
        <v>59</v>
      </c>
      <c r="B239" s="2" t="s">
        <v>3167</v>
      </c>
      <c r="C239" s="2" t="s">
        <v>3168</v>
      </c>
      <c r="D239" s="2" t="s">
        <v>3169</v>
      </c>
      <c r="F239" s="3" t="s">
        <v>59</v>
      </c>
      <c r="G239" s="3" t="s">
        <v>60</v>
      </c>
      <c r="H239" s="3" t="s">
        <v>59</v>
      </c>
      <c r="I239" s="3" t="s">
        <v>59</v>
      </c>
      <c r="J239" s="3" t="s">
        <v>61</v>
      </c>
      <c r="K239" s="2" t="s">
        <v>3170</v>
      </c>
      <c r="L239" s="2" t="s">
        <v>3171</v>
      </c>
      <c r="M239" s="3" t="s">
        <v>195</v>
      </c>
      <c r="N239" s="2" t="s">
        <v>336</v>
      </c>
      <c r="O239" s="3" t="s">
        <v>65</v>
      </c>
      <c r="P239" s="3" t="s">
        <v>66</v>
      </c>
      <c r="R239" s="3" t="s">
        <v>68</v>
      </c>
      <c r="S239" s="4">
        <v>7</v>
      </c>
      <c r="T239" s="4">
        <v>7</v>
      </c>
      <c r="U239" s="5" t="s">
        <v>3172</v>
      </c>
      <c r="V239" s="5" t="s">
        <v>3172</v>
      </c>
      <c r="W239" s="5" t="s">
        <v>3094</v>
      </c>
      <c r="X239" s="5" t="s">
        <v>3094</v>
      </c>
      <c r="Y239" s="4">
        <v>406</v>
      </c>
      <c r="Z239" s="4">
        <v>377</v>
      </c>
      <c r="AA239" s="4">
        <v>479</v>
      </c>
      <c r="AB239" s="4">
        <v>2</v>
      </c>
      <c r="AC239" s="4">
        <v>2</v>
      </c>
      <c r="AD239" s="4">
        <v>18</v>
      </c>
      <c r="AE239" s="4">
        <v>19</v>
      </c>
      <c r="AF239" s="4">
        <v>9</v>
      </c>
      <c r="AG239" s="4">
        <v>9</v>
      </c>
      <c r="AH239" s="4">
        <v>4</v>
      </c>
      <c r="AI239" s="4">
        <v>5</v>
      </c>
      <c r="AJ239" s="4">
        <v>11</v>
      </c>
      <c r="AK239" s="4">
        <v>12</v>
      </c>
      <c r="AL239" s="4">
        <v>1</v>
      </c>
      <c r="AM239" s="4">
        <v>1</v>
      </c>
      <c r="AN239" s="4">
        <v>0</v>
      </c>
      <c r="AO239" s="4">
        <v>0</v>
      </c>
      <c r="AP239" s="3" t="s">
        <v>59</v>
      </c>
      <c r="AQ239" s="3" t="s">
        <v>71</v>
      </c>
      <c r="AR239" s="6" t="str">
        <f>HYPERLINK("http://catalog.hathitrust.org/Record/000102815","HathiTrust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HYPERLINK("https://creighton-primo.hosted.exlibrisgroup.com/primo-explore/search?tab=default_tab&amp;search_scope=EVERYTHING&amp;vid=01CRU&amp;lang=en_US&amp;offset=0&amp;query=any,contains,991005219809702656","Catalog Record")</f>
        <v>Catalog Record</v>
      </c>
      <c r="AT239" s="6" t="str">
        <f>HYPERLINK("http://www.worldcat.org/oclc/8220256","WorldCat Record")</f>
        <v>WorldCat Record</v>
      </c>
      <c r="AU239" s="3" t="s">
        <v>3173</v>
      </c>
      <c r="AV239" s="3" t="s">
        <v>3174</v>
      </c>
      <c r="AW239" s="3" t="s">
        <v>3175</v>
      </c>
      <c r="AX239" s="3" t="s">
        <v>3175</v>
      </c>
      <c r="AY239" s="3" t="s">
        <v>3176</v>
      </c>
      <c r="AZ239" s="3" t="s">
        <v>76</v>
      </c>
      <c r="BB239" s="3" t="s">
        <v>3177</v>
      </c>
      <c r="BC239" s="3" t="s">
        <v>3178</v>
      </c>
      <c r="BD239" s="3" t="s">
        <v>3179</v>
      </c>
    </row>
    <row r="240" spans="1:56" ht="52.5" customHeight="1" x14ac:dyDescent="0.25">
      <c r="A240" s="7" t="s">
        <v>59</v>
      </c>
      <c r="B240" s="2" t="s">
        <v>3180</v>
      </c>
      <c r="C240" s="2" t="s">
        <v>3181</v>
      </c>
      <c r="D240" s="2" t="s">
        <v>3182</v>
      </c>
      <c r="F240" s="3" t="s">
        <v>59</v>
      </c>
      <c r="G240" s="3" t="s">
        <v>60</v>
      </c>
      <c r="H240" s="3" t="s">
        <v>59</v>
      </c>
      <c r="I240" s="3" t="s">
        <v>59</v>
      </c>
      <c r="J240" s="3" t="s">
        <v>61</v>
      </c>
      <c r="K240" s="2" t="s">
        <v>3183</v>
      </c>
      <c r="L240" s="2" t="s">
        <v>3184</v>
      </c>
      <c r="M240" s="3" t="s">
        <v>1015</v>
      </c>
      <c r="O240" s="3" t="s">
        <v>65</v>
      </c>
      <c r="P240" s="3" t="s">
        <v>66</v>
      </c>
      <c r="Q240" s="2" t="s">
        <v>1602</v>
      </c>
      <c r="R240" s="3" t="s">
        <v>68</v>
      </c>
      <c r="S240" s="4">
        <v>4</v>
      </c>
      <c r="T240" s="4">
        <v>4</v>
      </c>
      <c r="U240" s="5" t="s">
        <v>3054</v>
      </c>
      <c r="V240" s="5" t="s">
        <v>3054</v>
      </c>
      <c r="W240" s="5" t="s">
        <v>1292</v>
      </c>
      <c r="X240" s="5" t="s">
        <v>1292</v>
      </c>
      <c r="Y240" s="4">
        <v>240</v>
      </c>
      <c r="Z240" s="4">
        <v>213</v>
      </c>
      <c r="AA240" s="4">
        <v>540</v>
      </c>
      <c r="AB240" s="4">
        <v>2</v>
      </c>
      <c r="AC240" s="4">
        <v>4</v>
      </c>
      <c r="AD240" s="4">
        <v>12</v>
      </c>
      <c r="AE240" s="4">
        <v>26</v>
      </c>
      <c r="AF240" s="4">
        <v>5</v>
      </c>
      <c r="AG240" s="4">
        <v>10</v>
      </c>
      <c r="AH240" s="4">
        <v>5</v>
      </c>
      <c r="AI240" s="4">
        <v>7</v>
      </c>
      <c r="AJ240" s="4">
        <v>5</v>
      </c>
      <c r="AK240" s="4">
        <v>13</v>
      </c>
      <c r="AL240" s="4">
        <v>1</v>
      </c>
      <c r="AM240" s="4">
        <v>3</v>
      </c>
      <c r="AN240" s="4">
        <v>0</v>
      </c>
      <c r="AO240" s="4">
        <v>0</v>
      </c>
      <c r="AP240" s="3" t="s">
        <v>59</v>
      </c>
      <c r="AQ240" s="3" t="s">
        <v>59</v>
      </c>
      <c r="AS240" s="6" t="str">
        <f>HYPERLINK("https://creighton-primo.hosted.exlibrisgroup.com/primo-explore/search?tab=default_tab&amp;search_scope=EVERYTHING&amp;vid=01CRU&amp;lang=en_US&amp;offset=0&amp;query=any,contains,991002789929702656","Catalog Record")</f>
        <v>Catalog Record</v>
      </c>
      <c r="AT240" s="6" t="str">
        <f>HYPERLINK("http://www.worldcat.org/oclc/442923","WorldCat Record")</f>
        <v>WorldCat Record</v>
      </c>
      <c r="AU240" s="3" t="s">
        <v>3185</v>
      </c>
      <c r="AV240" s="3" t="s">
        <v>3186</v>
      </c>
      <c r="AW240" s="3" t="s">
        <v>3187</v>
      </c>
      <c r="AX240" s="3" t="s">
        <v>3187</v>
      </c>
      <c r="AY240" s="3" t="s">
        <v>3188</v>
      </c>
      <c r="AZ240" s="3" t="s">
        <v>76</v>
      </c>
      <c r="BC240" s="3" t="s">
        <v>3189</v>
      </c>
      <c r="BD240" s="3" t="s">
        <v>3190</v>
      </c>
    </row>
    <row r="241" spans="1:56" ht="52.5" customHeight="1" x14ac:dyDescent="0.25">
      <c r="A241" s="7" t="s">
        <v>59</v>
      </c>
      <c r="B241" s="2" t="s">
        <v>3191</v>
      </c>
      <c r="C241" s="2" t="s">
        <v>3192</v>
      </c>
      <c r="D241" s="2" t="s">
        <v>3193</v>
      </c>
      <c r="F241" s="3" t="s">
        <v>59</v>
      </c>
      <c r="G241" s="3" t="s">
        <v>60</v>
      </c>
      <c r="H241" s="3" t="s">
        <v>59</v>
      </c>
      <c r="I241" s="3" t="s">
        <v>59</v>
      </c>
      <c r="J241" s="3" t="s">
        <v>61</v>
      </c>
      <c r="K241" s="2" t="s">
        <v>3194</v>
      </c>
      <c r="L241" s="2" t="s">
        <v>3195</v>
      </c>
      <c r="M241" s="3" t="s">
        <v>1163</v>
      </c>
      <c r="O241" s="3" t="s">
        <v>65</v>
      </c>
      <c r="P241" s="3" t="s">
        <v>699</v>
      </c>
      <c r="R241" s="3" t="s">
        <v>68</v>
      </c>
      <c r="S241" s="4">
        <v>1</v>
      </c>
      <c r="T241" s="4">
        <v>1</v>
      </c>
      <c r="U241" s="5" t="s">
        <v>2600</v>
      </c>
      <c r="V241" s="5" t="s">
        <v>2600</v>
      </c>
      <c r="W241" s="5" t="s">
        <v>3196</v>
      </c>
      <c r="X241" s="5" t="s">
        <v>3196</v>
      </c>
      <c r="Y241" s="4">
        <v>222</v>
      </c>
      <c r="Z241" s="4">
        <v>175</v>
      </c>
      <c r="AA241" s="4">
        <v>212</v>
      </c>
      <c r="AB241" s="4">
        <v>3</v>
      </c>
      <c r="AC241" s="4">
        <v>3</v>
      </c>
      <c r="AD241" s="4">
        <v>9</v>
      </c>
      <c r="AE241" s="4">
        <v>9</v>
      </c>
      <c r="AF241" s="4">
        <v>2</v>
      </c>
      <c r="AG241" s="4">
        <v>2</v>
      </c>
      <c r="AH241" s="4">
        <v>2</v>
      </c>
      <c r="AI241" s="4">
        <v>2</v>
      </c>
      <c r="AJ241" s="4">
        <v>7</v>
      </c>
      <c r="AK241" s="4">
        <v>7</v>
      </c>
      <c r="AL241" s="4">
        <v>2</v>
      </c>
      <c r="AM241" s="4">
        <v>2</v>
      </c>
      <c r="AN241" s="4">
        <v>0</v>
      </c>
      <c r="AO241" s="4">
        <v>0</v>
      </c>
      <c r="AP241" s="3" t="s">
        <v>59</v>
      </c>
      <c r="AQ241" s="3" t="s">
        <v>71</v>
      </c>
      <c r="AR241" s="6" t="str">
        <f>HYPERLINK("http://catalog.hathitrust.org/Record/000405117","HathiTrust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HYPERLINK("https://creighton-primo.hosted.exlibrisgroup.com/primo-explore/search?tab=default_tab&amp;search_scope=EVERYTHING&amp;vid=01CRU&amp;lang=en_US&amp;offset=0&amp;query=any,contains,991000456969702656","Catalog Record")</f>
        <v>Catalog Record</v>
      </c>
      <c r="AT241" s="6" t="str">
        <f>HYPERLINK("http://www.worldcat.org/oclc/10914562","WorldCat Record")</f>
        <v>WorldCat Record</v>
      </c>
      <c r="AU241" s="3" t="s">
        <v>3197</v>
      </c>
      <c r="AV241" s="3" t="s">
        <v>3198</v>
      </c>
      <c r="AW241" s="3" t="s">
        <v>3199</v>
      </c>
      <c r="AX241" s="3" t="s">
        <v>3199</v>
      </c>
      <c r="AY241" s="3" t="s">
        <v>3200</v>
      </c>
      <c r="AZ241" s="3" t="s">
        <v>76</v>
      </c>
      <c r="BB241" s="3" t="s">
        <v>3201</v>
      </c>
      <c r="BC241" s="3" t="s">
        <v>3202</v>
      </c>
      <c r="BD241" s="3" t="s">
        <v>3203</v>
      </c>
    </row>
    <row r="242" spans="1:56" ht="52.5" customHeight="1" x14ac:dyDescent="0.25">
      <c r="A242" s="7" t="s">
        <v>59</v>
      </c>
      <c r="B242" s="2" t="s">
        <v>3204</v>
      </c>
      <c r="C242" s="2" t="s">
        <v>3205</v>
      </c>
      <c r="D242" s="2" t="s">
        <v>3206</v>
      </c>
      <c r="F242" s="3" t="s">
        <v>59</v>
      </c>
      <c r="G242" s="3" t="s">
        <v>60</v>
      </c>
      <c r="H242" s="3" t="s">
        <v>59</v>
      </c>
      <c r="I242" s="3" t="s">
        <v>59</v>
      </c>
      <c r="J242" s="3" t="s">
        <v>61</v>
      </c>
      <c r="K242" s="2" t="s">
        <v>3039</v>
      </c>
      <c r="L242" s="2" t="s">
        <v>3207</v>
      </c>
      <c r="M242" s="3" t="s">
        <v>915</v>
      </c>
      <c r="O242" s="3" t="s">
        <v>65</v>
      </c>
      <c r="P242" s="3" t="s">
        <v>1262</v>
      </c>
      <c r="R242" s="3" t="s">
        <v>68</v>
      </c>
      <c r="S242" s="4">
        <v>2</v>
      </c>
      <c r="T242" s="4">
        <v>2</v>
      </c>
      <c r="U242" s="5" t="s">
        <v>3208</v>
      </c>
      <c r="V242" s="5" t="s">
        <v>3208</v>
      </c>
      <c r="W242" s="5" t="s">
        <v>3209</v>
      </c>
      <c r="X242" s="5" t="s">
        <v>3209</v>
      </c>
      <c r="Y242" s="4">
        <v>269</v>
      </c>
      <c r="Z242" s="4">
        <v>147</v>
      </c>
      <c r="AA242" s="4">
        <v>207</v>
      </c>
      <c r="AB242" s="4">
        <v>1</v>
      </c>
      <c r="AC242" s="4">
        <v>1</v>
      </c>
      <c r="AD242" s="4">
        <v>10</v>
      </c>
      <c r="AE242" s="4">
        <v>10</v>
      </c>
      <c r="AF242" s="4">
        <v>1</v>
      </c>
      <c r="AG242" s="4">
        <v>1</v>
      </c>
      <c r="AH242" s="4">
        <v>3</v>
      </c>
      <c r="AI242" s="4">
        <v>3</v>
      </c>
      <c r="AJ242" s="4">
        <v>7</v>
      </c>
      <c r="AK242" s="4">
        <v>7</v>
      </c>
      <c r="AL242" s="4">
        <v>0</v>
      </c>
      <c r="AM242" s="4">
        <v>0</v>
      </c>
      <c r="AN242" s="4">
        <v>0</v>
      </c>
      <c r="AO242" s="4">
        <v>0</v>
      </c>
      <c r="AP242" s="3" t="s">
        <v>59</v>
      </c>
      <c r="AQ242" s="3" t="s">
        <v>59</v>
      </c>
      <c r="AS242" s="6" t="str">
        <f>HYPERLINK("https://creighton-primo.hosted.exlibrisgroup.com/primo-explore/search?tab=default_tab&amp;search_scope=EVERYTHING&amp;vid=01CRU&amp;lang=en_US&amp;offset=0&amp;query=any,contains,991002104399702656","Catalog Record")</f>
        <v>Catalog Record</v>
      </c>
      <c r="AT242" s="6" t="str">
        <f>HYPERLINK("http://www.worldcat.org/oclc/27010968","WorldCat Record")</f>
        <v>WorldCat Record</v>
      </c>
      <c r="AU242" s="3" t="s">
        <v>3210</v>
      </c>
      <c r="AV242" s="3" t="s">
        <v>3211</v>
      </c>
      <c r="AW242" s="3" t="s">
        <v>3212</v>
      </c>
      <c r="AX242" s="3" t="s">
        <v>3212</v>
      </c>
      <c r="AY242" s="3" t="s">
        <v>3213</v>
      </c>
      <c r="AZ242" s="3" t="s">
        <v>76</v>
      </c>
      <c r="BB242" s="3" t="s">
        <v>3214</v>
      </c>
      <c r="BC242" s="3" t="s">
        <v>3215</v>
      </c>
      <c r="BD242" s="3" t="s">
        <v>3216</v>
      </c>
    </row>
    <row r="243" spans="1:56" ht="52.5" customHeight="1" x14ac:dyDescent="0.25">
      <c r="A243" s="7" t="s">
        <v>59</v>
      </c>
      <c r="B243" s="2" t="s">
        <v>3217</v>
      </c>
      <c r="C243" s="2" t="s">
        <v>3218</v>
      </c>
      <c r="D243" s="2" t="s">
        <v>3219</v>
      </c>
      <c r="F243" s="3" t="s">
        <v>59</v>
      </c>
      <c r="G243" s="3" t="s">
        <v>60</v>
      </c>
      <c r="H243" s="3" t="s">
        <v>59</v>
      </c>
      <c r="I243" s="3" t="s">
        <v>59</v>
      </c>
      <c r="J243" s="3" t="s">
        <v>61</v>
      </c>
      <c r="K243" s="2" t="s">
        <v>3220</v>
      </c>
      <c r="L243" s="2" t="s">
        <v>3221</v>
      </c>
      <c r="M243" s="3" t="s">
        <v>405</v>
      </c>
      <c r="O243" s="3" t="s">
        <v>65</v>
      </c>
      <c r="P243" s="3" t="s">
        <v>66</v>
      </c>
      <c r="R243" s="3" t="s">
        <v>68</v>
      </c>
      <c r="S243" s="4">
        <v>3</v>
      </c>
      <c r="T243" s="4">
        <v>3</v>
      </c>
      <c r="U243" s="5" t="s">
        <v>3222</v>
      </c>
      <c r="V243" s="5" t="s">
        <v>3222</v>
      </c>
      <c r="W243" s="5" t="s">
        <v>3223</v>
      </c>
      <c r="X243" s="5" t="s">
        <v>3223</v>
      </c>
      <c r="Y243" s="4">
        <v>293</v>
      </c>
      <c r="Z243" s="4">
        <v>246</v>
      </c>
      <c r="AA243" s="4">
        <v>323</v>
      </c>
      <c r="AB243" s="4">
        <v>2</v>
      </c>
      <c r="AC243" s="4">
        <v>3</v>
      </c>
      <c r="AD243" s="4">
        <v>12</v>
      </c>
      <c r="AE243" s="4">
        <v>16</v>
      </c>
      <c r="AF243" s="4">
        <v>5</v>
      </c>
      <c r="AG243" s="4">
        <v>6</v>
      </c>
      <c r="AH243" s="4">
        <v>3</v>
      </c>
      <c r="AI243" s="4">
        <v>4</v>
      </c>
      <c r="AJ243" s="4">
        <v>7</v>
      </c>
      <c r="AK243" s="4">
        <v>9</v>
      </c>
      <c r="AL243" s="4">
        <v>1</v>
      </c>
      <c r="AM243" s="4">
        <v>2</v>
      </c>
      <c r="AN243" s="4">
        <v>0</v>
      </c>
      <c r="AO243" s="4">
        <v>0</v>
      </c>
      <c r="AP243" s="3" t="s">
        <v>59</v>
      </c>
      <c r="AQ243" s="3" t="s">
        <v>59</v>
      </c>
      <c r="AS243" s="6" t="str">
        <f>HYPERLINK("https://creighton-primo.hosted.exlibrisgroup.com/primo-explore/search?tab=default_tab&amp;search_scope=EVERYTHING&amp;vid=01CRU&amp;lang=en_US&amp;offset=0&amp;query=any,contains,991001043179702656","Catalog Record")</f>
        <v>Catalog Record</v>
      </c>
      <c r="AT243" s="6" t="str">
        <f>HYPERLINK("http://www.worldcat.org/oclc/15592449","WorldCat Record")</f>
        <v>WorldCat Record</v>
      </c>
      <c r="AU243" s="3" t="s">
        <v>3224</v>
      </c>
      <c r="AV243" s="3" t="s">
        <v>3225</v>
      </c>
      <c r="AW243" s="3" t="s">
        <v>3226</v>
      </c>
      <c r="AX243" s="3" t="s">
        <v>3226</v>
      </c>
      <c r="AY243" s="3" t="s">
        <v>3227</v>
      </c>
      <c r="AZ243" s="3" t="s">
        <v>76</v>
      </c>
      <c r="BB243" s="3" t="s">
        <v>3228</v>
      </c>
      <c r="BC243" s="3" t="s">
        <v>3229</v>
      </c>
      <c r="BD243" s="3" t="s">
        <v>3230</v>
      </c>
    </row>
    <row r="244" spans="1:56" ht="52.5" customHeight="1" x14ac:dyDescent="0.25">
      <c r="A244" s="7" t="s">
        <v>59</v>
      </c>
      <c r="B244" s="2" t="s">
        <v>3231</v>
      </c>
      <c r="C244" s="2" t="s">
        <v>3232</v>
      </c>
      <c r="D244" s="2" t="s">
        <v>3233</v>
      </c>
      <c r="F244" s="3" t="s">
        <v>59</v>
      </c>
      <c r="G244" s="3" t="s">
        <v>60</v>
      </c>
      <c r="H244" s="3" t="s">
        <v>59</v>
      </c>
      <c r="I244" s="3" t="s">
        <v>59</v>
      </c>
      <c r="J244" s="3" t="s">
        <v>61</v>
      </c>
      <c r="K244" s="2" t="s">
        <v>3234</v>
      </c>
      <c r="L244" s="2" t="s">
        <v>3235</v>
      </c>
      <c r="M244" s="3" t="s">
        <v>1000</v>
      </c>
      <c r="O244" s="3" t="s">
        <v>65</v>
      </c>
      <c r="P244" s="3" t="s">
        <v>420</v>
      </c>
      <c r="R244" s="3" t="s">
        <v>68</v>
      </c>
      <c r="S244" s="4">
        <v>1</v>
      </c>
      <c r="T244" s="4">
        <v>1</v>
      </c>
      <c r="U244" s="5" t="s">
        <v>3236</v>
      </c>
      <c r="V244" s="5" t="s">
        <v>3236</v>
      </c>
      <c r="W244" s="5" t="s">
        <v>3237</v>
      </c>
      <c r="X244" s="5" t="s">
        <v>3237</v>
      </c>
      <c r="Y244" s="4">
        <v>394</v>
      </c>
      <c r="Z244" s="4">
        <v>265</v>
      </c>
      <c r="AA244" s="4">
        <v>301</v>
      </c>
      <c r="AB244" s="4">
        <v>1</v>
      </c>
      <c r="AC244" s="4">
        <v>1</v>
      </c>
      <c r="AD244" s="4">
        <v>8</v>
      </c>
      <c r="AE244" s="4">
        <v>8</v>
      </c>
      <c r="AF244" s="4">
        <v>0</v>
      </c>
      <c r="AG244" s="4">
        <v>0</v>
      </c>
      <c r="AH244" s="4">
        <v>2</v>
      </c>
      <c r="AI244" s="4">
        <v>2</v>
      </c>
      <c r="AJ244" s="4">
        <v>7</v>
      </c>
      <c r="AK244" s="4">
        <v>7</v>
      </c>
      <c r="AL244" s="4">
        <v>0</v>
      </c>
      <c r="AM244" s="4">
        <v>0</v>
      </c>
      <c r="AN244" s="4">
        <v>0</v>
      </c>
      <c r="AO244" s="4">
        <v>0</v>
      </c>
      <c r="AP244" s="3" t="s">
        <v>59</v>
      </c>
      <c r="AQ244" s="3" t="s">
        <v>59</v>
      </c>
      <c r="AS244" s="6" t="str">
        <f>HYPERLINK("https://creighton-primo.hosted.exlibrisgroup.com/primo-explore/search?tab=default_tab&amp;search_scope=EVERYTHING&amp;vid=01CRU&amp;lang=en_US&amp;offset=0&amp;query=any,contains,991004648789702656","Catalog Record")</f>
        <v>Catalog Record</v>
      </c>
      <c r="AT244" s="6" t="str">
        <f>HYPERLINK("http://www.worldcat.org/oclc/4493046","WorldCat Record")</f>
        <v>WorldCat Record</v>
      </c>
      <c r="AU244" s="3" t="s">
        <v>3238</v>
      </c>
      <c r="AV244" s="3" t="s">
        <v>3239</v>
      </c>
      <c r="AW244" s="3" t="s">
        <v>3240</v>
      </c>
      <c r="AX244" s="3" t="s">
        <v>3240</v>
      </c>
      <c r="AY244" s="3" t="s">
        <v>3241</v>
      </c>
      <c r="AZ244" s="3" t="s">
        <v>76</v>
      </c>
      <c r="BB244" s="3" t="s">
        <v>3242</v>
      </c>
      <c r="BC244" s="3" t="s">
        <v>3243</v>
      </c>
      <c r="BD244" s="3" t="s">
        <v>3244</v>
      </c>
    </row>
    <row r="245" spans="1:56" ht="52.5" customHeight="1" x14ac:dyDescent="0.25">
      <c r="A245" s="7" t="s">
        <v>59</v>
      </c>
      <c r="B245" s="2" t="s">
        <v>3245</v>
      </c>
      <c r="C245" s="2" t="s">
        <v>3246</v>
      </c>
      <c r="D245" s="2" t="s">
        <v>3247</v>
      </c>
      <c r="F245" s="3" t="s">
        <v>59</v>
      </c>
      <c r="G245" s="3" t="s">
        <v>60</v>
      </c>
      <c r="H245" s="3" t="s">
        <v>71</v>
      </c>
      <c r="I245" s="3" t="s">
        <v>59</v>
      </c>
      <c r="J245" s="3" t="s">
        <v>61</v>
      </c>
      <c r="K245" s="2" t="s">
        <v>3248</v>
      </c>
      <c r="L245" s="2" t="s">
        <v>3249</v>
      </c>
      <c r="M245" s="3" t="s">
        <v>1217</v>
      </c>
      <c r="O245" s="3" t="s">
        <v>65</v>
      </c>
      <c r="P245" s="3" t="s">
        <v>66</v>
      </c>
      <c r="R245" s="3" t="s">
        <v>68</v>
      </c>
      <c r="S245" s="4">
        <v>8</v>
      </c>
      <c r="T245" s="4">
        <v>8</v>
      </c>
      <c r="U245" s="5" t="s">
        <v>3250</v>
      </c>
      <c r="V245" s="5" t="s">
        <v>3250</v>
      </c>
      <c r="W245" s="5" t="s">
        <v>3251</v>
      </c>
      <c r="X245" s="5" t="s">
        <v>3251</v>
      </c>
      <c r="Y245" s="4">
        <v>548</v>
      </c>
      <c r="Z245" s="4">
        <v>470</v>
      </c>
      <c r="AA245" s="4">
        <v>1998</v>
      </c>
      <c r="AB245" s="4">
        <v>6</v>
      </c>
      <c r="AC245" s="4">
        <v>34</v>
      </c>
      <c r="AD245" s="4">
        <v>20</v>
      </c>
      <c r="AE245" s="4">
        <v>67</v>
      </c>
      <c r="AF245" s="4">
        <v>6</v>
      </c>
      <c r="AG245" s="4">
        <v>25</v>
      </c>
      <c r="AH245" s="4">
        <v>5</v>
      </c>
      <c r="AI245" s="4">
        <v>11</v>
      </c>
      <c r="AJ245" s="4">
        <v>10</v>
      </c>
      <c r="AK245" s="4">
        <v>25</v>
      </c>
      <c r="AL245" s="4">
        <v>4</v>
      </c>
      <c r="AM245" s="4">
        <v>18</v>
      </c>
      <c r="AN245" s="4">
        <v>0</v>
      </c>
      <c r="AO245" s="4">
        <v>1</v>
      </c>
      <c r="AP245" s="3" t="s">
        <v>59</v>
      </c>
      <c r="AQ245" s="3" t="s">
        <v>71</v>
      </c>
      <c r="AR245" s="6" t="str">
        <f>HYPERLINK("http://catalog.hathitrust.org/Record/000168316","HathiTrust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HYPERLINK("https://creighton-primo.hosted.exlibrisgroup.com/primo-explore/search?tab=default_tab&amp;search_scope=EVERYTHING&amp;vid=01CRU&amp;lang=en_US&amp;offset=0&amp;query=any,contains,991000307619702656","Catalog Record")</f>
        <v>Catalog Record</v>
      </c>
      <c r="AT245" s="6" t="str">
        <f>HYPERLINK("http://www.worldcat.org/oclc/10072396","WorldCat Record")</f>
        <v>WorldCat Record</v>
      </c>
      <c r="AU245" s="3" t="s">
        <v>3252</v>
      </c>
      <c r="AV245" s="3" t="s">
        <v>3253</v>
      </c>
      <c r="AW245" s="3" t="s">
        <v>3254</v>
      </c>
      <c r="AX245" s="3" t="s">
        <v>3254</v>
      </c>
      <c r="AY245" s="3" t="s">
        <v>3255</v>
      </c>
      <c r="AZ245" s="3" t="s">
        <v>76</v>
      </c>
      <c r="BB245" s="3" t="s">
        <v>3256</v>
      </c>
      <c r="BC245" s="3" t="s">
        <v>3257</v>
      </c>
      <c r="BD245" s="3" t="s">
        <v>3258</v>
      </c>
    </row>
    <row r="246" spans="1:56" ht="52.5" customHeight="1" x14ac:dyDescent="0.25">
      <c r="A246" s="7" t="s">
        <v>59</v>
      </c>
      <c r="B246" s="2" t="s">
        <v>3259</v>
      </c>
      <c r="C246" s="2" t="s">
        <v>3260</v>
      </c>
      <c r="D246" s="2" t="s">
        <v>3261</v>
      </c>
      <c r="F246" s="3" t="s">
        <v>59</v>
      </c>
      <c r="G246" s="3" t="s">
        <v>60</v>
      </c>
      <c r="H246" s="3" t="s">
        <v>59</v>
      </c>
      <c r="I246" s="3" t="s">
        <v>59</v>
      </c>
      <c r="J246" s="3" t="s">
        <v>61</v>
      </c>
      <c r="K246" s="2" t="s">
        <v>3262</v>
      </c>
      <c r="L246" s="2" t="s">
        <v>3263</v>
      </c>
      <c r="M246" s="3" t="s">
        <v>1163</v>
      </c>
      <c r="O246" s="3" t="s">
        <v>65</v>
      </c>
      <c r="P246" s="3" t="s">
        <v>283</v>
      </c>
      <c r="Q246" s="2" t="s">
        <v>3264</v>
      </c>
      <c r="R246" s="3" t="s">
        <v>68</v>
      </c>
      <c r="S246" s="4">
        <v>6</v>
      </c>
      <c r="T246" s="4">
        <v>6</v>
      </c>
      <c r="U246" s="5" t="s">
        <v>3265</v>
      </c>
      <c r="V246" s="5" t="s">
        <v>3265</v>
      </c>
      <c r="W246" s="5" t="s">
        <v>3266</v>
      </c>
      <c r="X246" s="5" t="s">
        <v>3266</v>
      </c>
      <c r="Y246" s="4">
        <v>346</v>
      </c>
      <c r="Z246" s="4">
        <v>247</v>
      </c>
      <c r="AA246" s="4">
        <v>256</v>
      </c>
      <c r="AB246" s="4">
        <v>3</v>
      </c>
      <c r="AC246" s="4">
        <v>3</v>
      </c>
      <c r="AD246" s="4">
        <v>11</v>
      </c>
      <c r="AE246" s="4">
        <v>12</v>
      </c>
      <c r="AF246" s="4">
        <v>2</v>
      </c>
      <c r="AG246" s="4">
        <v>3</v>
      </c>
      <c r="AH246" s="4">
        <v>4</v>
      </c>
      <c r="AI246" s="4">
        <v>4</v>
      </c>
      <c r="AJ246" s="4">
        <v>6</v>
      </c>
      <c r="AK246" s="4">
        <v>7</v>
      </c>
      <c r="AL246" s="4">
        <v>2</v>
      </c>
      <c r="AM246" s="4">
        <v>2</v>
      </c>
      <c r="AN246" s="4">
        <v>0</v>
      </c>
      <c r="AO246" s="4">
        <v>0</v>
      </c>
      <c r="AP246" s="3" t="s">
        <v>59</v>
      </c>
      <c r="AQ246" s="3" t="s">
        <v>59</v>
      </c>
      <c r="AS246" s="6" t="str">
        <f>HYPERLINK("https://creighton-primo.hosted.exlibrisgroup.com/primo-explore/search?tab=default_tab&amp;search_scope=EVERYTHING&amp;vid=01CRU&amp;lang=en_US&amp;offset=0&amp;query=any,contains,991000226669702656","Catalog Record")</f>
        <v>Catalog Record</v>
      </c>
      <c r="AT246" s="6" t="str">
        <f>HYPERLINK("http://www.worldcat.org/oclc/9620421","WorldCat Record")</f>
        <v>WorldCat Record</v>
      </c>
      <c r="AU246" s="3" t="s">
        <v>3267</v>
      </c>
      <c r="AV246" s="3" t="s">
        <v>3268</v>
      </c>
      <c r="AW246" s="3" t="s">
        <v>3269</v>
      </c>
      <c r="AX246" s="3" t="s">
        <v>3269</v>
      </c>
      <c r="AY246" s="3" t="s">
        <v>3270</v>
      </c>
      <c r="AZ246" s="3" t="s">
        <v>76</v>
      </c>
      <c r="BB246" s="3" t="s">
        <v>3271</v>
      </c>
      <c r="BC246" s="3" t="s">
        <v>3272</v>
      </c>
      <c r="BD246" s="3" t="s">
        <v>3273</v>
      </c>
    </row>
    <row r="247" spans="1:56" ht="52.5" customHeight="1" x14ac:dyDescent="0.25">
      <c r="A247" s="7" t="s">
        <v>59</v>
      </c>
      <c r="B247" s="2" t="s">
        <v>3274</v>
      </c>
      <c r="C247" s="2" t="s">
        <v>3275</v>
      </c>
      <c r="D247" s="2" t="s">
        <v>3276</v>
      </c>
      <c r="F247" s="3" t="s">
        <v>59</v>
      </c>
      <c r="G247" s="3" t="s">
        <v>60</v>
      </c>
      <c r="H247" s="3" t="s">
        <v>59</v>
      </c>
      <c r="I247" s="3" t="s">
        <v>59</v>
      </c>
      <c r="J247" s="3" t="s">
        <v>61</v>
      </c>
      <c r="K247" s="2" t="s">
        <v>3277</v>
      </c>
      <c r="L247" s="2" t="s">
        <v>3278</v>
      </c>
      <c r="M247" s="3" t="s">
        <v>1217</v>
      </c>
      <c r="O247" s="3" t="s">
        <v>65</v>
      </c>
      <c r="P247" s="3" t="s">
        <v>283</v>
      </c>
      <c r="R247" s="3" t="s">
        <v>68</v>
      </c>
      <c r="S247" s="4">
        <v>5</v>
      </c>
      <c r="T247" s="4">
        <v>5</v>
      </c>
      <c r="U247" s="5" t="s">
        <v>3279</v>
      </c>
      <c r="V247" s="5" t="s">
        <v>3279</v>
      </c>
      <c r="W247" s="5" t="s">
        <v>1150</v>
      </c>
      <c r="X247" s="5" t="s">
        <v>1150</v>
      </c>
      <c r="Y247" s="4">
        <v>221</v>
      </c>
      <c r="Z247" s="4">
        <v>168</v>
      </c>
      <c r="AA247" s="4">
        <v>168</v>
      </c>
      <c r="AB247" s="4">
        <v>1</v>
      </c>
      <c r="AC247" s="4">
        <v>1</v>
      </c>
      <c r="AD247" s="4">
        <v>7</v>
      </c>
      <c r="AE247" s="4">
        <v>7</v>
      </c>
      <c r="AF247" s="4">
        <v>1</v>
      </c>
      <c r="AG247" s="4">
        <v>1</v>
      </c>
      <c r="AH247" s="4">
        <v>1</v>
      </c>
      <c r="AI247" s="4">
        <v>1</v>
      </c>
      <c r="AJ247" s="4">
        <v>6</v>
      </c>
      <c r="AK247" s="4">
        <v>6</v>
      </c>
      <c r="AL247" s="4">
        <v>0</v>
      </c>
      <c r="AM247" s="4">
        <v>0</v>
      </c>
      <c r="AN247" s="4">
        <v>0</v>
      </c>
      <c r="AO247" s="4">
        <v>0</v>
      </c>
      <c r="AP247" s="3" t="s">
        <v>59</v>
      </c>
      <c r="AQ247" s="3" t="s">
        <v>59</v>
      </c>
      <c r="AS247" s="6" t="str">
        <f>HYPERLINK("https://creighton-primo.hosted.exlibrisgroup.com/primo-explore/search?tab=default_tab&amp;search_scope=EVERYTHING&amp;vid=01CRU&amp;lang=en_US&amp;offset=0&amp;query=any,contains,991000316189702656","Catalog Record")</f>
        <v>Catalog Record</v>
      </c>
      <c r="AT247" s="6" t="str">
        <f>HYPERLINK("http://www.worldcat.org/oclc/10122023","WorldCat Record")</f>
        <v>WorldCat Record</v>
      </c>
      <c r="AU247" s="3" t="s">
        <v>3280</v>
      </c>
      <c r="AV247" s="3" t="s">
        <v>3281</v>
      </c>
      <c r="AW247" s="3" t="s">
        <v>3282</v>
      </c>
      <c r="AX247" s="3" t="s">
        <v>3282</v>
      </c>
      <c r="AY247" s="3" t="s">
        <v>3283</v>
      </c>
      <c r="AZ247" s="3" t="s">
        <v>76</v>
      </c>
      <c r="BB247" s="3" t="s">
        <v>3284</v>
      </c>
      <c r="BC247" s="3" t="s">
        <v>3285</v>
      </c>
      <c r="BD247" s="3" t="s">
        <v>3286</v>
      </c>
    </row>
    <row r="248" spans="1:56" ht="52.5" customHeight="1" x14ac:dyDescent="0.25">
      <c r="A248" s="7" t="s">
        <v>59</v>
      </c>
      <c r="B248" s="2" t="s">
        <v>3287</v>
      </c>
      <c r="C248" s="2" t="s">
        <v>3288</v>
      </c>
      <c r="D248" s="2" t="s">
        <v>3289</v>
      </c>
      <c r="F248" s="3" t="s">
        <v>59</v>
      </c>
      <c r="G248" s="3" t="s">
        <v>60</v>
      </c>
      <c r="H248" s="3" t="s">
        <v>59</v>
      </c>
      <c r="I248" s="3" t="s">
        <v>59</v>
      </c>
      <c r="J248" s="3" t="s">
        <v>61</v>
      </c>
      <c r="K248" s="2" t="s">
        <v>3290</v>
      </c>
      <c r="L248" s="2" t="s">
        <v>3291</v>
      </c>
      <c r="M248" s="3" t="s">
        <v>131</v>
      </c>
      <c r="O248" s="3" t="s">
        <v>65</v>
      </c>
      <c r="P248" s="3" t="s">
        <v>3292</v>
      </c>
      <c r="Q248" s="2" t="s">
        <v>3293</v>
      </c>
      <c r="R248" s="3" t="s">
        <v>68</v>
      </c>
      <c r="S248" s="4">
        <v>4</v>
      </c>
      <c r="T248" s="4">
        <v>4</v>
      </c>
      <c r="U248" s="5" t="s">
        <v>3294</v>
      </c>
      <c r="V248" s="5" t="s">
        <v>3294</v>
      </c>
      <c r="W248" s="5" t="s">
        <v>269</v>
      </c>
      <c r="X248" s="5" t="s">
        <v>269</v>
      </c>
      <c r="Y248" s="4">
        <v>240</v>
      </c>
      <c r="Z248" s="4">
        <v>185</v>
      </c>
      <c r="AA248" s="4">
        <v>189</v>
      </c>
      <c r="AB248" s="4">
        <v>2</v>
      </c>
      <c r="AC248" s="4">
        <v>2</v>
      </c>
      <c r="AD248" s="4">
        <v>12</v>
      </c>
      <c r="AE248" s="4">
        <v>12</v>
      </c>
      <c r="AF248" s="4">
        <v>3</v>
      </c>
      <c r="AG248" s="4">
        <v>3</v>
      </c>
      <c r="AH248" s="4">
        <v>3</v>
      </c>
      <c r="AI248" s="4">
        <v>3</v>
      </c>
      <c r="AJ248" s="4">
        <v>7</v>
      </c>
      <c r="AK248" s="4">
        <v>7</v>
      </c>
      <c r="AL248" s="4">
        <v>1</v>
      </c>
      <c r="AM248" s="4">
        <v>1</v>
      </c>
      <c r="AN248" s="4">
        <v>0</v>
      </c>
      <c r="AO248" s="4">
        <v>0</v>
      </c>
      <c r="AP248" s="3" t="s">
        <v>59</v>
      </c>
      <c r="AQ248" s="3" t="s">
        <v>59</v>
      </c>
      <c r="AS248" s="6" t="str">
        <f>HYPERLINK("https://creighton-primo.hosted.exlibrisgroup.com/primo-explore/search?tab=default_tab&amp;search_scope=EVERYTHING&amp;vid=01CRU&amp;lang=en_US&amp;offset=0&amp;query=any,contains,991003650449702656","Catalog Record")</f>
        <v>Catalog Record</v>
      </c>
      <c r="AT248" s="6" t="str">
        <f>HYPERLINK("http://www.worldcat.org/oclc/1254038","WorldCat Record")</f>
        <v>WorldCat Record</v>
      </c>
      <c r="AU248" s="3" t="s">
        <v>3295</v>
      </c>
      <c r="AV248" s="3" t="s">
        <v>3296</v>
      </c>
      <c r="AW248" s="3" t="s">
        <v>3297</v>
      </c>
      <c r="AX248" s="3" t="s">
        <v>3297</v>
      </c>
      <c r="AY248" s="3" t="s">
        <v>3298</v>
      </c>
      <c r="AZ248" s="3" t="s">
        <v>76</v>
      </c>
      <c r="BB248" s="3" t="s">
        <v>3299</v>
      </c>
      <c r="BC248" s="3" t="s">
        <v>3300</v>
      </c>
      <c r="BD248" s="3" t="s">
        <v>3301</v>
      </c>
    </row>
    <row r="249" spans="1:56" ht="52.5" customHeight="1" x14ac:dyDescent="0.25">
      <c r="A249" s="7" t="s">
        <v>59</v>
      </c>
      <c r="B249" s="2" t="s">
        <v>3302</v>
      </c>
      <c r="C249" s="2" t="s">
        <v>3303</v>
      </c>
      <c r="D249" s="2" t="s">
        <v>3304</v>
      </c>
      <c r="F249" s="3" t="s">
        <v>59</v>
      </c>
      <c r="G249" s="3" t="s">
        <v>60</v>
      </c>
      <c r="H249" s="3" t="s">
        <v>59</v>
      </c>
      <c r="I249" s="3" t="s">
        <v>59</v>
      </c>
      <c r="J249" s="3" t="s">
        <v>61</v>
      </c>
      <c r="K249" s="2" t="s">
        <v>3305</v>
      </c>
      <c r="L249" s="2" t="s">
        <v>3306</v>
      </c>
      <c r="M249" s="3" t="s">
        <v>434</v>
      </c>
      <c r="O249" s="3" t="s">
        <v>65</v>
      </c>
      <c r="P249" s="3" t="s">
        <v>66</v>
      </c>
      <c r="R249" s="3" t="s">
        <v>68</v>
      </c>
      <c r="S249" s="4">
        <v>5</v>
      </c>
      <c r="T249" s="4">
        <v>5</v>
      </c>
      <c r="U249" s="5" t="s">
        <v>3307</v>
      </c>
      <c r="V249" s="5" t="s">
        <v>3307</v>
      </c>
      <c r="W249" s="5" t="s">
        <v>269</v>
      </c>
      <c r="X249" s="5" t="s">
        <v>269</v>
      </c>
      <c r="Y249" s="4">
        <v>377</v>
      </c>
      <c r="Z249" s="4">
        <v>351</v>
      </c>
      <c r="AA249" s="4">
        <v>379</v>
      </c>
      <c r="AB249" s="4">
        <v>2</v>
      </c>
      <c r="AC249" s="4">
        <v>2</v>
      </c>
      <c r="AD249" s="4">
        <v>9</v>
      </c>
      <c r="AE249" s="4">
        <v>9</v>
      </c>
      <c r="AF249" s="4">
        <v>3</v>
      </c>
      <c r="AG249" s="4">
        <v>3</v>
      </c>
      <c r="AH249" s="4">
        <v>2</v>
      </c>
      <c r="AI249" s="4">
        <v>2</v>
      </c>
      <c r="AJ249" s="4">
        <v>4</v>
      </c>
      <c r="AK249" s="4">
        <v>4</v>
      </c>
      <c r="AL249" s="4">
        <v>1</v>
      </c>
      <c r="AM249" s="4">
        <v>1</v>
      </c>
      <c r="AN249" s="4">
        <v>0</v>
      </c>
      <c r="AO249" s="4">
        <v>0</v>
      </c>
      <c r="AP249" s="3" t="s">
        <v>59</v>
      </c>
      <c r="AQ249" s="3" t="s">
        <v>71</v>
      </c>
      <c r="AR249" s="6" t="str">
        <f>HYPERLINK("http://catalog.hathitrust.org/Record/000474225","HathiTrust Record")</f>
        <v>HathiTrust Record</v>
      </c>
      <c r="AS249" s="6" t="str">
        <f>HYPERLINK("https://creighton-primo.hosted.exlibrisgroup.com/primo-explore/search?tab=default_tab&amp;search_scope=EVERYTHING&amp;vid=01CRU&amp;lang=en_US&amp;offset=0&amp;query=any,contains,991003541789702656","Catalog Record")</f>
        <v>Catalog Record</v>
      </c>
      <c r="AT249" s="6" t="str">
        <f>HYPERLINK("http://www.worldcat.org/oclc/1106311","WorldCat Record")</f>
        <v>WorldCat Record</v>
      </c>
      <c r="AU249" s="3" t="s">
        <v>3308</v>
      </c>
      <c r="AV249" s="3" t="s">
        <v>3309</v>
      </c>
      <c r="AW249" s="3" t="s">
        <v>3310</v>
      </c>
      <c r="AX249" s="3" t="s">
        <v>3310</v>
      </c>
      <c r="AY249" s="3" t="s">
        <v>3311</v>
      </c>
      <c r="AZ249" s="3" t="s">
        <v>76</v>
      </c>
      <c r="BC249" s="3" t="s">
        <v>3312</v>
      </c>
      <c r="BD249" s="3" t="s">
        <v>3313</v>
      </c>
    </row>
    <row r="250" spans="1:56" ht="52.5" customHeight="1" x14ac:dyDescent="0.25">
      <c r="A250" s="7" t="s">
        <v>59</v>
      </c>
      <c r="B250" s="2" t="s">
        <v>3314</v>
      </c>
      <c r="C250" s="2" t="s">
        <v>3315</v>
      </c>
      <c r="D250" s="2" t="s">
        <v>3316</v>
      </c>
      <c r="F250" s="3" t="s">
        <v>59</v>
      </c>
      <c r="G250" s="3" t="s">
        <v>60</v>
      </c>
      <c r="H250" s="3" t="s">
        <v>59</v>
      </c>
      <c r="I250" s="3" t="s">
        <v>59</v>
      </c>
      <c r="J250" s="3" t="s">
        <v>61</v>
      </c>
      <c r="K250" s="2" t="s">
        <v>3317</v>
      </c>
      <c r="L250" s="2" t="s">
        <v>3318</v>
      </c>
      <c r="M250" s="3" t="s">
        <v>514</v>
      </c>
      <c r="O250" s="3" t="s">
        <v>65</v>
      </c>
      <c r="P250" s="3" t="s">
        <v>296</v>
      </c>
      <c r="Q250" s="2" t="s">
        <v>3319</v>
      </c>
      <c r="R250" s="3" t="s">
        <v>68</v>
      </c>
      <c r="S250" s="4">
        <v>6</v>
      </c>
      <c r="T250" s="4">
        <v>6</v>
      </c>
      <c r="U250" s="5" t="s">
        <v>3320</v>
      </c>
      <c r="V250" s="5" t="s">
        <v>3320</v>
      </c>
      <c r="W250" s="5" t="s">
        <v>1292</v>
      </c>
      <c r="X250" s="5" t="s">
        <v>1292</v>
      </c>
      <c r="Y250" s="4">
        <v>626</v>
      </c>
      <c r="Z250" s="4">
        <v>496</v>
      </c>
      <c r="AA250" s="4">
        <v>497</v>
      </c>
      <c r="AB250" s="4">
        <v>2</v>
      </c>
      <c r="AC250" s="4">
        <v>2</v>
      </c>
      <c r="AD250" s="4">
        <v>23</v>
      </c>
      <c r="AE250" s="4">
        <v>23</v>
      </c>
      <c r="AF250" s="4">
        <v>8</v>
      </c>
      <c r="AG250" s="4">
        <v>8</v>
      </c>
      <c r="AH250" s="4">
        <v>5</v>
      </c>
      <c r="AI250" s="4">
        <v>5</v>
      </c>
      <c r="AJ250" s="4">
        <v>13</v>
      </c>
      <c r="AK250" s="4">
        <v>13</v>
      </c>
      <c r="AL250" s="4">
        <v>1</v>
      </c>
      <c r="AM250" s="4">
        <v>1</v>
      </c>
      <c r="AN250" s="4">
        <v>0</v>
      </c>
      <c r="AO250" s="4">
        <v>0</v>
      </c>
      <c r="AP250" s="3" t="s">
        <v>59</v>
      </c>
      <c r="AQ250" s="3" t="s">
        <v>71</v>
      </c>
      <c r="AR250" s="6" t="str">
        <f>HYPERLINK("http://catalog.hathitrust.org/Record/000658452","HathiTrust Record")</f>
        <v>HathiTrust Record</v>
      </c>
      <c r="AS250" s="6" t="str">
        <f>HYPERLINK("https://creighton-primo.hosted.exlibrisgroup.com/primo-explore/search?tab=default_tab&amp;search_scope=EVERYTHING&amp;vid=01CRU&amp;lang=en_US&amp;offset=0&amp;query=any,contains,991001376389702656","Catalog Record")</f>
        <v>Catalog Record</v>
      </c>
      <c r="AT250" s="6" t="str">
        <f>HYPERLINK("http://www.worldcat.org/oclc/224947","WorldCat Record")</f>
        <v>WorldCat Record</v>
      </c>
      <c r="AU250" s="3" t="s">
        <v>3321</v>
      </c>
      <c r="AV250" s="3" t="s">
        <v>3322</v>
      </c>
      <c r="AW250" s="3" t="s">
        <v>3323</v>
      </c>
      <c r="AX250" s="3" t="s">
        <v>3323</v>
      </c>
      <c r="AY250" s="3" t="s">
        <v>3324</v>
      </c>
      <c r="AZ250" s="3" t="s">
        <v>76</v>
      </c>
      <c r="BC250" s="3" t="s">
        <v>3325</v>
      </c>
      <c r="BD250" s="3" t="s">
        <v>3326</v>
      </c>
    </row>
    <row r="251" spans="1:56" ht="52.5" customHeight="1" x14ac:dyDescent="0.25">
      <c r="A251" s="7" t="s">
        <v>59</v>
      </c>
      <c r="B251" s="2" t="s">
        <v>3327</v>
      </c>
      <c r="C251" s="2" t="s">
        <v>3328</v>
      </c>
      <c r="D251" s="2" t="s">
        <v>3329</v>
      </c>
      <c r="F251" s="3" t="s">
        <v>59</v>
      </c>
      <c r="G251" s="3" t="s">
        <v>60</v>
      </c>
      <c r="H251" s="3" t="s">
        <v>59</v>
      </c>
      <c r="I251" s="3" t="s">
        <v>59</v>
      </c>
      <c r="J251" s="3" t="s">
        <v>61</v>
      </c>
      <c r="L251" s="2" t="s">
        <v>3330</v>
      </c>
      <c r="M251" s="3" t="s">
        <v>1000</v>
      </c>
      <c r="O251" s="3" t="s">
        <v>65</v>
      </c>
      <c r="P251" s="3" t="s">
        <v>699</v>
      </c>
      <c r="R251" s="3" t="s">
        <v>68</v>
      </c>
      <c r="S251" s="4">
        <v>2</v>
      </c>
      <c r="T251" s="4">
        <v>2</v>
      </c>
      <c r="U251" s="5" t="s">
        <v>3331</v>
      </c>
      <c r="V251" s="5" t="s">
        <v>3331</v>
      </c>
      <c r="W251" s="5" t="s">
        <v>3094</v>
      </c>
      <c r="X251" s="5" t="s">
        <v>3094</v>
      </c>
      <c r="Y251" s="4">
        <v>890</v>
      </c>
      <c r="Z251" s="4">
        <v>770</v>
      </c>
      <c r="AA251" s="4">
        <v>789</v>
      </c>
      <c r="AB251" s="4">
        <v>4</v>
      </c>
      <c r="AC251" s="4">
        <v>4</v>
      </c>
      <c r="AD251" s="4">
        <v>35</v>
      </c>
      <c r="AE251" s="4">
        <v>35</v>
      </c>
      <c r="AF251" s="4">
        <v>15</v>
      </c>
      <c r="AG251" s="4">
        <v>15</v>
      </c>
      <c r="AH251" s="4">
        <v>7</v>
      </c>
      <c r="AI251" s="4">
        <v>7</v>
      </c>
      <c r="AJ251" s="4">
        <v>20</v>
      </c>
      <c r="AK251" s="4">
        <v>20</v>
      </c>
      <c r="AL251" s="4">
        <v>3</v>
      </c>
      <c r="AM251" s="4">
        <v>3</v>
      </c>
      <c r="AN251" s="4">
        <v>0</v>
      </c>
      <c r="AO251" s="4">
        <v>0</v>
      </c>
      <c r="AP251" s="3" t="s">
        <v>59</v>
      </c>
      <c r="AQ251" s="3" t="s">
        <v>71</v>
      </c>
      <c r="AR251" s="6" t="str">
        <f>HYPERLINK("http://catalog.hathitrust.org/Record/000027559","HathiTrust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HYPERLINK("https://creighton-primo.hosted.exlibrisgroup.com/primo-explore/search?tab=default_tab&amp;search_scope=EVERYTHING&amp;vid=01CRU&amp;lang=en_US&amp;offset=0&amp;query=any,contains,991004790709702656","Catalog Record")</f>
        <v>Catalog Record</v>
      </c>
      <c r="AT251" s="6" t="str">
        <f>HYPERLINK("http://www.worldcat.org/oclc/5171027","WorldCat Record")</f>
        <v>WorldCat Record</v>
      </c>
      <c r="AU251" s="3" t="s">
        <v>3332</v>
      </c>
      <c r="AV251" s="3" t="s">
        <v>3333</v>
      </c>
      <c r="AW251" s="3" t="s">
        <v>3334</v>
      </c>
      <c r="AX251" s="3" t="s">
        <v>3334</v>
      </c>
      <c r="AY251" s="3" t="s">
        <v>3335</v>
      </c>
      <c r="AZ251" s="3" t="s">
        <v>76</v>
      </c>
      <c r="BB251" s="3" t="s">
        <v>3336</v>
      </c>
      <c r="BC251" s="3" t="s">
        <v>3337</v>
      </c>
      <c r="BD251" s="3" t="s">
        <v>3338</v>
      </c>
    </row>
    <row r="252" spans="1:56" ht="52.5" customHeight="1" x14ac:dyDescent="0.25">
      <c r="A252" s="7" t="s">
        <v>59</v>
      </c>
      <c r="B252" s="2" t="s">
        <v>3339</v>
      </c>
      <c r="C252" s="2" t="s">
        <v>3340</v>
      </c>
      <c r="D252" s="2" t="s">
        <v>3341</v>
      </c>
      <c r="F252" s="3" t="s">
        <v>59</v>
      </c>
      <c r="G252" s="3" t="s">
        <v>60</v>
      </c>
      <c r="H252" s="3" t="s">
        <v>59</v>
      </c>
      <c r="I252" s="3" t="s">
        <v>71</v>
      </c>
      <c r="J252" s="3" t="s">
        <v>61</v>
      </c>
      <c r="K252" s="2" t="s">
        <v>3342</v>
      </c>
      <c r="L252" s="2" t="s">
        <v>3343</v>
      </c>
      <c r="M252" s="3" t="s">
        <v>2311</v>
      </c>
      <c r="N252" s="2" t="s">
        <v>3344</v>
      </c>
      <c r="O252" s="3" t="s">
        <v>65</v>
      </c>
      <c r="P252" s="3" t="s">
        <v>66</v>
      </c>
      <c r="Q252" s="2" t="s">
        <v>1602</v>
      </c>
      <c r="R252" s="3" t="s">
        <v>68</v>
      </c>
      <c r="S252" s="4">
        <v>3</v>
      </c>
      <c r="T252" s="4">
        <v>3</v>
      </c>
      <c r="U252" s="5" t="s">
        <v>3345</v>
      </c>
      <c r="V252" s="5" t="s">
        <v>3345</v>
      </c>
      <c r="W252" s="5" t="s">
        <v>1292</v>
      </c>
      <c r="X252" s="5" t="s">
        <v>1292</v>
      </c>
      <c r="Y252" s="4">
        <v>414</v>
      </c>
      <c r="Z252" s="4">
        <v>356</v>
      </c>
      <c r="AA252" s="4">
        <v>1087</v>
      </c>
      <c r="AB252" s="4">
        <v>4</v>
      </c>
      <c r="AC252" s="4">
        <v>9</v>
      </c>
      <c r="AD252" s="4">
        <v>12</v>
      </c>
      <c r="AE252" s="4">
        <v>35</v>
      </c>
      <c r="AF252" s="4">
        <v>3</v>
      </c>
      <c r="AG252" s="4">
        <v>17</v>
      </c>
      <c r="AH252" s="4">
        <v>2</v>
      </c>
      <c r="AI252" s="4">
        <v>6</v>
      </c>
      <c r="AJ252" s="4">
        <v>8</v>
      </c>
      <c r="AK252" s="4">
        <v>18</v>
      </c>
      <c r="AL252" s="4">
        <v>2</v>
      </c>
      <c r="AM252" s="4">
        <v>4</v>
      </c>
      <c r="AN252" s="4">
        <v>0</v>
      </c>
      <c r="AO252" s="4">
        <v>0</v>
      </c>
      <c r="AP252" s="3" t="s">
        <v>59</v>
      </c>
      <c r="AQ252" s="3" t="s">
        <v>71</v>
      </c>
      <c r="AR252" s="6" t="str">
        <f>HYPERLINK("http://catalog.hathitrust.org/Record/000658894","HathiTrust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HYPERLINK("https://creighton-primo.hosted.exlibrisgroup.com/primo-explore/search?tab=default_tab&amp;search_scope=EVERYTHING&amp;vid=01CRU&amp;lang=en_US&amp;offset=0&amp;query=any,contains,991003727409702656","Catalog Record")</f>
        <v>Catalog Record</v>
      </c>
      <c r="AT252" s="6" t="str">
        <f>HYPERLINK("http://www.worldcat.org/oclc/1375864","WorldCat Record")</f>
        <v>WorldCat Record</v>
      </c>
      <c r="AU252" s="3" t="s">
        <v>3346</v>
      </c>
      <c r="AV252" s="3" t="s">
        <v>3347</v>
      </c>
      <c r="AW252" s="3" t="s">
        <v>3348</v>
      </c>
      <c r="AX252" s="3" t="s">
        <v>3348</v>
      </c>
      <c r="AY252" s="3" t="s">
        <v>3349</v>
      </c>
      <c r="AZ252" s="3" t="s">
        <v>76</v>
      </c>
      <c r="BC252" s="3" t="s">
        <v>3350</v>
      </c>
      <c r="BD252" s="3" t="s">
        <v>3351</v>
      </c>
    </row>
    <row r="253" spans="1:56" ht="52.5" customHeight="1" x14ac:dyDescent="0.25">
      <c r="A253" s="7" t="s">
        <v>59</v>
      </c>
      <c r="B253" s="2" t="s">
        <v>3352</v>
      </c>
      <c r="C253" s="2" t="s">
        <v>3353</v>
      </c>
      <c r="D253" s="2" t="s">
        <v>3341</v>
      </c>
      <c r="F253" s="3" t="s">
        <v>59</v>
      </c>
      <c r="G253" s="3" t="s">
        <v>60</v>
      </c>
      <c r="H253" s="3" t="s">
        <v>59</v>
      </c>
      <c r="I253" s="3" t="s">
        <v>71</v>
      </c>
      <c r="J253" s="3" t="s">
        <v>61</v>
      </c>
      <c r="K253" s="2" t="s">
        <v>3342</v>
      </c>
      <c r="L253" s="2" t="s">
        <v>3354</v>
      </c>
      <c r="M253" s="3" t="s">
        <v>729</v>
      </c>
      <c r="N253" s="2" t="s">
        <v>671</v>
      </c>
      <c r="O253" s="3" t="s">
        <v>65</v>
      </c>
      <c r="P253" s="3" t="s">
        <v>66</v>
      </c>
      <c r="Q253" s="2" t="s">
        <v>1602</v>
      </c>
      <c r="R253" s="3" t="s">
        <v>68</v>
      </c>
      <c r="S253" s="4">
        <v>1</v>
      </c>
      <c r="T253" s="4">
        <v>1</v>
      </c>
      <c r="U253" s="5" t="s">
        <v>3355</v>
      </c>
      <c r="V253" s="5" t="s">
        <v>3355</v>
      </c>
      <c r="W253" s="5" t="s">
        <v>1292</v>
      </c>
      <c r="X253" s="5" t="s">
        <v>1292</v>
      </c>
      <c r="Y253" s="4">
        <v>767</v>
      </c>
      <c r="Z253" s="4">
        <v>682</v>
      </c>
      <c r="AA253" s="4">
        <v>1087</v>
      </c>
      <c r="AB253" s="4">
        <v>5</v>
      </c>
      <c r="AC253" s="4">
        <v>9</v>
      </c>
      <c r="AD253" s="4">
        <v>22</v>
      </c>
      <c r="AE253" s="4">
        <v>35</v>
      </c>
      <c r="AF253" s="4">
        <v>11</v>
      </c>
      <c r="AG253" s="4">
        <v>17</v>
      </c>
      <c r="AH253" s="4">
        <v>5</v>
      </c>
      <c r="AI253" s="4">
        <v>6</v>
      </c>
      <c r="AJ253" s="4">
        <v>11</v>
      </c>
      <c r="AK253" s="4">
        <v>18</v>
      </c>
      <c r="AL253" s="4">
        <v>2</v>
      </c>
      <c r="AM253" s="4">
        <v>4</v>
      </c>
      <c r="AN253" s="4">
        <v>0</v>
      </c>
      <c r="AO253" s="4">
        <v>0</v>
      </c>
      <c r="AP253" s="3" t="s">
        <v>59</v>
      </c>
      <c r="AQ253" s="3" t="s">
        <v>71</v>
      </c>
      <c r="AR253" s="6" t="str">
        <f>HYPERLINK("http://catalog.hathitrust.org/Record/000658904","HathiTrust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HYPERLINK("https://creighton-primo.hosted.exlibrisgroup.com/primo-explore/search?tab=default_tab&amp;search_scope=EVERYTHING&amp;vid=01CRU&amp;lang=en_US&amp;offset=0&amp;query=any,contains,991003216119702656","Catalog Record")</f>
        <v>Catalog Record</v>
      </c>
      <c r="AT253" s="6" t="str">
        <f>HYPERLINK("http://www.worldcat.org/oclc/742092","WorldCat Record")</f>
        <v>WorldCat Record</v>
      </c>
      <c r="AU253" s="3" t="s">
        <v>3346</v>
      </c>
      <c r="AV253" s="3" t="s">
        <v>3356</v>
      </c>
      <c r="AW253" s="3" t="s">
        <v>3357</v>
      </c>
      <c r="AX253" s="3" t="s">
        <v>3357</v>
      </c>
      <c r="AY253" s="3" t="s">
        <v>3358</v>
      </c>
      <c r="AZ253" s="3" t="s">
        <v>76</v>
      </c>
      <c r="BC253" s="3" t="s">
        <v>3359</v>
      </c>
      <c r="BD253" s="3" t="s">
        <v>3360</v>
      </c>
    </row>
    <row r="254" spans="1:56" ht="52.5" customHeight="1" x14ac:dyDescent="0.25">
      <c r="A254" s="7" t="s">
        <v>59</v>
      </c>
      <c r="B254" s="2" t="s">
        <v>3361</v>
      </c>
      <c r="C254" s="2" t="s">
        <v>3362</v>
      </c>
      <c r="D254" s="2" t="s">
        <v>3363</v>
      </c>
      <c r="F254" s="3" t="s">
        <v>59</v>
      </c>
      <c r="G254" s="3" t="s">
        <v>60</v>
      </c>
      <c r="H254" s="3" t="s">
        <v>59</v>
      </c>
      <c r="I254" s="3" t="s">
        <v>71</v>
      </c>
      <c r="J254" s="3" t="s">
        <v>61</v>
      </c>
      <c r="K254" s="2" t="s">
        <v>3364</v>
      </c>
      <c r="L254" s="2" t="s">
        <v>3365</v>
      </c>
      <c r="M254" s="3" t="s">
        <v>987</v>
      </c>
      <c r="O254" s="3" t="s">
        <v>65</v>
      </c>
      <c r="P254" s="3" t="s">
        <v>66</v>
      </c>
      <c r="R254" s="3" t="s">
        <v>68</v>
      </c>
      <c r="S254" s="4">
        <v>1</v>
      </c>
      <c r="T254" s="4">
        <v>1</v>
      </c>
      <c r="U254" s="5" t="s">
        <v>3366</v>
      </c>
      <c r="V254" s="5" t="s">
        <v>3366</v>
      </c>
      <c r="W254" s="5" t="s">
        <v>3094</v>
      </c>
      <c r="X254" s="5" t="s">
        <v>3094</v>
      </c>
      <c r="Y254" s="4">
        <v>315</v>
      </c>
      <c r="Z254" s="4">
        <v>237</v>
      </c>
      <c r="AA254" s="4">
        <v>326</v>
      </c>
      <c r="AB254" s="4">
        <v>3</v>
      </c>
      <c r="AC254" s="4">
        <v>3</v>
      </c>
      <c r="AD254" s="4">
        <v>15</v>
      </c>
      <c r="AE254" s="4">
        <v>17</v>
      </c>
      <c r="AF254" s="4">
        <v>6</v>
      </c>
      <c r="AG254" s="4">
        <v>7</v>
      </c>
      <c r="AH254" s="4">
        <v>4</v>
      </c>
      <c r="AI254" s="4">
        <v>4</v>
      </c>
      <c r="AJ254" s="4">
        <v>7</v>
      </c>
      <c r="AK254" s="4">
        <v>8</v>
      </c>
      <c r="AL254" s="4">
        <v>1</v>
      </c>
      <c r="AM254" s="4">
        <v>1</v>
      </c>
      <c r="AN254" s="4">
        <v>0</v>
      </c>
      <c r="AO254" s="4">
        <v>0</v>
      </c>
      <c r="AP254" s="3" t="s">
        <v>59</v>
      </c>
      <c r="AQ254" s="3" t="s">
        <v>71</v>
      </c>
      <c r="AR254" s="6" t="str">
        <f>HYPERLINK("http://catalog.hathitrust.org/Record/000661905","HathiTrust Record")</f>
        <v>HathiTrust Record</v>
      </c>
      <c r="AS254" s="6" t="str">
        <f>HYPERLINK("https://creighton-primo.hosted.exlibrisgroup.com/primo-explore/search?tab=default_tab&amp;search_scope=EVERYTHING&amp;vid=01CRU&amp;lang=en_US&amp;offset=0&amp;query=any,contains,991000514769702656","Catalog Record")</f>
        <v>Catalog Record</v>
      </c>
      <c r="AT254" s="6" t="str">
        <f>HYPERLINK("http://www.worldcat.org/oclc/84987","WorldCat Record")</f>
        <v>WorldCat Record</v>
      </c>
      <c r="AU254" s="3" t="s">
        <v>3367</v>
      </c>
      <c r="AV254" s="3" t="s">
        <v>3368</v>
      </c>
      <c r="AW254" s="3" t="s">
        <v>3369</v>
      </c>
      <c r="AX254" s="3" t="s">
        <v>3369</v>
      </c>
      <c r="AY254" s="3" t="s">
        <v>3370</v>
      </c>
      <c r="AZ254" s="3" t="s">
        <v>76</v>
      </c>
      <c r="BB254" s="3" t="s">
        <v>3371</v>
      </c>
      <c r="BC254" s="3" t="s">
        <v>3372</v>
      </c>
      <c r="BD254" s="3" t="s">
        <v>3373</v>
      </c>
    </row>
    <row r="255" spans="1:56" ht="52.5" customHeight="1" x14ac:dyDescent="0.25">
      <c r="A255" s="7" t="s">
        <v>59</v>
      </c>
      <c r="B255" s="2" t="s">
        <v>3374</v>
      </c>
      <c r="C255" s="2" t="s">
        <v>3375</v>
      </c>
      <c r="D255" s="2" t="s">
        <v>3376</v>
      </c>
      <c r="F255" s="3" t="s">
        <v>59</v>
      </c>
      <c r="G255" s="3" t="s">
        <v>60</v>
      </c>
      <c r="H255" s="3" t="s">
        <v>59</v>
      </c>
      <c r="I255" s="3" t="s">
        <v>71</v>
      </c>
      <c r="J255" s="3" t="s">
        <v>61</v>
      </c>
      <c r="K255" s="2" t="s">
        <v>3364</v>
      </c>
      <c r="L255" s="2" t="s">
        <v>3377</v>
      </c>
      <c r="M255" s="3" t="s">
        <v>131</v>
      </c>
      <c r="N255" s="2" t="s">
        <v>1289</v>
      </c>
      <c r="O255" s="3" t="s">
        <v>65</v>
      </c>
      <c r="P255" s="3" t="s">
        <v>66</v>
      </c>
      <c r="R255" s="3" t="s">
        <v>68</v>
      </c>
      <c r="S255" s="4">
        <v>1</v>
      </c>
      <c r="T255" s="4">
        <v>1</v>
      </c>
      <c r="U255" s="5" t="s">
        <v>3378</v>
      </c>
      <c r="V255" s="5" t="s">
        <v>3378</v>
      </c>
      <c r="W255" s="5" t="s">
        <v>3094</v>
      </c>
      <c r="X255" s="5" t="s">
        <v>3094</v>
      </c>
      <c r="Y255" s="4">
        <v>178</v>
      </c>
      <c r="Z255" s="4">
        <v>136</v>
      </c>
      <c r="AA255" s="4">
        <v>326</v>
      </c>
      <c r="AB255" s="4">
        <v>2</v>
      </c>
      <c r="AC255" s="4">
        <v>3</v>
      </c>
      <c r="AD255" s="4">
        <v>5</v>
      </c>
      <c r="AE255" s="4">
        <v>17</v>
      </c>
      <c r="AF255" s="4">
        <v>1</v>
      </c>
      <c r="AG255" s="4">
        <v>7</v>
      </c>
      <c r="AH255" s="4">
        <v>1</v>
      </c>
      <c r="AI255" s="4">
        <v>4</v>
      </c>
      <c r="AJ255" s="4">
        <v>2</v>
      </c>
      <c r="AK255" s="4">
        <v>8</v>
      </c>
      <c r="AL255" s="4">
        <v>1</v>
      </c>
      <c r="AM255" s="4">
        <v>1</v>
      </c>
      <c r="AN255" s="4">
        <v>0</v>
      </c>
      <c r="AO255" s="4">
        <v>0</v>
      </c>
      <c r="AP255" s="3" t="s">
        <v>59</v>
      </c>
      <c r="AQ255" s="3" t="s">
        <v>59</v>
      </c>
      <c r="AS255" s="6" t="str">
        <f>HYPERLINK("https://creighton-primo.hosted.exlibrisgroup.com/primo-explore/search?tab=default_tab&amp;search_scope=EVERYTHING&amp;vid=01CRU&amp;lang=en_US&amp;offset=0&amp;query=any,contains,991003167809702656","Catalog Record")</f>
        <v>Catalog Record</v>
      </c>
      <c r="AT255" s="6" t="str">
        <f>HYPERLINK("http://www.worldcat.org/oclc/704884","WorldCat Record")</f>
        <v>WorldCat Record</v>
      </c>
      <c r="AU255" s="3" t="s">
        <v>3367</v>
      </c>
      <c r="AV255" s="3" t="s">
        <v>3379</v>
      </c>
      <c r="AW255" s="3" t="s">
        <v>3380</v>
      </c>
      <c r="AX255" s="3" t="s">
        <v>3380</v>
      </c>
      <c r="AY255" s="3" t="s">
        <v>3381</v>
      </c>
      <c r="AZ255" s="3" t="s">
        <v>76</v>
      </c>
      <c r="BB255" s="3" t="s">
        <v>3382</v>
      </c>
      <c r="BC255" s="3" t="s">
        <v>3383</v>
      </c>
      <c r="BD255" s="3" t="s">
        <v>3384</v>
      </c>
    </row>
    <row r="256" spans="1:56" ht="52.5" customHeight="1" x14ac:dyDescent="0.25">
      <c r="A256" s="7" t="s">
        <v>59</v>
      </c>
      <c r="B256" s="2" t="s">
        <v>3385</v>
      </c>
      <c r="C256" s="2" t="s">
        <v>3386</v>
      </c>
      <c r="D256" s="2" t="s">
        <v>3387</v>
      </c>
      <c r="F256" s="3" t="s">
        <v>59</v>
      </c>
      <c r="G256" s="3" t="s">
        <v>60</v>
      </c>
      <c r="H256" s="3" t="s">
        <v>59</v>
      </c>
      <c r="I256" s="3" t="s">
        <v>59</v>
      </c>
      <c r="J256" s="3" t="s">
        <v>61</v>
      </c>
      <c r="K256" s="2" t="s">
        <v>3388</v>
      </c>
      <c r="L256" s="2" t="s">
        <v>3389</v>
      </c>
      <c r="M256" s="3" t="s">
        <v>684</v>
      </c>
      <c r="N256" s="2" t="s">
        <v>1289</v>
      </c>
      <c r="O256" s="3" t="s">
        <v>65</v>
      </c>
      <c r="P256" s="3" t="s">
        <v>699</v>
      </c>
      <c r="R256" s="3" t="s">
        <v>68</v>
      </c>
      <c r="S256" s="4">
        <v>5</v>
      </c>
      <c r="T256" s="4">
        <v>5</v>
      </c>
      <c r="U256" s="5" t="s">
        <v>3355</v>
      </c>
      <c r="V256" s="5" t="s">
        <v>3355</v>
      </c>
      <c r="W256" s="5" t="s">
        <v>3094</v>
      </c>
      <c r="X256" s="5" t="s">
        <v>3094</v>
      </c>
      <c r="Y256" s="4">
        <v>160</v>
      </c>
      <c r="Z256" s="4">
        <v>94</v>
      </c>
      <c r="AA256" s="4">
        <v>243</v>
      </c>
      <c r="AB256" s="4">
        <v>2</v>
      </c>
      <c r="AC256" s="4">
        <v>2</v>
      </c>
      <c r="AD256" s="4">
        <v>5</v>
      </c>
      <c r="AE256" s="4">
        <v>13</v>
      </c>
      <c r="AF256" s="4">
        <v>1</v>
      </c>
      <c r="AG256" s="4">
        <v>4</v>
      </c>
      <c r="AH256" s="4">
        <v>2</v>
      </c>
      <c r="AI256" s="4">
        <v>2</v>
      </c>
      <c r="AJ256" s="4">
        <v>3</v>
      </c>
      <c r="AK256" s="4">
        <v>9</v>
      </c>
      <c r="AL256" s="4">
        <v>1</v>
      </c>
      <c r="AM256" s="4">
        <v>1</v>
      </c>
      <c r="AN256" s="4">
        <v>0</v>
      </c>
      <c r="AO256" s="4">
        <v>0</v>
      </c>
      <c r="AP256" s="3" t="s">
        <v>59</v>
      </c>
      <c r="AQ256" s="3" t="s">
        <v>59</v>
      </c>
      <c r="AS256" s="6" t="str">
        <f>HYPERLINK("https://creighton-primo.hosted.exlibrisgroup.com/primo-explore/search?tab=default_tab&amp;search_scope=EVERYTHING&amp;vid=01CRU&amp;lang=en_US&amp;offset=0&amp;query=any,contains,991005032289702656","Catalog Record")</f>
        <v>Catalog Record</v>
      </c>
      <c r="AT256" s="6" t="str">
        <f>HYPERLINK("http://www.worldcat.org/oclc/6734318","WorldCat Record")</f>
        <v>WorldCat Record</v>
      </c>
      <c r="AU256" s="3" t="s">
        <v>3390</v>
      </c>
      <c r="AV256" s="3" t="s">
        <v>3391</v>
      </c>
      <c r="AW256" s="3" t="s">
        <v>3392</v>
      </c>
      <c r="AX256" s="3" t="s">
        <v>3392</v>
      </c>
      <c r="AY256" s="3" t="s">
        <v>3393</v>
      </c>
      <c r="AZ256" s="3" t="s">
        <v>76</v>
      </c>
      <c r="BB256" s="3" t="s">
        <v>3394</v>
      </c>
      <c r="BC256" s="3" t="s">
        <v>3395</v>
      </c>
      <c r="BD256" s="3" t="s">
        <v>3396</v>
      </c>
    </row>
    <row r="257" spans="1:56" ht="52.5" customHeight="1" x14ac:dyDescent="0.25">
      <c r="A257" s="7" t="s">
        <v>59</v>
      </c>
      <c r="B257" s="2" t="s">
        <v>3397</v>
      </c>
      <c r="C257" s="2" t="s">
        <v>3398</v>
      </c>
      <c r="D257" s="2" t="s">
        <v>3399</v>
      </c>
      <c r="F257" s="3" t="s">
        <v>59</v>
      </c>
      <c r="G257" s="3" t="s">
        <v>60</v>
      </c>
      <c r="H257" s="3" t="s">
        <v>59</v>
      </c>
      <c r="I257" s="3" t="s">
        <v>59</v>
      </c>
      <c r="J257" s="3" t="s">
        <v>61</v>
      </c>
      <c r="K257" s="2" t="s">
        <v>3400</v>
      </c>
      <c r="L257" s="2" t="s">
        <v>3401</v>
      </c>
      <c r="M257" s="3" t="s">
        <v>224</v>
      </c>
      <c r="O257" s="3" t="s">
        <v>65</v>
      </c>
      <c r="P257" s="3" t="s">
        <v>66</v>
      </c>
      <c r="Q257" s="2" t="s">
        <v>1164</v>
      </c>
      <c r="R257" s="3" t="s">
        <v>68</v>
      </c>
      <c r="S257" s="4">
        <v>2</v>
      </c>
      <c r="T257" s="4">
        <v>2</v>
      </c>
      <c r="U257" s="5" t="s">
        <v>3402</v>
      </c>
      <c r="V257" s="5" t="s">
        <v>3402</v>
      </c>
      <c r="W257" s="5" t="s">
        <v>3403</v>
      </c>
      <c r="X257" s="5" t="s">
        <v>3403</v>
      </c>
      <c r="Y257" s="4">
        <v>571</v>
      </c>
      <c r="Z257" s="4">
        <v>451</v>
      </c>
      <c r="AA257" s="4">
        <v>466</v>
      </c>
      <c r="AB257" s="4">
        <v>4</v>
      </c>
      <c r="AC257" s="4">
        <v>4</v>
      </c>
      <c r="AD257" s="4">
        <v>22</v>
      </c>
      <c r="AE257" s="4">
        <v>22</v>
      </c>
      <c r="AF257" s="4">
        <v>6</v>
      </c>
      <c r="AG257" s="4">
        <v>6</v>
      </c>
      <c r="AH257" s="4">
        <v>7</v>
      </c>
      <c r="AI257" s="4">
        <v>7</v>
      </c>
      <c r="AJ257" s="4">
        <v>13</v>
      </c>
      <c r="AK257" s="4">
        <v>13</v>
      </c>
      <c r="AL257" s="4">
        <v>2</v>
      </c>
      <c r="AM257" s="4">
        <v>2</v>
      </c>
      <c r="AN257" s="4">
        <v>0</v>
      </c>
      <c r="AO257" s="4">
        <v>0</v>
      </c>
      <c r="AP257" s="3" t="s">
        <v>59</v>
      </c>
      <c r="AQ257" s="3" t="s">
        <v>71</v>
      </c>
      <c r="AR257" s="6" t="str">
        <f>HYPERLINK("http://catalog.hathitrust.org/Record/000658929","HathiTrust Record")</f>
        <v>HathiTrust Record</v>
      </c>
      <c r="AS257" s="6" t="str">
        <f>HYPERLINK("https://creighton-primo.hosted.exlibrisgroup.com/primo-explore/search?tab=default_tab&amp;search_scope=EVERYTHING&amp;vid=01CRU&amp;lang=en_US&amp;offset=0&amp;query=any,contains,991003483869702656","Catalog Record")</f>
        <v>Catalog Record</v>
      </c>
      <c r="AT257" s="6" t="str">
        <f>HYPERLINK("http://www.worldcat.org/oclc/1031210","WorldCat Record")</f>
        <v>WorldCat Record</v>
      </c>
      <c r="AU257" s="3" t="s">
        <v>3404</v>
      </c>
      <c r="AV257" s="3" t="s">
        <v>3405</v>
      </c>
      <c r="AW257" s="3" t="s">
        <v>3406</v>
      </c>
      <c r="AX257" s="3" t="s">
        <v>3406</v>
      </c>
      <c r="AY257" s="3" t="s">
        <v>3407</v>
      </c>
      <c r="AZ257" s="3" t="s">
        <v>76</v>
      </c>
      <c r="BB257" s="3" t="s">
        <v>3408</v>
      </c>
      <c r="BC257" s="3" t="s">
        <v>3409</v>
      </c>
      <c r="BD257" s="3" t="s">
        <v>3410</v>
      </c>
    </row>
    <row r="258" spans="1:56" ht="52.5" customHeight="1" x14ac:dyDescent="0.25">
      <c r="A258" s="7" t="s">
        <v>59</v>
      </c>
      <c r="B258" s="2" t="s">
        <v>3411</v>
      </c>
      <c r="C258" s="2" t="s">
        <v>3412</v>
      </c>
      <c r="D258" s="2" t="s">
        <v>3413</v>
      </c>
      <c r="F258" s="3" t="s">
        <v>59</v>
      </c>
      <c r="G258" s="3" t="s">
        <v>60</v>
      </c>
      <c r="H258" s="3" t="s">
        <v>59</v>
      </c>
      <c r="I258" s="3" t="s">
        <v>59</v>
      </c>
      <c r="J258" s="3" t="s">
        <v>61</v>
      </c>
      <c r="K258" s="2" t="s">
        <v>3414</v>
      </c>
      <c r="L258" s="2" t="s">
        <v>3415</v>
      </c>
      <c r="M258" s="3" t="s">
        <v>100</v>
      </c>
      <c r="O258" s="3" t="s">
        <v>65</v>
      </c>
      <c r="P258" s="3" t="s">
        <v>66</v>
      </c>
      <c r="R258" s="3" t="s">
        <v>68</v>
      </c>
      <c r="S258" s="4">
        <v>1</v>
      </c>
      <c r="T258" s="4">
        <v>1</v>
      </c>
      <c r="U258" s="5" t="s">
        <v>3355</v>
      </c>
      <c r="V258" s="5" t="s">
        <v>3355</v>
      </c>
      <c r="W258" s="5" t="s">
        <v>1292</v>
      </c>
      <c r="X258" s="5" t="s">
        <v>1292</v>
      </c>
      <c r="Y258" s="4">
        <v>291</v>
      </c>
      <c r="Z258" s="4">
        <v>208</v>
      </c>
      <c r="AA258" s="4">
        <v>300</v>
      </c>
      <c r="AB258" s="4">
        <v>2</v>
      </c>
      <c r="AC258" s="4">
        <v>2</v>
      </c>
      <c r="AD258" s="4">
        <v>11</v>
      </c>
      <c r="AE258" s="4">
        <v>14</v>
      </c>
      <c r="AF258" s="4">
        <v>4</v>
      </c>
      <c r="AG258" s="4">
        <v>5</v>
      </c>
      <c r="AH258" s="4">
        <v>1</v>
      </c>
      <c r="AI258" s="4">
        <v>1</v>
      </c>
      <c r="AJ258" s="4">
        <v>5</v>
      </c>
      <c r="AK258" s="4">
        <v>8</v>
      </c>
      <c r="AL258" s="4">
        <v>1</v>
      </c>
      <c r="AM258" s="4">
        <v>1</v>
      </c>
      <c r="AN258" s="4">
        <v>0</v>
      </c>
      <c r="AO258" s="4">
        <v>0</v>
      </c>
      <c r="AP258" s="3" t="s">
        <v>59</v>
      </c>
      <c r="AQ258" s="3" t="s">
        <v>71</v>
      </c>
      <c r="AR258" s="6" t="str">
        <f>HYPERLINK("http://catalog.hathitrust.org/Record/000662028","HathiTrust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HYPERLINK("https://creighton-primo.hosted.exlibrisgroup.com/primo-explore/search?tab=default_tab&amp;search_scope=EVERYTHING&amp;vid=01CRU&amp;lang=en_US&amp;offset=0&amp;query=any,contains,991000813499702656","Catalog Record")</f>
        <v>Catalog Record</v>
      </c>
      <c r="AT258" s="6" t="str">
        <f>HYPERLINK("http://www.worldcat.org/oclc/141490","WorldCat Record")</f>
        <v>WorldCat Record</v>
      </c>
      <c r="AU258" s="3" t="s">
        <v>3416</v>
      </c>
      <c r="AV258" s="3" t="s">
        <v>3417</v>
      </c>
      <c r="AW258" s="3" t="s">
        <v>3418</v>
      </c>
      <c r="AX258" s="3" t="s">
        <v>3418</v>
      </c>
      <c r="AY258" s="3" t="s">
        <v>3419</v>
      </c>
      <c r="AZ258" s="3" t="s">
        <v>76</v>
      </c>
      <c r="BB258" s="3" t="s">
        <v>3420</v>
      </c>
      <c r="BC258" s="3" t="s">
        <v>3421</v>
      </c>
      <c r="BD258" s="3" t="s">
        <v>3422</v>
      </c>
    </row>
    <row r="259" spans="1:56" ht="52.5" customHeight="1" x14ac:dyDescent="0.25">
      <c r="A259" s="7" t="s">
        <v>59</v>
      </c>
      <c r="B259" s="2" t="s">
        <v>3423</v>
      </c>
      <c r="C259" s="2" t="s">
        <v>3424</v>
      </c>
      <c r="D259" s="2" t="s">
        <v>3425</v>
      </c>
      <c r="E259" s="3" t="s">
        <v>781</v>
      </c>
      <c r="F259" s="3" t="s">
        <v>71</v>
      </c>
      <c r="G259" s="3" t="s">
        <v>60</v>
      </c>
      <c r="H259" s="3" t="s">
        <v>59</v>
      </c>
      <c r="I259" s="3" t="s">
        <v>59</v>
      </c>
      <c r="J259" s="3" t="s">
        <v>61</v>
      </c>
      <c r="K259" s="2" t="s">
        <v>3426</v>
      </c>
      <c r="L259" s="2" t="s">
        <v>3427</v>
      </c>
      <c r="M259" s="3" t="s">
        <v>3428</v>
      </c>
      <c r="N259" s="2" t="s">
        <v>3429</v>
      </c>
      <c r="O259" s="3" t="s">
        <v>65</v>
      </c>
      <c r="P259" s="3" t="s">
        <v>66</v>
      </c>
      <c r="R259" s="3" t="s">
        <v>68</v>
      </c>
      <c r="S259" s="4">
        <v>2</v>
      </c>
      <c r="T259" s="4">
        <v>4</v>
      </c>
      <c r="U259" s="5" t="s">
        <v>3430</v>
      </c>
      <c r="V259" s="5" t="s">
        <v>3430</v>
      </c>
      <c r="W259" s="5" t="s">
        <v>3094</v>
      </c>
      <c r="X259" s="5" t="s">
        <v>3094</v>
      </c>
      <c r="Y259" s="4">
        <v>582</v>
      </c>
      <c r="Z259" s="4">
        <v>472</v>
      </c>
      <c r="AA259" s="4">
        <v>488</v>
      </c>
      <c r="AB259" s="4">
        <v>4</v>
      </c>
      <c r="AC259" s="4">
        <v>4</v>
      </c>
      <c r="AD259" s="4">
        <v>23</v>
      </c>
      <c r="AE259" s="4">
        <v>24</v>
      </c>
      <c r="AF259" s="4">
        <v>6</v>
      </c>
      <c r="AG259" s="4">
        <v>7</v>
      </c>
      <c r="AH259" s="4">
        <v>6</v>
      </c>
      <c r="AI259" s="4">
        <v>6</v>
      </c>
      <c r="AJ259" s="4">
        <v>13</v>
      </c>
      <c r="AK259" s="4">
        <v>14</v>
      </c>
      <c r="AL259" s="4">
        <v>3</v>
      </c>
      <c r="AM259" s="4">
        <v>3</v>
      </c>
      <c r="AN259" s="4">
        <v>0</v>
      </c>
      <c r="AO259" s="4">
        <v>0</v>
      </c>
      <c r="AP259" s="3" t="s">
        <v>59</v>
      </c>
      <c r="AQ259" s="3" t="s">
        <v>71</v>
      </c>
      <c r="AR259" s="6" t="str">
        <f>HYPERLINK("http://catalog.hathitrust.org/Record/000924658","HathiTrust Record")</f>
        <v>HathiTrust Record</v>
      </c>
      <c r="AS259" s="6" t="str">
        <f>HYPERLINK("https://creighton-primo.hosted.exlibrisgroup.com/primo-explore/search?tab=default_tab&amp;search_scope=EVERYTHING&amp;vid=01CRU&amp;lang=en_US&amp;offset=0&amp;query=any,contains,991001174039702656","Catalog Record")</f>
        <v>Catalog Record</v>
      </c>
      <c r="AT259" s="6" t="str">
        <f>HYPERLINK("http://www.worldcat.org/oclc/16984598","WorldCat Record")</f>
        <v>WorldCat Record</v>
      </c>
      <c r="AU259" s="3" t="s">
        <v>3431</v>
      </c>
      <c r="AV259" s="3" t="s">
        <v>3432</v>
      </c>
      <c r="AW259" s="3" t="s">
        <v>3433</v>
      </c>
      <c r="AX259" s="3" t="s">
        <v>3433</v>
      </c>
      <c r="AY259" s="3" t="s">
        <v>3434</v>
      </c>
      <c r="AZ259" s="3" t="s">
        <v>76</v>
      </c>
      <c r="BB259" s="3" t="s">
        <v>3435</v>
      </c>
      <c r="BC259" s="3" t="s">
        <v>3436</v>
      </c>
      <c r="BD259" s="3" t="s">
        <v>3437</v>
      </c>
    </row>
    <row r="260" spans="1:56" ht="52.5" customHeight="1" x14ac:dyDescent="0.25">
      <c r="A260" s="7" t="s">
        <v>59</v>
      </c>
      <c r="B260" s="2" t="s">
        <v>3423</v>
      </c>
      <c r="C260" s="2" t="s">
        <v>3424</v>
      </c>
      <c r="D260" s="2" t="s">
        <v>3425</v>
      </c>
      <c r="E260" s="3" t="s">
        <v>768</v>
      </c>
      <c r="F260" s="3" t="s">
        <v>71</v>
      </c>
      <c r="G260" s="3" t="s">
        <v>60</v>
      </c>
      <c r="H260" s="3" t="s">
        <v>59</v>
      </c>
      <c r="I260" s="3" t="s">
        <v>59</v>
      </c>
      <c r="J260" s="3" t="s">
        <v>61</v>
      </c>
      <c r="K260" s="2" t="s">
        <v>3426</v>
      </c>
      <c r="L260" s="2" t="s">
        <v>3427</v>
      </c>
      <c r="M260" s="3" t="s">
        <v>3428</v>
      </c>
      <c r="N260" s="2" t="s">
        <v>3429</v>
      </c>
      <c r="O260" s="3" t="s">
        <v>65</v>
      </c>
      <c r="P260" s="3" t="s">
        <v>66</v>
      </c>
      <c r="R260" s="3" t="s">
        <v>68</v>
      </c>
      <c r="S260" s="4">
        <v>2</v>
      </c>
      <c r="T260" s="4">
        <v>4</v>
      </c>
      <c r="V260" s="5" t="s">
        <v>3430</v>
      </c>
      <c r="W260" s="5" t="s">
        <v>3094</v>
      </c>
      <c r="X260" s="5" t="s">
        <v>3094</v>
      </c>
      <c r="Y260" s="4">
        <v>582</v>
      </c>
      <c r="Z260" s="4">
        <v>472</v>
      </c>
      <c r="AA260" s="4">
        <v>488</v>
      </c>
      <c r="AB260" s="4">
        <v>4</v>
      </c>
      <c r="AC260" s="4">
        <v>4</v>
      </c>
      <c r="AD260" s="4">
        <v>23</v>
      </c>
      <c r="AE260" s="4">
        <v>24</v>
      </c>
      <c r="AF260" s="4">
        <v>6</v>
      </c>
      <c r="AG260" s="4">
        <v>7</v>
      </c>
      <c r="AH260" s="4">
        <v>6</v>
      </c>
      <c r="AI260" s="4">
        <v>6</v>
      </c>
      <c r="AJ260" s="4">
        <v>13</v>
      </c>
      <c r="AK260" s="4">
        <v>14</v>
      </c>
      <c r="AL260" s="4">
        <v>3</v>
      </c>
      <c r="AM260" s="4">
        <v>3</v>
      </c>
      <c r="AN260" s="4">
        <v>0</v>
      </c>
      <c r="AO260" s="4">
        <v>0</v>
      </c>
      <c r="AP260" s="3" t="s">
        <v>59</v>
      </c>
      <c r="AQ260" s="3" t="s">
        <v>71</v>
      </c>
      <c r="AR260" s="6" t="str">
        <f>HYPERLINK("http://catalog.hathitrust.org/Record/000924658","HathiTrust Record")</f>
        <v>HathiTrust Record</v>
      </c>
      <c r="AS260" s="6" t="str">
        <f>HYPERLINK("https://creighton-primo.hosted.exlibrisgroup.com/primo-explore/search?tab=default_tab&amp;search_scope=EVERYTHING&amp;vid=01CRU&amp;lang=en_US&amp;offset=0&amp;query=any,contains,991001174039702656","Catalog Record")</f>
        <v>Catalog Record</v>
      </c>
      <c r="AT260" s="6" t="str">
        <f>HYPERLINK("http://www.worldcat.org/oclc/16984598","WorldCat Record")</f>
        <v>WorldCat Record</v>
      </c>
      <c r="AU260" s="3" t="s">
        <v>3431</v>
      </c>
      <c r="AV260" s="3" t="s">
        <v>3432</v>
      </c>
      <c r="AW260" s="3" t="s">
        <v>3433</v>
      </c>
      <c r="AX260" s="3" t="s">
        <v>3433</v>
      </c>
      <c r="AY260" s="3" t="s">
        <v>3434</v>
      </c>
      <c r="AZ260" s="3" t="s">
        <v>76</v>
      </c>
      <c r="BB260" s="3" t="s">
        <v>3435</v>
      </c>
      <c r="BC260" s="3" t="s">
        <v>3438</v>
      </c>
      <c r="BD260" s="3" t="s">
        <v>3439</v>
      </c>
    </row>
    <row r="261" spans="1:56" ht="52.5" customHeight="1" x14ac:dyDescent="0.25">
      <c r="A261" s="7" t="s">
        <v>59</v>
      </c>
      <c r="B261" s="2" t="s">
        <v>3440</v>
      </c>
      <c r="C261" s="2" t="s">
        <v>3441</v>
      </c>
      <c r="D261" s="2" t="s">
        <v>3442</v>
      </c>
      <c r="F261" s="3" t="s">
        <v>59</v>
      </c>
      <c r="G261" s="3" t="s">
        <v>60</v>
      </c>
      <c r="H261" s="3" t="s">
        <v>59</v>
      </c>
      <c r="I261" s="3" t="s">
        <v>59</v>
      </c>
      <c r="J261" s="3" t="s">
        <v>61</v>
      </c>
      <c r="K261" s="2" t="s">
        <v>3443</v>
      </c>
      <c r="L261" s="2" t="s">
        <v>3444</v>
      </c>
      <c r="M261" s="3" t="s">
        <v>1233</v>
      </c>
      <c r="O261" s="3" t="s">
        <v>65</v>
      </c>
      <c r="P261" s="3" t="s">
        <v>66</v>
      </c>
      <c r="Q261" s="2" t="s">
        <v>1276</v>
      </c>
      <c r="R261" s="3" t="s">
        <v>68</v>
      </c>
      <c r="S261" s="4">
        <v>3</v>
      </c>
      <c r="T261" s="4">
        <v>3</v>
      </c>
      <c r="U261" s="5" t="s">
        <v>589</v>
      </c>
      <c r="V261" s="5" t="s">
        <v>589</v>
      </c>
      <c r="W261" s="5" t="s">
        <v>1292</v>
      </c>
      <c r="X261" s="5" t="s">
        <v>1292</v>
      </c>
      <c r="Y261" s="4">
        <v>268</v>
      </c>
      <c r="Z261" s="4">
        <v>236</v>
      </c>
      <c r="AA261" s="4">
        <v>320</v>
      </c>
      <c r="AB261" s="4">
        <v>2</v>
      </c>
      <c r="AC261" s="4">
        <v>3</v>
      </c>
      <c r="AD261" s="4">
        <v>13</v>
      </c>
      <c r="AE261" s="4">
        <v>17</v>
      </c>
      <c r="AF261" s="4">
        <v>3</v>
      </c>
      <c r="AG261" s="4">
        <v>4</v>
      </c>
      <c r="AH261" s="4">
        <v>5</v>
      </c>
      <c r="AI261" s="4">
        <v>5</v>
      </c>
      <c r="AJ261" s="4">
        <v>7</v>
      </c>
      <c r="AK261" s="4">
        <v>9</v>
      </c>
      <c r="AL261" s="4">
        <v>1</v>
      </c>
      <c r="AM261" s="4">
        <v>2</v>
      </c>
      <c r="AN261" s="4">
        <v>0</v>
      </c>
      <c r="AO261" s="4">
        <v>0</v>
      </c>
      <c r="AP261" s="3" t="s">
        <v>59</v>
      </c>
      <c r="AQ261" s="3" t="s">
        <v>71</v>
      </c>
      <c r="AR261" s="6" t="str">
        <f>HYPERLINK("http://catalog.hathitrust.org/Record/000662733","HathiTrust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HYPERLINK("https://creighton-primo.hosted.exlibrisgroup.com/primo-explore/search?tab=default_tab&amp;search_scope=EVERYTHING&amp;vid=01CRU&amp;lang=en_US&amp;offset=0&amp;query=any,contains,991003075119702656","Catalog Record")</f>
        <v>Catalog Record</v>
      </c>
      <c r="AT261" s="6" t="str">
        <f>HYPERLINK("http://www.worldcat.org/oclc/628251","WorldCat Record")</f>
        <v>WorldCat Record</v>
      </c>
      <c r="AU261" s="3" t="s">
        <v>3445</v>
      </c>
      <c r="AV261" s="3" t="s">
        <v>3446</v>
      </c>
      <c r="AW261" s="3" t="s">
        <v>3447</v>
      </c>
      <c r="AX261" s="3" t="s">
        <v>3447</v>
      </c>
      <c r="AY261" s="3" t="s">
        <v>3448</v>
      </c>
      <c r="AZ261" s="3" t="s">
        <v>76</v>
      </c>
      <c r="BB261" s="3" t="s">
        <v>3449</v>
      </c>
      <c r="BC261" s="3" t="s">
        <v>3450</v>
      </c>
      <c r="BD261" s="3" t="s">
        <v>3451</v>
      </c>
    </row>
    <row r="262" spans="1:56" ht="52.5" customHeight="1" x14ac:dyDescent="0.25">
      <c r="A262" s="7" t="s">
        <v>59</v>
      </c>
      <c r="B262" s="2" t="s">
        <v>3452</v>
      </c>
      <c r="C262" s="2" t="s">
        <v>3453</v>
      </c>
      <c r="D262" s="2" t="s">
        <v>3454</v>
      </c>
      <c r="F262" s="3" t="s">
        <v>59</v>
      </c>
      <c r="G262" s="3" t="s">
        <v>60</v>
      </c>
      <c r="H262" s="3" t="s">
        <v>59</v>
      </c>
      <c r="I262" s="3" t="s">
        <v>59</v>
      </c>
      <c r="J262" s="3" t="s">
        <v>61</v>
      </c>
      <c r="K262" s="2" t="s">
        <v>857</v>
      </c>
      <c r="L262" s="2" t="s">
        <v>3455</v>
      </c>
      <c r="M262" s="3" t="s">
        <v>3456</v>
      </c>
      <c r="O262" s="3" t="s">
        <v>65</v>
      </c>
      <c r="P262" s="3" t="s">
        <v>283</v>
      </c>
      <c r="R262" s="3" t="s">
        <v>68</v>
      </c>
      <c r="S262" s="4">
        <v>1</v>
      </c>
      <c r="T262" s="4">
        <v>1</v>
      </c>
      <c r="U262" s="5" t="s">
        <v>3457</v>
      </c>
      <c r="V262" s="5" t="s">
        <v>3457</v>
      </c>
      <c r="W262" s="5" t="s">
        <v>3458</v>
      </c>
      <c r="X262" s="5" t="s">
        <v>3458</v>
      </c>
      <c r="Y262" s="4">
        <v>218</v>
      </c>
      <c r="Z262" s="4">
        <v>174</v>
      </c>
      <c r="AA262" s="4">
        <v>264</v>
      </c>
      <c r="AB262" s="4">
        <v>2</v>
      </c>
      <c r="AC262" s="4">
        <v>3</v>
      </c>
      <c r="AD262" s="4">
        <v>10</v>
      </c>
      <c r="AE262" s="4">
        <v>15</v>
      </c>
      <c r="AF262" s="4">
        <v>1</v>
      </c>
      <c r="AG262" s="4">
        <v>3</v>
      </c>
      <c r="AH262" s="4">
        <v>3</v>
      </c>
      <c r="AI262" s="4">
        <v>3</v>
      </c>
      <c r="AJ262" s="4">
        <v>7</v>
      </c>
      <c r="AK262" s="4">
        <v>9</v>
      </c>
      <c r="AL262" s="4">
        <v>1</v>
      </c>
      <c r="AM262" s="4">
        <v>2</v>
      </c>
      <c r="AN262" s="4">
        <v>0</v>
      </c>
      <c r="AO262" s="4">
        <v>0</v>
      </c>
      <c r="AP262" s="3" t="s">
        <v>71</v>
      </c>
      <c r="AQ262" s="3" t="s">
        <v>59</v>
      </c>
      <c r="AR262" s="6" t="str">
        <f>HYPERLINK("http://catalog.hathitrust.org/Record/000660190","HathiTrust Record")</f>
        <v>HathiTrust Record</v>
      </c>
      <c r="AS262" s="6" t="str">
        <f>HYPERLINK("https://creighton-primo.hosted.exlibrisgroup.com/primo-explore/search?tab=default_tab&amp;search_scope=EVERYTHING&amp;vid=01CRU&amp;lang=en_US&amp;offset=0&amp;query=any,contains,991003930669702656","Catalog Record")</f>
        <v>Catalog Record</v>
      </c>
      <c r="AT262" s="6" t="str">
        <f>HYPERLINK("http://www.worldcat.org/oclc/1895814","WorldCat Record")</f>
        <v>WorldCat Record</v>
      </c>
      <c r="AU262" s="3" t="s">
        <v>3459</v>
      </c>
      <c r="AV262" s="3" t="s">
        <v>3460</v>
      </c>
      <c r="AW262" s="3" t="s">
        <v>3461</v>
      </c>
      <c r="AX262" s="3" t="s">
        <v>3461</v>
      </c>
      <c r="AY262" s="3" t="s">
        <v>3462</v>
      </c>
      <c r="AZ262" s="3" t="s">
        <v>76</v>
      </c>
      <c r="BC262" s="3" t="s">
        <v>3463</v>
      </c>
      <c r="BD262" s="3" t="s">
        <v>3464</v>
      </c>
    </row>
    <row r="263" spans="1:56" ht="52.5" customHeight="1" x14ac:dyDescent="0.25">
      <c r="A263" s="7" t="s">
        <v>59</v>
      </c>
      <c r="B263" s="2" t="s">
        <v>3465</v>
      </c>
      <c r="C263" s="2" t="s">
        <v>3466</v>
      </c>
      <c r="D263" s="2" t="s">
        <v>3467</v>
      </c>
      <c r="F263" s="3" t="s">
        <v>59</v>
      </c>
      <c r="G263" s="3" t="s">
        <v>60</v>
      </c>
      <c r="H263" s="3" t="s">
        <v>59</v>
      </c>
      <c r="I263" s="3" t="s">
        <v>59</v>
      </c>
      <c r="J263" s="3" t="s">
        <v>61</v>
      </c>
      <c r="K263" s="2" t="s">
        <v>3468</v>
      </c>
      <c r="L263" s="2" t="s">
        <v>3469</v>
      </c>
      <c r="M263" s="3" t="s">
        <v>434</v>
      </c>
      <c r="O263" s="3" t="s">
        <v>65</v>
      </c>
      <c r="P263" s="3" t="s">
        <v>66</v>
      </c>
      <c r="Q263" s="2" t="s">
        <v>3470</v>
      </c>
      <c r="R263" s="3" t="s">
        <v>68</v>
      </c>
      <c r="S263" s="4">
        <v>1</v>
      </c>
      <c r="T263" s="4">
        <v>1</v>
      </c>
      <c r="U263" s="5" t="s">
        <v>2600</v>
      </c>
      <c r="V263" s="5" t="s">
        <v>2600</v>
      </c>
      <c r="W263" s="5" t="s">
        <v>1292</v>
      </c>
      <c r="X263" s="5" t="s">
        <v>1292</v>
      </c>
      <c r="Y263" s="4">
        <v>870</v>
      </c>
      <c r="Z263" s="4">
        <v>695</v>
      </c>
      <c r="AA263" s="4">
        <v>727</v>
      </c>
      <c r="AB263" s="4">
        <v>6</v>
      </c>
      <c r="AC263" s="4">
        <v>6</v>
      </c>
      <c r="AD263" s="4">
        <v>32</v>
      </c>
      <c r="AE263" s="4">
        <v>32</v>
      </c>
      <c r="AF263" s="4">
        <v>10</v>
      </c>
      <c r="AG263" s="4">
        <v>10</v>
      </c>
      <c r="AH263" s="4">
        <v>7</v>
      </c>
      <c r="AI263" s="4">
        <v>7</v>
      </c>
      <c r="AJ263" s="4">
        <v>17</v>
      </c>
      <c r="AK263" s="4">
        <v>17</v>
      </c>
      <c r="AL263" s="4">
        <v>4</v>
      </c>
      <c r="AM263" s="4">
        <v>4</v>
      </c>
      <c r="AN263" s="4">
        <v>0</v>
      </c>
      <c r="AO263" s="4">
        <v>0</v>
      </c>
      <c r="AP263" s="3" t="s">
        <v>71</v>
      </c>
      <c r="AQ263" s="3" t="s">
        <v>59</v>
      </c>
      <c r="AR263" s="6" t="str">
        <f>HYPERLINK("http://catalog.hathitrust.org/Record/000660457","HathiTrust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HYPERLINK("https://creighton-primo.hosted.exlibrisgroup.com/primo-explore/search?tab=default_tab&amp;search_scope=EVERYTHING&amp;vid=01CRU&amp;lang=en_US&amp;offset=0&amp;query=any,contains,991001372469702656","Catalog Record")</f>
        <v>Catalog Record</v>
      </c>
      <c r="AT263" s="6" t="str">
        <f>HYPERLINK("http://www.worldcat.org/oclc/224041","WorldCat Record")</f>
        <v>WorldCat Record</v>
      </c>
      <c r="AU263" s="3" t="s">
        <v>3471</v>
      </c>
      <c r="AV263" s="3" t="s">
        <v>3472</v>
      </c>
      <c r="AW263" s="3" t="s">
        <v>3473</v>
      </c>
      <c r="AX263" s="3" t="s">
        <v>3473</v>
      </c>
      <c r="AY263" s="3" t="s">
        <v>3474</v>
      </c>
      <c r="AZ263" s="3" t="s">
        <v>76</v>
      </c>
      <c r="BC263" s="3" t="s">
        <v>3475</v>
      </c>
      <c r="BD263" s="3" t="s">
        <v>3476</v>
      </c>
    </row>
    <row r="264" spans="1:56" ht="52.5" customHeight="1" x14ac:dyDescent="0.25">
      <c r="A264" s="7" t="s">
        <v>59</v>
      </c>
      <c r="B264" s="2" t="s">
        <v>3477</v>
      </c>
      <c r="C264" s="2" t="s">
        <v>3478</v>
      </c>
      <c r="D264" s="2" t="s">
        <v>3479</v>
      </c>
      <c r="F264" s="3" t="s">
        <v>59</v>
      </c>
      <c r="G264" s="3" t="s">
        <v>60</v>
      </c>
      <c r="H264" s="3" t="s">
        <v>59</v>
      </c>
      <c r="I264" s="3" t="s">
        <v>59</v>
      </c>
      <c r="J264" s="3" t="s">
        <v>61</v>
      </c>
      <c r="K264" s="2" t="s">
        <v>3480</v>
      </c>
      <c r="L264" s="2" t="s">
        <v>3481</v>
      </c>
      <c r="M264" s="3" t="s">
        <v>3482</v>
      </c>
      <c r="O264" s="3" t="s">
        <v>65</v>
      </c>
      <c r="P264" s="3" t="s">
        <v>66</v>
      </c>
      <c r="Q264" s="2" t="s">
        <v>3483</v>
      </c>
      <c r="R264" s="3" t="s">
        <v>68</v>
      </c>
      <c r="S264" s="4">
        <v>1</v>
      </c>
      <c r="T264" s="4">
        <v>1</v>
      </c>
      <c r="U264" s="5" t="s">
        <v>3484</v>
      </c>
      <c r="V264" s="5" t="s">
        <v>3484</v>
      </c>
      <c r="W264" s="5" t="s">
        <v>1292</v>
      </c>
      <c r="X264" s="5" t="s">
        <v>1292</v>
      </c>
      <c r="Y264" s="4">
        <v>697</v>
      </c>
      <c r="Z264" s="4">
        <v>596</v>
      </c>
      <c r="AA264" s="4">
        <v>703</v>
      </c>
      <c r="AB264" s="4">
        <v>5</v>
      </c>
      <c r="AC264" s="4">
        <v>5</v>
      </c>
      <c r="AD264" s="4">
        <v>27</v>
      </c>
      <c r="AE264" s="4">
        <v>33</v>
      </c>
      <c r="AF264" s="4">
        <v>10</v>
      </c>
      <c r="AG264" s="4">
        <v>12</v>
      </c>
      <c r="AH264" s="4">
        <v>5</v>
      </c>
      <c r="AI264" s="4">
        <v>7</v>
      </c>
      <c r="AJ264" s="4">
        <v>17</v>
      </c>
      <c r="AK264" s="4">
        <v>20</v>
      </c>
      <c r="AL264" s="4">
        <v>4</v>
      </c>
      <c r="AM264" s="4">
        <v>4</v>
      </c>
      <c r="AN264" s="4">
        <v>0</v>
      </c>
      <c r="AO264" s="4">
        <v>0</v>
      </c>
      <c r="AP264" s="3" t="s">
        <v>59</v>
      </c>
      <c r="AQ264" s="3" t="s">
        <v>59</v>
      </c>
      <c r="AR264" s="6" t="str">
        <f>HYPERLINK("http://catalog.hathitrust.org/Record/000354765","HathiTrust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HYPERLINK("https://creighton-primo.hosted.exlibrisgroup.com/primo-explore/search?tab=default_tab&amp;search_scope=EVERYTHING&amp;vid=01CRU&amp;lang=en_US&amp;offset=0&amp;query=any,contains,991001373309702656","Catalog Record")</f>
        <v>Catalog Record</v>
      </c>
      <c r="AT264" s="6" t="str">
        <f>HYPERLINK("http://www.worldcat.org/oclc/224237","WorldCat Record")</f>
        <v>WorldCat Record</v>
      </c>
      <c r="AU264" s="3" t="s">
        <v>3485</v>
      </c>
      <c r="AV264" s="3" t="s">
        <v>3486</v>
      </c>
      <c r="AW264" s="3" t="s">
        <v>3487</v>
      </c>
      <c r="AX264" s="3" t="s">
        <v>3487</v>
      </c>
      <c r="AY264" s="3" t="s">
        <v>3488</v>
      </c>
      <c r="AZ264" s="3" t="s">
        <v>76</v>
      </c>
      <c r="BC264" s="3" t="s">
        <v>3489</v>
      </c>
      <c r="BD264" s="3" t="s">
        <v>3490</v>
      </c>
    </row>
    <row r="265" spans="1:56" ht="52.5" customHeight="1" x14ac:dyDescent="0.25">
      <c r="A265" s="7" t="s">
        <v>59</v>
      </c>
      <c r="B265" s="2" t="s">
        <v>3491</v>
      </c>
      <c r="C265" s="2" t="s">
        <v>3492</v>
      </c>
      <c r="D265" s="2" t="s">
        <v>3493</v>
      </c>
      <c r="F265" s="3" t="s">
        <v>59</v>
      </c>
      <c r="G265" s="3" t="s">
        <v>60</v>
      </c>
      <c r="H265" s="3" t="s">
        <v>59</v>
      </c>
      <c r="I265" s="3" t="s">
        <v>59</v>
      </c>
      <c r="J265" s="3" t="s">
        <v>61</v>
      </c>
      <c r="K265" s="2" t="s">
        <v>3494</v>
      </c>
      <c r="L265" s="2" t="s">
        <v>3495</v>
      </c>
      <c r="M265" s="3" t="s">
        <v>195</v>
      </c>
      <c r="N265" s="2" t="s">
        <v>887</v>
      </c>
      <c r="O265" s="3" t="s">
        <v>65</v>
      </c>
      <c r="P265" s="3" t="s">
        <v>66</v>
      </c>
      <c r="R265" s="3" t="s">
        <v>68</v>
      </c>
      <c r="S265" s="4">
        <v>8</v>
      </c>
      <c r="T265" s="4">
        <v>8</v>
      </c>
      <c r="U265" s="5" t="s">
        <v>1001</v>
      </c>
      <c r="V265" s="5" t="s">
        <v>1001</v>
      </c>
      <c r="W265" s="5" t="s">
        <v>3496</v>
      </c>
      <c r="X265" s="5" t="s">
        <v>3496</v>
      </c>
      <c r="Y265" s="4">
        <v>453</v>
      </c>
      <c r="Z265" s="4">
        <v>366</v>
      </c>
      <c r="AA265" s="4">
        <v>368</v>
      </c>
      <c r="AB265" s="4">
        <v>2</v>
      </c>
      <c r="AC265" s="4">
        <v>2</v>
      </c>
      <c r="AD265" s="4">
        <v>14</v>
      </c>
      <c r="AE265" s="4">
        <v>15</v>
      </c>
      <c r="AF265" s="4">
        <v>5</v>
      </c>
      <c r="AG265" s="4">
        <v>6</v>
      </c>
      <c r="AH265" s="4">
        <v>3</v>
      </c>
      <c r="AI265" s="4">
        <v>3</v>
      </c>
      <c r="AJ265" s="4">
        <v>9</v>
      </c>
      <c r="AK265" s="4">
        <v>10</v>
      </c>
      <c r="AL265" s="4">
        <v>1</v>
      </c>
      <c r="AM265" s="4">
        <v>1</v>
      </c>
      <c r="AN265" s="4">
        <v>0</v>
      </c>
      <c r="AO265" s="4">
        <v>0</v>
      </c>
      <c r="AP265" s="3" t="s">
        <v>59</v>
      </c>
      <c r="AQ265" s="3" t="s">
        <v>59</v>
      </c>
      <c r="AS265" s="6" t="str">
        <f>HYPERLINK("https://creighton-primo.hosted.exlibrisgroup.com/primo-explore/search?tab=default_tab&amp;search_scope=EVERYTHING&amp;vid=01CRU&amp;lang=en_US&amp;offset=0&amp;query=any,contains,991005186569702656","Catalog Record")</f>
        <v>Catalog Record</v>
      </c>
      <c r="AT265" s="6" t="str">
        <f>HYPERLINK("http://www.worldcat.org/oclc/7976621","WorldCat Record")</f>
        <v>WorldCat Record</v>
      </c>
      <c r="AU265" s="3" t="s">
        <v>3497</v>
      </c>
      <c r="AV265" s="3" t="s">
        <v>3498</v>
      </c>
      <c r="AW265" s="3" t="s">
        <v>3499</v>
      </c>
      <c r="AX265" s="3" t="s">
        <v>3499</v>
      </c>
      <c r="AY265" s="3" t="s">
        <v>3500</v>
      </c>
      <c r="AZ265" s="3" t="s">
        <v>76</v>
      </c>
      <c r="BB265" s="3" t="s">
        <v>3501</v>
      </c>
      <c r="BC265" s="3" t="s">
        <v>3502</v>
      </c>
      <c r="BD265" s="3" t="s">
        <v>3503</v>
      </c>
    </row>
    <row r="266" spans="1:56" ht="52.5" customHeight="1" x14ac:dyDescent="0.25">
      <c r="A266" s="7" t="s">
        <v>59</v>
      </c>
      <c r="B266" s="2" t="s">
        <v>3504</v>
      </c>
      <c r="C266" s="2" t="s">
        <v>3505</v>
      </c>
      <c r="D266" s="2" t="s">
        <v>3506</v>
      </c>
      <c r="F266" s="3" t="s">
        <v>59</v>
      </c>
      <c r="G266" s="3" t="s">
        <v>60</v>
      </c>
      <c r="H266" s="3" t="s">
        <v>59</v>
      </c>
      <c r="I266" s="3" t="s">
        <v>59</v>
      </c>
      <c r="J266" s="3" t="s">
        <v>61</v>
      </c>
      <c r="L266" s="2" t="s">
        <v>3507</v>
      </c>
      <c r="M266" s="3" t="s">
        <v>616</v>
      </c>
      <c r="O266" s="3" t="s">
        <v>65</v>
      </c>
      <c r="P266" s="3" t="s">
        <v>1262</v>
      </c>
      <c r="R266" s="3" t="s">
        <v>68</v>
      </c>
      <c r="S266" s="4">
        <v>7</v>
      </c>
      <c r="T266" s="4">
        <v>7</v>
      </c>
      <c r="U266" s="5" t="s">
        <v>3041</v>
      </c>
      <c r="V266" s="5" t="s">
        <v>3041</v>
      </c>
      <c r="W266" s="5" t="s">
        <v>3508</v>
      </c>
      <c r="X266" s="5" t="s">
        <v>3508</v>
      </c>
      <c r="Y266" s="4">
        <v>577</v>
      </c>
      <c r="Z266" s="4">
        <v>438</v>
      </c>
      <c r="AA266" s="4">
        <v>441</v>
      </c>
      <c r="AB266" s="4">
        <v>4</v>
      </c>
      <c r="AC266" s="4">
        <v>4</v>
      </c>
      <c r="AD266" s="4">
        <v>21</v>
      </c>
      <c r="AE266" s="4">
        <v>21</v>
      </c>
      <c r="AF266" s="4">
        <v>7</v>
      </c>
      <c r="AG266" s="4">
        <v>7</v>
      </c>
      <c r="AH266" s="4">
        <v>5</v>
      </c>
      <c r="AI266" s="4">
        <v>5</v>
      </c>
      <c r="AJ266" s="4">
        <v>11</v>
      </c>
      <c r="AK266" s="4">
        <v>11</v>
      </c>
      <c r="AL266" s="4">
        <v>3</v>
      </c>
      <c r="AM266" s="4">
        <v>3</v>
      </c>
      <c r="AN266" s="4">
        <v>0</v>
      </c>
      <c r="AO266" s="4">
        <v>0</v>
      </c>
      <c r="AP266" s="3" t="s">
        <v>59</v>
      </c>
      <c r="AQ266" s="3" t="s">
        <v>59</v>
      </c>
      <c r="AS266" s="6" t="str">
        <f>HYPERLINK("https://creighton-primo.hosted.exlibrisgroup.com/primo-explore/search?tab=default_tab&amp;search_scope=EVERYTHING&amp;vid=01CRU&amp;lang=en_US&amp;offset=0&amp;query=any,contains,991001179099702656","Catalog Record")</f>
        <v>Catalog Record</v>
      </c>
      <c r="AT266" s="6" t="str">
        <f>HYPERLINK("http://www.worldcat.org/oclc/17106105","WorldCat Record")</f>
        <v>WorldCat Record</v>
      </c>
      <c r="AU266" s="3" t="s">
        <v>3509</v>
      </c>
      <c r="AV266" s="3" t="s">
        <v>3510</v>
      </c>
      <c r="AW266" s="3" t="s">
        <v>3511</v>
      </c>
      <c r="AX266" s="3" t="s">
        <v>3511</v>
      </c>
      <c r="AY266" s="3" t="s">
        <v>3512</v>
      </c>
      <c r="AZ266" s="3" t="s">
        <v>76</v>
      </c>
      <c r="BB266" s="3" t="s">
        <v>3513</v>
      </c>
      <c r="BC266" s="3" t="s">
        <v>3514</v>
      </c>
      <c r="BD266" s="3" t="s">
        <v>3515</v>
      </c>
    </row>
    <row r="267" spans="1:56" ht="52.5" customHeight="1" x14ac:dyDescent="0.25">
      <c r="A267" s="7" t="s">
        <v>59</v>
      </c>
      <c r="B267" s="2" t="s">
        <v>3516</v>
      </c>
      <c r="C267" s="2" t="s">
        <v>3517</v>
      </c>
      <c r="D267" s="2" t="s">
        <v>3518</v>
      </c>
      <c r="F267" s="3" t="s">
        <v>59</v>
      </c>
      <c r="G267" s="3" t="s">
        <v>60</v>
      </c>
      <c r="H267" s="3" t="s">
        <v>59</v>
      </c>
      <c r="I267" s="3" t="s">
        <v>59</v>
      </c>
      <c r="J267" s="3" t="s">
        <v>61</v>
      </c>
      <c r="K267" s="2" t="s">
        <v>3519</v>
      </c>
      <c r="L267" s="2" t="s">
        <v>3520</v>
      </c>
      <c r="M267" s="3" t="s">
        <v>1467</v>
      </c>
      <c r="O267" s="3" t="s">
        <v>65</v>
      </c>
      <c r="P267" s="3" t="s">
        <v>66</v>
      </c>
      <c r="R267" s="3" t="s">
        <v>68</v>
      </c>
      <c r="S267" s="4">
        <v>3</v>
      </c>
      <c r="T267" s="4">
        <v>3</v>
      </c>
      <c r="U267" s="5" t="s">
        <v>3521</v>
      </c>
      <c r="V267" s="5" t="s">
        <v>3521</v>
      </c>
      <c r="W267" s="5" t="s">
        <v>3522</v>
      </c>
      <c r="X267" s="5" t="s">
        <v>3522</v>
      </c>
      <c r="Y267" s="4">
        <v>327</v>
      </c>
      <c r="Z267" s="4">
        <v>279</v>
      </c>
      <c r="AA267" s="4">
        <v>826</v>
      </c>
      <c r="AB267" s="4">
        <v>2</v>
      </c>
      <c r="AC267" s="4">
        <v>8</v>
      </c>
      <c r="AD267" s="4">
        <v>17</v>
      </c>
      <c r="AE267" s="4">
        <v>39</v>
      </c>
      <c r="AF267" s="4">
        <v>7</v>
      </c>
      <c r="AG267" s="4">
        <v>15</v>
      </c>
      <c r="AH267" s="4">
        <v>3</v>
      </c>
      <c r="AI267" s="4">
        <v>8</v>
      </c>
      <c r="AJ267" s="4">
        <v>9</v>
      </c>
      <c r="AK267" s="4">
        <v>16</v>
      </c>
      <c r="AL267" s="4">
        <v>1</v>
      </c>
      <c r="AM267" s="4">
        <v>7</v>
      </c>
      <c r="AN267" s="4">
        <v>0</v>
      </c>
      <c r="AO267" s="4">
        <v>0</v>
      </c>
      <c r="AP267" s="3" t="s">
        <v>59</v>
      </c>
      <c r="AQ267" s="3" t="s">
        <v>59</v>
      </c>
      <c r="AS267" s="6" t="str">
        <f>HYPERLINK("https://creighton-primo.hosted.exlibrisgroup.com/primo-explore/search?tab=default_tab&amp;search_scope=EVERYTHING&amp;vid=01CRU&amp;lang=en_US&amp;offset=0&amp;query=any,contains,991003158759702656","Catalog Record")</f>
        <v>Catalog Record</v>
      </c>
      <c r="AT267" s="6" t="str">
        <f>HYPERLINK("http://www.worldcat.org/oclc/697936","WorldCat Record")</f>
        <v>WorldCat Record</v>
      </c>
      <c r="AU267" s="3" t="s">
        <v>3523</v>
      </c>
      <c r="AV267" s="3" t="s">
        <v>3524</v>
      </c>
      <c r="AW267" s="3" t="s">
        <v>3525</v>
      </c>
      <c r="AX267" s="3" t="s">
        <v>3525</v>
      </c>
      <c r="AY267" s="3" t="s">
        <v>3526</v>
      </c>
      <c r="AZ267" s="3" t="s">
        <v>76</v>
      </c>
      <c r="BC267" s="3" t="s">
        <v>3527</v>
      </c>
      <c r="BD267" s="3" t="s">
        <v>3528</v>
      </c>
    </row>
    <row r="268" spans="1:56" ht="52.5" customHeight="1" x14ac:dyDescent="0.25">
      <c r="A268" s="7" t="s">
        <v>59</v>
      </c>
      <c r="B268" s="2" t="s">
        <v>3529</v>
      </c>
      <c r="C268" s="2" t="s">
        <v>3530</v>
      </c>
      <c r="D268" s="2" t="s">
        <v>3531</v>
      </c>
      <c r="F268" s="3" t="s">
        <v>59</v>
      </c>
      <c r="G268" s="3" t="s">
        <v>60</v>
      </c>
      <c r="H268" s="3" t="s">
        <v>59</v>
      </c>
      <c r="I268" s="3" t="s">
        <v>59</v>
      </c>
      <c r="J268" s="3" t="s">
        <v>61</v>
      </c>
      <c r="L268" s="2" t="s">
        <v>3532</v>
      </c>
      <c r="M268" s="3" t="s">
        <v>943</v>
      </c>
      <c r="N268" s="2" t="s">
        <v>887</v>
      </c>
      <c r="O268" s="3" t="s">
        <v>65</v>
      </c>
      <c r="P268" s="3" t="s">
        <v>1218</v>
      </c>
      <c r="R268" s="3" t="s">
        <v>68</v>
      </c>
      <c r="S268" s="4">
        <v>4</v>
      </c>
      <c r="T268" s="4">
        <v>4</v>
      </c>
      <c r="U268" s="5" t="s">
        <v>3533</v>
      </c>
      <c r="V268" s="5" t="s">
        <v>3533</v>
      </c>
      <c r="W268" s="5" t="s">
        <v>3534</v>
      </c>
      <c r="X268" s="5" t="s">
        <v>3534</v>
      </c>
      <c r="Y268" s="4">
        <v>339</v>
      </c>
      <c r="Z268" s="4">
        <v>237</v>
      </c>
      <c r="AA268" s="4">
        <v>312</v>
      </c>
      <c r="AB268" s="4">
        <v>2</v>
      </c>
      <c r="AC268" s="4">
        <v>3</v>
      </c>
      <c r="AD268" s="4">
        <v>15</v>
      </c>
      <c r="AE268" s="4">
        <v>18</v>
      </c>
      <c r="AF268" s="4">
        <v>6</v>
      </c>
      <c r="AG268" s="4">
        <v>7</v>
      </c>
      <c r="AH268" s="4">
        <v>6</v>
      </c>
      <c r="AI268" s="4">
        <v>6</v>
      </c>
      <c r="AJ268" s="4">
        <v>7</v>
      </c>
      <c r="AK268" s="4">
        <v>8</v>
      </c>
      <c r="AL268" s="4">
        <v>1</v>
      </c>
      <c r="AM268" s="4">
        <v>2</v>
      </c>
      <c r="AN268" s="4">
        <v>0</v>
      </c>
      <c r="AO268" s="4">
        <v>0</v>
      </c>
      <c r="AP268" s="3" t="s">
        <v>59</v>
      </c>
      <c r="AQ268" s="3" t="s">
        <v>59</v>
      </c>
      <c r="AS268" s="6" t="str">
        <f>HYPERLINK("https://creighton-primo.hosted.exlibrisgroup.com/primo-explore/search?tab=default_tab&amp;search_scope=EVERYTHING&amp;vid=01CRU&amp;lang=en_US&amp;offset=0&amp;query=any,contains,991001888259702656","Catalog Record")</f>
        <v>Catalog Record</v>
      </c>
      <c r="AT268" s="6" t="str">
        <f>HYPERLINK("http://www.worldcat.org/oclc/23769571","WorldCat Record")</f>
        <v>WorldCat Record</v>
      </c>
      <c r="AU268" s="3" t="s">
        <v>3535</v>
      </c>
      <c r="AV268" s="3" t="s">
        <v>3536</v>
      </c>
      <c r="AW268" s="3" t="s">
        <v>3537</v>
      </c>
      <c r="AX268" s="3" t="s">
        <v>3537</v>
      </c>
      <c r="AY268" s="3" t="s">
        <v>3538</v>
      </c>
      <c r="AZ268" s="3" t="s">
        <v>76</v>
      </c>
      <c r="BB268" s="3" t="s">
        <v>3539</v>
      </c>
      <c r="BC268" s="3" t="s">
        <v>3540</v>
      </c>
      <c r="BD268" s="3" t="s">
        <v>3541</v>
      </c>
    </row>
    <row r="269" spans="1:56" ht="52.5" customHeight="1" x14ac:dyDescent="0.25">
      <c r="A269" s="7" t="s">
        <v>59</v>
      </c>
      <c r="B269" s="2" t="s">
        <v>3542</v>
      </c>
      <c r="C269" s="2" t="s">
        <v>3543</v>
      </c>
      <c r="D269" s="2" t="s">
        <v>3544</v>
      </c>
      <c r="F269" s="3" t="s">
        <v>59</v>
      </c>
      <c r="G269" s="3" t="s">
        <v>60</v>
      </c>
      <c r="H269" s="3" t="s">
        <v>59</v>
      </c>
      <c r="I269" s="3" t="s">
        <v>59</v>
      </c>
      <c r="J269" s="3" t="s">
        <v>61</v>
      </c>
      <c r="K269" s="2" t="s">
        <v>3545</v>
      </c>
      <c r="L269" s="2" t="s">
        <v>3546</v>
      </c>
      <c r="M269" s="3" t="s">
        <v>3547</v>
      </c>
      <c r="O269" s="3" t="s">
        <v>65</v>
      </c>
      <c r="P269" s="3" t="s">
        <v>66</v>
      </c>
      <c r="Q269" s="2" t="s">
        <v>3548</v>
      </c>
      <c r="R269" s="3" t="s">
        <v>68</v>
      </c>
      <c r="S269" s="4">
        <v>5</v>
      </c>
      <c r="T269" s="4">
        <v>5</v>
      </c>
      <c r="U269" s="5" t="s">
        <v>3549</v>
      </c>
      <c r="V269" s="5" t="s">
        <v>3549</v>
      </c>
      <c r="W269" s="5" t="s">
        <v>3522</v>
      </c>
      <c r="X269" s="5" t="s">
        <v>3522</v>
      </c>
      <c r="Y269" s="4">
        <v>506</v>
      </c>
      <c r="Z269" s="4">
        <v>433</v>
      </c>
      <c r="AA269" s="4">
        <v>608</v>
      </c>
      <c r="AB269" s="4">
        <v>5</v>
      </c>
      <c r="AC269" s="4">
        <v>6</v>
      </c>
      <c r="AD269" s="4">
        <v>22</v>
      </c>
      <c r="AE269" s="4">
        <v>30</v>
      </c>
      <c r="AF269" s="4">
        <v>7</v>
      </c>
      <c r="AG269" s="4">
        <v>12</v>
      </c>
      <c r="AH269" s="4">
        <v>2</v>
      </c>
      <c r="AI269" s="4">
        <v>4</v>
      </c>
      <c r="AJ269" s="4">
        <v>13</v>
      </c>
      <c r="AK269" s="4">
        <v>15</v>
      </c>
      <c r="AL269" s="4">
        <v>4</v>
      </c>
      <c r="AM269" s="4">
        <v>5</v>
      </c>
      <c r="AN269" s="4">
        <v>0</v>
      </c>
      <c r="AO269" s="4">
        <v>0</v>
      </c>
      <c r="AP269" s="3" t="s">
        <v>59</v>
      </c>
      <c r="AQ269" s="3" t="s">
        <v>59</v>
      </c>
      <c r="AS269" s="6" t="str">
        <f>HYPERLINK("https://creighton-primo.hosted.exlibrisgroup.com/primo-explore/search?tab=default_tab&amp;search_scope=EVERYTHING&amp;vid=01CRU&amp;lang=en_US&amp;offset=0&amp;query=any,contains,991002220479702656","Catalog Record")</f>
        <v>Catalog Record</v>
      </c>
      <c r="AT269" s="6" t="str">
        <f>HYPERLINK("http://www.worldcat.org/oclc/289924","WorldCat Record")</f>
        <v>WorldCat Record</v>
      </c>
      <c r="AU269" s="3" t="s">
        <v>3550</v>
      </c>
      <c r="AV269" s="3" t="s">
        <v>3551</v>
      </c>
      <c r="AW269" s="3" t="s">
        <v>3552</v>
      </c>
      <c r="AX269" s="3" t="s">
        <v>3552</v>
      </c>
      <c r="AY269" s="3" t="s">
        <v>3553</v>
      </c>
      <c r="AZ269" s="3" t="s">
        <v>76</v>
      </c>
      <c r="BC269" s="3" t="s">
        <v>3554</v>
      </c>
      <c r="BD269" s="3" t="s">
        <v>3555</v>
      </c>
    </row>
    <row r="270" spans="1:56" ht="52.5" customHeight="1" x14ac:dyDescent="0.25">
      <c r="A270" s="7" t="s">
        <v>59</v>
      </c>
      <c r="B270" s="2" t="s">
        <v>3556</v>
      </c>
      <c r="C270" s="2" t="s">
        <v>3557</v>
      </c>
      <c r="D270" s="2" t="s">
        <v>3558</v>
      </c>
      <c r="F270" s="3" t="s">
        <v>59</v>
      </c>
      <c r="G270" s="3" t="s">
        <v>60</v>
      </c>
      <c r="H270" s="3" t="s">
        <v>59</v>
      </c>
      <c r="I270" s="3" t="s">
        <v>59</v>
      </c>
      <c r="J270" s="3" t="s">
        <v>61</v>
      </c>
      <c r="K270" s="2" t="s">
        <v>3559</v>
      </c>
      <c r="L270" s="2" t="s">
        <v>3560</v>
      </c>
      <c r="M270" s="3" t="s">
        <v>3561</v>
      </c>
      <c r="O270" s="3" t="s">
        <v>65</v>
      </c>
      <c r="P270" s="3" t="s">
        <v>66</v>
      </c>
      <c r="R270" s="3" t="s">
        <v>68</v>
      </c>
      <c r="S270" s="4">
        <v>5</v>
      </c>
      <c r="T270" s="4">
        <v>5</v>
      </c>
      <c r="U270" s="5" t="s">
        <v>3549</v>
      </c>
      <c r="V270" s="5" t="s">
        <v>3549</v>
      </c>
      <c r="W270" s="5" t="s">
        <v>3522</v>
      </c>
      <c r="X270" s="5" t="s">
        <v>3522</v>
      </c>
      <c r="Y270" s="4">
        <v>495</v>
      </c>
      <c r="Z270" s="4">
        <v>441</v>
      </c>
      <c r="AA270" s="4">
        <v>469</v>
      </c>
      <c r="AB270" s="4">
        <v>6</v>
      </c>
      <c r="AC270" s="4">
        <v>6</v>
      </c>
      <c r="AD270" s="4">
        <v>22</v>
      </c>
      <c r="AE270" s="4">
        <v>22</v>
      </c>
      <c r="AF270" s="4">
        <v>4</v>
      </c>
      <c r="AG270" s="4">
        <v>4</v>
      </c>
      <c r="AH270" s="4">
        <v>4</v>
      </c>
      <c r="AI270" s="4">
        <v>4</v>
      </c>
      <c r="AJ270" s="4">
        <v>12</v>
      </c>
      <c r="AK270" s="4">
        <v>12</v>
      </c>
      <c r="AL270" s="4">
        <v>5</v>
      </c>
      <c r="AM270" s="4">
        <v>5</v>
      </c>
      <c r="AN270" s="4">
        <v>0</v>
      </c>
      <c r="AO270" s="4">
        <v>0</v>
      </c>
      <c r="AP270" s="3" t="s">
        <v>59</v>
      </c>
      <c r="AQ270" s="3" t="s">
        <v>71</v>
      </c>
      <c r="AR270" s="6" t="str">
        <f>HYPERLINK("http://catalog.hathitrust.org/Record/000661325","HathiTrust Record")</f>
        <v>HathiTrust Record</v>
      </c>
      <c r="AS270" s="6" t="str">
        <f>HYPERLINK("https://creighton-primo.hosted.exlibrisgroup.com/primo-explore/search?tab=default_tab&amp;search_scope=EVERYTHING&amp;vid=01CRU&amp;lang=en_US&amp;offset=0&amp;query=any,contains,991002217449702656","Catalog Record")</f>
        <v>Catalog Record</v>
      </c>
      <c r="AT270" s="6" t="str">
        <f>HYPERLINK("http://www.worldcat.org/oclc/289161","WorldCat Record")</f>
        <v>WorldCat Record</v>
      </c>
      <c r="AU270" s="3" t="s">
        <v>3562</v>
      </c>
      <c r="AV270" s="3" t="s">
        <v>3563</v>
      </c>
      <c r="AW270" s="3" t="s">
        <v>3564</v>
      </c>
      <c r="AX270" s="3" t="s">
        <v>3564</v>
      </c>
      <c r="AY270" s="3" t="s">
        <v>3565</v>
      </c>
      <c r="AZ270" s="3" t="s">
        <v>76</v>
      </c>
      <c r="BC270" s="3" t="s">
        <v>3566</v>
      </c>
      <c r="BD270" s="3" t="s">
        <v>3567</v>
      </c>
    </row>
    <row r="271" spans="1:56" ht="52.5" customHeight="1" x14ac:dyDescent="0.25">
      <c r="A271" s="7" t="s">
        <v>59</v>
      </c>
      <c r="B271" s="2" t="s">
        <v>3568</v>
      </c>
      <c r="C271" s="2" t="s">
        <v>3569</v>
      </c>
      <c r="D271" s="2" t="s">
        <v>3570</v>
      </c>
      <c r="F271" s="3" t="s">
        <v>59</v>
      </c>
      <c r="G271" s="3" t="s">
        <v>60</v>
      </c>
      <c r="H271" s="3" t="s">
        <v>59</v>
      </c>
      <c r="I271" s="3" t="s">
        <v>59</v>
      </c>
      <c r="J271" s="3" t="s">
        <v>61</v>
      </c>
      <c r="K271" s="2" t="s">
        <v>3571</v>
      </c>
      <c r="L271" s="2" t="s">
        <v>3572</v>
      </c>
      <c r="M271" s="3" t="s">
        <v>1233</v>
      </c>
      <c r="O271" s="3" t="s">
        <v>65</v>
      </c>
      <c r="P271" s="3" t="s">
        <v>66</v>
      </c>
      <c r="R271" s="3" t="s">
        <v>68</v>
      </c>
      <c r="S271" s="4">
        <v>2</v>
      </c>
      <c r="T271" s="4">
        <v>2</v>
      </c>
      <c r="U271" s="5" t="s">
        <v>2531</v>
      </c>
      <c r="V271" s="5" t="s">
        <v>2531</v>
      </c>
      <c r="W271" s="5" t="s">
        <v>352</v>
      </c>
      <c r="X271" s="5" t="s">
        <v>352</v>
      </c>
      <c r="Y271" s="4">
        <v>811</v>
      </c>
      <c r="Z271" s="4">
        <v>666</v>
      </c>
      <c r="AA271" s="4">
        <v>674</v>
      </c>
      <c r="AB271" s="4">
        <v>9</v>
      </c>
      <c r="AC271" s="4">
        <v>9</v>
      </c>
      <c r="AD271" s="4">
        <v>29</v>
      </c>
      <c r="AE271" s="4">
        <v>29</v>
      </c>
      <c r="AF271" s="4">
        <v>13</v>
      </c>
      <c r="AG271" s="4">
        <v>13</v>
      </c>
      <c r="AH271" s="4">
        <v>5</v>
      </c>
      <c r="AI271" s="4">
        <v>5</v>
      </c>
      <c r="AJ271" s="4">
        <v>12</v>
      </c>
      <c r="AK271" s="4">
        <v>12</v>
      </c>
      <c r="AL271" s="4">
        <v>7</v>
      </c>
      <c r="AM271" s="4">
        <v>7</v>
      </c>
      <c r="AN271" s="4">
        <v>0</v>
      </c>
      <c r="AO271" s="4">
        <v>0</v>
      </c>
      <c r="AP271" s="3" t="s">
        <v>59</v>
      </c>
      <c r="AQ271" s="3" t="s">
        <v>71</v>
      </c>
      <c r="AR271" s="6" t="str">
        <f>HYPERLINK("http://catalog.hathitrust.org/Record/000386576","HathiTrust Record")</f>
        <v>HathiTrust Record</v>
      </c>
      <c r="AS271" s="6" t="str">
        <f>HYPERLINK("https://creighton-primo.hosted.exlibrisgroup.com/primo-explore/search?tab=default_tab&amp;search_scope=EVERYTHING&amp;vid=01CRU&amp;lang=en_US&amp;offset=0&amp;query=any,contains,991002655719702656","Catalog Record")</f>
        <v>Catalog Record</v>
      </c>
      <c r="AT271" s="6" t="str">
        <f>HYPERLINK("http://www.worldcat.org/oclc/388654","WorldCat Record")</f>
        <v>WorldCat Record</v>
      </c>
      <c r="AU271" s="3" t="s">
        <v>3573</v>
      </c>
      <c r="AV271" s="3" t="s">
        <v>3574</v>
      </c>
      <c r="AW271" s="3" t="s">
        <v>3575</v>
      </c>
      <c r="AX271" s="3" t="s">
        <v>3575</v>
      </c>
      <c r="AY271" s="3" t="s">
        <v>3576</v>
      </c>
      <c r="AZ271" s="3" t="s">
        <v>76</v>
      </c>
      <c r="BB271" s="3" t="s">
        <v>3577</v>
      </c>
      <c r="BC271" s="3" t="s">
        <v>3578</v>
      </c>
      <c r="BD271" s="3" t="s">
        <v>3579</v>
      </c>
    </row>
    <row r="272" spans="1:56" ht="52.5" customHeight="1" x14ac:dyDescent="0.25">
      <c r="A272" s="7" t="s">
        <v>59</v>
      </c>
      <c r="B272" s="2" t="s">
        <v>3580</v>
      </c>
      <c r="C272" s="2" t="s">
        <v>3581</v>
      </c>
      <c r="D272" s="2" t="s">
        <v>3582</v>
      </c>
      <c r="F272" s="3" t="s">
        <v>59</v>
      </c>
      <c r="G272" s="3" t="s">
        <v>60</v>
      </c>
      <c r="H272" s="3" t="s">
        <v>59</v>
      </c>
      <c r="I272" s="3" t="s">
        <v>59</v>
      </c>
      <c r="J272" s="3" t="s">
        <v>61</v>
      </c>
      <c r="L272" s="2" t="s">
        <v>3583</v>
      </c>
      <c r="M272" s="3" t="s">
        <v>148</v>
      </c>
      <c r="N272" s="2" t="s">
        <v>887</v>
      </c>
      <c r="O272" s="3" t="s">
        <v>65</v>
      </c>
      <c r="P272" s="3" t="s">
        <v>66</v>
      </c>
      <c r="Q272" s="2" t="s">
        <v>3584</v>
      </c>
      <c r="R272" s="3" t="s">
        <v>68</v>
      </c>
      <c r="S272" s="4">
        <v>3</v>
      </c>
      <c r="T272" s="4">
        <v>3</v>
      </c>
      <c r="U272" s="5" t="s">
        <v>3378</v>
      </c>
      <c r="V272" s="5" t="s">
        <v>3378</v>
      </c>
      <c r="W272" s="5" t="s">
        <v>716</v>
      </c>
      <c r="X272" s="5" t="s">
        <v>716</v>
      </c>
      <c r="Y272" s="4">
        <v>554</v>
      </c>
      <c r="Z272" s="4">
        <v>432</v>
      </c>
      <c r="AA272" s="4">
        <v>471</v>
      </c>
      <c r="AB272" s="4">
        <v>4</v>
      </c>
      <c r="AC272" s="4">
        <v>5</v>
      </c>
      <c r="AD272" s="4">
        <v>27</v>
      </c>
      <c r="AE272" s="4">
        <v>29</v>
      </c>
      <c r="AF272" s="4">
        <v>11</v>
      </c>
      <c r="AG272" s="4">
        <v>12</v>
      </c>
      <c r="AH272" s="4">
        <v>7</v>
      </c>
      <c r="AI272" s="4">
        <v>7</v>
      </c>
      <c r="AJ272" s="4">
        <v>15</v>
      </c>
      <c r="AK272" s="4">
        <v>15</v>
      </c>
      <c r="AL272" s="4">
        <v>3</v>
      </c>
      <c r="AM272" s="4">
        <v>4</v>
      </c>
      <c r="AN272" s="4">
        <v>0</v>
      </c>
      <c r="AO272" s="4">
        <v>0</v>
      </c>
      <c r="AP272" s="3" t="s">
        <v>59</v>
      </c>
      <c r="AQ272" s="3" t="s">
        <v>71</v>
      </c>
      <c r="AR272" s="6" t="str">
        <f>HYPERLINK("http://catalog.hathitrust.org/Record/003474278","HathiTrust Record")</f>
        <v>HathiTrust Record</v>
      </c>
      <c r="AS272" s="6" t="str">
        <f>HYPERLINK("https://creighton-primo.hosted.exlibrisgroup.com/primo-explore/search?tab=default_tab&amp;search_scope=EVERYTHING&amp;vid=01CRU&amp;lang=en_US&amp;offset=0&amp;query=any,contains,991004173979702656","Catalog Record")</f>
        <v>Catalog Record</v>
      </c>
      <c r="AT272" s="6" t="str">
        <f>HYPERLINK("http://www.worldcat.org/oclc/2591701","WorldCat Record")</f>
        <v>WorldCat Record</v>
      </c>
      <c r="AU272" s="3" t="s">
        <v>3585</v>
      </c>
      <c r="AV272" s="3" t="s">
        <v>3586</v>
      </c>
      <c r="AW272" s="3" t="s">
        <v>3587</v>
      </c>
      <c r="AX272" s="3" t="s">
        <v>3587</v>
      </c>
      <c r="AY272" s="3" t="s">
        <v>3588</v>
      </c>
      <c r="AZ272" s="3" t="s">
        <v>76</v>
      </c>
      <c r="BB272" s="3" t="s">
        <v>3589</v>
      </c>
      <c r="BC272" s="3" t="s">
        <v>3590</v>
      </c>
      <c r="BD272" s="3" t="s">
        <v>3591</v>
      </c>
    </row>
    <row r="273" spans="1:56" ht="52.5" customHeight="1" x14ac:dyDescent="0.25">
      <c r="A273" s="7" t="s">
        <v>59</v>
      </c>
      <c r="B273" s="2" t="s">
        <v>3592</v>
      </c>
      <c r="C273" s="2" t="s">
        <v>3593</v>
      </c>
      <c r="D273" s="2" t="s">
        <v>3594</v>
      </c>
      <c r="F273" s="3" t="s">
        <v>59</v>
      </c>
      <c r="G273" s="3" t="s">
        <v>60</v>
      </c>
      <c r="H273" s="3" t="s">
        <v>59</v>
      </c>
      <c r="I273" s="3" t="s">
        <v>59</v>
      </c>
      <c r="J273" s="3" t="s">
        <v>61</v>
      </c>
      <c r="K273" s="2" t="s">
        <v>3595</v>
      </c>
      <c r="L273" s="2" t="s">
        <v>3596</v>
      </c>
      <c r="M273" s="3" t="s">
        <v>195</v>
      </c>
      <c r="O273" s="3" t="s">
        <v>65</v>
      </c>
      <c r="P273" s="3" t="s">
        <v>296</v>
      </c>
      <c r="R273" s="3" t="s">
        <v>68</v>
      </c>
      <c r="S273" s="4">
        <v>3</v>
      </c>
      <c r="T273" s="4">
        <v>3</v>
      </c>
      <c r="U273" s="5" t="s">
        <v>3597</v>
      </c>
      <c r="V273" s="5" t="s">
        <v>3597</v>
      </c>
      <c r="W273" s="5" t="s">
        <v>2176</v>
      </c>
      <c r="X273" s="5" t="s">
        <v>2176</v>
      </c>
      <c r="Y273" s="4">
        <v>333</v>
      </c>
      <c r="Z273" s="4">
        <v>259</v>
      </c>
      <c r="AA273" s="4">
        <v>260</v>
      </c>
      <c r="AB273" s="4">
        <v>4</v>
      </c>
      <c r="AC273" s="4">
        <v>4</v>
      </c>
      <c r="AD273" s="4">
        <v>16</v>
      </c>
      <c r="AE273" s="4">
        <v>16</v>
      </c>
      <c r="AF273" s="4">
        <v>6</v>
      </c>
      <c r="AG273" s="4">
        <v>6</v>
      </c>
      <c r="AH273" s="4">
        <v>4</v>
      </c>
      <c r="AI273" s="4">
        <v>4</v>
      </c>
      <c r="AJ273" s="4">
        <v>9</v>
      </c>
      <c r="AK273" s="4">
        <v>9</v>
      </c>
      <c r="AL273" s="4">
        <v>3</v>
      </c>
      <c r="AM273" s="4">
        <v>3</v>
      </c>
      <c r="AN273" s="4">
        <v>0</v>
      </c>
      <c r="AO273" s="4">
        <v>0</v>
      </c>
      <c r="AP273" s="3" t="s">
        <v>59</v>
      </c>
      <c r="AQ273" s="3" t="s">
        <v>71</v>
      </c>
      <c r="AR273" s="6" t="str">
        <f>HYPERLINK("http://catalog.hathitrust.org/Record/000153729","HathiTrust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HYPERLINK("https://creighton-primo.hosted.exlibrisgroup.com/primo-explore/search?tab=default_tab&amp;search_scope=EVERYTHING&amp;vid=01CRU&amp;lang=en_US&amp;offset=0&amp;query=any,contains,991000016719702656","Catalog Record")</f>
        <v>Catalog Record</v>
      </c>
      <c r="AT273" s="6" t="str">
        <f>HYPERLINK("http://www.worldcat.org/oclc/8553122","WorldCat Record")</f>
        <v>WorldCat Record</v>
      </c>
      <c r="AU273" s="3" t="s">
        <v>3598</v>
      </c>
      <c r="AV273" s="3" t="s">
        <v>3599</v>
      </c>
      <c r="AW273" s="3" t="s">
        <v>3600</v>
      </c>
      <c r="AX273" s="3" t="s">
        <v>3600</v>
      </c>
      <c r="AY273" s="3" t="s">
        <v>3601</v>
      </c>
      <c r="AZ273" s="3" t="s">
        <v>76</v>
      </c>
      <c r="BB273" s="3" t="s">
        <v>3602</v>
      </c>
      <c r="BC273" s="3" t="s">
        <v>3603</v>
      </c>
      <c r="BD273" s="3" t="s">
        <v>3604</v>
      </c>
    </row>
    <row r="274" spans="1:56" ht="52.5" customHeight="1" x14ac:dyDescent="0.25">
      <c r="A274" s="7" t="s">
        <v>59</v>
      </c>
      <c r="B274" s="2" t="s">
        <v>3605</v>
      </c>
      <c r="C274" s="2" t="s">
        <v>3606</v>
      </c>
      <c r="D274" s="2" t="s">
        <v>3607</v>
      </c>
      <c r="F274" s="3" t="s">
        <v>59</v>
      </c>
      <c r="G274" s="3" t="s">
        <v>60</v>
      </c>
      <c r="H274" s="3" t="s">
        <v>59</v>
      </c>
      <c r="I274" s="3" t="s">
        <v>59</v>
      </c>
      <c r="J274" s="3" t="s">
        <v>61</v>
      </c>
      <c r="K274" s="2" t="s">
        <v>3608</v>
      </c>
      <c r="L274" s="2" t="s">
        <v>3609</v>
      </c>
      <c r="M274" s="3" t="s">
        <v>350</v>
      </c>
      <c r="O274" s="3" t="s">
        <v>65</v>
      </c>
      <c r="P274" s="3" t="s">
        <v>3610</v>
      </c>
      <c r="R274" s="3" t="s">
        <v>68</v>
      </c>
      <c r="S274" s="4">
        <v>2</v>
      </c>
      <c r="T274" s="4">
        <v>2</v>
      </c>
      <c r="U274" s="5" t="s">
        <v>3611</v>
      </c>
      <c r="V274" s="5" t="s">
        <v>3611</v>
      </c>
      <c r="W274" s="5" t="s">
        <v>3612</v>
      </c>
      <c r="X274" s="5" t="s">
        <v>3612</v>
      </c>
      <c r="Y274" s="4">
        <v>289</v>
      </c>
      <c r="Z274" s="4">
        <v>198</v>
      </c>
      <c r="AA274" s="4">
        <v>208</v>
      </c>
      <c r="AB274" s="4">
        <v>2</v>
      </c>
      <c r="AC274" s="4">
        <v>2</v>
      </c>
      <c r="AD274" s="4">
        <v>19</v>
      </c>
      <c r="AE274" s="4">
        <v>20</v>
      </c>
      <c r="AF274" s="4">
        <v>3</v>
      </c>
      <c r="AG274" s="4">
        <v>4</v>
      </c>
      <c r="AH274" s="4">
        <v>7</v>
      </c>
      <c r="AI274" s="4">
        <v>7</v>
      </c>
      <c r="AJ274" s="4">
        <v>14</v>
      </c>
      <c r="AK274" s="4">
        <v>15</v>
      </c>
      <c r="AL274" s="4">
        <v>1</v>
      </c>
      <c r="AM274" s="4">
        <v>1</v>
      </c>
      <c r="AN274" s="4">
        <v>0</v>
      </c>
      <c r="AO274" s="4">
        <v>0</v>
      </c>
      <c r="AP274" s="3" t="s">
        <v>59</v>
      </c>
      <c r="AQ274" s="3" t="s">
        <v>71</v>
      </c>
      <c r="AR274" s="6" t="str">
        <f>HYPERLINK("http://catalog.hathitrust.org/Record/007114717","HathiTrust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HYPERLINK("https://creighton-primo.hosted.exlibrisgroup.com/primo-explore/search?tab=default_tab&amp;search_scope=EVERYTHING&amp;vid=01CRU&amp;lang=en_US&amp;offset=0&amp;query=any,contains,991004513479702656","Catalog Record")</f>
        <v>Catalog Record</v>
      </c>
      <c r="AT274" s="6" t="str">
        <f>HYPERLINK("http://www.worldcat.org/oclc/3773479","WorldCat Record")</f>
        <v>WorldCat Record</v>
      </c>
      <c r="AU274" s="3" t="s">
        <v>3613</v>
      </c>
      <c r="AV274" s="3" t="s">
        <v>3614</v>
      </c>
      <c r="AW274" s="3" t="s">
        <v>3615</v>
      </c>
      <c r="AX274" s="3" t="s">
        <v>3615</v>
      </c>
      <c r="AY274" s="3" t="s">
        <v>3616</v>
      </c>
      <c r="AZ274" s="3" t="s">
        <v>76</v>
      </c>
      <c r="BB274" s="3" t="s">
        <v>3617</v>
      </c>
      <c r="BC274" s="3" t="s">
        <v>3618</v>
      </c>
      <c r="BD274" s="3" t="s">
        <v>3619</v>
      </c>
    </row>
    <row r="275" spans="1:56" ht="52.5" customHeight="1" x14ac:dyDescent="0.25">
      <c r="A275" s="7" t="s">
        <v>59</v>
      </c>
      <c r="B275" s="2" t="s">
        <v>3620</v>
      </c>
      <c r="C275" s="2" t="s">
        <v>3621</v>
      </c>
      <c r="D275" s="2" t="s">
        <v>3622</v>
      </c>
      <c r="F275" s="3" t="s">
        <v>59</v>
      </c>
      <c r="G275" s="3" t="s">
        <v>60</v>
      </c>
      <c r="H275" s="3" t="s">
        <v>59</v>
      </c>
      <c r="I275" s="3" t="s">
        <v>59</v>
      </c>
      <c r="J275" s="3" t="s">
        <v>61</v>
      </c>
      <c r="K275" s="2" t="s">
        <v>3623</v>
      </c>
      <c r="L275" s="2" t="s">
        <v>3624</v>
      </c>
      <c r="M275" s="3" t="s">
        <v>1163</v>
      </c>
      <c r="O275" s="3" t="s">
        <v>65</v>
      </c>
      <c r="P275" s="3" t="s">
        <v>1262</v>
      </c>
      <c r="R275" s="3" t="s">
        <v>68</v>
      </c>
      <c r="S275" s="4">
        <v>3</v>
      </c>
      <c r="T275" s="4">
        <v>3</v>
      </c>
      <c r="U275" s="5" t="s">
        <v>3625</v>
      </c>
      <c r="V275" s="5" t="s">
        <v>3625</v>
      </c>
      <c r="W275" s="5" t="s">
        <v>3626</v>
      </c>
      <c r="X275" s="5" t="s">
        <v>3626</v>
      </c>
      <c r="Y275" s="4">
        <v>411</v>
      </c>
      <c r="Z275" s="4">
        <v>290</v>
      </c>
      <c r="AA275" s="4">
        <v>324</v>
      </c>
      <c r="AB275" s="4">
        <v>2</v>
      </c>
      <c r="AC275" s="4">
        <v>2</v>
      </c>
      <c r="AD275" s="4">
        <v>20</v>
      </c>
      <c r="AE275" s="4">
        <v>22</v>
      </c>
      <c r="AF275" s="4">
        <v>5</v>
      </c>
      <c r="AG275" s="4">
        <v>6</v>
      </c>
      <c r="AH275" s="4">
        <v>7</v>
      </c>
      <c r="AI275" s="4">
        <v>8</v>
      </c>
      <c r="AJ275" s="4">
        <v>15</v>
      </c>
      <c r="AK275" s="4">
        <v>15</v>
      </c>
      <c r="AL275" s="4">
        <v>1</v>
      </c>
      <c r="AM275" s="4">
        <v>1</v>
      </c>
      <c r="AN275" s="4">
        <v>0</v>
      </c>
      <c r="AO275" s="4">
        <v>0</v>
      </c>
      <c r="AP275" s="3" t="s">
        <v>59</v>
      </c>
      <c r="AQ275" s="3" t="s">
        <v>59</v>
      </c>
      <c r="AS275" s="6" t="str">
        <f>HYPERLINK("https://creighton-primo.hosted.exlibrisgroup.com/primo-explore/search?tab=default_tab&amp;search_scope=EVERYTHING&amp;vid=01CRU&amp;lang=en_US&amp;offset=0&amp;query=any,contains,991000491159702656","Catalog Record")</f>
        <v>Catalog Record</v>
      </c>
      <c r="AT275" s="6" t="str">
        <f>HYPERLINK("http://www.worldcat.org/oclc/11112590","WorldCat Record")</f>
        <v>WorldCat Record</v>
      </c>
      <c r="AU275" s="3" t="s">
        <v>3627</v>
      </c>
      <c r="AV275" s="3" t="s">
        <v>3628</v>
      </c>
      <c r="AW275" s="3" t="s">
        <v>3629</v>
      </c>
      <c r="AX275" s="3" t="s">
        <v>3629</v>
      </c>
      <c r="AY275" s="3" t="s">
        <v>3630</v>
      </c>
      <c r="AZ275" s="3" t="s">
        <v>76</v>
      </c>
      <c r="BB275" s="3" t="s">
        <v>3631</v>
      </c>
      <c r="BC275" s="3" t="s">
        <v>3632</v>
      </c>
      <c r="BD275" s="3" t="s">
        <v>3633</v>
      </c>
    </row>
    <row r="276" spans="1:56" ht="52.5" customHeight="1" x14ac:dyDescent="0.25">
      <c r="A276" s="7" t="s">
        <v>59</v>
      </c>
      <c r="B276" s="2" t="s">
        <v>3634</v>
      </c>
      <c r="C276" s="2" t="s">
        <v>3635</v>
      </c>
      <c r="D276" s="2" t="s">
        <v>3636</v>
      </c>
      <c r="F276" s="3" t="s">
        <v>59</v>
      </c>
      <c r="G276" s="3" t="s">
        <v>60</v>
      </c>
      <c r="H276" s="3" t="s">
        <v>59</v>
      </c>
      <c r="I276" s="3" t="s">
        <v>59</v>
      </c>
      <c r="J276" s="3" t="s">
        <v>61</v>
      </c>
      <c r="K276" s="2" t="s">
        <v>1939</v>
      </c>
      <c r="L276" s="2" t="s">
        <v>3637</v>
      </c>
      <c r="M276" s="3" t="s">
        <v>475</v>
      </c>
      <c r="N276" s="2" t="s">
        <v>887</v>
      </c>
      <c r="O276" s="3" t="s">
        <v>65</v>
      </c>
      <c r="P276" s="3" t="s">
        <v>66</v>
      </c>
      <c r="R276" s="3" t="s">
        <v>68</v>
      </c>
      <c r="S276" s="4">
        <v>3</v>
      </c>
      <c r="T276" s="4">
        <v>3</v>
      </c>
      <c r="U276" s="5" t="s">
        <v>3638</v>
      </c>
      <c r="V276" s="5" t="s">
        <v>3638</v>
      </c>
      <c r="W276" s="5" t="s">
        <v>3639</v>
      </c>
      <c r="X276" s="5" t="s">
        <v>3639</v>
      </c>
      <c r="Y276" s="4">
        <v>1348</v>
      </c>
      <c r="Z276" s="4">
        <v>1227</v>
      </c>
      <c r="AA276" s="4">
        <v>1433</v>
      </c>
      <c r="AB276" s="4">
        <v>10</v>
      </c>
      <c r="AC276" s="4">
        <v>12</v>
      </c>
      <c r="AD276" s="4">
        <v>44</v>
      </c>
      <c r="AE276" s="4">
        <v>49</v>
      </c>
      <c r="AF276" s="4">
        <v>19</v>
      </c>
      <c r="AG276" s="4">
        <v>20</v>
      </c>
      <c r="AH276" s="4">
        <v>8</v>
      </c>
      <c r="AI276" s="4">
        <v>9</v>
      </c>
      <c r="AJ276" s="4">
        <v>22</v>
      </c>
      <c r="AK276" s="4">
        <v>24</v>
      </c>
      <c r="AL276" s="4">
        <v>7</v>
      </c>
      <c r="AM276" s="4">
        <v>9</v>
      </c>
      <c r="AN276" s="4">
        <v>0</v>
      </c>
      <c r="AO276" s="4">
        <v>0</v>
      </c>
      <c r="AP276" s="3" t="s">
        <v>59</v>
      </c>
      <c r="AQ276" s="3" t="s">
        <v>59</v>
      </c>
      <c r="AS276" s="6" t="str">
        <f>HYPERLINK("https://creighton-primo.hosted.exlibrisgroup.com/primo-explore/search?tab=default_tab&amp;search_scope=EVERYTHING&amp;vid=01CRU&amp;lang=en_US&amp;offset=0&amp;query=any,contains,991000191359702656","Catalog Record")</f>
        <v>Catalog Record</v>
      </c>
      <c r="AT276" s="6" t="str">
        <f>HYPERLINK("http://www.worldcat.org/oclc/9413047","WorldCat Record")</f>
        <v>WorldCat Record</v>
      </c>
      <c r="AU276" s="3" t="s">
        <v>3640</v>
      </c>
      <c r="AV276" s="3" t="s">
        <v>3641</v>
      </c>
      <c r="AW276" s="3" t="s">
        <v>3642</v>
      </c>
      <c r="AX276" s="3" t="s">
        <v>3642</v>
      </c>
      <c r="AY276" s="3" t="s">
        <v>3643</v>
      </c>
      <c r="AZ276" s="3" t="s">
        <v>76</v>
      </c>
      <c r="BB276" s="3" t="s">
        <v>3644</v>
      </c>
      <c r="BC276" s="3" t="s">
        <v>3645</v>
      </c>
      <c r="BD276" s="3" t="s">
        <v>3646</v>
      </c>
    </row>
    <row r="277" spans="1:56" ht="52.5" customHeight="1" x14ac:dyDescent="0.25">
      <c r="A277" s="7" t="s">
        <v>59</v>
      </c>
      <c r="B277" s="2" t="s">
        <v>3647</v>
      </c>
      <c r="C277" s="2" t="s">
        <v>3648</v>
      </c>
      <c r="D277" s="2" t="s">
        <v>3649</v>
      </c>
      <c r="F277" s="3" t="s">
        <v>59</v>
      </c>
      <c r="G277" s="3" t="s">
        <v>60</v>
      </c>
      <c r="H277" s="3" t="s">
        <v>59</v>
      </c>
      <c r="I277" s="3" t="s">
        <v>59</v>
      </c>
      <c r="J277" s="3" t="s">
        <v>61</v>
      </c>
      <c r="K277" s="2" t="s">
        <v>3650</v>
      </c>
      <c r="L277" s="2" t="s">
        <v>3651</v>
      </c>
      <c r="M277" s="3" t="s">
        <v>100</v>
      </c>
      <c r="O277" s="3" t="s">
        <v>65</v>
      </c>
      <c r="P277" s="3" t="s">
        <v>3610</v>
      </c>
      <c r="R277" s="3" t="s">
        <v>68</v>
      </c>
      <c r="S277" s="4">
        <v>1</v>
      </c>
      <c r="T277" s="4">
        <v>1</v>
      </c>
      <c r="U277" s="5" t="s">
        <v>3652</v>
      </c>
      <c r="V277" s="5" t="s">
        <v>3652</v>
      </c>
      <c r="W277" s="5" t="s">
        <v>3522</v>
      </c>
      <c r="X277" s="5" t="s">
        <v>3522</v>
      </c>
      <c r="Y277" s="4">
        <v>220</v>
      </c>
      <c r="Z277" s="4">
        <v>177</v>
      </c>
      <c r="AA277" s="4">
        <v>190</v>
      </c>
      <c r="AB277" s="4">
        <v>1</v>
      </c>
      <c r="AC277" s="4">
        <v>1</v>
      </c>
      <c r="AD277" s="4">
        <v>18</v>
      </c>
      <c r="AE277" s="4">
        <v>19</v>
      </c>
      <c r="AF277" s="4">
        <v>7</v>
      </c>
      <c r="AG277" s="4">
        <v>8</v>
      </c>
      <c r="AH277" s="4">
        <v>5</v>
      </c>
      <c r="AI277" s="4">
        <v>5</v>
      </c>
      <c r="AJ277" s="4">
        <v>14</v>
      </c>
      <c r="AK277" s="4">
        <v>15</v>
      </c>
      <c r="AL277" s="4">
        <v>0</v>
      </c>
      <c r="AM277" s="4">
        <v>0</v>
      </c>
      <c r="AN277" s="4">
        <v>0</v>
      </c>
      <c r="AO277" s="4">
        <v>0</v>
      </c>
      <c r="AP277" s="3" t="s">
        <v>59</v>
      </c>
      <c r="AQ277" s="3" t="s">
        <v>59</v>
      </c>
      <c r="AS277" s="6" t="str">
        <f>HYPERLINK("https://creighton-primo.hosted.exlibrisgroup.com/primo-explore/search?tab=default_tab&amp;search_scope=EVERYTHING&amp;vid=01CRU&amp;lang=en_US&amp;offset=0&amp;query=any,contains,991000935859702656","Catalog Record")</f>
        <v>Catalog Record</v>
      </c>
      <c r="AT277" s="6" t="str">
        <f>HYPERLINK("http://www.worldcat.org/oclc/164735","WorldCat Record")</f>
        <v>WorldCat Record</v>
      </c>
      <c r="AU277" s="3" t="s">
        <v>3653</v>
      </c>
      <c r="AV277" s="3" t="s">
        <v>3654</v>
      </c>
      <c r="AW277" s="3" t="s">
        <v>3655</v>
      </c>
      <c r="AX277" s="3" t="s">
        <v>3655</v>
      </c>
      <c r="AY277" s="3" t="s">
        <v>3656</v>
      </c>
      <c r="AZ277" s="3" t="s">
        <v>76</v>
      </c>
      <c r="BB277" s="3" t="s">
        <v>3657</v>
      </c>
      <c r="BC277" s="3" t="s">
        <v>3658</v>
      </c>
      <c r="BD277" s="3" t="s">
        <v>3659</v>
      </c>
    </row>
    <row r="278" spans="1:56" ht="52.5" customHeight="1" x14ac:dyDescent="0.25">
      <c r="A278" s="7" t="s">
        <v>59</v>
      </c>
      <c r="B278" s="2" t="s">
        <v>3660</v>
      </c>
      <c r="C278" s="2" t="s">
        <v>3661</v>
      </c>
      <c r="D278" s="2" t="s">
        <v>3662</v>
      </c>
      <c r="F278" s="3" t="s">
        <v>59</v>
      </c>
      <c r="G278" s="3" t="s">
        <v>60</v>
      </c>
      <c r="H278" s="3" t="s">
        <v>59</v>
      </c>
      <c r="I278" s="3" t="s">
        <v>59</v>
      </c>
      <c r="J278" s="3" t="s">
        <v>61</v>
      </c>
      <c r="K278" s="2" t="s">
        <v>3663</v>
      </c>
      <c r="L278" s="2" t="s">
        <v>3664</v>
      </c>
      <c r="M278" s="3" t="s">
        <v>164</v>
      </c>
      <c r="O278" s="3" t="s">
        <v>65</v>
      </c>
      <c r="P278" s="3" t="s">
        <v>66</v>
      </c>
      <c r="Q278" s="2" t="s">
        <v>3665</v>
      </c>
      <c r="R278" s="3" t="s">
        <v>68</v>
      </c>
      <c r="S278" s="4">
        <v>1</v>
      </c>
      <c r="T278" s="4">
        <v>1</v>
      </c>
      <c r="U278" s="5" t="s">
        <v>3652</v>
      </c>
      <c r="V278" s="5" t="s">
        <v>3652</v>
      </c>
      <c r="W278" s="5" t="s">
        <v>3612</v>
      </c>
      <c r="X278" s="5" t="s">
        <v>3612</v>
      </c>
      <c r="Y278" s="4">
        <v>65</v>
      </c>
      <c r="Z278" s="4">
        <v>56</v>
      </c>
      <c r="AA278" s="4">
        <v>64</v>
      </c>
      <c r="AB278" s="4">
        <v>2</v>
      </c>
      <c r="AC278" s="4">
        <v>2</v>
      </c>
      <c r="AD278" s="4">
        <v>7</v>
      </c>
      <c r="AE278" s="4">
        <v>7</v>
      </c>
      <c r="AF278" s="4">
        <v>3</v>
      </c>
      <c r="AG278" s="4">
        <v>3</v>
      </c>
      <c r="AH278" s="4">
        <v>2</v>
      </c>
      <c r="AI278" s="4">
        <v>2</v>
      </c>
      <c r="AJ278" s="4">
        <v>5</v>
      </c>
      <c r="AK278" s="4">
        <v>5</v>
      </c>
      <c r="AL278" s="4">
        <v>1</v>
      </c>
      <c r="AM278" s="4">
        <v>1</v>
      </c>
      <c r="AN278" s="4">
        <v>0</v>
      </c>
      <c r="AO278" s="4">
        <v>0</v>
      </c>
      <c r="AP278" s="3" t="s">
        <v>59</v>
      </c>
      <c r="AQ278" s="3" t="s">
        <v>71</v>
      </c>
      <c r="AR278" s="6" t="str">
        <f>HYPERLINK("http://catalog.hathitrust.org/Record/000693588","HathiTrust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HYPERLINK("https://creighton-primo.hosted.exlibrisgroup.com/primo-explore/search?tab=default_tab&amp;search_scope=EVERYTHING&amp;vid=01CRU&amp;lang=en_US&amp;offset=0&amp;query=any,contains,991004952229702656","Catalog Record")</f>
        <v>Catalog Record</v>
      </c>
      <c r="AT278" s="6" t="str">
        <f>HYPERLINK("http://www.worldcat.org/oclc/6251228","WorldCat Record")</f>
        <v>WorldCat Record</v>
      </c>
      <c r="AU278" s="3" t="s">
        <v>3666</v>
      </c>
      <c r="AV278" s="3" t="s">
        <v>3667</v>
      </c>
      <c r="AW278" s="3" t="s">
        <v>3668</v>
      </c>
      <c r="AX278" s="3" t="s">
        <v>3668</v>
      </c>
      <c r="AY278" s="3" t="s">
        <v>3669</v>
      </c>
      <c r="AZ278" s="3" t="s">
        <v>76</v>
      </c>
      <c r="BB278" s="3" t="s">
        <v>3670</v>
      </c>
      <c r="BC278" s="3" t="s">
        <v>3671</v>
      </c>
      <c r="BD278" s="3" t="s">
        <v>3672</v>
      </c>
    </row>
    <row r="279" spans="1:56" ht="52.5" customHeight="1" x14ac:dyDescent="0.25">
      <c r="A279" s="7" t="s">
        <v>59</v>
      </c>
      <c r="B279" s="2" t="s">
        <v>3673</v>
      </c>
      <c r="C279" s="2" t="s">
        <v>3674</v>
      </c>
      <c r="D279" s="2" t="s">
        <v>3675</v>
      </c>
      <c r="F279" s="3" t="s">
        <v>59</v>
      </c>
      <c r="G279" s="3" t="s">
        <v>60</v>
      </c>
      <c r="H279" s="3" t="s">
        <v>59</v>
      </c>
      <c r="I279" s="3" t="s">
        <v>59</v>
      </c>
      <c r="J279" s="3" t="s">
        <v>61</v>
      </c>
      <c r="K279" s="2" t="s">
        <v>3676</v>
      </c>
      <c r="L279" s="2" t="s">
        <v>3677</v>
      </c>
      <c r="M279" s="3" t="s">
        <v>1467</v>
      </c>
      <c r="O279" s="3" t="s">
        <v>65</v>
      </c>
      <c r="P279" s="3" t="s">
        <v>296</v>
      </c>
      <c r="R279" s="3" t="s">
        <v>68</v>
      </c>
      <c r="S279" s="4">
        <v>1</v>
      </c>
      <c r="T279" s="4">
        <v>1</v>
      </c>
      <c r="U279" s="5" t="s">
        <v>3678</v>
      </c>
      <c r="V279" s="5" t="s">
        <v>3678</v>
      </c>
      <c r="W279" s="5" t="s">
        <v>3522</v>
      </c>
      <c r="X279" s="5" t="s">
        <v>3522</v>
      </c>
      <c r="Y279" s="4">
        <v>274</v>
      </c>
      <c r="Z279" s="4">
        <v>222</v>
      </c>
      <c r="AA279" s="4">
        <v>230</v>
      </c>
      <c r="AB279" s="4">
        <v>3</v>
      </c>
      <c r="AC279" s="4">
        <v>3</v>
      </c>
      <c r="AD279" s="4">
        <v>12</v>
      </c>
      <c r="AE279" s="4">
        <v>13</v>
      </c>
      <c r="AF279" s="4">
        <v>3</v>
      </c>
      <c r="AG279" s="4">
        <v>4</v>
      </c>
      <c r="AH279" s="4">
        <v>3</v>
      </c>
      <c r="AI279" s="4">
        <v>3</v>
      </c>
      <c r="AJ279" s="4">
        <v>7</v>
      </c>
      <c r="AK279" s="4">
        <v>7</v>
      </c>
      <c r="AL279" s="4">
        <v>2</v>
      </c>
      <c r="AM279" s="4">
        <v>2</v>
      </c>
      <c r="AN279" s="4">
        <v>0</v>
      </c>
      <c r="AO279" s="4">
        <v>0</v>
      </c>
      <c r="AP279" s="3" t="s">
        <v>71</v>
      </c>
      <c r="AQ279" s="3" t="s">
        <v>59</v>
      </c>
      <c r="AR279" s="6" t="str">
        <f>HYPERLINK("http://catalog.hathitrust.org/Record/000428758","HathiTrust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HYPERLINK("https://creighton-primo.hosted.exlibrisgroup.com/primo-explore/search?tab=default_tab&amp;search_scope=EVERYTHING&amp;vid=01CRU&amp;lang=en_US&amp;offset=0&amp;query=any,contains,991003096699702656","Catalog Record")</f>
        <v>Catalog Record</v>
      </c>
      <c r="AT279" s="6" t="str">
        <f>HYPERLINK("http://www.worldcat.org/oclc/646328","WorldCat Record")</f>
        <v>WorldCat Record</v>
      </c>
      <c r="AU279" s="3" t="s">
        <v>3679</v>
      </c>
      <c r="AV279" s="3" t="s">
        <v>3680</v>
      </c>
      <c r="AW279" s="3" t="s">
        <v>3681</v>
      </c>
      <c r="AX279" s="3" t="s">
        <v>3681</v>
      </c>
      <c r="AY279" s="3" t="s">
        <v>3682</v>
      </c>
      <c r="AZ279" s="3" t="s">
        <v>76</v>
      </c>
      <c r="BC279" s="3" t="s">
        <v>3683</v>
      </c>
      <c r="BD279" s="3" t="s">
        <v>3684</v>
      </c>
    </row>
    <row r="280" spans="1:56" ht="52.5" customHeight="1" x14ac:dyDescent="0.25">
      <c r="A280" s="7" t="s">
        <v>59</v>
      </c>
      <c r="B280" s="2" t="s">
        <v>3685</v>
      </c>
      <c r="C280" s="2" t="s">
        <v>3686</v>
      </c>
      <c r="D280" s="2" t="s">
        <v>3687</v>
      </c>
      <c r="F280" s="3" t="s">
        <v>59</v>
      </c>
      <c r="G280" s="3" t="s">
        <v>60</v>
      </c>
      <c r="H280" s="3" t="s">
        <v>59</v>
      </c>
      <c r="I280" s="3" t="s">
        <v>59</v>
      </c>
      <c r="J280" s="3" t="s">
        <v>61</v>
      </c>
      <c r="K280" s="2" t="s">
        <v>3688</v>
      </c>
      <c r="L280" s="2" t="s">
        <v>3689</v>
      </c>
      <c r="M280" s="3" t="s">
        <v>115</v>
      </c>
      <c r="O280" s="3" t="s">
        <v>65</v>
      </c>
      <c r="P280" s="3" t="s">
        <v>66</v>
      </c>
      <c r="Q280" s="2" t="s">
        <v>3690</v>
      </c>
      <c r="R280" s="3" t="s">
        <v>68</v>
      </c>
      <c r="S280" s="4">
        <v>6</v>
      </c>
      <c r="T280" s="4">
        <v>6</v>
      </c>
      <c r="U280" s="5" t="s">
        <v>3691</v>
      </c>
      <c r="V280" s="5" t="s">
        <v>3691</v>
      </c>
      <c r="W280" s="5" t="s">
        <v>3692</v>
      </c>
      <c r="X280" s="5" t="s">
        <v>3692</v>
      </c>
      <c r="Y280" s="4">
        <v>787</v>
      </c>
      <c r="Z280" s="4">
        <v>596</v>
      </c>
      <c r="AA280" s="4">
        <v>598</v>
      </c>
      <c r="AB280" s="4">
        <v>6</v>
      </c>
      <c r="AC280" s="4">
        <v>6</v>
      </c>
      <c r="AD280" s="4">
        <v>26</v>
      </c>
      <c r="AE280" s="4">
        <v>26</v>
      </c>
      <c r="AF280" s="4">
        <v>10</v>
      </c>
      <c r="AG280" s="4">
        <v>10</v>
      </c>
      <c r="AH280" s="4">
        <v>7</v>
      </c>
      <c r="AI280" s="4">
        <v>7</v>
      </c>
      <c r="AJ280" s="4">
        <v>12</v>
      </c>
      <c r="AK280" s="4">
        <v>12</v>
      </c>
      <c r="AL280" s="4">
        <v>5</v>
      </c>
      <c r="AM280" s="4">
        <v>5</v>
      </c>
      <c r="AN280" s="4">
        <v>0</v>
      </c>
      <c r="AO280" s="4">
        <v>0</v>
      </c>
      <c r="AP280" s="3" t="s">
        <v>59</v>
      </c>
      <c r="AQ280" s="3" t="s">
        <v>71</v>
      </c>
      <c r="AR280" s="6" t="str">
        <f>HYPERLINK("http://catalog.hathitrust.org/Record/000660810","HathiTrust Record")</f>
        <v>HathiTrust Record</v>
      </c>
      <c r="AS280" s="6" t="str">
        <f>HYPERLINK("https://creighton-primo.hosted.exlibrisgroup.com/primo-explore/search?tab=default_tab&amp;search_scope=EVERYTHING&amp;vid=01CRU&amp;lang=en_US&amp;offset=0&amp;query=any,contains,991004239269702656","Catalog Record")</f>
        <v>Catalog Record</v>
      </c>
      <c r="AT280" s="6" t="str">
        <f>HYPERLINK("http://www.worldcat.org/oclc/2780297","WorldCat Record")</f>
        <v>WorldCat Record</v>
      </c>
      <c r="AU280" s="3" t="s">
        <v>3693</v>
      </c>
      <c r="AV280" s="3" t="s">
        <v>3694</v>
      </c>
      <c r="AW280" s="3" t="s">
        <v>3695</v>
      </c>
      <c r="AX280" s="3" t="s">
        <v>3695</v>
      </c>
      <c r="AY280" s="3" t="s">
        <v>3696</v>
      </c>
      <c r="AZ280" s="3" t="s">
        <v>76</v>
      </c>
      <c r="BB280" s="3" t="s">
        <v>3697</v>
      </c>
      <c r="BC280" s="3" t="s">
        <v>3698</v>
      </c>
      <c r="BD280" s="3" t="s">
        <v>3699</v>
      </c>
    </row>
    <row r="281" spans="1:56" ht="52.5" customHeight="1" x14ac:dyDescent="0.25">
      <c r="A281" s="7" t="s">
        <v>59</v>
      </c>
      <c r="B281" s="2" t="s">
        <v>3700</v>
      </c>
      <c r="C281" s="2" t="s">
        <v>3701</v>
      </c>
      <c r="D281" s="2" t="s">
        <v>3702</v>
      </c>
      <c r="F281" s="3" t="s">
        <v>59</v>
      </c>
      <c r="G281" s="3" t="s">
        <v>60</v>
      </c>
      <c r="H281" s="3" t="s">
        <v>59</v>
      </c>
      <c r="I281" s="3" t="s">
        <v>59</v>
      </c>
      <c r="J281" s="3" t="s">
        <v>61</v>
      </c>
      <c r="K281" s="2" t="s">
        <v>3703</v>
      </c>
      <c r="L281" s="2" t="s">
        <v>3704</v>
      </c>
      <c r="M281" s="3" t="s">
        <v>1015</v>
      </c>
      <c r="O281" s="3" t="s">
        <v>65</v>
      </c>
      <c r="P281" s="3" t="s">
        <v>66</v>
      </c>
      <c r="R281" s="3" t="s">
        <v>68</v>
      </c>
      <c r="S281" s="4">
        <v>2</v>
      </c>
      <c r="T281" s="4">
        <v>2</v>
      </c>
      <c r="U281" s="5" t="s">
        <v>3705</v>
      </c>
      <c r="V281" s="5" t="s">
        <v>3705</v>
      </c>
      <c r="W281" s="5" t="s">
        <v>3706</v>
      </c>
      <c r="X281" s="5" t="s">
        <v>3706</v>
      </c>
      <c r="Y281" s="4">
        <v>343</v>
      </c>
      <c r="Z281" s="4">
        <v>314</v>
      </c>
      <c r="AA281" s="4">
        <v>316</v>
      </c>
      <c r="AB281" s="4">
        <v>4</v>
      </c>
      <c r="AC281" s="4">
        <v>4</v>
      </c>
      <c r="AD281" s="4">
        <v>15</v>
      </c>
      <c r="AE281" s="4">
        <v>15</v>
      </c>
      <c r="AF281" s="4">
        <v>5</v>
      </c>
      <c r="AG281" s="4">
        <v>5</v>
      </c>
      <c r="AH281" s="4">
        <v>1</v>
      </c>
      <c r="AI281" s="4">
        <v>1</v>
      </c>
      <c r="AJ281" s="4">
        <v>7</v>
      </c>
      <c r="AK281" s="4">
        <v>7</v>
      </c>
      <c r="AL281" s="4">
        <v>3</v>
      </c>
      <c r="AM281" s="4">
        <v>3</v>
      </c>
      <c r="AN281" s="4">
        <v>1</v>
      </c>
      <c r="AO281" s="4">
        <v>1</v>
      </c>
      <c r="AP281" s="3" t="s">
        <v>59</v>
      </c>
      <c r="AQ281" s="3" t="s">
        <v>71</v>
      </c>
      <c r="AR281" s="6" t="str">
        <f>HYPERLINK("http://catalog.hathitrust.org/Record/000660815","HathiTrust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HYPERLINK("https://creighton-primo.hosted.exlibrisgroup.com/primo-explore/search?tab=default_tab&amp;search_scope=EVERYTHING&amp;vid=01CRU&amp;lang=en_US&amp;offset=0&amp;query=any,contains,991002776159702656","Catalog Record")</f>
        <v>Catalog Record</v>
      </c>
      <c r="AT281" s="6" t="str">
        <f>HYPERLINK("http://www.worldcat.org/oclc/438846","WorldCat Record")</f>
        <v>WorldCat Record</v>
      </c>
      <c r="AU281" s="3" t="s">
        <v>3707</v>
      </c>
      <c r="AV281" s="3" t="s">
        <v>3708</v>
      </c>
      <c r="AW281" s="3" t="s">
        <v>3709</v>
      </c>
      <c r="AX281" s="3" t="s">
        <v>3709</v>
      </c>
      <c r="AY281" s="3" t="s">
        <v>3710</v>
      </c>
      <c r="AZ281" s="3" t="s">
        <v>76</v>
      </c>
      <c r="BC281" s="3" t="s">
        <v>3711</v>
      </c>
      <c r="BD281" s="3" t="s">
        <v>3712</v>
      </c>
    </row>
    <row r="282" spans="1:56" ht="52.5" customHeight="1" x14ac:dyDescent="0.25">
      <c r="A282" s="7" t="s">
        <v>59</v>
      </c>
      <c r="B282" s="2" t="s">
        <v>3713</v>
      </c>
      <c r="C282" s="2" t="s">
        <v>3714</v>
      </c>
      <c r="D282" s="2" t="s">
        <v>3715</v>
      </c>
      <c r="F282" s="3" t="s">
        <v>59</v>
      </c>
      <c r="G282" s="3" t="s">
        <v>60</v>
      </c>
      <c r="H282" s="3" t="s">
        <v>59</v>
      </c>
      <c r="I282" s="3" t="s">
        <v>59</v>
      </c>
      <c r="J282" s="3" t="s">
        <v>61</v>
      </c>
      <c r="K282" s="2" t="s">
        <v>3716</v>
      </c>
      <c r="L282" s="2" t="s">
        <v>3717</v>
      </c>
      <c r="M282" s="3" t="s">
        <v>987</v>
      </c>
      <c r="O282" s="3" t="s">
        <v>65</v>
      </c>
      <c r="P282" s="3" t="s">
        <v>1218</v>
      </c>
      <c r="Q282" s="2" t="s">
        <v>3718</v>
      </c>
      <c r="R282" s="3" t="s">
        <v>68</v>
      </c>
      <c r="S282" s="4">
        <v>4</v>
      </c>
      <c r="T282" s="4">
        <v>4</v>
      </c>
      <c r="U282" s="5" t="s">
        <v>2717</v>
      </c>
      <c r="V282" s="5" t="s">
        <v>2717</v>
      </c>
      <c r="W282" s="5" t="s">
        <v>3719</v>
      </c>
      <c r="X282" s="5" t="s">
        <v>3719</v>
      </c>
      <c r="Y282" s="4">
        <v>8</v>
      </c>
      <c r="Z282" s="4">
        <v>8</v>
      </c>
      <c r="AA282" s="4">
        <v>10</v>
      </c>
      <c r="AB282" s="4">
        <v>1</v>
      </c>
      <c r="AC282" s="4">
        <v>1</v>
      </c>
      <c r="AD282" s="4">
        <v>0</v>
      </c>
      <c r="AE282" s="4">
        <v>0</v>
      </c>
      <c r="AF282" s="4">
        <v>0</v>
      </c>
      <c r="AG282" s="4">
        <v>0</v>
      </c>
      <c r="AH282" s="4">
        <v>0</v>
      </c>
      <c r="AI282" s="4">
        <v>0</v>
      </c>
      <c r="AJ282" s="4">
        <v>0</v>
      </c>
      <c r="AK282" s="4">
        <v>0</v>
      </c>
      <c r="AL282" s="4">
        <v>0</v>
      </c>
      <c r="AM282" s="4">
        <v>0</v>
      </c>
      <c r="AN282" s="4">
        <v>0</v>
      </c>
      <c r="AO282" s="4">
        <v>0</v>
      </c>
      <c r="AP282" s="3" t="s">
        <v>59</v>
      </c>
      <c r="AQ282" s="3" t="s">
        <v>59</v>
      </c>
      <c r="AS282" s="6" t="str">
        <f>HYPERLINK("https://creighton-primo.hosted.exlibrisgroup.com/primo-explore/search?tab=default_tab&amp;search_scope=EVERYTHING&amp;vid=01CRU&amp;lang=en_US&amp;offset=0&amp;query=any,contains,991004622889702656","Catalog Record")</f>
        <v>Catalog Record</v>
      </c>
      <c r="AT282" s="6" t="str">
        <f>HYPERLINK("http://www.worldcat.org/oclc/4312898","WorldCat Record")</f>
        <v>WorldCat Record</v>
      </c>
      <c r="AU282" s="3" t="s">
        <v>3720</v>
      </c>
      <c r="AV282" s="3" t="s">
        <v>3721</v>
      </c>
      <c r="AW282" s="3" t="s">
        <v>3722</v>
      </c>
      <c r="AX282" s="3" t="s">
        <v>3722</v>
      </c>
      <c r="AY282" s="3" t="s">
        <v>3723</v>
      </c>
      <c r="AZ282" s="3" t="s">
        <v>76</v>
      </c>
      <c r="BC282" s="3" t="s">
        <v>3724</v>
      </c>
      <c r="BD282" s="3" t="s">
        <v>3725</v>
      </c>
    </row>
    <row r="283" spans="1:56" ht="52.5" customHeight="1" x14ac:dyDescent="0.25">
      <c r="A283" s="7" t="s">
        <v>59</v>
      </c>
      <c r="B283" s="2" t="s">
        <v>3726</v>
      </c>
      <c r="C283" s="2" t="s">
        <v>3727</v>
      </c>
      <c r="D283" s="2" t="s">
        <v>3728</v>
      </c>
      <c r="F283" s="3" t="s">
        <v>59</v>
      </c>
      <c r="G283" s="3" t="s">
        <v>60</v>
      </c>
      <c r="H283" s="3" t="s">
        <v>59</v>
      </c>
      <c r="I283" s="3" t="s">
        <v>59</v>
      </c>
      <c r="J283" s="3" t="s">
        <v>61</v>
      </c>
      <c r="K283" s="2" t="s">
        <v>3729</v>
      </c>
      <c r="L283" s="2" t="s">
        <v>3730</v>
      </c>
      <c r="M283" s="3" t="s">
        <v>475</v>
      </c>
      <c r="O283" s="3" t="s">
        <v>65</v>
      </c>
      <c r="P283" s="3" t="s">
        <v>1218</v>
      </c>
      <c r="R283" s="3" t="s">
        <v>68</v>
      </c>
      <c r="S283" s="4">
        <v>2</v>
      </c>
      <c r="T283" s="4">
        <v>2</v>
      </c>
      <c r="U283" s="5" t="s">
        <v>3731</v>
      </c>
      <c r="V283" s="5" t="s">
        <v>3731</v>
      </c>
      <c r="W283" s="5" t="s">
        <v>3732</v>
      </c>
      <c r="X283" s="5" t="s">
        <v>3732</v>
      </c>
      <c r="Y283" s="4">
        <v>4</v>
      </c>
      <c r="Z283" s="4">
        <v>4</v>
      </c>
      <c r="AA283" s="4">
        <v>4</v>
      </c>
      <c r="AB283" s="4">
        <v>1</v>
      </c>
      <c r="AC283" s="4">
        <v>1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3" t="s">
        <v>59</v>
      </c>
      <c r="AQ283" s="3" t="s">
        <v>59</v>
      </c>
      <c r="AS283" s="6" t="str">
        <f>HYPERLINK("https://creighton-primo.hosted.exlibrisgroup.com/primo-explore/search?tab=default_tab&amp;search_scope=EVERYTHING&amp;vid=01CRU&amp;lang=en_US&amp;offset=0&amp;query=any,contains,991000490449702656","Catalog Record")</f>
        <v>Catalog Record</v>
      </c>
      <c r="AT283" s="6" t="str">
        <f>HYPERLINK("http://www.worldcat.org/oclc/11101769","WorldCat Record")</f>
        <v>WorldCat Record</v>
      </c>
      <c r="AU283" s="3" t="s">
        <v>3733</v>
      </c>
      <c r="AV283" s="3" t="s">
        <v>3734</v>
      </c>
      <c r="AW283" s="3" t="s">
        <v>3735</v>
      </c>
      <c r="AX283" s="3" t="s">
        <v>3735</v>
      </c>
      <c r="AY283" s="3" t="s">
        <v>3736</v>
      </c>
      <c r="AZ283" s="3" t="s">
        <v>76</v>
      </c>
      <c r="BC283" s="3" t="s">
        <v>3737</v>
      </c>
      <c r="BD283" s="3" t="s">
        <v>3738</v>
      </c>
    </row>
    <row r="284" spans="1:56" ht="52.5" customHeight="1" x14ac:dyDescent="0.25">
      <c r="A284" s="7" t="s">
        <v>59</v>
      </c>
      <c r="B284" s="2" t="s">
        <v>3739</v>
      </c>
      <c r="C284" s="2" t="s">
        <v>3740</v>
      </c>
      <c r="D284" s="2" t="s">
        <v>3741</v>
      </c>
      <c r="F284" s="3" t="s">
        <v>59</v>
      </c>
      <c r="G284" s="3" t="s">
        <v>60</v>
      </c>
      <c r="H284" s="3" t="s">
        <v>59</v>
      </c>
      <c r="I284" s="3" t="s">
        <v>59</v>
      </c>
      <c r="J284" s="3" t="s">
        <v>61</v>
      </c>
      <c r="K284" s="2" t="s">
        <v>3559</v>
      </c>
      <c r="L284" s="2" t="s">
        <v>3742</v>
      </c>
      <c r="M284" s="3" t="s">
        <v>3743</v>
      </c>
      <c r="O284" s="3" t="s">
        <v>65</v>
      </c>
      <c r="P284" s="3" t="s">
        <v>66</v>
      </c>
      <c r="R284" s="3" t="s">
        <v>68</v>
      </c>
      <c r="S284" s="4">
        <v>1</v>
      </c>
      <c r="T284" s="4">
        <v>1</v>
      </c>
      <c r="U284" s="5" t="s">
        <v>3744</v>
      </c>
      <c r="V284" s="5" t="s">
        <v>3744</v>
      </c>
      <c r="W284" s="5" t="s">
        <v>3745</v>
      </c>
      <c r="X284" s="5" t="s">
        <v>3745</v>
      </c>
      <c r="Y284" s="4">
        <v>595</v>
      </c>
      <c r="Z284" s="4">
        <v>510</v>
      </c>
      <c r="AA284" s="4">
        <v>725</v>
      </c>
      <c r="AB284" s="4">
        <v>3</v>
      </c>
      <c r="AC284" s="4">
        <v>4</v>
      </c>
      <c r="AD284" s="4">
        <v>26</v>
      </c>
      <c r="AE284" s="4">
        <v>33</v>
      </c>
      <c r="AF284" s="4">
        <v>9</v>
      </c>
      <c r="AG284" s="4">
        <v>13</v>
      </c>
      <c r="AH284" s="4">
        <v>6</v>
      </c>
      <c r="AI284" s="4">
        <v>8</v>
      </c>
      <c r="AJ284" s="4">
        <v>15</v>
      </c>
      <c r="AK284" s="4">
        <v>18</v>
      </c>
      <c r="AL284" s="4">
        <v>2</v>
      </c>
      <c r="AM284" s="4">
        <v>3</v>
      </c>
      <c r="AN284" s="4">
        <v>0</v>
      </c>
      <c r="AO284" s="4">
        <v>0</v>
      </c>
      <c r="AP284" s="3" t="s">
        <v>59</v>
      </c>
      <c r="AQ284" s="3" t="s">
        <v>71</v>
      </c>
      <c r="AR284" s="6" t="str">
        <f>HYPERLINK("http://catalog.hathitrust.org/Record/000579617","HathiTrust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HYPERLINK("https://creighton-primo.hosted.exlibrisgroup.com/primo-explore/search?tab=default_tab&amp;search_scope=EVERYTHING&amp;vid=01CRU&amp;lang=en_US&amp;offset=0&amp;query=any,contains,991003318979702656","Catalog Record")</f>
        <v>Catalog Record</v>
      </c>
      <c r="AT284" s="6" t="str">
        <f>HYPERLINK("http://www.worldcat.org/oclc/845671","WorldCat Record")</f>
        <v>WorldCat Record</v>
      </c>
      <c r="AU284" s="3" t="s">
        <v>3746</v>
      </c>
      <c r="AV284" s="3" t="s">
        <v>3747</v>
      </c>
      <c r="AW284" s="3" t="s">
        <v>3748</v>
      </c>
      <c r="AX284" s="3" t="s">
        <v>3748</v>
      </c>
      <c r="AY284" s="3" t="s">
        <v>3749</v>
      </c>
      <c r="AZ284" s="3" t="s">
        <v>76</v>
      </c>
      <c r="BC284" s="3" t="s">
        <v>3750</v>
      </c>
      <c r="BD284" s="3" t="s">
        <v>3751</v>
      </c>
    </row>
    <row r="285" spans="1:56" ht="52.5" customHeight="1" x14ac:dyDescent="0.25">
      <c r="A285" s="7" t="s">
        <v>59</v>
      </c>
      <c r="B285" s="2" t="s">
        <v>3752</v>
      </c>
      <c r="C285" s="2" t="s">
        <v>3753</v>
      </c>
      <c r="D285" s="2" t="s">
        <v>3754</v>
      </c>
      <c r="F285" s="3" t="s">
        <v>59</v>
      </c>
      <c r="G285" s="3" t="s">
        <v>60</v>
      </c>
      <c r="H285" s="3" t="s">
        <v>59</v>
      </c>
      <c r="I285" s="3" t="s">
        <v>59</v>
      </c>
      <c r="J285" s="3" t="s">
        <v>61</v>
      </c>
      <c r="K285" s="2" t="s">
        <v>3755</v>
      </c>
      <c r="L285" s="2" t="s">
        <v>3756</v>
      </c>
      <c r="M285" s="3" t="s">
        <v>1467</v>
      </c>
      <c r="O285" s="3" t="s">
        <v>65</v>
      </c>
      <c r="P285" s="3" t="s">
        <v>66</v>
      </c>
      <c r="R285" s="3" t="s">
        <v>68</v>
      </c>
      <c r="S285" s="4">
        <v>3</v>
      </c>
      <c r="T285" s="4">
        <v>3</v>
      </c>
      <c r="U285" s="5" t="s">
        <v>3757</v>
      </c>
      <c r="V285" s="5" t="s">
        <v>3757</v>
      </c>
      <c r="W285" s="5" t="s">
        <v>3745</v>
      </c>
      <c r="X285" s="5" t="s">
        <v>3745</v>
      </c>
      <c r="Y285" s="4">
        <v>789</v>
      </c>
      <c r="Z285" s="4">
        <v>657</v>
      </c>
      <c r="AA285" s="4">
        <v>797</v>
      </c>
      <c r="AB285" s="4">
        <v>5</v>
      </c>
      <c r="AC285" s="4">
        <v>7</v>
      </c>
      <c r="AD285" s="4">
        <v>34</v>
      </c>
      <c r="AE285" s="4">
        <v>38</v>
      </c>
      <c r="AF285" s="4">
        <v>14</v>
      </c>
      <c r="AG285" s="4">
        <v>16</v>
      </c>
      <c r="AH285" s="4">
        <v>5</v>
      </c>
      <c r="AI285" s="4">
        <v>7</v>
      </c>
      <c r="AJ285" s="4">
        <v>22</v>
      </c>
      <c r="AK285" s="4">
        <v>22</v>
      </c>
      <c r="AL285" s="4">
        <v>4</v>
      </c>
      <c r="AM285" s="4">
        <v>5</v>
      </c>
      <c r="AN285" s="4">
        <v>0</v>
      </c>
      <c r="AO285" s="4">
        <v>0</v>
      </c>
      <c r="AP285" s="3" t="s">
        <v>59</v>
      </c>
      <c r="AQ285" s="3" t="s">
        <v>59</v>
      </c>
      <c r="AR285" s="6" t="str">
        <f>HYPERLINK("http://catalog.hathitrust.org/Record/000579670","HathiTrust Record")</f>
        <v>HathiTrust Record</v>
      </c>
      <c r="AS285" s="6" t="str">
        <f>HYPERLINK("https://creighton-primo.hosted.exlibrisgroup.com/primo-explore/search?tab=default_tab&amp;search_scope=EVERYTHING&amp;vid=01CRU&amp;lang=en_US&amp;offset=0&amp;query=any,contains,991005253559702656","Catalog Record")</f>
        <v>Catalog Record</v>
      </c>
      <c r="AT285" s="6" t="str">
        <f>HYPERLINK("http://www.worldcat.org/oclc/193383","WorldCat Record")</f>
        <v>WorldCat Record</v>
      </c>
      <c r="AU285" s="3" t="s">
        <v>3758</v>
      </c>
      <c r="AV285" s="3" t="s">
        <v>3759</v>
      </c>
      <c r="AW285" s="3" t="s">
        <v>3760</v>
      </c>
      <c r="AX285" s="3" t="s">
        <v>3760</v>
      </c>
      <c r="AY285" s="3" t="s">
        <v>3761</v>
      </c>
      <c r="AZ285" s="3" t="s">
        <v>76</v>
      </c>
      <c r="BC285" s="3" t="s">
        <v>3762</v>
      </c>
      <c r="BD285" s="3" t="s">
        <v>3763</v>
      </c>
    </row>
    <row r="286" spans="1:56" ht="52.5" customHeight="1" x14ac:dyDescent="0.25">
      <c r="A286" s="7" t="s">
        <v>59</v>
      </c>
      <c r="B286" s="2" t="s">
        <v>3764</v>
      </c>
      <c r="C286" s="2" t="s">
        <v>3765</v>
      </c>
      <c r="D286" s="2" t="s">
        <v>3766</v>
      </c>
      <c r="F286" s="3" t="s">
        <v>59</v>
      </c>
      <c r="G286" s="3" t="s">
        <v>60</v>
      </c>
      <c r="H286" s="3" t="s">
        <v>59</v>
      </c>
      <c r="I286" s="3" t="s">
        <v>59</v>
      </c>
      <c r="J286" s="3" t="s">
        <v>61</v>
      </c>
      <c r="K286" s="2" t="s">
        <v>3767</v>
      </c>
      <c r="L286" s="2" t="s">
        <v>3768</v>
      </c>
      <c r="M286" s="3" t="s">
        <v>295</v>
      </c>
      <c r="O286" s="3" t="s">
        <v>65</v>
      </c>
      <c r="P286" s="3" t="s">
        <v>66</v>
      </c>
      <c r="R286" s="3" t="s">
        <v>68</v>
      </c>
      <c r="S286" s="4">
        <v>3</v>
      </c>
      <c r="T286" s="4">
        <v>3</v>
      </c>
      <c r="U286" s="5" t="s">
        <v>604</v>
      </c>
      <c r="V286" s="5" t="s">
        <v>604</v>
      </c>
      <c r="W286" s="5" t="s">
        <v>3745</v>
      </c>
      <c r="X286" s="5" t="s">
        <v>3745</v>
      </c>
      <c r="Y286" s="4">
        <v>512</v>
      </c>
      <c r="Z286" s="4">
        <v>458</v>
      </c>
      <c r="AA286" s="4">
        <v>529</v>
      </c>
      <c r="AB286" s="4">
        <v>3</v>
      </c>
      <c r="AC286" s="4">
        <v>3</v>
      </c>
      <c r="AD286" s="4">
        <v>19</v>
      </c>
      <c r="AE286" s="4">
        <v>23</v>
      </c>
      <c r="AF286" s="4">
        <v>7</v>
      </c>
      <c r="AG286" s="4">
        <v>9</v>
      </c>
      <c r="AH286" s="4">
        <v>5</v>
      </c>
      <c r="AI286" s="4">
        <v>6</v>
      </c>
      <c r="AJ286" s="4">
        <v>11</v>
      </c>
      <c r="AK286" s="4">
        <v>12</v>
      </c>
      <c r="AL286" s="4">
        <v>2</v>
      </c>
      <c r="AM286" s="4">
        <v>2</v>
      </c>
      <c r="AN286" s="4">
        <v>0</v>
      </c>
      <c r="AO286" s="4">
        <v>0</v>
      </c>
      <c r="AP286" s="3" t="s">
        <v>59</v>
      </c>
      <c r="AQ286" s="3" t="s">
        <v>59</v>
      </c>
      <c r="AS286" s="6" t="str">
        <f>HYPERLINK("https://creighton-primo.hosted.exlibrisgroup.com/primo-explore/search?tab=default_tab&amp;search_scope=EVERYTHING&amp;vid=01CRU&amp;lang=en_US&amp;offset=0&amp;query=any,contains,991005265079702656","Catalog Record")</f>
        <v>Catalog Record</v>
      </c>
      <c r="AT286" s="6" t="str">
        <f>HYPERLINK("http://www.worldcat.org/oclc/193375","WorldCat Record")</f>
        <v>WorldCat Record</v>
      </c>
      <c r="AU286" s="3" t="s">
        <v>3769</v>
      </c>
      <c r="AV286" s="3" t="s">
        <v>3770</v>
      </c>
      <c r="AW286" s="3" t="s">
        <v>3771</v>
      </c>
      <c r="AX286" s="3" t="s">
        <v>3771</v>
      </c>
      <c r="AY286" s="3" t="s">
        <v>3772</v>
      </c>
      <c r="AZ286" s="3" t="s">
        <v>76</v>
      </c>
      <c r="BC286" s="3" t="s">
        <v>3773</v>
      </c>
      <c r="BD286" s="3" t="s">
        <v>3774</v>
      </c>
    </row>
    <row r="287" spans="1:56" ht="52.5" customHeight="1" x14ac:dyDescent="0.25">
      <c r="A287" s="7" t="s">
        <v>59</v>
      </c>
      <c r="B287" s="2" t="s">
        <v>3775</v>
      </c>
      <c r="C287" s="2" t="s">
        <v>3776</v>
      </c>
      <c r="D287" s="2" t="s">
        <v>3777</v>
      </c>
      <c r="F287" s="3" t="s">
        <v>59</v>
      </c>
      <c r="G287" s="3" t="s">
        <v>60</v>
      </c>
      <c r="H287" s="3" t="s">
        <v>59</v>
      </c>
      <c r="I287" s="3" t="s">
        <v>59</v>
      </c>
      <c r="J287" s="3" t="s">
        <v>61</v>
      </c>
      <c r="K287" s="2" t="s">
        <v>3778</v>
      </c>
      <c r="L287" s="2" t="s">
        <v>3779</v>
      </c>
      <c r="M287" s="3" t="s">
        <v>3780</v>
      </c>
      <c r="O287" s="3" t="s">
        <v>65</v>
      </c>
      <c r="P287" s="3" t="s">
        <v>66</v>
      </c>
      <c r="Q287" s="2" t="s">
        <v>3781</v>
      </c>
      <c r="R287" s="3" t="s">
        <v>68</v>
      </c>
      <c r="S287" s="4">
        <v>3</v>
      </c>
      <c r="T287" s="4">
        <v>3</v>
      </c>
      <c r="U287" s="5" t="s">
        <v>3782</v>
      </c>
      <c r="V287" s="5" t="s">
        <v>3782</v>
      </c>
      <c r="W287" s="5" t="s">
        <v>3522</v>
      </c>
      <c r="X287" s="5" t="s">
        <v>3522</v>
      </c>
      <c r="Y287" s="4">
        <v>845</v>
      </c>
      <c r="Z287" s="4">
        <v>699</v>
      </c>
      <c r="AA287" s="4">
        <v>790</v>
      </c>
      <c r="AB287" s="4">
        <v>6</v>
      </c>
      <c r="AC287" s="4">
        <v>6</v>
      </c>
      <c r="AD287" s="4">
        <v>37</v>
      </c>
      <c r="AE287" s="4">
        <v>42</v>
      </c>
      <c r="AF287" s="4">
        <v>18</v>
      </c>
      <c r="AG287" s="4">
        <v>20</v>
      </c>
      <c r="AH287" s="4">
        <v>10</v>
      </c>
      <c r="AI287" s="4">
        <v>10</v>
      </c>
      <c r="AJ287" s="4">
        <v>17</v>
      </c>
      <c r="AK287" s="4">
        <v>20</v>
      </c>
      <c r="AL287" s="4">
        <v>5</v>
      </c>
      <c r="AM287" s="4">
        <v>5</v>
      </c>
      <c r="AN287" s="4">
        <v>0</v>
      </c>
      <c r="AO287" s="4">
        <v>0</v>
      </c>
      <c r="AP287" s="3" t="s">
        <v>71</v>
      </c>
      <c r="AQ287" s="3" t="s">
        <v>71</v>
      </c>
      <c r="AR287" s="6" t="str">
        <f>HYPERLINK("http://catalog.hathitrust.org/Record/000662195","HathiTrust Record")</f>
        <v>HathiTrust Record</v>
      </c>
      <c r="AS287" s="6" t="str">
        <f>HYPERLINK("https://creighton-primo.hosted.exlibrisgroup.com/primo-explore/search?tab=default_tab&amp;search_scope=EVERYTHING&amp;vid=01CRU&amp;lang=en_US&amp;offset=0&amp;query=any,contains,991001212449702656","Catalog Record")</f>
        <v>Catalog Record</v>
      </c>
      <c r="AT287" s="6" t="str">
        <f>HYPERLINK("http://www.worldcat.org/oclc/193304","WorldCat Record")</f>
        <v>WorldCat Record</v>
      </c>
      <c r="AU287" s="3" t="s">
        <v>3783</v>
      </c>
      <c r="AV287" s="3" t="s">
        <v>3784</v>
      </c>
      <c r="AW287" s="3" t="s">
        <v>3785</v>
      </c>
      <c r="AX287" s="3" t="s">
        <v>3785</v>
      </c>
      <c r="AY287" s="3" t="s">
        <v>3786</v>
      </c>
      <c r="AZ287" s="3" t="s">
        <v>76</v>
      </c>
      <c r="BC287" s="3" t="s">
        <v>3787</v>
      </c>
      <c r="BD287" s="3" t="s">
        <v>3788</v>
      </c>
    </row>
    <row r="288" spans="1:56" ht="52.5" customHeight="1" x14ac:dyDescent="0.25">
      <c r="A288" s="7" t="s">
        <v>59</v>
      </c>
      <c r="B288" s="2" t="s">
        <v>3789</v>
      </c>
      <c r="C288" s="2" t="s">
        <v>3790</v>
      </c>
      <c r="D288" s="2" t="s">
        <v>3791</v>
      </c>
      <c r="F288" s="3" t="s">
        <v>59</v>
      </c>
      <c r="G288" s="3" t="s">
        <v>60</v>
      </c>
      <c r="H288" s="3" t="s">
        <v>59</v>
      </c>
      <c r="I288" s="3" t="s">
        <v>59</v>
      </c>
      <c r="J288" s="3" t="s">
        <v>61</v>
      </c>
      <c r="K288" s="2" t="s">
        <v>3792</v>
      </c>
      <c r="L288" s="2" t="s">
        <v>3793</v>
      </c>
      <c r="M288" s="3" t="s">
        <v>1000</v>
      </c>
      <c r="N288" s="2" t="s">
        <v>1289</v>
      </c>
      <c r="O288" s="3" t="s">
        <v>65</v>
      </c>
      <c r="P288" s="3" t="s">
        <v>66</v>
      </c>
      <c r="R288" s="3" t="s">
        <v>68</v>
      </c>
      <c r="S288" s="4">
        <v>3</v>
      </c>
      <c r="T288" s="4">
        <v>3</v>
      </c>
      <c r="U288" s="5" t="s">
        <v>3794</v>
      </c>
      <c r="V288" s="5" t="s">
        <v>3794</v>
      </c>
      <c r="W288" s="5" t="s">
        <v>3612</v>
      </c>
      <c r="X288" s="5" t="s">
        <v>3612</v>
      </c>
      <c r="Y288" s="4">
        <v>168</v>
      </c>
      <c r="Z288" s="4">
        <v>120</v>
      </c>
      <c r="AA288" s="4">
        <v>415</v>
      </c>
      <c r="AB288" s="4">
        <v>1</v>
      </c>
      <c r="AC288" s="4">
        <v>2</v>
      </c>
      <c r="AD288" s="4">
        <v>5</v>
      </c>
      <c r="AE288" s="4">
        <v>23</v>
      </c>
      <c r="AF288" s="4">
        <v>2</v>
      </c>
      <c r="AG288" s="4">
        <v>11</v>
      </c>
      <c r="AH288" s="4">
        <v>2</v>
      </c>
      <c r="AI288" s="4">
        <v>5</v>
      </c>
      <c r="AJ288" s="4">
        <v>3</v>
      </c>
      <c r="AK288" s="4">
        <v>11</v>
      </c>
      <c r="AL288" s="4">
        <v>0</v>
      </c>
      <c r="AM288" s="4">
        <v>1</v>
      </c>
      <c r="AN288" s="4">
        <v>0</v>
      </c>
      <c r="AO288" s="4">
        <v>0</v>
      </c>
      <c r="AP288" s="3" t="s">
        <v>59</v>
      </c>
      <c r="AQ288" s="3" t="s">
        <v>59</v>
      </c>
      <c r="AS288" s="6" t="str">
        <f>HYPERLINK("https://creighton-primo.hosted.exlibrisgroup.com/primo-explore/search?tab=default_tab&amp;search_scope=EVERYTHING&amp;vid=01CRU&amp;lang=en_US&amp;offset=0&amp;query=any,contains,991004584249702656","Catalog Record")</f>
        <v>Catalog Record</v>
      </c>
      <c r="AT288" s="6" t="str">
        <f>HYPERLINK("http://www.worldcat.org/oclc/4076665","WorldCat Record")</f>
        <v>WorldCat Record</v>
      </c>
      <c r="AU288" s="3" t="s">
        <v>3795</v>
      </c>
      <c r="AV288" s="3" t="s">
        <v>3796</v>
      </c>
      <c r="AW288" s="3" t="s">
        <v>3797</v>
      </c>
      <c r="AX288" s="3" t="s">
        <v>3797</v>
      </c>
      <c r="AY288" s="3" t="s">
        <v>3798</v>
      </c>
      <c r="AZ288" s="3" t="s">
        <v>76</v>
      </c>
      <c r="BB288" s="3" t="s">
        <v>3799</v>
      </c>
      <c r="BC288" s="3" t="s">
        <v>3800</v>
      </c>
      <c r="BD288" s="3" t="s">
        <v>3801</v>
      </c>
    </row>
    <row r="289" spans="1:56" ht="52.5" customHeight="1" x14ac:dyDescent="0.25">
      <c r="A289" s="7" t="s">
        <v>59</v>
      </c>
      <c r="B289" s="2" t="s">
        <v>3802</v>
      </c>
      <c r="C289" s="2" t="s">
        <v>3803</v>
      </c>
      <c r="D289" s="2" t="s">
        <v>3804</v>
      </c>
      <c r="F289" s="3" t="s">
        <v>59</v>
      </c>
      <c r="G289" s="3" t="s">
        <v>60</v>
      </c>
      <c r="H289" s="3" t="s">
        <v>59</v>
      </c>
      <c r="I289" s="3" t="s">
        <v>59</v>
      </c>
      <c r="J289" s="3" t="s">
        <v>61</v>
      </c>
      <c r="K289" s="2" t="s">
        <v>3805</v>
      </c>
      <c r="L289" s="2" t="s">
        <v>3207</v>
      </c>
      <c r="M289" s="3" t="s">
        <v>915</v>
      </c>
      <c r="O289" s="3" t="s">
        <v>65</v>
      </c>
      <c r="P289" s="3" t="s">
        <v>1262</v>
      </c>
      <c r="R289" s="3" t="s">
        <v>68</v>
      </c>
      <c r="S289" s="4">
        <v>1</v>
      </c>
      <c r="T289" s="4">
        <v>1</v>
      </c>
      <c r="U289" s="5" t="s">
        <v>3806</v>
      </c>
      <c r="V289" s="5" t="s">
        <v>3806</v>
      </c>
      <c r="W289" s="5" t="s">
        <v>3807</v>
      </c>
      <c r="X289" s="5" t="s">
        <v>3807</v>
      </c>
      <c r="Y289" s="4">
        <v>374</v>
      </c>
      <c r="Z289" s="4">
        <v>243</v>
      </c>
      <c r="AA289" s="4">
        <v>244</v>
      </c>
      <c r="AB289" s="4">
        <v>3</v>
      </c>
      <c r="AC289" s="4">
        <v>3</v>
      </c>
      <c r="AD289" s="4">
        <v>13</v>
      </c>
      <c r="AE289" s="4">
        <v>13</v>
      </c>
      <c r="AF289" s="4">
        <v>2</v>
      </c>
      <c r="AG289" s="4">
        <v>2</v>
      </c>
      <c r="AH289" s="4">
        <v>4</v>
      </c>
      <c r="AI289" s="4">
        <v>4</v>
      </c>
      <c r="AJ289" s="4">
        <v>8</v>
      </c>
      <c r="AK289" s="4">
        <v>8</v>
      </c>
      <c r="AL289" s="4">
        <v>2</v>
      </c>
      <c r="AM289" s="4">
        <v>2</v>
      </c>
      <c r="AN289" s="4">
        <v>0</v>
      </c>
      <c r="AO289" s="4">
        <v>0</v>
      </c>
      <c r="AP289" s="3" t="s">
        <v>59</v>
      </c>
      <c r="AQ289" s="3" t="s">
        <v>59</v>
      </c>
      <c r="AS289" s="6" t="str">
        <f>HYPERLINK("https://creighton-primo.hosted.exlibrisgroup.com/primo-explore/search?tab=default_tab&amp;search_scope=EVERYTHING&amp;vid=01CRU&amp;lang=en_US&amp;offset=0&amp;query=any,contains,991002150569702656","Catalog Record")</f>
        <v>Catalog Record</v>
      </c>
      <c r="AT289" s="6" t="str">
        <f>HYPERLINK("http://www.worldcat.org/oclc/27725664","WorldCat Record")</f>
        <v>WorldCat Record</v>
      </c>
      <c r="AU289" s="3" t="s">
        <v>3808</v>
      </c>
      <c r="AV289" s="3" t="s">
        <v>3809</v>
      </c>
      <c r="AW289" s="3" t="s">
        <v>3810</v>
      </c>
      <c r="AX289" s="3" t="s">
        <v>3810</v>
      </c>
      <c r="AY289" s="3" t="s">
        <v>3811</v>
      </c>
      <c r="AZ289" s="3" t="s">
        <v>76</v>
      </c>
      <c r="BB289" s="3" t="s">
        <v>3812</v>
      </c>
      <c r="BC289" s="3" t="s">
        <v>3813</v>
      </c>
      <c r="BD289" s="3" t="s">
        <v>3814</v>
      </c>
    </row>
    <row r="290" spans="1:56" ht="52.5" customHeight="1" x14ac:dyDescent="0.25">
      <c r="A290" s="7" t="s">
        <v>59</v>
      </c>
      <c r="B290" s="2" t="s">
        <v>3815</v>
      </c>
      <c r="C290" s="2" t="s">
        <v>3816</v>
      </c>
      <c r="D290" s="2" t="s">
        <v>3817</v>
      </c>
      <c r="F290" s="3" t="s">
        <v>59</v>
      </c>
      <c r="G290" s="3" t="s">
        <v>60</v>
      </c>
      <c r="H290" s="3" t="s">
        <v>59</v>
      </c>
      <c r="I290" s="3" t="s">
        <v>59</v>
      </c>
      <c r="J290" s="3" t="s">
        <v>61</v>
      </c>
      <c r="K290" s="2" t="s">
        <v>3818</v>
      </c>
      <c r="L290" s="2" t="s">
        <v>3819</v>
      </c>
      <c r="M290" s="3" t="s">
        <v>64</v>
      </c>
      <c r="O290" s="3" t="s">
        <v>65</v>
      </c>
      <c r="P290" s="3" t="s">
        <v>66</v>
      </c>
      <c r="Q290" s="2" t="s">
        <v>3820</v>
      </c>
      <c r="R290" s="3" t="s">
        <v>68</v>
      </c>
      <c r="S290" s="4">
        <v>3</v>
      </c>
      <c r="T290" s="4">
        <v>3</v>
      </c>
      <c r="U290" s="5" t="s">
        <v>3821</v>
      </c>
      <c r="V290" s="5" t="s">
        <v>3821</v>
      </c>
      <c r="W290" s="5" t="s">
        <v>3522</v>
      </c>
      <c r="X290" s="5" t="s">
        <v>3522</v>
      </c>
      <c r="Y290" s="4">
        <v>656</v>
      </c>
      <c r="Z290" s="4">
        <v>553</v>
      </c>
      <c r="AA290" s="4">
        <v>566</v>
      </c>
      <c r="AB290" s="4">
        <v>4</v>
      </c>
      <c r="AC290" s="4">
        <v>4</v>
      </c>
      <c r="AD290" s="4">
        <v>28</v>
      </c>
      <c r="AE290" s="4">
        <v>28</v>
      </c>
      <c r="AF290" s="4">
        <v>10</v>
      </c>
      <c r="AG290" s="4">
        <v>10</v>
      </c>
      <c r="AH290" s="4">
        <v>8</v>
      </c>
      <c r="AI290" s="4">
        <v>8</v>
      </c>
      <c r="AJ290" s="4">
        <v>14</v>
      </c>
      <c r="AK290" s="4">
        <v>14</v>
      </c>
      <c r="AL290" s="4">
        <v>3</v>
      </c>
      <c r="AM290" s="4">
        <v>3</v>
      </c>
      <c r="AN290" s="4">
        <v>0</v>
      </c>
      <c r="AO290" s="4">
        <v>0</v>
      </c>
      <c r="AP290" s="3" t="s">
        <v>59</v>
      </c>
      <c r="AQ290" s="3" t="s">
        <v>71</v>
      </c>
      <c r="AR290" s="6" t="str">
        <f>HYPERLINK("http://catalog.hathitrust.org/Record/000662226","HathiTrust Record")</f>
        <v>HathiTrust Record</v>
      </c>
      <c r="AS290" s="6" t="str">
        <f>HYPERLINK("https://creighton-primo.hosted.exlibrisgroup.com/primo-explore/search?tab=default_tab&amp;search_scope=EVERYTHING&amp;vid=01CRU&amp;lang=en_US&amp;offset=0&amp;query=any,contains,991001371859702656","Catalog Record")</f>
        <v>Catalog Record</v>
      </c>
      <c r="AT290" s="6" t="str">
        <f>HYPERLINK("http://www.worldcat.org/oclc/223893","WorldCat Record")</f>
        <v>WorldCat Record</v>
      </c>
      <c r="AU290" s="3" t="s">
        <v>3822</v>
      </c>
      <c r="AV290" s="3" t="s">
        <v>3823</v>
      </c>
      <c r="AW290" s="3" t="s">
        <v>3824</v>
      </c>
      <c r="AX290" s="3" t="s">
        <v>3824</v>
      </c>
      <c r="AY290" s="3" t="s">
        <v>3825</v>
      </c>
      <c r="AZ290" s="3" t="s">
        <v>76</v>
      </c>
      <c r="BC290" s="3" t="s">
        <v>3826</v>
      </c>
      <c r="BD290" s="3" t="s">
        <v>3827</v>
      </c>
    </row>
    <row r="291" spans="1:56" ht="52.5" customHeight="1" x14ac:dyDescent="0.25">
      <c r="A291" s="7" t="s">
        <v>59</v>
      </c>
      <c r="B291" s="2" t="s">
        <v>3828</v>
      </c>
      <c r="C291" s="2" t="s">
        <v>3829</v>
      </c>
      <c r="D291" s="2" t="s">
        <v>3830</v>
      </c>
      <c r="F291" s="3" t="s">
        <v>59</v>
      </c>
      <c r="G291" s="3" t="s">
        <v>60</v>
      </c>
      <c r="H291" s="3" t="s">
        <v>59</v>
      </c>
      <c r="I291" s="3" t="s">
        <v>59</v>
      </c>
      <c r="J291" s="3" t="s">
        <v>61</v>
      </c>
      <c r="K291" s="2" t="s">
        <v>3831</v>
      </c>
      <c r="L291" s="2" t="s">
        <v>3832</v>
      </c>
      <c r="M291" s="3" t="s">
        <v>195</v>
      </c>
      <c r="O291" s="3" t="s">
        <v>65</v>
      </c>
      <c r="P291" s="3" t="s">
        <v>66</v>
      </c>
      <c r="Q291" s="2" t="s">
        <v>3833</v>
      </c>
      <c r="R291" s="3" t="s">
        <v>68</v>
      </c>
      <c r="S291" s="4">
        <v>4</v>
      </c>
      <c r="T291" s="4">
        <v>4</v>
      </c>
      <c r="U291" s="5" t="s">
        <v>3834</v>
      </c>
      <c r="V291" s="5" t="s">
        <v>3834</v>
      </c>
      <c r="W291" s="5" t="s">
        <v>3612</v>
      </c>
      <c r="X291" s="5" t="s">
        <v>3612</v>
      </c>
      <c r="Y291" s="4">
        <v>349</v>
      </c>
      <c r="Z291" s="4">
        <v>275</v>
      </c>
      <c r="AA291" s="4">
        <v>283</v>
      </c>
      <c r="AB291" s="4">
        <v>3</v>
      </c>
      <c r="AC291" s="4">
        <v>3</v>
      </c>
      <c r="AD291" s="4">
        <v>12</v>
      </c>
      <c r="AE291" s="4">
        <v>12</v>
      </c>
      <c r="AF291" s="4">
        <v>3</v>
      </c>
      <c r="AG291" s="4">
        <v>3</v>
      </c>
      <c r="AH291" s="4">
        <v>5</v>
      </c>
      <c r="AI291" s="4">
        <v>5</v>
      </c>
      <c r="AJ291" s="4">
        <v>5</v>
      </c>
      <c r="AK291" s="4">
        <v>5</v>
      </c>
      <c r="AL291" s="4">
        <v>2</v>
      </c>
      <c r="AM291" s="4">
        <v>2</v>
      </c>
      <c r="AN291" s="4">
        <v>0</v>
      </c>
      <c r="AO291" s="4">
        <v>0</v>
      </c>
      <c r="AP291" s="3" t="s">
        <v>59</v>
      </c>
      <c r="AQ291" s="3" t="s">
        <v>71</v>
      </c>
      <c r="AR291" s="6" t="str">
        <f>HYPERLINK("http://catalog.hathitrust.org/Record/000187125","HathiTrust Record")</f>
        <v>HathiTrust Record</v>
      </c>
      <c r="AS291" s="6" t="str">
        <f>HYPERLINK("https://creighton-primo.hosted.exlibrisgroup.com/primo-explore/search?tab=default_tab&amp;search_scope=EVERYTHING&amp;vid=01CRU&amp;lang=en_US&amp;offset=0&amp;query=any,contains,991005161759702656","Catalog Record")</f>
        <v>Catalog Record</v>
      </c>
      <c r="AT291" s="6" t="str">
        <f>HYPERLINK("http://www.worldcat.org/oclc/7795608","WorldCat Record")</f>
        <v>WorldCat Record</v>
      </c>
      <c r="AU291" s="3" t="s">
        <v>3835</v>
      </c>
      <c r="AV291" s="3" t="s">
        <v>3836</v>
      </c>
      <c r="AW291" s="3" t="s">
        <v>3837</v>
      </c>
      <c r="AX291" s="3" t="s">
        <v>3837</v>
      </c>
      <c r="AY291" s="3" t="s">
        <v>3838</v>
      </c>
      <c r="AZ291" s="3" t="s">
        <v>76</v>
      </c>
      <c r="BB291" s="3" t="s">
        <v>3839</v>
      </c>
      <c r="BC291" s="3" t="s">
        <v>3840</v>
      </c>
      <c r="BD291" s="3" t="s">
        <v>3841</v>
      </c>
    </row>
    <row r="292" spans="1:56" ht="52.5" customHeight="1" x14ac:dyDescent="0.25">
      <c r="A292" s="7" t="s">
        <v>59</v>
      </c>
      <c r="B292" s="2" t="s">
        <v>3842</v>
      </c>
      <c r="C292" s="2" t="s">
        <v>3843</v>
      </c>
      <c r="D292" s="2" t="s">
        <v>3844</v>
      </c>
      <c r="F292" s="3" t="s">
        <v>59</v>
      </c>
      <c r="G292" s="3" t="s">
        <v>60</v>
      </c>
      <c r="H292" s="3" t="s">
        <v>59</v>
      </c>
      <c r="I292" s="3" t="s">
        <v>59</v>
      </c>
      <c r="J292" s="3" t="s">
        <v>61</v>
      </c>
      <c r="K292" s="2" t="s">
        <v>3845</v>
      </c>
      <c r="L292" s="2" t="s">
        <v>3846</v>
      </c>
      <c r="M292" s="3" t="s">
        <v>164</v>
      </c>
      <c r="O292" s="3" t="s">
        <v>65</v>
      </c>
      <c r="P292" s="3" t="s">
        <v>1262</v>
      </c>
      <c r="R292" s="3" t="s">
        <v>68</v>
      </c>
      <c r="S292" s="4">
        <v>9</v>
      </c>
      <c r="T292" s="4">
        <v>9</v>
      </c>
      <c r="U292" s="5" t="s">
        <v>3847</v>
      </c>
      <c r="V292" s="5" t="s">
        <v>3847</v>
      </c>
      <c r="W292" s="5" t="s">
        <v>3612</v>
      </c>
      <c r="X292" s="5" t="s">
        <v>3612</v>
      </c>
      <c r="Y292" s="4">
        <v>901</v>
      </c>
      <c r="Z292" s="4">
        <v>810</v>
      </c>
      <c r="AA292" s="4">
        <v>886</v>
      </c>
      <c r="AB292" s="4">
        <v>6</v>
      </c>
      <c r="AC292" s="4">
        <v>6</v>
      </c>
      <c r="AD292" s="4">
        <v>22</v>
      </c>
      <c r="AE292" s="4">
        <v>24</v>
      </c>
      <c r="AF292" s="4">
        <v>8</v>
      </c>
      <c r="AG292" s="4">
        <v>9</v>
      </c>
      <c r="AH292" s="4">
        <v>7</v>
      </c>
      <c r="AI292" s="4">
        <v>8</v>
      </c>
      <c r="AJ292" s="4">
        <v>8</v>
      </c>
      <c r="AK292" s="4">
        <v>10</v>
      </c>
      <c r="AL292" s="4">
        <v>3</v>
      </c>
      <c r="AM292" s="4">
        <v>3</v>
      </c>
      <c r="AN292" s="4">
        <v>0</v>
      </c>
      <c r="AO292" s="4">
        <v>0</v>
      </c>
      <c r="AP292" s="3" t="s">
        <v>59</v>
      </c>
      <c r="AQ292" s="3" t="s">
        <v>59</v>
      </c>
      <c r="AS292" s="6" t="str">
        <f>HYPERLINK("https://creighton-primo.hosted.exlibrisgroup.com/primo-explore/search?tab=default_tab&amp;search_scope=EVERYTHING&amp;vid=01CRU&amp;lang=en_US&amp;offset=0&amp;query=any,contains,991004874619702656","Catalog Record")</f>
        <v>Catalog Record</v>
      </c>
      <c r="AT292" s="6" t="str">
        <f>HYPERLINK("http://www.worldcat.org/oclc/5777919","WorldCat Record")</f>
        <v>WorldCat Record</v>
      </c>
      <c r="AU292" s="3" t="s">
        <v>3848</v>
      </c>
      <c r="AV292" s="3" t="s">
        <v>3849</v>
      </c>
      <c r="AW292" s="3" t="s">
        <v>3850</v>
      </c>
      <c r="AX292" s="3" t="s">
        <v>3850</v>
      </c>
      <c r="AY292" s="3" t="s">
        <v>3851</v>
      </c>
      <c r="AZ292" s="3" t="s">
        <v>76</v>
      </c>
      <c r="BB292" s="3" t="s">
        <v>3852</v>
      </c>
      <c r="BC292" s="3" t="s">
        <v>3853</v>
      </c>
      <c r="BD292" s="3" t="s">
        <v>3854</v>
      </c>
    </row>
    <row r="293" spans="1:56" ht="52.5" customHeight="1" x14ac:dyDescent="0.25">
      <c r="A293" s="7" t="s">
        <v>59</v>
      </c>
      <c r="B293" s="2" t="s">
        <v>3855</v>
      </c>
      <c r="C293" s="2" t="s">
        <v>3856</v>
      </c>
      <c r="D293" s="2" t="s">
        <v>3857</v>
      </c>
      <c r="F293" s="3" t="s">
        <v>59</v>
      </c>
      <c r="G293" s="3" t="s">
        <v>60</v>
      </c>
      <c r="H293" s="3" t="s">
        <v>59</v>
      </c>
      <c r="I293" s="3" t="s">
        <v>59</v>
      </c>
      <c r="J293" s="3" t="s">
        <v>61</v>
      </c>
      <c r="K293" s="2" t="s">
        <v>3858</v>
      </c>
      <c r="L293" s="2" t="s">
        <v>3859</v>
      </c>
      <c r="M293" s="3" t="s">
        <v>514</v>
      </c>
      <c r="O293" s="3" t="s">
        <v>65</v>
      </c>
      <c r="P293" s="3" t="s">
        <v>66</v>
      </c>
      <c r="Q293" s="2" t="s">
        <v>3860</v>
      </c>
      <c r="R293" s="3" t="s">
        <v>68</v>
      </c>
      <c r="S293" s="4">
        <v>5</v>
      </c>
      <c r="T293" s="4">
        <v>5</v>
      </c>
      <c r="U293" s="5" t="s">
        <v>3861</v>
      </c>
      <c r="V293" s="5" t="s">
        <v>3861</v>
      </c>
      <c r="W293" s="5" t="s">
        <v>645</v>
      </c>
      <c r="X293" s="5" t="s">
        <v>645</v>
      </c>
      <c r="Y293" s="4">
        <v>763</v>
      </c>
      <c r="Z293" s="4">
        <v>695</v>
      </c>
      <c r="AA293" s="4">
        <v>1637</v>
      </c>
      <c r="AB293" s="4">
        <v>4</v>
      </c>
      <c r="AC293" s="4">
        <v>7</v>
      </c>
      <c r="AD293" s="4">
        <v>26</v>
      </c>
      <c r="AE293" s="4">
        <v>45</v>
      </c>
      <c r="AF293" s="4">
        <v>11</v>
      </c>
      <c r="AG293" s="4">
        <v>20</v>
      </c>
      <c r="AH293" s="4">
        <v>7</v>
      </c>
      <c r="AI293" s="4">
        <v>10</v>
      </c>
      <c r="AJ293" s="4">
        <v>12</v>
      </c>
      <c r="AK293" s="4">
        <v>22</v>
      </c>
      <c r="AL293" s="4">
        <v>2</v>
      </c>
      <c r="AM293" s="4">
        <v>4</v>
      </c>
      <c r="AN293" s="4">
        <v>0</v>
      </c>
      <c r="AO293" s="4">
        <v>0</v>
      </c>
      <c r="AP293" s="3" t="s">
        <v>59</v>
      </c>
      <c r="AQ293" s="3" t="s">
        <v>71</v>
      </c>
      <c r="AR293" s="6" t="str">
        <f>HYPERLINK("http://catalog.hathitrust.org/Record/000662536","HathiTrust Record")</f>
        <v>HathiTrust Record</v>
      </c>
      <c r="AS293" s="6" t="str">
        <f>HYPERLINK("https://creighton-primo.hosted.exlibrisgroup.com/primo-explore/search?tab=default_tab&amp;search_scope=EVERYTHING&amp;vid=01CRU&amp;lang=en_US&amp;offset=0&amp;query=any,contains,991001374659702656","Catalog Record")</f>
        <v>Catalog Record</v>
      </c>
      <c r="AT293" s="6" t="str">
        <f>HYPERLINK("http://www.worldcat.org/oclc/224601","WorldCat Record")</f>
        <v>WorldCat Record</v>
      </c>
      <c r="AU293" s="3" t="s">
        <v>3862</v>
      </c>
      <c r="AV293" s="3" t="s">
        <v>3863</v>
      </c>
      <c r="AW293" s="3" t="s">
        <v>3864</v>
      </c>
      <c r="AX293" s="3" t="s">
        <v>3864</v>
      </c>
      <c r="AY293" s="3" t="s">
        <v>3865</v>
      </c>
      <c r="AZ293" s="3" t="s">
        <v>76</v>
      </c>
      <c r="BC293" s="3" t="s">
        <v>3866</v>
      </c>
      <c r="BD293" s="3" t="s">
        <v>3867</v>
      </c>
    </row>
    <row r="294" spans="1:56" ht="52.5" customHeight="1" x14ac:dyDescent="0.25">
      <c r="A294" s="7" t="s">
        <v>59</v>
      </c>
      <c r="B294" s="2" t="s">
        <v>3868</v>
      </c>
      <c r="C294" s="2" t="s">
        <v>3869</v>
      </c>
      <c r="D294" s="2" t="s">
        <v>3870</v>
      </c>
      <c r="F294" s="3" t="s">
        <v>59</v>
      </c>
      <c r="G294" s="3" t="s">
        <v>60</v>
      </c>
      <c r="H294" s="3" t="s">
        <v>59</v>
      </c>
      <c r="I294" s="3" t="s">
        <v>59</v>
      </c>
      <c r="J294" s="3" t="s">
        <v>61</v>
      </c>
      <c r="K294" s="2" t="s">
        <v>3871</v>
      </c>
      <c r="L294" s="2" t="s">
        <v>3872</v>
      </c>
      <c r="M294" s="3" t="s">
        <v>254</v>
      </c>
      <c r="O294" s="3" t="s">
        <v>65</v>
      </c>
      <c r="P294" s="3" t="s">
        <v>66</v>
      </c>
      <c r="R294" s="3" t="s">
        <v>68</v>
      </c>
      <c r="S294" s="4">
        <v>2</v>
      </c>
      <c r="T294" s="4">
        <v>2</v>
      </c>
      <c r="U294" s="5" t="s">
        <v>3873</v>
      </c>
      <c r="V294" s="5" t="s">
        <v>3873</v>
      </c>
      <c r="W294" s="5" t="s">
        <v>3874</v>
      </c>
      <c r="X294" s="5" t="s">
        <v>3874</v>
      </c>
      <c r="Y294" s="4">
        <v>573</v>
      </c>
      <c r="Z294" s="4">
        <v>427</v>
      </c>
      <c r="AA294" s="4">
        <v>428</v>
      </c>
      <c r="AB294" s="4">
        <v>3</v>
      </c>
      <c r="AC294" s="4">
        <v>3</v>
      </c>
      <c r="AD294" s="4">
        <v>17</v>
      </c>
      <c r="AE294" s="4">
        <v>17</v>
      </c>
      <c r="AF294" s="4">
        <v>5</v>
      </c>
      <c r="AG294" s="4">
        <v>5</v>
      </c>
      <c r="AH294" s="4">
        <v>4</v>
      </c>
      <c r="AI294" s="4">
        <v>4</v>
      </c>
      <c r="AJ294" s="4">
        <v>10</v>
      </c>
      <c r="AK294" s="4">
        <v>10</v>
      </c>
      <c r="AL294" s="4">
        <v>2</v>
      </c>
      <c r="AM294" s="4">
        <v>2</v>
      </c>
      <c r="AN294" s="4">
        <v>0</v>
      </c>
      <c r="AO294" s="4">
        <v>0</v>
      </c>
      <c r="AP294" s="3" t="s">
        <v>59</v>
      </c>
      <c r="AQ294" s="3" t="s">
        <v>71</v>
      </c>
      <c r="AR294" s="6" t="str">
        <f>HYPERLINK("http://catalog.hathitrust.org/Record/000662718","HathiTrust Record")</f>
        <v>HathiTrust Record</v>
      </c>
      <c r="AS294" s="6" t="str">
        <f>HYPERLINK("https://creighton-primo.hosted.exlibrisgroup.com/primo-explore/search?tab=default_tab&amp;search_scope=EVERYTHING&amp;vid=01CRU&amp;lang=en_US&amp;offset=0&amp;query=any,contains,991000052479702656","Catalog Record")</f>
        <v>Catalog Record</v>
      </c>
      <c r="AT294" s="6" t="str">
        <f>HYPERLINK("http://www.worldcat.org/oclc/22918","WorldCat Record")</f>
        <v>WorldCat Record</v>
      </c>
      <c r="AU294" s="3" t="s">
        <v>3875</v>
      </c>
      <c r="AV294" s="3" t="s">
        <v>3876</v>
      </c>
      <c r="AW294" s="3" t="s">
        <v>3877</v>
      </c>
      <c r="AX294" s="3" t="s">
        <v>3877</v>
      </c>
      <c r="AY294" s="3" t="s">
        <v>3878</v>
      </c>
      <c r="AZ294" s="3" t="s">
        <v>76</v>
      </c>
      <c r="BB294" s="3" t="s">
        <v>3879</v>
      </c>
      <c r="BC294" s="3" t="s">
        <v>3880</v>
      </c>
      <c r="BD294" s="3" t="s">
        <v>3881</v>
      </c>
    </row>
    <row r="295" spans="1:56" ht="52.5" customHeight="1" x14ac:dyDescent="0.25">
      <c r="A295" s="7" t="s">
        <v>59</v>
      </c>
      <c r="B295" s="2" t="s">
        <v>3882</v>
      </c>
      <c r="C295" s="2" t="s">
        <v>3883</v>
      </c>
      <c r="D295" s="2" t="s">
        <v>3884</v>
      </c>
      <c r="F295" s="3" t="s">
        <v>59</v>
      </c>
      <c r="G295" s="3" t="s">
        <v>60</v>
      </c>
      <c r="H295" s="3" t="s">
        <v>59</v>
      </c>
      <c r="I295" s="3" t="s">
        <v>59</v>
      </c>
      <c r="J295" s="3" t="s">
        <v>61</v>
      </c>
      <c r="L295" s="2" t="s">
        <v>3885</v>
      </c>
      <c r="M295" s="3" t="s">
        <v>549</v>
      </c>
      <c r="O295" s="3" t="s">
        <v>65</v>
      </c>
      <c r="P295" s="3" t="s">
        <v>66</v>
      </c>
      <c r="R295" s="3" t="s">
        <v>68</v>
      </c>
      <c r="S295" s="4">
        <v>7</v>
      </c>
      <c r="T295" s="4">
        <v>7</v>
      </c>
      <c r="U295" s="5" t="s">
        <v>2313</v>
      </c>
      <c r="V295" s="5" t="s">
        <v>2313</v>
      </c>
      <c r="W295" s="5" t="s">
        <v>3612</v>
      </c>
      <c r="X295" s="5" t="s">
        <v>3612</v>
      </c>
      <c r="Y295" s="4">
        <v>518</v>
      </c>
      <c r="Z295" s="4">
        <v>448</v>
      </c>
      <c r="AA295" s="4">
        <v>453</v>
      </c>
      <c r="AB295" s="4">
        <v>4</v>
      </c>
      <c r="AC295" s="4">
        <v>4</v>
      </c>
      <c r="AD295" s="4">
        <v>13</v>
      </c>
      <c r="AE295" s="4">
        <v>13</v>
      </c>
      <c r="AF295" s="4">
        <v>2</v>
      </c>
      <c r="AG295" s="4">
        <v>2</v>
      </c>
      <c r="AH295" s="4">
        <v>1</v>
      </c>
      <c r="AI295" s="4">
        <v>1</v>
      </c>
      <c r="AJ295" s="4">
        <v>10</v>
      </c>
      <c r="AK295" s="4">
        <v>10</v>
      </c>
      <c r="AL295" s="4">
        <v>2</v>
      </c>
      <c r="AM295" s="4">
        <v>2</v>
      </c>
      <c r="AN295" s="4">
        <v>0</v>
      </c>
      <c r="AO295" s="4">
        <v>0</v>
      </c>
      <c r="AP295" s="3" t="s">
        <v>59</v>
      </c>
      <c r="AQ295" s="3" t="s">
        <v>59</v>
      </c>
      <c r="AS295" s="6" t="str">
        <f>HYPERLINK("https://creighton-primo.hosted.exlibrisgroup.com/primo-explore/search?tab=default_tab&amp;search_scope=EVERYTHING&amp;vid=01CRU&amp;lang=en_US&amp;offset=0&amp;query=any,contains,991000675299702656","Catalog Record")</f>
        <v>Catalog Record</v>
      </c>
      <c r="AT295" s="6" t="str">
        <f>HYPERLINK("http://www.worldcat.org/oclc/12344552","WorldCat Record")</f>
        <v>WorldCat Record</v>
      </c>
      <c r="AU295" s="3" t="s">
        <v>3886</v>
      </c>
      <c r="AV295" s="3" t="s">
        <v>3887</v>
      </c>
      <c r="AW295" s="3" t="s">
        <v>3888</v>
      </c>
      <c r="AX295" s="3" t="s">
        <v>3888</v>
      </c>
      <c r="AY295" s="3" t="s">
        <v>3889</v>
      </c>
      <c r="AZ295" s="3" t="s">
        <v>76</v>
      </c>
      <c r="BB295" s="3" t="s">
        <v>3890</v>
      </c>
      <c r="BC295" s="3" t="s">
        <v>3891</v>
      </c>
      <c r="BD295" s="3" t="s">
        <v>3892</v>
      </c>
    </row>
    <row r="296" spans="1:56" ht="52.5" customHeight="1" x14ac:dyDescent="0.25">
      <c r="A296" s="7" t="s">
        <v>59</v>
      </c>
      <c r="B296" s="2" t="s">
        <v>3893</v>
      </c>
      <c r="C296" s="2" t="s">
        <v>3894</v>
      </c>
      <c r="D296" s="2" t="s">
        <v>3895</v>
      </c>
      <c r="F296" s="3" t="s">
        <v>59</v>
      </c>
      <c r="G296" s="3" t="s">
        <v>60</v>
      </c>
      <c r="H296" s="3" t="s">
        <v>59</v>
      </c>
      <c r="I296" s="3" t="s">
        <v>59</v>
      </c>
      <c r="J296" s="3" t="s">
        <v>61</v>
      </c>
      <c r="L296" s="2" t="s">
        <v>3896</v>
      </c>
      <c r="M296" s="3" t="s">
        <v>3897</v>
      </c>
      <c r="O296" s="3" t="s">
        <v>65</v>
      </c>
      <c r="P296" s="3" t="s">
        <v>1262</v>
      </c>
      <c r="R296" s="3" t="s">
        <v>68</v>
      </c>
      <c r="S296" s="4">
        <v>5</v>
      </c>
      <c r="T296" s="4">
        <v>5</v>
      </c>
      <c r="U296" s="5" t="s">
        <v>3898</v>
      </c>
      <c r="V296" s="5" t="s">
        <v>3898</v>
      </c>
      <c r="W296" s="5" t="s">
        <v>3899</v>
      </c>
      <c r="X296" s="5" t="s">
        <v>3899</v>
      </c>
      <c r="Y296" s="4">
        <v>478</v>
      </c>
      <c r="Z296" s="4">
        <v>370</v>
      </c>
      <c r="AA296" s="4">
        <v>385</v>
      </c>
      <c r="AB296" s="4">
        <v>4</v>
      </c>
      <c r="AC296" s="4">
        <v>4</v>
      </c>
      <c r="AD296" s="4">
        <v>21</v>
      </c>
      <c r="AE296" s="4">
        <v>22</v>
      </c>
      <c r="AF296" s="4">
        <v>9</v>
      </c>
      <c r="AG296" s="4">
        <v>9</v>
      </c>
      <c r="AH296" s="4">
        <v>4</v>
      </c>
      <c r="AI296" s="4">
        <v>5</v>
      </c>
      <c r="AJ296" s="4">
        <v>12</v>
      </c>
      <c r="AK296" s="4">
        <v>12</v>
      </c>
      <c r="AL296" s="4">
        <v>3</v>
      </c>
      <c r="AM296" s="4">
        <v>3</v>
      </c>
      <c r="AN296" s="4">
        <v>0</v>
      </c>
      <c r="AO296" s="4">
        <v>0</v>
      </c>
      <c r="AP296" s="3" t="s">
        <v>59</v>
      </c>
      <c r="AQ296" s="3" t="s">
        <v>59</v>
      </c>
      <c r="AS296" s="6" t="str">
        <f>HYPERLINK("https://creighton-primo.hosted.exlibrisgroup.com/primo-explore/search?tab=default_tab&amp;search_scope=EVERYTHING&amp;vid=01CRU&amp;lang=en_US&amp;offset=0&amp;query=any,contains,991002784989702656","Catalog Record")</f>
        <v>Catalog Record</v>
      </c>
      <c r="AT296" s="6" t="str">
        <f>HYPERLINK("http://www.worldcat.org/oclc/36573610","WorldCat Record")</f>
        <v>WorldCat Record</v>
      </c>
      <c r="AU296" s="3" t="s">
        <v>3900</v>
      </c>
      <c r="AV296" s="3" t="s">
        <v>3901</v>
      </c>
      <c r="AW296" s="3" t="s">
        <v>3902</v>
      </c>
      <c r="AX296" s="3" t="s">
        <v>3902</v>
      </c>
      <c r="AY296" s="3" t="s">
        <v>3903</v>
      </c>
      <c r="AZ296" s="3" t="s">
        <v>76</v>
      </c>
      <c r="BB296" s="3" t="s">
        <v>3904</v>
      </c>
      <c r="BC296" s="3" t="s">
        <v>3905</v>
      </c>
      <c r="BD296" s="3" t="s">
        <v>3906</v>
      </c>
    </row>
    <row r="297" spans="1:56" ht="52.5" customHeight="1" x14ac:dyDescent="0.25">
      <c r="A297" s="7" t="s">
        <v>59</v>
      </c>
      <c r="B297" s="2" t="s">
        <v>3907</v>
      </c>
      <c r="C297" s="2" t="s">
        <v>3908</v>
      </c>
      <c r="D297" s="2" t="s">
        <v>3909</v>
      </c>
      <c r="F297" s="3" t="s">
        <v>59</v>
      </c>
      <c r="G297" s="3" t="s">
        <v>60</v>
      </c>
      <c r="H297" s="3" t="s">
        <v>59</v>
      </c>
      <c r="I297" s="3" t="s">
        <v>59</v>
      </c>
      <c r="J297" s="3" t="s">
        <v>61</v>
      </c>
      <c r="K297" s="2" t="s">
        <v>3910</v>
      </c>
      <c r="L297" s="2" t="s">
        <v>3911</v>
      </c>
      <c r="M297" s="3" t="s">
        <v>616</v>
      </c>
      <c r="O297" s="3" t="s">
        <v>65</v>
      </c>
      <c r="P297" s="3" t="s">
        <v>771</v>
      </c>
      <c r="R297" s="3" t="s">
        <v>68</v>
      </c>
      <c r="S297" s="4">
        <v>6</v>
      </c>
      <c r="T297" s="4">
        <v>6</v>
      </c>
      <c r="U297" s="5" t="s">
        <v>3912</v>
      </c>
      <c r="V297" s="5" t="s">
        <v>3912</v>
      </c>
      <c r="W297" s="5" t="s">
        <v>2004</v>
      </c>
      <c r="X297" s="5" t="s">
        <v>2004</v>
      </c>
      <c r="Y297" s="4">
        <v>613</v>
      </c>
      <c r="Z297" s="4">
        <v>480</v>
      </c>
      <c r="AA297" s="4">
        <v>633</v>
      </c>
      <c r="AB297" s="4">
        <v>4</v>
      </c>
      <c r="AC297" s="4">
        <v>4</v>
      </c>
      <c r="AD297" s="4">
        <v>26</v>
      </c>
      <c r="AE297" s="4">
        <v>33</v>
      </c>
      <c r="AF297" s="4">
        <v>5</v>
      </c>
      <c r="AG297" s="4">
        <v>12</v>
      </c>
      <c r="AH297" s="4">
        <v>9</v>
      </c>
      <c r="AI297" s="4">
        <v>10</v>
      </c>
      <c r="AJ297" s="4">
        <v>17</v>
      </c>
      <c r="AK297" s="4">
        <v>19</v>
      </c>
      <c r="AL297" s="4">
        <v>3</v>
      </c>
      <c r="AM297" s="4">
        <v>3</v>
      </c>
      <c r="AN297" s="4">
        <v>0</v>
      </c>
      <c r="AO297" s="4">
        <v>0</v>
      </c>
      <c r="AP297" s="3" t="s">
        <v>59</v>
      </c>
      <c r="AQ297" s="3" t="s">
        <v>59</v>
      </c>
      <c r="AS297" s="6" t="str">
        <f>HYPERLINK("https://creighton-primo.hosted.exlibrisgroup.com/primo-explore/search?tab=default_tab&amp;search_scope=EVERYTHING&amp;vid=01CRU&amp;lang=en_US&amp;offset=0&amp;query=any,contains,991001260829702656","Catalog Record")</f>
        <v>Catalog Record</v>
      </c>
      <c r="AT297" s="6" t="str">
        <f>HYPERLINK("http://www.worldcat.org/oclc/17767369","WorldCat Record")</f>
        <v>WorldCat Record</v>
      </c>
      <c r="AU297" s="3" t="s">
        <v>3913</v>
      </c>
      <c r="AV297" s="3" t="s">
        <v>3914</v>
      </c>
      <c r="AW297" s="3" t="s">
        <v>3915</v>
      </c>
      <c r="AX297" s="3" t="s">
        <v>3915</v>
      </c>
      <c r="AY297" s="3" t="s">
        <v>3916</v>
      </c>
      <c r="AZ297" s="3" t="s">
        <v>76</v>
      </c>
      <c r="BB297" s="3" t="s">
        <v>3917</v>
      </c>
      <c r="BC297" s="3" t="s">
        <v>3918</v>
      </c>
      <c r="BD297" s="3" t="s">
        <v>3919</v>
      </c>
    </row>
    <row r="298" spans="1:56" ht="52.5" customHeight="1" x14ac:dyDescent="0.25">
      <c r="A298" s="7" t="s">
        <v>59</v>
      </c>
      <c r="B298" s="2" t="s">
        <v>3920</v>
      </c>
      <c r="C298" s="2" t="s">
        <v>3921</v>
      </c>
      <c r="D298" s="2" t="s">
        <v>3922</v>
      </c>
      <c r="F298" s="3" t="s">
        <v>59</v>
      </c>
      <c r="G298" s="3" t="s">
        <v>60</v>
      </c>
      <c r="H298" s="3" t="s">
        <v>59</v>
      </c>
      <c r="I298" s="3" t="s">
        <v>59</v>
      </c>
      <c r="J298" s="3" t="s">
        <v>61</v>
      </c>
      <c r="K298" s="2" t="s">
        <v>3923</v>
      </c>
      <c r="L298" s="2" t="s">
        <v>3924</v>
      </c>
      <c r="M298" s="3" t="s">
        <v>514</v>
      </c>
      <c r="O298" s="3" t="s">
        <v>65</v>
      </c>
      <c r="P298" s="3" t="s">
        <v>420</v>
      </c>
      <c r="Q298" s="2" t="s">
        <v>1305</v>
      </c>
      <c r="R298" s="3" t="s">
        <v>68</v>
      </c>
      <c r="S298" s="4">
        <v>3</v>
      </c>
      <c r="T298" s="4">
        <v>3</v>
      </c>
      <c r="U298" s="5" t="s">
        <v>3925</v>
      </c>
      <c r="V298" s="5" t="s">
        <v>3925</v>
      </c>
      <c r="W298" s="5" t="s">
        <v>3926</v>
      </c>
      <c r="X298" s="5" t="s">
        <v>3926</v>
      </c>
      <c r="Y298" s="4">
        <v>427</v>
      </c>
      <c r="Z298" s="4">
        <v>316</v>
      </c>
      <c r="AA298" s="4">
        <v>321</v>
      </c>
      <c r="AB298" s="4">
        <v>4</v>
      </c>
      <c r="AC298" s="4">
        <v>4</v>
      </c>
      <c r="AD298" s="4">
        <v>14</v>
      </c>
      <c r="AE298" s="4">
        <v>14</v>
      </c>
      <c r="AF298" s="4">
        <v>4</v>
      </c>
      <c r="AG298" s="4">
        <v>4</v>
      </c>
      <c r="AH298" s="4">
        <v>2</v>
      </c>
      <c r="AI298" s="4">
        <v>2</v>
      </c>
      <c r="AJ298" s="4">
        <v>8</v>
      </c>
      <c r="AK298" s="4">
        <v>8</v>
      </c>
      <c r="AL298" s="4">
        <v>2</v>
      </c>
      <c r="AM298" s="4">
        <v>2</v>
      </c>
      <c r="AN298" s="4">
        <v>0</v>
      </c>
      <c r="AO298" s="4">
        <v>0</v>
      </c>
      <c r="AP298" s="3" t="s">
        <v>59</v>
      </c>
      <c r="AQ298" s="3" t="s">
        <v>71</v>
      </c>
      <c r="AR298" s="6" t="str">
        <f>HYPERLINK("http://catalog.hathitrust.org/Record/000662352","HathiTrust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HYPERLINK("https://creighton-primo.hosted.exlibrisgroup.com/primo-explore/search?tab=default_tab&amp;search_scope=EVERYTHING&amp;vid=01CRU&amp;lang=en_US&amp;offset=0&amp;query=any,contains,991003480239702656","Catalog Record")</f>
        <v>Catalog Record</v>
      </c>
      <c r="AT298" s="6" t="str">
        <f>HYPERLINK("http://www.worldcat.org/oclc/1027169","WorldCat Record")</f>
        <v>WorldCat Record</v>
      </c>
      <c r="AU298" s="3" t="s">
        <v>3927</v>
      </c>
      <c r="AV298" s="3" t="s">
        <v>3928</v>
      </c>
      <c r="AW298" s="3" t="s">
        <v>3929</v>
      </c>
      <c r="AX298" s="3" t="s">
        <v>3929</v>
      </c>
      <c r="AY298" s="3" t="s">
        <v>3930</v>
      </c>
      <c r="AZ298" s="3" t="s">
        <v>76</v>
      </c>
      <c r="BC298" s="3" t="s">
        <v>3931</v>
      </c>
      <c r="BD298" s="3" t="s">
        <v>3932</v>
      </c>
    </row>
    <row r="299" spans="1:56" ht="52.5" customHeight="1" x14ac:dyDescent="0.25">
      <c r="A299" s="7" t="s">
        <v>59</v>
      </c>
      <c r="B299" s="2" t="s">
        <v>3933</v>
      </c>
      <c r="C299" s="2" t="s">
        <v>3934</v>
      </c>
      <c r="D299" s="2" t="s">
        <v>3935</v>
      </c>
      <c r="F299" s="3" t="s">
        <v>59</v>
      </c>
      <c r="G299" s="3" t="s">
        <v>60</v>
      </c>
      <c r="H299" s="3" t="s">
        <v>59</v>
      </c>
      <c r="I299" s="3" t="s">
        <v>71</v>
      </c>
      <c r="J299" s="3" t="s">
        <v>61</v>
      </c>
      <c r="K299" s="2" t="s">
        <v>3936</v>
      </c>
      <c r="L299" s="2" t="s">
        <v>3937</v>
      </c>
      <c r="M299" s="3" t="s">
        <v>195</v>
      </c>
      <c r="N299" s="2" t="s">
        <v>3938</v>
      </c>
      <c r="O299" s="3" t="s">
        <v>65</v>
      </c>
      <c r="P299" s="3" t="s">
        <v>1262</v>
      </c>
      <c r="R299" s="3" t="s">
        <v>68</v>
      </c>
      <c r="S299" s="4">
        <v>2</v>
      </c>
      <c r="T299" s="4">
        <v>2</v>
      </c>
      <c r="U299" s="5" t="s">
        <v>3939</v>
      </c>
      <c r="V299" s="5" t="s">
        <v>3939</v>
      </c>
      <c r="W299" s="5" t="s">
        <v>3612</v>
      </c>
      <c r="X299" s="5" t="s">
        <v>3612</v>
      </c>
      <c r="Y299" s="4">
        <v>384</v>
      </c>
      <c r="Z299" s="4">
        <v>261</v>
      </c>
      <c r="AA299" s="4">
        <v>676</v>
      </c>
      <c r="AB299" s="4">
        <v>2</v>
      </c>
      <c r="AC299" s="4">
        <v>4</v>
      </c>
      <c r="AD299" s="4">
        <v>11</v>
      </c>
      <c r="AE299" s="4">
        <v>34</v>
      </c>
      <c r="AF299" s="4">
        <v>2</v>
      </c>
      <c r="AG299" s="4">
        <v>15</v>
      </c>
      <c r="AH299" s="4">
        <v>4</v>
      </c>
      <c r="AI299" s="4">
        <v>9</v>
      </c>
      <c r="AJ299" s="4">
        <v>7</v>
      </c>
      <c r="AK299" s="4">
        <v>15</v>
      </c>
      <c r="AL299" s="4">
        <v>1</v>
      </c>
      <c r="AM299" s="4">
        <v>3</v>
      </c>
      <c r="AN299" s="4">
        <v>0</v>
      </c>
      <c r="AO299" s="4">
        <v>0</v>
      </c>
      <c r="AP299" s="3" t="s">
        <v>59</v>
      </c>
      <c r="AQ299" s="3" t="s">
        <v>71</v>
      </c>
      <c r="AR299" s="6" t="str">
        <f>HYPERLINK("http://catalog.hathitrust.org/Record/000266180","HathiTrust Record")</f>
        <v>HathiTrust Record</v>
      </c>
      <c r="AS299" s="6" t="str">
        <f>HYPERLINK("https://creighton-primo.hosted.exlibrisgroup.com/primo-explore/search?tab=default_tab&amp;search_scope=EVERYTHING&amp;vid=01CRU&amp;lang=en_US&amp;offset=0&amp;query=any,contains,991000053789702656","Catalog Record")</f>
        <v>Catalog Record</v>
      </c>
      <c r="AT299" s="6" t="str">
        <f>HYPERLINK("http://www.worldcat.org/oclc/8699261","WorldCat Record")</f>
        <v>WorldCat Record</v>
      </c>
      <c r="AU299" s="3" t="s">
        <v>3940</v>
      </c>
      <c r="AV299" s="3" t="s">
        <v>3941</v>
      </c>
      <c r="AW299" s="3" t="s">
        <v>3942</v>
      </c>
      <c r="AX299" s="3" t="s">
        <v>3942</v>
      </c>
      <c r="AY299" s="3" t="s">
        <v>3943</v>
      </c>
      <c r="AZ299" s="3" t="s">
        <v>76</v>
      </c>
      <c r="BB299" s="3" t="s">
        <v>3944</v>
      </c>
      <c r="BC299" s="3" t="s">
        <v>3945</v>
      </c>
      <c r="BD299" s="3" t="s">
        <v>3946</v>
      </c>
    </row>
    <row r="300" spans="1:56" ht="52.5" customHeight="1" x14ac:dyDescent="0.25">
      <c r="A300" s="7" t="s">
        <v>59</v>
      </c>
      <c r="B300" s="2" t="s">
        <v>3947</v>
      </c>
      <c r="C300" s="2" t="s">
        <v>3948</v>
      </c>
      <c r="D300" s="2" t="s">
        <v>3949</v>
      </c>
      <c r="F300" s="3" t="s">
        <v>59</v>
      </c>
      <c r="G300" s="3" t="s">
        <v>60</v>
      </c>
      <c r="H300" s="3" t="s">
        <v>59</v>
      </c>
      <c r="I300" s="3" t="s">
        <v>59</v>
      </c>
      <c r="J300" s="3" t="s">
        <v>61</v>
      </c>
      <c r="K300" s="2" t="s">
        <v>3950</v>
      </c>
      <c r="L300" s="2" t="s">
        <v>3951</v>
      </c>
      <c r="M300" s="3" t="s">
        <v>756</v>
      </c>
      <c r="O300" s="3" t="s">
        <v>65</v>
      </c>
      <c r="P300" s="3" t="s">
        <v>420</v>
      </c>
      <c r="Q300" s="2" t="s">
        <v>1305</v>
      </c>
      <c r="R300" s="3" t="s">
        <v>68</v>
      </c>
      <c r="S300" s="4">
        <v>8</v>
      </c>
      <c r="T300" s="4">
        <v>8</v>
      </c>
      <c r="U300" s="5" t="s">
        <v>3952</v>
      </c>
      <c r="V300" s="5" t="s">
        <v>3952</v>
      </c>
      <c r="W300" s="5" t="s">
        <v>3953</v>
      </c>
      <c r="X300" s="5" t="s">
        <v>3953</v>
      </c>
      <c r="Y300" s="4">
        <v>413</v>
      </c>
      <c r="Z300" s="4">
        <v>343</v>
      </c>
      <c r="AA300" s="4">
        <v>368</v>
      </c>
      <c r="AB300" s="4">
        <v>2</v>
      </c>
      <c r="AC300" s="4">
        <v>2</v>
      </c>
      <c r="AD300" s="4">
        <v>12</v>
      </c>
      <c r="AE300" s="4">
        <v>12</v>
      </c>
      <c r="AF300" s="4">
        <v>5</v>
      </c>
      <c r="AG300" s="4">
        <v>5</v>
      </c>
      <c r="AH300" s="4">
        <v>1</v>
      </c>
      <c r="AI300" s="4">
        <v>1</v>
      </c>
      <c r="AJ300" s="4">
        <v>9</v>
      </c>
      <c r="AK300" s="4">
        <v>9</v>
      </c>
      <c r="AL300" s="4">
        <v>1</v>
      </c>
      <c r="AM300" s="4">
        <v>1</v>
      </c>
      <c r="AN300" s="4">
        <v>0</v>
      </c>
      <c r="AO300" s="4">
        <v>0</v>
      </c>
      <c r="AP300" s="3" t="s">
        <v>59</v>
      </c>
      <c r="AQ300" s="3" t="s">
        <v>71</v>
      </c>
      <c r="AR300" s="6" t="str">
        <f>HYPERLINK("http://catalog.hathitrust.org/Record/000354665","HathiTrust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HYPERLINK("https://creighton-primo.hosted.exlibrisgroup.com/primo-explore/search?tab=default_tab&amp;search_scope=EVERYTHING&amp;vid=01CRU&amp;lang=en_US&amp;offset=0&amp;query=any,contains,991001026509702656","Catalog Record")</f>
        <v>Catalog Record</v>
      </c>
      <c r="AT300" s="6" t="str">
        <f>HYPERLINK("http://www.worldcat.org/oclc/174625","WorldCat Record")</f>
        <v>WorldCat Record</v>
      </c>
      <c r="AU300" s="3" t="s">
        <v>3954</v>
      </c>
      <c r="AV300" s="3" t="s">
        <v>3955</v>
      </c>
      <c r="AW300" s="3" t="s">
        <v>3956</v>
      </c>
      <c r="AX300" s="3" t="s">
        <v>3956</v>
      </c>
      <c r="AY300" s="3" t="s">
        <v>3957</v>
      </c>
      <c r="AZ300" s="3" t="s">
        <v>76</v>
      </c>
      <c r="BC300" s="3" t="s">
        <v>3958</v>
      </c>
      <c r="BD300" s="3" t="s">
        <v>3959</v>
      </c>
    </row>
    <row r="301" spans="1:56" ht="52.5" customHeight="1" x14ac:dyDescent="0.25">
      <c r="A301" s="7" t="s">
        <v>59</v>
      </c>
      <c r="B301" s="2" t="s">
        <v>3960</v>
      </c>
      <c r="C301" s="2" t="s">
        <v>3961</v>
      </c>
      <c r="D301" s="2" t="s">
        <v>3962</v>
      </c>
      <c r="F301" s="3" t="s">
        <v>59</v>
      </c>
      <c r="G301" s="3" t="s">
        <v>60</v>
      </c>
      <c r="H301" s="3" t="s">
        <v>59</v>
      </c>
      <c r="I301" s="3" t="s">
        <v>59</v>
      </c>
      <c r="J301" s="3" t="s">
        <v>61</v>
      </c>
      <c r="K301" s="2" t="s">
        <v>3963</v>
      </c>
      <c r="L301" s="2" t="s">
        <v>3964</v>
      </c>
      <c r="M301" s="3" t="s">
        <v>295</v>
      </c>
      <c r="O301" s="3" t="s">
        <v>65</v>
      </c>
      <c r="P301" s="3" t="s">
        <v>491</v>
      </c>
      <c r="Q301" s="2" t="s">
        <v>3965</v>
      </c>
      <c r="R301" s="3" t="s">
        <v>68</v>
      </c>
      <c r="S301" s="4">
        <v>5</v>
      </c>
      <c r="T301" s="4">
        <v>5</v>
      </c>
      <c r="U301" s="5" t="s">
        <v>3966</v>
      </c>
      <c r="V301" s="5" t="s">
        <v>3966</v>
      </c>
      <c r="W301" s="5" t="s">
        <v>3522</v>
      </c>
      <c r="X301" s="5" t="s">
        <v>3522</v>
      </c>
      <c r="Y301" s="4">
        <v>274</v>
      </c>
      <c r="Z301" s="4">
        <v>223</v>
      </c>
      <c r="AA301" s="4">
        <v>225</v>
      </c>
      <c r="AB301" s="4">
        <v>4</v>
      </c>
      <c r="AC301" s="4">
        <v>4</v>
      </c>
      <c r="AD301" s="4">
        <v>10</v>
      </c>
      <c r="AE301" s="4">
        <v>10</v>
      </c>
      <c r="AF301" s="4">
        <v>3</v>
      </c>
      <c r="AG301" s="4">
        <v>3</v>
      </c>
      <c r="AH301" s="4">
        <v>1</v>
      </c>
      <c r="AI301" s="4">
        <v>1</v>
      </c>
      <c r="AJ301" s="4">
        <v>5</v>
      </c>
      <c r="AK301" s="4">
        <v>5</v>
      </c>
      <c r="AL301" s="4">
        <v>3</v>
      </c>
      <c r="AM301" s="4">
        <v>3</v>
      </c>
      <c r="AN301" s="4">
        <v>0</v>
      </c>
      <c r="AO301" s="4">
        <v>0</v>
      </c>
      <c r="AP301" s="3" t="s">
        <v>59</v>
      </c>
      <c r="AQ301" s="3" t="s">
        <v>71</v>
      </c>
      <c r="AR301" s="6" t="str">
        <f>HYPERLINK("http://catalog.hathitrust.org/Record/000662735","HathiTrust Record")</f>
        <v>HathiTrust Record</v>
      </c>
      <c r="AS301" s="6" t="str">
        <f>HYPERLINK("https://creighton-primo.hosted.exlibrisgroup.com/primo-explore/search?tab=default_tab&amp;search_scope=EVERYTHING&amp;vid=01CRU&amp;lang=en_US&amp;offset=0&amp;query=any,contains,991001910589702656","Catalog Record")</f>
        <v>Catalog Record</v>
      </c>
      <c r="AT301" s="6" t="str">
        <f>HYPERLINK("http://www.worldcat.org/oclc/242135","WorldCat Record")</f>
        <v>WorldCat Record</v>
      </c>
      <c r="AU301" s="3" t="s">
        <v>3967</v>
      </c>
      <c r="AV301" s="3" t="s">
        <v>3968</v>
      </c>
      <c r="AW301" s="3" t="s">
        <v>3969</v>
      </c>
      <c r="AX301" s="3" t="s">
        <v>3969</v>
      </c>
      <c r="AY301" s="3" t="s">
        <v>3970</v>
      </c>
      <c r="AZ301" s="3" t="s">
        <v>76</v>
      </c>
      <c r="BC301" s="3" t="s">
        <v>3971</v>
      </c>
      <c r="BD301" s="3" t="s">
        <v>3972</v>
      </c>
    </row>
    <row r="302" spans="1:56" ht="52.5" customHeight="1" x14ac:dyDescent="0.25">
      <c r="A302" s="7" t="s">
        <v>59</v>
      </c>
      <c r="B302" s="2" t="s">
        <v>3973</v>
      </c>
      <c r="C302" s="2" t="s">
        <v>3974</v>
      </c>
      <c r="D302" s="2" t="s">
        <v>3975</v>
      </c>
      <c r="F302" s="3" t="s">
        <v>59</v>
      </c>
      <c r="G302" s="3" t="s">
        <v>60</v>
      </c>
      <c r="H302" s="3" t="s">
        <v>59</v>
      </c>
      <c r="I302" s="3" t="s">
        <v>59</v>
      </c>
      <c r="J302" s="3" t="s">
        <v>61</v>
      </c>
      <c r="K302" s="2" t="s">
        <v>3976</v>
      </c>
      <c r="L302" s="2" t="s">
        <v>3977</v>
      </c>
      <c r="M302" s="3" t="s">
        <v>1000</v>
      </c>
      <c r="O302" s="3" t="s">
        <v>65</v>
      </c>
      <c r="P302" s="3" t="s">
        <v>1262</v>
      </c>
      <c r="R302" s="3" t="s">
        <v>68</v>
      </c>
      <c r="S302" s="4">
        <v>3</v>
      </c>
      <c r="T302" s="4">
        <v>3</v>
      </c>
      <c r="U302" s="5" t="s">
        <v>3978</v>
      </c>
      <c r="V302" s="5" t="s">
        <v>3978</v>
      </c>
      <c r="W302" s="5" t="s">
        <v>3612</v>
      </c>
      <c r="X302" s="5" t="s">
        <v>3612</v>
      </c>
      <c r="Y302" s="4">
        <v>332</v>
      </c>
      <c r="Z302" s="4">
        <v>234</v>
      </c>
      <c r="AA302" s="4">
        <v>234</v>
      </c>
      <c r="AB302" s="4">
        <v>3</v>
      </c>
      <c r="AC302" s="4">
        <v>3</v>
      </c>
      <c r="AD302" s="4">
        <v>7</v>
      </c>
      <c r="AE302" s="4">
        <v>7</v>
      </c>
      <c r="AF302" s="4">
        <v>3</v>
      </c>
      <c r="AG302" s="4">
        <v>3</v>
      </c>
      <c r="AH302" s="4">
        <v>0</v>
      </c>
      <c r="AI302" s="4">
        <v>0</v>
      </c>
      <c r="AJ302" s="4">
        <v>2</v>
      </c>
      <c r="AK302" s="4">
        <v>2</v>
      </c>
      <c r="AL302" s="4">
        <v>2</v>
      </c>
      <c r="AM302" s="4">
        <v>2</v>
      </c>
      <c r="AN302" s="4">
        <v>0</v>
      </c>
      <c r="AO302" s="4">
        <v>0</v>
      </c>
      <c r="AP302" s="3" t="s">
        <v>59</v>
      </c>
      <c r="AQ302" s="3" t="s">
        <v>59</v>
      </c>
      <c r="AS302" s="6" t="str">
        <f>HYPERLINK("https://creighton-primo.hosted.exlibrisgroup.com/primo-explore/search?tab=default_tab&amp;search_scope=EVERYTHING&amp;vid=01CRU&amp;lang=en_US&amp;offset=0&amp;query=any,contains,991004957539702656","Catalog Record")</f>
        <v>Catalog Record</v>
      </c>
      <c r="AT302" s="6" t="str">
        <f>HYPERLINK("http://www.worldcat.org/oclc/6282911","WorldCat Record")</f>
        <v>WorldCat Record</v>
      </c>
      <c r="AU302" s="3" t="s">
        <v>3979</v>
      </c>
      <c r="AV302" s="3" t="s">
        <v>3980</v>
      </c>
      <c r="AW302" s="3" t="s">
        <v>3981</v>
      </c>
      <c r="AX302" s="3" t="s">
        <v>3981</v>
      </c>
      <c r="AY302" s="3" t="s">
        <v>3982</v>
      </c>
      <c r="AZ302" s="3" t="s">
        <v>76</v>
      </c>
      <c r="BB302" s="3" t="s">
        <v>3983</v>
      </c>
      <c r="BC302" s="3" t="s">
        <v>3984</v>
      </c>
      <c r="BD302" s="3" t="s">
        <v>3985</v>
      </c>
    </row>
    <row r="303" spans="1:56" ht="52.5" customHeight="1" x14ac:dyDescent="0.25">
      <c r="A303" s="7" t="s">
        <v>59</v>
      </c>
      <c r="B303" s="2" t="s">
        <v>3986</v>
      </c>
      <c r="C303" s="2" t="s">
        <v>3987</v>
      </c>
      <c r="D303" s="2" t="s">
        <v>3988</v>
      </c>
      <c r="F303" s="3" t="s">
        <v>59</v>
      </c>
      <c r="G303" s="3" t="s">
        <v>60</v>
      </c>
      <c r="H303" s="3" t="s">
        <v>59</v>
      </c>
      <c r="I303" s="3" t="s">
        <v>59</v>
      </c>
      <c r="J303" s="3" t="s">
        <v>61</v>
      </c>
      <c r="K303" s="2" t="s">
        <v>3989</v>
      </c>
      <c r="L303" s="2" t="s">
        <v>3990</v>
      </c>
      <c r="M303" s="3" t="s">
        <v>164</v>
      </c>
      <c r="O303" s="3" t="s">
        <v>65</v>
      </c>
      <c r="P303" s="3" t="s">
        <v>66</v>
      </c>
      <c r="R303" s="3" t="s">
        <v>68</v>
      </c>
      <c r="S303" s="4">
        <v>3</v>
      </c>
      <c r="T303" s="4">
        <v>3</v>
      </c>
      <c r="U303" s="5" t="s">
        <v>3991</v>
      </c>
      <c r="V303" s="5" t="s">
        <v>3991</v>
      </c>
      <c r="W303" s="5" t="s">
        <v>3612</v>
      </c>
      <c r="X303" s="5" t="s">
        <v>3612</v>
      </c>
      <c r="Y303" s="4">
        <v>713</v>
      </c>
      <c r="Z303" s="4">
        <v>569</v>
      </c>
      <c r="AA303" s="4">
        <v>613</v>
      </c>
      <c r="AB303" s="4">
        <v>4</v>
      </c>
      <c r="AC303" s="4">
        <v>4</v>
      </c>
      <c r="AD303" s="4">
        <v>23</v>
      </c>
      <c r="AE303" s="4">
        <v>23</v>
      </c>
      <c r="AF303" s="4">
        <v>10</v>
      </c>
      <c r="AG303" s="4">
        <v>10</v>
      </c>
      <c r="AH303" s="4">
        <v>5</v>
      </c>
      <c r="AI303" s="4">
        <v>5</v>
      </c>
      <c r="AJ303" s="4">
        <v>11</v>
      </c>
      <c r="AK303" s="4">
        <v>11</v>
      </c>
      <c r="AL303" s="4">
        <v>3</v>
      </c>
      <c r="AM303" s="4">
        <v>3</v>
      </c>
      <c r="AN303" s="4">
        <v>0</v>
      </c>
      <c r="AO303" s="4">
        <v>0</v>
      </c>
      <c r="AP303" s="3" t="s">
        <v>59</v>
      </c>
      <c r="AQ303" s="3" t="s">
        <v>59</v>
      </c>
      <c r="AS303" s="6" t="str">
        <f>HYPERLINK("https://creighton-primo.hosted.exlibrisgroup.com/primo-explore/search?tab=default_tab&amp;search_scope=EVERYTHING&amp;vid=01CRU&amp;lang=en_US&amp;offset=0&amp;query=any,contains,991005053029702656","Catalog Record")</f>
        <v>Catalog Record</v>
      </c>
      <c r="AT303" s="6" t="str">
        <f>HYPERLINK("http://www.worldcat.org/oclc/6887469","WorldCat Record")</f>
        <v>WorldCat Record</v>
      </c>
      <c r="AU303" s="3" t="s">
        <v>3992</v>
      </c>
      <c r="AV303" s="3" t="s">
        <v>3993</v>
      </c>
      <c r="AW303" s="3" t="s">
        <v>3994</v>
      </c>
      <c r="AX303" s="3" t="s">
        <v>3994</v>
      </c>
      <c r="AY303" s="3" t="s">
        <v>3995</v>
      </c>
      <c r="AZ303" s="3" t="s">
        <v>76</v>
      </c>
      <c r="BB303" s="3" t="s">
        <v>3996</v>
      </c>
      <c r="BC303" s="3" t="s">
        <v>3997</v>
      </c>
      <c r="BD303" s="3" t="s">
        <v>3998</v>
      </c>
    </row>
    <row r="304" spans="1:56" ht="52.5" customHeight="1" x14ac:dyDescent="0.25">
      <c r="A304" s="7" t="s">
        <v>59</v>
      </c>
      <c r="B304" s="2" t="s">
        <v>3999</v>
      </c>
      <c r="C304" s="2" t="s">
        <v>4000</v>
      </c>
      <c r="D304" s="2" t="s">
        <v>4001</v>
      </c>
      <c r="F304" s="3" t="s">
        <v>59</v>
      </c>
      <c r="G304" s="3" t="s">
        <v>60</v>
      </c>
      <c r="H304" s="3" t="s">
        <v>59</v>
      </c>
      <c r="I304" s="3" t="s">
        <v>59</v>
      </c>
      <c r="J304" s="3" t="s">
        <v>61</v>
      </c>
      <c r="K304" s="2" t="s">
        <v>4002</v>
      </c>
      <c r="L304" s="2" t="s">
        <v>4003</v>
      </c>
      <c r="M304" s="3" t="s">
        <v>1233</v>
      </c>
      <c r="N304" s="2" t="s">
        <v>671</v>
      </c>
      <c r="O304" s="3" t="s">
        <v>65</v>
      </c>
      <c r="P304" s="3" t="s">
        <v>323</v>
      </c>
      <c r="Q304" s="2" t="s">
        <v>4004</v>
      </c>
      <c r="R304" s="3" t="s">
        <v>68</v>
      </c>
      <c r="S304" s="4">
        <v>6</v>
      </c>
      <c r="T304" s="4">
        <v>6</v>
      </c>
      <c r="U304" s="5" t="s">
        <v>4005</v>
      </c>
      <c r="V304" s="5" t="s">
        <v>4005</v>
      </c>
      <c r="W304" s="5" t="s">
        <v>3612</v>
      </c>
      <c r="X304" s="5" t="s">
        <v>3612</v>
      </c>
      <c r="Y304" s="4">
        <v>458</v>
      </c>
      <c r="Z304" s="4">
        <v>342</v>
      </c>
      <c r="AA304" s="4">
        <v>664</v>
      </c>
      <c r="AB304" s="4">
        <v>2</v>
      </c>
      <c r="AC304" s="4">
        <v>6</v>
      </c>
      <c r="AD304" s="4">
        <v>7</v>
      </c>
      <c r="AE304" s="4">
        <v>30</v>
      </c>
      <c r="AF304" s="4">
        <v>4</v>
      </c>
      <c r="AG304" s="4">
        <v>12</v>
      </c>
      <c r="AH304" s="4">
        <v>0</v>
      </c>
      <c r="AI304" s="4">
        <v>6</v>
      </c>
      <c r="AJ304" s="4">
        <v>4</v>
      </c>
      <c r="AK304" s="4">
        <v>14</v>
      </c>
      <c r="AL304" s="4">
        <v>1</v>
      </c>
      <c r="AM304" s="4">
        <v>5</v>
      </c>
      <c r="AN304" s="4">
        <v>0</v>
      </c>
      <c r="AO304" s="4">
        <v>0</v>
      </c>
      <c r="AP304" s="3" t="s">
        <v>59</v>
      </c>
      <c r="AQ304" s="3" t="s">
        <v>59</v>
      </c>
      <c r="AS304" s="6" t="str">
        <f>HYPERLINK("https://creighton-primo.hosted.exlibrisgroup.com/primo-explore/search?tab=default_tab&amp;search_scope=EVERYTHING&amp;vid=01CRU&amp;lang=en_US&amp;offset=0&amp;query=any,contains,991003012429702656","Catalog Record")</f>
        <v>Catalog Record</v>
      </c>
      <c r="AT304" s="6" t="str">
        <f>HYPERLINK("http://www.worldcat.org/oclc/578880","WorldCat Record")</f>
        <v>WorldCat Record</v>
      </c>
      <c r="AU304" s="3" t="s">
        <v>4006</v>
      </c>
      <c r="AV304" s="3" t="s">
        <v>4007</v>
      </c>
      <c r="AW304" s="3" t="s">
        <v>4008</v>
      </c>
      <c r="AX304" s="3" t="s">
        <v>4008</v>
      </c>
      <c r="AY304" s="3" t="s">
        <v>4009</v>
      </c>
      <c r="AZ304" s="3" t="s">
        <v>76</v>
      </c>
      <c r="BB304" s="3" t="s">
        <v>4010</v>
      </c>
      <c r="BC304" s="3" t="s">
        <v>4011</v>
      </c>
      <c r="BD304" s="3" t="s">
        <v>4012</v>
      </c>
    </row>
    <row r="305" spans="1:56" ht="52.5" customHeight="1" x14ac:dyDescent="0.25">
      <c r="A305" s="7" t="s">
        <v>59</v>
      </c>
      <c r="B305" s="2" t="s">
        <v>4013</v>
      </c>
      <c r="C305" s="2" t="s">
        <v>4014</v>
      </c>
      <c r="D305" s="2" t="s">
        <v>4015</v>
      </c>
      <c r="F305" s="3" t="s">
        <v>59</v>
      </c>
      <c r="G305" s="3" t="s">
        <v>60</v>
      </c>
      <c r="H305" s="3" t="s">
        <v>59</v>
      </c>
      <c r="I305" s="3" t="s">
        <v>59</v>
      </c>
      <c r="J305" s="3" t="s">
        <v>61</v>
      </c>
      <c r="K305" s="2" t="s">
        <v>4016</v>
      </c>
      <c r="L305" s="2" t="s">
        <v>4017</v>
      </c>
      <c r="M305" s="3" t="s">
        <v>365</v>
      </c>
      <c r="N305" s="2" t="s">
        <v>1975</v>
      </c>
      <c r="O305" s="3" t="s">
        <v>65</v>
      </c>
      <c r="P305" s="3" t="s">
        <v>1290</v>
      </c>
      <c r="R305" s="3" t="s">
        <v>68</v>
      </c>
      <c r="S305" s="4">
        <v>7</v>
      </c>
      <c r="T305" s="4">
        <v>7</v>
      </c>
      <c r="U305" s="5" t="s">
        <v>4018</v>
      </c>
      <c r="V305" s="5" t="s">
        <v>4018</v>
      </c>
      <c r="W305" s="5" t="s">
        <v>3612</v>
      </c>
      <c r="X305" s="5" t="s">
        <v>3612</v>
      </c>
      <c r="Y305" s="4">
        <v>213</v>
      </c>
      <c r="Z305" s="4">
        <v>148</v>
      </c>
      <c r="AA305" s="4">
        <v>445</v>
      </c>
      <c r="AB305" s="4">
        <v>3</v>
      </c>
      <c r="AC305" s="4">
        <v>5</v>
      </c>
      <c r="AD305" s="4">
        <v>4</v>
      </c>
      <c r="AE305" s="4">
        <v>15</v>
      </c>
      <c r="AF305" s="4">
        <v>2</v>
      </c>
      <c r="AG305" s="4">
        <v>5</v>
      </c>
      <c r="AH305" s="4">
        <v>0</v>
      </c>
      <c r="AI305" s="4">
        <v>3</v>
      </c>
      <c r="AJ305" s="4">
        <v>1</v>
      </c>
      <c r="AK305" s="4">
        <v>5</v>
      </c>
      <c r="AL305" s="4">
        <v>2</v>
      </c>
      <c r="AM305" s="4">
        <v>4</v>
      </c>
      <c r="AN305" s="4">
        <v>0</v>
      </c>
      <c r="AO305" s="4">
        <v>0</v>
      </c>
      <c r="AP305" s="3" t="s">
        <v>59</v>
      </c>
      <c r="AQ305" s="3" t="s">
        <v>59</v>
      </c>
      <c r="AS305" s="6" t="str">
        <f>HYPERLINK("https://creighton-primo.hosted.exlibrisgroup.com/primo-explore/search?tab=default_tab&amp;search_scope=EVERYTHING&amp;vid=01CRU&amp;lang=en_US&amp;offset=0&amp;query=any,contains,991001407159702656","Catalog Record")</f>
        <v>Catalog Record</v>
      </c>
      <c r="AT305" s="6" t="str">
        <f>HYPERLINK("http://www.worldcat.org/oclc/18854270","WorldCat Record")</f>
        <v>WorldCat Record</v>
      </c>
      <c r="AU305" s="3" t="s">
        <v>4019</v>
      </c>
      <c r="AV305" s="3" t="s">
        <v>4020</v>
      </c>
      <c r="AW305" s="3" t="s">
        <v>4021</v>
      </c>
      <c r="AX305" s="3" t="s">
        <v>4021</v>
      </c>
      <c r="AY305" s="3" t="s">
        <v>4022</v>
      </c>
      <c r="AZ305" s="3" t="s">
        <v>76</v>
      </c>
      <c r="BB305" s="3" t="s">
        <v>4023</v>
      </c>
      <c r="BC305" s="3" t="s">
        <v>4024</v>
      </c>
      <c r="BD305" s="3" t="s">
        <v>4025</v>
      </c>
    </row>
    <row r="306" spans="1:56" ht="52.5" customHeight="1" x14ac:dyDescent="0.25">
      <c r="A306" s="7" t="s">
        <v>59</v>
      </c>
      <c r="B306" s="2" t="s">
        <v>4026</v>
      </c>
      <c r="C306" s="2" t="s">
        <v>4027</v>
      </c>
      <c r="D306" s="2" t="s">
        <v>4028</v>
      </c>
      <c r="F306" s="3" t="s">
        <v>59</v>
      </c>
      <c r="G306" s="3" t="s">
        <v>60</v>
      </c>
      <c r="H306" s="3" t="s">
        <v>59</v>
      </c>
      <c r="I306" s="3" t="s">
        <v>59</v>
      </c>
      <c r="J306" s="3" t="s">
        <v>61</v>
      </c>
      <c r="K306" s="2" t="s">
        <v>4029</v>
      </c>
      <c r="L306" s="2" t="s">
        <v>4030</v>
      </c>
      <c r="M306" s="3" t="s">
        <v>1015</v>
      </c>
      <c r="O306" s="3" t="s">
        <v>65</v>
      </c>
      <c r="P306" s="3" t="s">
        <v>66</v>
      </c>
      <c r="R306" s="3" t="s">
        <v>68</v>
      </c>
      <c r="S306" s="4">
        <v>4</v>
      </c>
      <c r="T306" s="4">
        <v>4</v>
      </c>
      <c r="U306" s="5" t="s">
        <v>4031</v>
      </c>
      <c r="V306" s="5" t="s">
        <v>4031</v>
      </c>
      <c r="W306" s="5" t="s">
        <v>3522</v>
      </c>
      <c r="X306" s="5" t="s">
        <v>3522</v>
      </c>
      <c r="Y306" s="4">
        <v>532</v>
      </c>
      <c r="Z306" s="4">
        <v>447</v>
      </c>
      <c r="AA306" s="4">
        <v>456</v>
      </c>
      <c r="AB306" s="4">
        <v>4</v>
      </c>
      <c r="AC306" s="4">
        <v>4</v>
      </c>
      <c r="AD306" s="4">
        <v>13</v>
      </c>
      <c r="AE306" s="4">
        <v>13</v>
      </c>
      <c r="AF306" s="4">
        <v>7</v>
      </c>
      <c r="AG306" s="4">
        <v>7</v>
      </c>
      <c r="AH306" s="4">
        <v>3</v>
      </c>
      <c r="AI306" s="4">
        <v>3</v>
      </c>
      <c r="AJ306" s="4">
        <v>3</v>
      </c>
      <c r="AK306" s="4">
        <v>3</v>
      </c>
      <c r="AL306" s="4">
        <v>3</v>
      </c>
      <c r="AM306" s="4">
        <v>3</v>
      </c>
      <c r="AN306" s="4">
        <v>0</v>
      </c>
      <c r="AO306" s="4">
        <v>0</v>
      </c>
      <c r="AP306" s="3" t="s">
        <v>59</v>
      </c>
      <c r="AQ306" s="3" t="s">
        <v>71</v>
      </c>
      <c r="AR306" s="6" t="str">
        <f>HYPERLINK("http://catalog.hathitrust.org/Record/000382665","HathiTrust Record")</f>
        <v>HathiTrust Record</v>
      </c>
      <c r="AS306" s="6" t="str">
        <f>HYPERLINK("https://creighton-primo.hosted.exlibrisgroup.com/primo-explore/search?tab=default_tab&amp;search_scope=EVERYTHING&amp;vid=01CRU&amp;lang=en_US&amp;offset=0&amp;query=any,contains,991001207159702656","Catalog Record")</f>
        <v>Catalog Record</v>
      </c>
      <c r="AT306" s="6" t="str">
        <f>HYPERLINK("http://www.worldcat.org/oclc/192378","WorldCat Record")</f>
        <v>WorldCat Record</v>
      </c>
      <c r="AU306" s="3" t="s">
        <v>4032</v>
      </c>
      <c r="AV306" s="3" t="s">
        <v>4033</v>
      </c>
      <c r="AW306" s="3" t="s">
        <v>4034</v>
      </c>
      <c r="AX306" s="3" t="s">
        <v>4034</v>
      </c>
      <c r="AY306" s="3" t="s">
        <v>4035</v>
      </c>
      <c r="AZ306" s="3" t="s">
        <v>76</v>
      </c>
      <c r="BC306" s="3" t="s">
        <v>4036</v>
      </c>
      <c r="BD306" s="3" t="s">
        <v>4037</v>
      </c>
    </row>
    <row r="307" spans="1:56" ht="52.5" customHeight="1" x14ac:dyDescent="0.25">
      <c r="A307" s="7" t="s">
        <v>59</v>
      </c>
      <c r="B307" s="2" t="s">
        <v>4038</v>
      </c>
      <c r="C307" s="2" t="s">
        <v>4039</v>
      </c>
      <c r="D307" s="2" t="s">
        <v>4040</v>
      </c>
      <c r="F307" s="3" t="s">
        <v>59</v>
      </c>
      <c r="G307" s="3" t="s">
        <v>60</v>
      </c>
      <c r="H307" s="3" t="s">
        <v>59</v>
      </c>
      <c r="I307" s="3" t="s">
        <v>59</v>
      </c>
      <c r="J307" s="3" t="s">
        <v>61</v>
      </c>
      <c r="K307" s="2" t="s">
        <v>4041</v>
      </c>
      <c r="L307" s="2" t="s">
        <v>4042</v>
      </c>
      <c r="M307" s="3" t="s">
        <v>1217</v>
      </c>
      <c r="O307" s="3" t="s">
        <v>65</v>
      </c>
      <c r="P307" s="3" t="s">
        <v>1290</v>
      </c>
      <c r="R307" s="3" t="s">
        <v>68</v>
      </c>
      <c r="S307" s="4">
        <v>2</v>
      </c>
      <c r="T307" s="4">
        <v>2</v>
      </c>
      <c r="U307" s="5" t="s">
        <v>4043</v>
      </c>
      <c r="V307" s="5" t="s">
        <v>4043</v>
      </c>
      <c r="W307" s="5" t="s">
        <v>3612</v>
      </c>
      <c r="X307" s="5" t="s">
        <v>3612</v>
      </c>
      <c r="Y307" s="4">
        <v>241</v>
      </c>
      <c r="Z307" s="4">
        <v>177</v>
      </c>
      <c r="AA307" s="4">
        <v>177</v>
      </c>
      <c r="AB307" s="4">
        <v>3</v>
      </c>
      <c r="AC307" s="4">
        <v>3</v>
      </c>
      <c r="AD307" s="4">
        <v>6</v>
      </c>
      <c r="AE307" s="4">
        <v>6</v>
      </c>
      <c r="AF307" s="4">
        <v>3</v>
      </c>
      <c r="AG307" s="4">
        <v>3</v>
      </c>
      <c r="AH307" s="4">
        <v>0</v>
      </c>
      <c r="AI307" s="4">
        <v>0</v>
      </c>
      <c r="AJ307" s="4">
        <v>1</v>
      </c>
      <c r="AK307" s="4">
        <v>1</v>
      </c>
      <c r="AL307" s="4">
        <v>2</v>
      </c>
      <c r="AM307" s="4">
        <v>2</v>
      </c>
      <c r="AN307" s="4">
        <v>0</v>
      </c>
      <c r="AO307" s="4">
        <v>0</v>
      </c>
      <c r="AP307" s="3" t="s">
        <v>59</v>
      </c>
      <c r="AQ307" s="3" t="s">
        <v>59</v>
      </c>
      <c r="AS307" s="6" t="str">
        <f>HYPERLINK("https://creighton-primo.hosted.exlibrisgroup.com/primo-explore/search?tab=default_tab&amp;search_scope=EVERYTHING&amp;vid=01CRU&amp;lang=en_US&amp;offset=0&amp;query=any,contains,991000435039702656","Catalog Record")</f>
        <v>Catalog Record</v>
      </c>
      <c r="AT307" s="6" t="str">
        <f>HYPERLINK("http://www.worldcat.org/oclc/10789270","WorldCat Record")</f>
        <v>WorldCat Record</v>
      </c>
      <c r="AU307" s="3" t="s">
        <v>4044</v>
      </c>
      <c r="AV307" s="3" t="s">
        <v>4045</v>
      </c>
      <c r="AW307" s="3" t="s">
        <v>4046</v>
      </c>
      <c r="AX307" s="3" t="s">
        <v>4046</v>
      </c>
      <c r="AY307" s="3" t="s">
        <v>4047</v>
      </c>
      <c r="AZ307" s="3" t="s">
        <v>76</v>
      </c>
      <c r="BB307" s="3" t="s">
        <v>4048</v>
      </c>
      <c r="BC307" s="3" t="s">
        <v>4049</v>
      </c>
      <c r="BD307" s="3" t="s">
        <v>4050</v>
      </c>
    </row>
    <row r="308" spans="1:56" ht="52.5" customHeight="1" x14ac:dyDescent="0.25">
      <c r="A308" s="7" t="s">
        <v>59</v>
      </c>
      <c r="B308" s="2" t="s">
        <v>4051</v>
      </c>
      <c r="C308" s="2" t="s">
        <v>4052</v>
      </c>
      <c r="D308" s="2" t="s">
        <v>4053</v>
      </c>
      <c r="F308" s="3" t="s">
        <v>59</v>
      </c>
      <c r="G308" s="3" t="s">
        <v>60</v>
      </c>
      <c r="H308" s="3" t="s">
        <v>59</v>
      </c>
      <c r="I308" s="3" t="s">
        <v>59</v>
      </c>
      <c r="J308" s="3" t="s">
        <v>61</v>
      </c>
      <c r="K308" s="2" t="s">
        <v>4054</v>
      </c>
      <c r="L308" s="2" t="s">
        <v>4055</v>
      </c>
      <c r="M308" s="3" t="s">
        <v>616</v>
      </c>
      <c r="N308" s="2" t="s">
        <v>3938</v>
      </c>
      <c r="O308" s="3" t="s">
        <v>65</v>
      </c>
      <c r="P308" s="3" t="s">
        <v>296</v>
      </c>
      <c r="R308" s="3" t="s">
        <v>68</v>
      </c>
      <c r="S308" s="4">
        <v>4</v>
      </c>
      <c r="T308" s="4">
        <v>4</v>
      </c>
      <c r="U308" s="5" t="s">
        <v>4056</v>
      </c>
      <c r="V308" s="5" t="s">
        <v>4056</v>
      </c>
      <c r="W308" s="5" t="s">
        <v>3639</v>
      </c>
      <c r="X308" s="5" t="s">
        <v>3639</v>
      </c>
      <c r="Y308" s="4">
        <v>412</v>
      </c>
      <c r="Z308" s="4">
        <v>278</v>
      </c>
      <c r="AA308" s="4">
        <v>882</v>
      </c>
      <c r="AB308" s="4">
        <v>3</v>
      </c>
      <c r="AC308" s="4">
        <v>8</v>
      </c>
      <c r="AD308" s="4">
        <v>7</v>
      </c>
      <c r="AE308" s="4">
        <v>42</v>
      </c>
      <c r="AF308" s="4">
        <v>1</v>
      </c>
      <c r="AG308" s="4">
        <v>22</v>
      </c>
      <c r="AH308" s="4">
        <v>3</v>
      </c>
      <c r="AI308" s="4">
        <v>6</v>
      </c>
      <c r="AJ308" s="4">
        <v>4</v>
      </c>
      <c r="AK308" s="4">
        <v>18</v>
      </c>
      <c r="AL308" s="4">
        <v>2</v>
      </c>
      <c r="AM308" s="4">
        <v>7</v>
      </c>
      <c r="AN308" s="4">
        <v>0</v>
      </c>
      <c r="AO308" s="4">
        <v>0</v>
      </c>
      <c r="AP308" s="3" t="s">
        <v>59</v>
      </c>
      <c r="AQ308" s="3" t="s">
        <v>71</v>
      </c>
      <c r="AR308" s="6" t="str">
        <f>HYPERLINK("http://catalog.hathitrust.org/Record/001104428","HathiTrust Record")</f>
        <v>HathiTrust Record</v>
      </c>
      <c r="AS308" s="6" t="str">
        <f>HYPERLINK("https://creighton-primo.hosted.exlibrisgroup.com/primo-explore/search?tab=default_tab&amp;search_scope=EVERYTHING&amp;vid=01CRU&amp;lang=en_US&amp;offset=0&amp;query=any,contains,991001027469702656","Catalog Record")</f>
        <v>Catalog Record</v>
      </c>
      <c r="AT308" s="6" t="str">
        <f>HYPERLINK("http://www.worldcat.org/oclc/15487503","WorldCat Record")</f>
        <v>WorldCat Record</v>
      </c>
      <c r="AU308" s="3" t="s">
        <v>4057</v>
      </c>
      <c r="AV308" s="3" t="s">
        <v>4058</v>
      </c>
      <c r="AW308" s="3" t="s">
        <v>4059</v>
      </c>
      <c r="AX308" s="3" t="s">
        <v>4059</v>
      </c>
      <c r="AY308" s="3" t="s">
        <v>4060</v>
      </c>
      <c r="AZ308" s="3" t="s">
        <v>76</v>
      </c>
      <c r="BB308" s="3" t="s">
        <v>4061</v>
      </c>
      <c r="BC308" s="3" t="s">
        <v>4062</v>
      </c>
      <c r="BD308" s="3" t="s">
        <v>4063</v>
      </c>
    </row>
    <row r="309" spans="1:56" ht="52.5" customHeight="1" x14ac:dyDescent="0.25">
      <c r="A309" s="7" t="s">
        <v>59</v>
      </c>
      <c r="B309" s="2" t="s">
        <v>4064</v>
      </c>
      <c r="C309" s="2" t="s">
        <v>4065</v>
      </c>
      <c r="D309" s="2" t="s">
        <v>4066</v>
      </c>
      <c r="F309" s="3" t="s">
        <v>59</v>
      </c>
      <c r="G309" s="3" t="s">
        <v>60</v>
      </c>
      <c r="H309" s="3" t="s">
        <v>59</v>
      </c>
      <c r="I309" s="3" t="s">
        <v>59</v>
      </c>
      <c r="J309" s="3" t="s">
        <v>61</v>
      </c>
      <c r="K309" s="2" t="s">
        <v>4067</v>
      </c>
      <c r="L309" s="2" t="s">
        <v>4068</v>
      </c>
      <c r="M309" s="3" t="s">
        <v>195</v>
      </c>
      <c r="O309" s="3" t="s">
        <v>65</v>
      </c>
      <c r="P309" s="3" t="s">
        <v>603</v>
      </c>
      <c r="R309" s="3" t="s">
        <v>68</v>
      </c>
      <c r="S309" s="4">
        <v>5</v>
      </c>
      <c r="T309" s="4">
        <v>5</v>
      </c>
      <c r="U309" s="5" t="s">
        <v>3055</v>
      </c>
      <c r="V309" s="5" t="s">
        <v>3055</v>
      </c>
      <c r="W309" s="5" t="s">
        <v>3612</v>
      </c>
      <c r="X309" s="5" t="s">
        <v>3612</v>
      </c>
      <c r="Y309" s="4">
        <v>337</v>
      </c>
      <c r="Z309" s="4">
        <v>265</v>
      </c>
      <c r="AA309" s="4">
        <v>270</v>
      </c>
      <c r="AB309" s="4">
        <v>6</v>
      </c>
      <c r="AC309" s="4">
        <v>6</v>
      </c>
      <c r="AD309" s="4">
        <v>11</v>
      </c>
      <c r="AE309" s="4">
        <v>11</v>
      </c>
      <c r="AF309" s="4">
        <v>5</v>
      </c>
      <c r="AG309" s="4">
        <v>5</v>
      </c>
      <c r="AH309" s="4">
        <v>1</v>
      </c>
      <c r="AI309" s="4">
        <v>1</v>
      </c>
      <c r="AJ309" s="4">
        <v>3</v>
      </c>
      <c r="AK309" s="4">
        <v>3</v>
      </c>
      <c r="AL309" s="4">
        <v>5</v>
      </c>
      <c r="AM309" s="4">
        <v>5</v>
      </c>
      <c r="AN309" s="4">
        <v>0</v>
      </c>
      <c r="AO309" s="4">
        <v>0</v>
      </c>
      <c r="AP309" s="3" t="s">
        <v>59</v>
      </c>
      <c r="AQ309" s="3" t="s">
        <v>59</v>
      </c>
      <c r="AS309" s="6" t="str">
        <f>HYPERLINK("https://creighton-primo.hosted.exlibrisgroup.com/primo-explore/search?tab=default_tab&amp;search_scope=EVERYTHING&amp;vid=01CRU&amp;lang=en_US&amp;offset=0&amp;query=any,contains,991005161409702656","Catalog Record")</f>
        <v>Catalog Record</v>
      </c>
      <c r="AT309" s="6" t="str">
        <f>HYPERLINK("http://www.worldcat.org/oclc/7795166","WorldCat Record")</f>
        <v>WorldCat Record</v>
      </c>
      <c r="AU309" s="3" t="s">
        <v>4069</v>
      </c>
      <c r="AV309" s="3" t="s">
        <v>4070</v>
      </c>
      <c r="AW309" s="3" t="s">
        <v>4071</v>
      </c>
      <c r="AX309" s="3" t="s">
        <v>4071</v>
      </c>
      <c r="AY309" s="3" t="s">
        <v>4072</v>
      </c>
      <c r="AZ309" s="3" t="s">
        <v>76</v>
      </c>
      <c r="BB309" s="3" t="s">
        <v>4073</v>
      </c>
      <c r="BC309" s="3" t="s">
        <v>4074</v>
      </c>
      <c r="BD309" s="3" t="s">
        <v>4075</v>
      </c>
    </row>
    <row r="310" spans="1:56" ht="52.5" customHeight="1" x14ac:dyDescent="0.25">
      <c r="A310" s="7" t="s">
        <v>59</v>
      </c>
      <c r="B310" s="2" t="s">
        <v>4076</v>
      </c>
      <c r="C310" s="2" t="s">
        <v>4077</v>
      </c>
      <c r="D310" s="2" t="s">
        <v>4078</v>
      </c>
      <c r="F310" s="3" t="s">
        <v>59</v>
      </c>
      <c r="G310" s="3" t="s">
        <v>60</v>
      </c>
      <c r="H310" s="3" t="s">
        <v>59</v>
      </c>
      <c r="I310" s="3" t="s">
        <v>59</v>
      </c>
      <c r="J310" s="3" t="s">
        <v>61</v>
      </c>
      <c r="K310" s="2" t="s">
        <v>4079</v>
      </c>
      <c r="L310" s="2" t="s">
        <v>4080</v>
      </c>
      <c r="M310" s="3" t="s">
        <v>1233</v>
      </c>
      <c r="O310" s="3" t="s">
        <v>65</v>
      </c>
      <c r="P310" s="3" t="s">
        <v>420</v>
      </c>
      <c r="R310" s="3" t="s">
        <v>68</v>
      </c>
      <c r="S310" s="4">
        <v>5</v>
      </c>
      <c r="T310" s="4">
        <v>5</v>
      </c>
      <c r="U310" s="5" t="s">
        <v>4081</v>
      </c>
      <c r="V310" s="5" t="s">
        <v>4081</v>
      </c>
      <c r="W310" s="5" t="s">
        <v>3874</v>
      </c>
      <c r="X310" s="5" t="s">
        <v>3874</v>
      </c>
      <c r="Y310" s="4">
        <v>248</v>
      </c>
      <c r="Z310" s="4">
        <v>207</v>
      </c>
      <c r="AA310" s="4">
        <v>208</v>
      </c>
      <c r="AB310" s="4">
        <v>3</v>
      </c>
      <c r="AC310" s="4">
        <v>3</v>
      </c>
      <c r="AD310" s="4">
        <v>10</v>
      </c>
      <c r="AE310" s="4">
        <v>10</v>
      </c>
      <c r="AF310" s="4">
        <v>5</v>
      </c>
      <c r="AG310" s="4">
        <v>5</v>
      </c>
      <c r="AH310" s="4">
        <v>0</v>
      </c>
      <c r="AI310" s="4">
        <v>0</v>
      </c>
      <c r="AJ310" s="4">
        <v>4</v>
      </c>
      <c r="AK310" s="4">
        <v>4</v>
      </c>
      <c r="AL310" s="4">
        <v>2</v>
      </c>
      <c r="AM310" s="4">
        <v>2</v>
      </c>
      <c r="AN310" s="4">
        <v>0</v>
      </c>
      <c r="AO310" s="4">
        <v>0</v>
      </c>
      <c r="AP310" s="3" t="s">
        <v>59</v>
      </c>
      <c r="AQ310" s="3" t="s">
        <v>71</v>
      </c>
      <c r="AR310" s="6" t="str">
        <f>HYPERLINK("http://catalog.hathitrust.org/Record/000012212","HathiTrust Record")</f>
        <v>HathiTrust Record</v>
      </c>
      <c r="AS310" s="6" t="str">
        <f>HYPERLINK("https://creighton-primo.hosted.exlibrisgroup.com/primo-explore/search?tab=default_tab&amp;search_scope=EVERYTHING&amp;vid=01CRU&amp;lang=en_US&amp;offset=0&amp;query=any,contains,991003287919702656","Catalog Record")</f>
        <v>Catalog Record</v>
      </c>
      <c r="AT310" s="6" t="str">
        <f>HYPERLINK("http://www.worldcat.org/oclc/810116","WorldCat Record")</f>
        <v>WorldCat Record</v>
      </c>
      <c r="AU310" s="3" t="s">
        <v>4082</v>
      </c>
      <c r="AV310" s="3" t="s">
        <v>4083</v>
      </c>
      <c r="AW310" s="3" t="s">
        <v>4084</v>
      </c>
      <c r="AX310" s="3" t="s">
        <v>4084</v>
      </c>
      <c r="AY310" s="3" t="s">
        <v>4085</v>
      </c>
      <c r="AZ310" s="3" t="s">
        <v>76</v>
      </c>
      <c r="BB310" s="3" t="s">
        <v>4086</v>
      </c>
      <c r="BC310" s="3" t="s">
        <v>4087</v>
      </c>
      <c r="BD310" s="3" t="s">
        <v>4088</v>
      </c>
    </row>
    <row r="311" spans="1:56" ht="52.5" customHeight="1" x14ac:dyDescent="0.25">
      <c r="A311" s="7" t="s">
        <v>59</v>
      </c>
      <c r="B311" s="2" t="s">
        <v>4089</v>
      </c>
      <c r="C311" s="2" t="s">
        <v>4090</v>
      </c>
      <c r="D311" s="2" t="s">
        <v>4091</v>
      </c>
      <c r="F311" s="3" t="s">
        <v>59</v>
      </c>
      <c r="G311" s="3" t="s">
        <v>60</v>
      </c>
      <c r="H311" s="3" t="s">
        <v>59</v>
      </c>
      <c r="I311" s="3" t="s">
        <v>59</v>
      </c>
      <c r="J311" s="3" t="s">
        <v>61</v>
      </c>
      <c r="K311" s="2" t="s">
        <v>4092</v>
      </c>
      <c r="L311" s="2" t="s">
        <v>4093</v>
      </c>
      <c r="M311" s="3" t="s">
        <v>475</v>
      </c>
      <c r="O311" s="3" t="s">
        <v>65</v>
      </c>
      <c r="P311" s="3" t="s">
        <v>283</v>
      </c>
      <c r="Q311" s="2" t="s">
        <v>4094</v>
      </c>
      <c r="R311" s="3" t="s">
        <v>68</v>
      </c>
      <c r="S311" s="4">
        <v>2</v>
      </c>
      <c r="T311" s="4">
        <v>2</v>
      </c>
      <c r="U311" s="5" t="s">
        <v>4095</v>
      </c>
      <c r="V311" s="5" t="s">
        <v>4095</v>
      </c>
      <c r="W311" s="5" t="s">
        <v>2176</v>
      </c>
      <c r="X311" s="5" t="s">
        <v>2176</v>
      </c>
      <c r="Y311" s="4">
        <v>670</v>
      </c>
      <c r="Z311" s="4">
        <v>489</v>
      </c>
      <c r="AA311" s="4">
        <v>505</v>
      </c>
      <c r="AB311" s="4">
        <v>3</v>
      </c>
      <c r="AC311" s="4">
        <v>3</v>
      </c>
      <c r="AD311" s="4">
        <v>26</v>
      </c>
      <c r="AE311" s="4">
        <v>26</v>
      </c>
      <c r="AF311" s="4">
        <v>9</v>
      </c>
      <c r="AG311" s="4">
        <v>9</v>
      </c>
      <c r="AH311" s="4">
        <v>7</v>
      </c>
      <c r="AI311" s="4">
        <v>7</v>
      </c>
      <c r="AJ311" s="4">
        <v>16</v>
      </c>
      <c r="AK311" s="4">
        <v>16</v>
      </c>
      <c r="AL311" s="4">
        <v>2</v>
      </c>
      <c r="AM311" s="4">
        <v>2</v>
      </c>
      <c r="AN311" s="4">
        <v>0</v>
      </c>
      <c r="AO311" s="4">
        <v>0</v>
      </c>
      <c r="AP311" s="3" t="s">
        <v>59</v>
      </c>
      <c r="AQ311" s="3" t="s">
        <v>59</v>
      </c>
      <c r="AS311" s="6" t="str">
        <f>HYPERLINK("https://creighton-primo.hosted.exlibrisgroup.com/primo-explore/search?tab=default_tab&amp;search_scope=EVERYTHING&amp;vid=01CRU&amp;lang=en_US&amp;offset=0&amp;query=any,contains,991000120459702656","Catalog Record")</f>
        <v>Catalog Record</v>
      </c>
      <c r="AT311" s="6" t="str">
        <f>HYPERLINK("http://www.worldcat.org/oclc/9066377","WorldCat Record")</f>
        <v>WorldCat Record</v>
      </c>
      <c r="AU311" s="3" t="s">
        <v>4096</v>
      </c>
      <c r="AV311" s="3" t="s">
        <v>4097</v>
      </c>
      <c r="AW311" s="3" t="s">
        <v>4098</v>
      </c>
      <c r="AX311" s="3" t="s">
        <v>4098</v>
      </c>
      <c r="AY311" s="3" t="s">
        <v>4099</v>
      </c>
      <c r="AZ311" s="3" t="s">
        <v>76</v>
      </c>
      <c r="BB311" s="3" t="s">
        <v>4100</v>
      </c>
      <c r="BC311" s="3" t="s">
        <v>4101</v>
      </c>
      <c r="BD311" s="3" t="s">
        <v>4102</v>
      </c>
    </row>
    <row r="312" spans="1:56" ht="52.5" customHeight="1" x14ac:dyDescent="0.25">
      <c r="A312" s="7" t="s">
        <v>59</v>
      </c>
      <c r="B312" s="2" t="s">
        <v>4103</v>
      </c>
      <c r="C312" s="2" t="s">
        <v>4104</v>
      </c>
      <c r="D312" s="2" t="s">
        <v>4105</v>
      </c>
      <c r="F312" s="3" t="s">
        <v>59</v>
      </c>
      <c r="G312" s="3" t="s">
        <v>60</v>
      </c>
      <c r="H312" s="3" t="s">
        <v>59</v>
      </c>
      <c r="I312" s="3" t="s">
        <v>59</v>
      </c>
      <c r="J312" s="3" t="s">
        <v>61</v>
      </c>
      <c r="K312" s="2" t="s">
        <v>4092</v>
      </c>
      <c r="L312" s="2" t="s">
        <v>4106</v>
      </c>
      <c r="M312" s="3" t="s">
        <v>1163</v>
      </c>
      <c r="N312" s="2" t="s">
        <v>3938</v>
      </c>
      <c r="O312" s="3" t="s">
        <v>65</v>
      </c>
      <c r="P312" s="3" t="s">
        <v>66</v>
      </c>
      <c r="Q312" s="2" t="s">
        <v>4107</v>
      </c>
      <c r="R312" s="3" t="s">
        <v>68</v>
      </c>
      <c r="S312" s="4">
        <v>7</v>
      </c>
      <c r="T312" s="4">
        <v>7</v>
      </c>
      <c r="U312" s="5" t="s">
        <v>4108</v>
      </c>
      <c r="V312" s="5" t="s">
        <v>4108</v>
      </c>
      <c r="W312" s="5" t="s">
        <v>4109</v>
      </c>
      <c r="X312" s="5" t="s">
        <v>4109</v>
      </c>
      <c r="Y312" s="4">
        <v>465</v>
      </c>
      <c r="Z312" s="4">
        <v>305</v>
      </c>
      <c r="AA312" s="4">
        <v>851</v>
      </c>
      <c r="AB312" s="4">
        <v>1</v>
      </c>
      <c r="AC312" s="4">
        <v>3</v>
      </c>
      <c r="AD312" s="4">
        <v>12</v>
      </c>
      <c r="AE312" s="4">
        <v>38</v>
      </c>
      <c r="AF312" s="4">
        <v>3</v>
      </c>
      <c r="AG312" s="4">
        <v>20</v>
      </c>
      <c r="AH312" s="4">
        <v>3</v>
      </c>
      <c r="AI312" s="4">
        <v>8</v>
      </c>
      <c r="AJ312" s="4">
        <v>9</v>
      </c>
      <c r="AK312" s="4">
        <v>19</v>
      </c>
      <c r="AL312" s="4">
        <v>0</v>
      </c>
      <c r="AM312" s="4">
        <v>2</v>
      </c>
      <c r="AN312" s="4">
        <v>0</v>
      </c>
      <c r="AO312" s="4">
        <v>0</v>
      </c>
      <c r="AP312" s="3" t="s">
        <v>59</v>
      </c>
      <c r="AQ312" s="3" t="s">
        <v>59</v>
      </c>
      <c r="AS312" s="6" t="str">
        <f>HYPERLINK("https://creighton-primo.hosted.exlibrisgroup.com/primo-explore/search?tab=default_tab&amp;search_scope=EVERYTHING&amp;vid=01CRU&amp;lang=en_US&amp;offset=0&amp;query=any,contains,991000488549702656","Catalog Record")</f>
        <v>Catalog Record</v>
      </c>
      <c r="AT312" s="6" t="str">
        <f>HYPERLINK("http://www.worldcat.org/oclc/11090808","WorldCat Record")</f>
        <v>WorldCat Record</v>
      </c>
      <c r="AU312" s="3" t="s">
        <v>4110</v>
      </c>
      <c r="AV312" s="3" t="s">
        <v>4111</v>
      </c>
      <c r="AW312" s="3" t="s">
        <v>4112</v>
      </c>
      <c r="AX312" s="3" t="s">
        <v>4112</v>
      </c>
      <c r="AY312" s="3" t="s">
        <v>4113</v>
      </c>
      <c r="AZ312" s="3" t="s">
        <v>76</v>
      </c>
      <c r="BB312" s="3" t="s">
        <v>4114</v>
      </c>
      <c r="BC312" s="3" t="s">
        <v>4115</v>
      </c>
      <c r="BD312" s="3" t="s">
        <v>4116</v>
      </c>
    </row>
    <row r="313" spans="1:56" ht="52.5" customHeight="1" x14ac:dyDescent="0.25">
      <c r="A313" s="7" t="s">
        <v>59</v>
      </c>
      <c r="B313" s="2" t="s">
        <v>4117</v>
      </c>
      <c r="C313" s="2" t="s">
        <v>4118</v>
      </c>
      <c r="D313" s="2" t="s">
        <v>4119</v>
      </c>
      <c r="F313" s="3" t="s">
        <v>59</v>
      </c>
      <c r="G313" s="3" t="s">
        <v>60</v>
      </c>
      <c r="H313" s="3" t="s">
        <v>59</v>
      </c>
      <c r="I313" s="3" t="s">
        <v>59</v>
      </c>
      <c r="J313" s="3" t="s">
        <v>61</v>
      </c>
      <c r="K313" s="2" t="s">
        <v>4120</v>
      </c>
      <c r="L313" s="2" t="s">
        <v>4121</v>
      </c>
      <c r="M313" s="3" t="s">
        <v>616</v>
      </c>
      <c r="O313" s="3" t="s">
        <v>65</v>
      </c>
      <c r="P313" s="3" t="s">
        <v>1262</v>
      </c>
      <c r="R313" s="3" t="s">
        <v>68</v>
      </c>
      <c r="S313" s="4">
        <v>2</v>
      </c>
      <c r="T313" s="4">
        <v>2</v>
      </c>
      <c r="U313" s="5" t="s">
        <v>4122</v>
      </c>
      <c r="V313" s="5" t="s">
        <v>4122</v>
      </c>
      <c r="W313" s="5" t="s">
        <v>4123</v>
      </c>
      <c r="X313" s="5" t="s">
        <v>4123</v>
      </c>
      <c r="Y313" s="4">
        <v>480</v>
      </c>
      <c r="Z313" s="4">
        <v>327</v>
      </c>
      <c r="AA313" s="4">
        <v>352</v>
      </c>
      <c r="AB313" s="4">
        <v>3</v>
      </c>
      <c r="AC313" s="4">
        <v>3</v>
      </c>
      <c r="AD313" s="4">
        <v>18</v>
      </c>
      <c r="AE313" s="4">
        <v>19</v>
      </c>
      <c r="AF313" s="4">
        <v>3</v>
      </c>
      <c r="AG313" s="4">
        <v>4</v>
      </c>
      <c r="AH313" s="4">
        <v>7</v>
      </c>
      <c r="AI313" s="4">
        <v>7</v>
      </c>
      <c r="AJ313" s="4">
        <v>11</v>
      </c>
      <c r="AK313" s="4">
        <v>11</v>
      </c>
      <c r="AL313" s="4">
        <v>2</v>
      </c>
      <c r="AM313" s="4">
        <v>2</v>
      </c>
      <c r="AN313" s="4">
        <v>0</v>
      </c>
      <c r="AO313" s="4">
        <v>0</v>
      </c>
      <c r="AP313" s="3" t="s">
        <v>59</v>
      </c>
      <c r="AQ313" s="3" t="s">
        <v>59</v>
      </c>
      <c r="AS313" s="6" t="str">
        <f>HYPERLINK("https://creighton-primo.hosted.exlibrisgroup.com/primo-explore/search?tab=default_tab&amp;search_scope=EVERYTHING&amp;vid=01CRU&amp;lang=en_US&amp;offset=0&amp;query=any,contains,991001101799702656","Catalog Record")</f>
        <v>Catalog Record</v>
      </c>
      <c r="AT313" s="6" t="str">
        <f>HYPERLINK("http://www.worldcat.org/oclc/16354559","WorldCat Record")</f>
        <v>WorldCat Record</v>
      </c>
      <c r="AU313" s="3" t="s">
        <v>4124</v>
      </c>
      <c r="AV313" s="3" t="s">
        <v>4125</v>
      </c>
      <c r="AW313" s="3" t="s">
        <v>4126</v>
      </c>
      <c r="AX313" s="3" t="s">
        <v>4126</v>
      </c>
      <c r="AY313" s="3" t="s">
        <v>4127</v>
      </c>
      <c r="AZ313" s="3" t="s">
        <v>76</v>
      </c>
      <c r="BB313" s="3" t="s">
        <v>4128</v>
      </c>
      <c r="BC313" s="3" t="s">
        <v>4129</v>
      </c>
      <c r="BD313" s="3" t="s">
        <v>4130</v>
      </c>
    </row>
    <row r="314" spans="1:56" ht="52.5" customHeight="1" x14ac:dyDescent="0.25">
      <c r="A314" s="7" t="s">
        <v>59</v>
      </c>
      <c r="B314" s="2" t="s">
        <v>4131</v>
      </c>
      <c r="C314" s="2" t="s">
        <v>4132</v>
      </c>
      <c r="D314" s="2" t="s">
        <v>4133</v>
      </c>
      <c r="F314" s="3" t="s">
        <v>59</v>
      </c>
      <c r="G314" s="3" t="s">
        <v>60</v>
      </c>
      <c r="H314" s="3" t="s">
        <v>59</v>
      </c>
      <c r="I314" s="3" t="s">
        <v>59</v>
      </c>
      <c r="J314" s="3" t="s">
        <v>61</v>
      </c>
      <c r="K314" s="2" t="s">
        <v>4134</v>
      </c>
      <c r="L314" s="2" t="s">
        <v>4135</v>
      </c>
      <c r="M314" s="3" t="s">
        <v>616</v>
      </c>
      <c r="O314" s="3" t="s">
        <v>65</v>
      </c>
      <c r="P314" s="3" t="s">
        <v>1262</v>
      </c>
      <c r="R314" s="3" t="s">
        <v>68</v>
      </c>
      <c r="S314" s="4">
        <v>4</v>
      </c>
      <c r="T314" s="4">
        <v>4</v>
      </c>
      <c r="U314" s="5" t="s">
        <v>4136</v>
      </c>
      <c r="V314" s="5" t="s">
        <v>4136</v>
      </c>
      <c r="W314" s="5" t="s">
        <v>4137</v>
      </c>
      <c r="X314" s="5" t="s">
        <v>4137</v>
      </c>
      <c r="Y314" s="4">
        <v>401</v>
      </c>
      <c r="Z314" s="4">
        <v>261</v>
      </c>
      <c r="AA314" s="4">
        <v>317</v>
      </c>
      <c r="AB314" s="4">
        <v>6</v>
      </c>
      <c r="AC314" s="4">
        <v>6</v>
      </c>
      <c r="AD314" s="4">
        <v>13</v>
      </c>
      <c r="AE314" s="4">
        <v>15</v>
      </c>
      <c r="AF314" s="4">
        <v>4</v>
      </c>
      <c r="AG314" s="4">
        <v>5</v>
      </c>
      <c r="AH314" s="4">
        <v>1</v>
      </c>
      <c r="AI314" s="4">
        <v>2</v>
      </c>
      <c r="AJ314" s="4">
        <v>6</v>
      </c>
      <c r="AK314" s="4">
        <v>7</v>
      </c>
      <c r="AL314" s="4">
        <v>5</v>
      </c>
      <c r="AM314" s="4">
        <v>5</v>
      </c>
      <c r="AN314" s="4">
        <v>0</v>
      </c>
      <c r="AO314" s="4">
        <v>0</v>
      </c>
      <c r="AP314" s="3" t="s">
        <v>59</v>
      </c>
      <c r="AQ314" s="3" t="s">
        <v>59</v>
      </c>
      <c r="AS314" s="6" t="str">
        <f>HYPERLINK("https://creighton-primo.hosted.exlibrisgroup.com/primo-explore/search?tab=default_tab&amp;search_scope=EVERYTHING&amp;vid=01CRU&amp;lang=en_US&amp;offset=0&amp;query=any,contains,991001100869702656","Catalog Record")</f>
        <v>Catalog Record</v>
      </c>
      <c r="AT314" s="6" t="str">
        <f>HYPERLINK("http://www.worldcat.org/oclc/16352854","WorldCat Record")</f>
        <v>WorldCat Record</v>
      </c>
      <c r="AU314" s="3" t="s">
        <v>4138</v>
      </c>
      <c r="AV314" s="3" t="s">
        <v>4139</v>
      </c>
      <c r="AW314" s="3" t="s">
        <v>4140</v>
      </c>
      <c r="AX314" s="3" t="s">
        <v>4140</v>
      </c>
      <c r="AY314" s="3" t="s">
        <v>4141</v>
      </c>
      <c r="AZ314" s="3" t="s">
        <v>76</v>
      </c>
      <c r="BB314" s="3" t="s">
        <v>4142</v>
      </c>
      <c r="BC314" s="3" t="s">
        <v>4143</v>
      </c>
      <c r="BD314" s="3" t="s">
        <v>4144</v>
      </c>
    </row>
    <row r="315" spans="1:56" ht="52.5" customHeight="1" x14ac:dyDescent="0.25">
      <c r="A315" s="7" t="s">
        <v>59</v>
      </c>
      <c r="B315" s="2" t="s">
        <v>4145</v>
      </c>
      <c r="C315" s="2" t="s">
        <v>4146</v>
      </c>
      <c r="D315" s="2" t="s">
        <v>4147</v>
      </c>
      <c r="F315" s="3" t="s">
        <v>59</v>
      </c>
      <c r="G315" s="3" t="s">
        <v>60</v>
      </c>
      <c r="H315" s="3" t="s">
        <v>59</v>
      </c>
      <c r="I315" s="3" t="s">
        <v>59</v>
      </c>
      <c r="J315" s="3" t="s">
        <v>61</v>
      </c>
      <c r="K315" s="2" t="s">
        <v>4148</v>
      </c>
      <c r="L315" s="2" t="s">
        <v>4149</v>
      </c>
      <c r="M315" s="3" t="s">
        <v>115</v>
      </c>
      <c r="O315" s="3" t="s">
        <v>65</v>
      </c>
      <c r="P315" s="3" t="s">
        <v>66</v>
      </c>
      <c r="R315" s="3" t="s">
        <v>68</v>
      </c>
      <c r="S315" s="4">
        <v>3</v>
      </c>
      <c r="T315" s="4">
        <v>3</v>
      </c>
      <c r="U315" s="5" t="s">
        <v>4150</v>
      </c>
      <c r="V315" s="5" t="s">
        <v>4150</v>
      </c>
      <c r="W315" s="5" t="s">
        <v>3874</v>
      </c>
      <c r="X315" s="5" t="s">
        <v>3874</v>
      </c>
      <c r="Y315" s="4">
        <v>384</v>
      </c>
      <c r="Z315" s="4">
        <v>271</v>
      </c>
      <c r="AA315" s="4">
        <v>273</v>
      </c>
      <c r="AB315" s="4">
        <v>3</v>
      </c>
      <c r="AC315" s="4">
        <v>3</v>
      </c>
      <c r="AD315" s="4">
        <v>13</v>
      </c>
      <c r="AE315" s="4">
        <v>13</v>
      </c>
      <c r="AF315" s="4">
        <v>3</v>
      </c>
      <c r="AG315" s="4">
        <v>3</v>
      </c>
      <c r="AH315" s="4">
        <v>2</v>
      </c>
      <c r="AI315" s="4">
        <v>2</v>
      </c>
      <c r="AJ315" s="4">
        <v>10</v>
      </c>
      <c r="AK315" s="4">
        <v>10</v>
      </c>
      <c r="AL315" s="4">
        <v>2</v>
      </c>
      <c r="AM315" s="4">
        <v>2</v>
      </c>
      <c r="AN315" s="4">
        <v>0</v>
      </c>
      <c r="AO315" s="4">
        <v>0</v>
      </c>
      <c r="AP315" s="3" t="s">
        <v>59</v>
      </c>
      <c r="AQ315" s="3" t="s">
        <v>71</v>
      </c>
      <c r="AR315" s="6" t="str">
        <f>HYPERLINK("http://catalog.hathitrust.org/Record/004444351","HathiTrust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HYPERLINK("https://creighton-primo.hosted.exlibrisgroup.com/primo-explore/search?tab=default_tab&amp;search_scope=EVERYTHING&amp;vid=01CRU&amp;lang=en_US&amp;offset=0&amp;query=any,contains,991002412679702656","Catalog Record")</f>
        <v>Catalog Record</v>
      </c>
      <c r="AT315" s="6" t="str">
        <f>HYPERLINK("http://www.worldcat.org/oclc/340376","WorldCat Record")</f>
        <v>WorldCat Record</v>
      </c>
      <c r="AU315" s="3" t="s">
        <v>4151</v>
      </c>
      <c r="AV315" s="3" t="s">
        <v>4152</v>
      </c>
      <c r="AW315" s="3" t="s">
        <v>4153</v>
      </c>
      <c r="AX315" s="3" t="s">
        <v>4153</v>
      </c>
      <c r="AY315" s="3" t="s">
        <v>4154</v>
      </c>
      <c r="AZ315" s="3" t="s">
        <v>76</v>
      </c>
      <c r="BB315" s="3" t="s">
        <v>4155</v>
      </c>
      <c r="BC315" s="3" t="s">
        <v>4156</v>
      </c>
      <c r="BD315" s="3" t="s">
        <v>4157</v>
      </c>
    </row>
    <row r="316" spans="1:56" ht="52.5" customHeight="1" x14ac:dyDescent="0.25">
      <c r="A316" s="7" t="s">
        <v>59</v>
      </c>
      <c r="B316" s="2" t="s">
        <v>4158</v>
      </c>
      <c r="C316" s="2" t="s">
        <v>4159</v>
      </c>
      <c r="D316" s="2" t="s">
        <v>4160</v>
      </c>
      <c r="F316" s="3" t="s">
        <v>59</v>
      </c>
      <c r="G316" s="3" t="s">
        <v>60</v>
      </c>
      <c r="H316" s="3" t="s">
        <v>59</v>
      </c>
      <c r="I316" s="3" t="s">
        <v>59</v>
      </c>
      <c r="J316" s="3" t="s">
        <v>61</v>
      </c>
      <c r="K316" s="2" t="s">
        <v>4161</v>
      </c>
      <c r="L316" s="2" t="s">
        <v>4162</v>
      </c>
      <c r="M316" s="3" t="s">
        <v>131</v>
      </c>
      <c r="O316" s="3" t="s">
        <v>65</v>
      </c>
      <c r="P316" s="3" t="s">
        <v>1262</v>
      </c>
      <c r="Q316" s="2" t="s">
        <v>4163</v>
      </c>
      <c r="R316" s="3" t="s">
        <v>68</v>
      </c>
      <c r="S316" s="4">
        <v>3</v>
      </c>
      <c r="T316" s="4">
        <v>3</v>
      </c>
      <c r="U316" s="5" t="s">
        <v>4164</v>
      </c>
      <c r="V316" s="5" t="s">
        <v>4164</v>
      </c>
      <c r="W316" s="5" t="s">
        <v>2545</v>
      </c>
      <c r="X316" s="5" t="s">
        <v>2545</v>
      </c>
      <c r="Y316" s="4">
        <v>639</v>
      </c>
      <c r="Z316" s="4">
        <v>417</v>
      </c>
      <c r="AA316" s="4">
        <v>441</v>
      </c>
      <c r="AB316" s="4">
        <v>2</v>
      </c>
      <c r="AC316" s="4">
        <v>2</v>
      </c>
      <c r="AD316" s="4">
        <v>21</v>
      </c>
      <c r="AE316" s="4">
        <v>21</v>
      </c>
      <c r="AF316" s="4">
        <v>7</v>
      </c>
      <c r="AG316" s="4">
        <v>7</v>
      </c>
      <c r="AH316" s="4">
        <v>5</v>
      </c>
      <c r="AI316" s="4">
        <v>5</v>
      </c>
      <c r="AJ316" s="4">
        <v>12</v>
      </c>
      <c r="AK316" s="4">
        <v>12</v>
      </c>
      <c r="AL316" s="4">
        <v>1</v>
      </c>
      <c r="AM316" s="4">
        <v>1</v>
      </c>
      <c r="AN316" s="4">
        <v>0</v>
      </c>
      <c r="AO316" s="4">
        <v>0</v>
      </c>
      <c r="AP316" s="3" t="s">
        <v>59</v>
      </c>
      <c r="AQ316" s="3" t="s">
        <v>71</v>
      </c>
      <c r="AR316" s="6" t="str">
        <f>HYPERLINK("http://catalog.hathitrust.org/Record/000013242","HathiTrust Record")</f>
        <v>HathiTrust Record</v>
      </c>
      <c r="AS316" s="6" t="str">
        <f>HYPERLINK("https://creighton-primo.hosted.exlibrisgroup.com/primo-explore/search?tab=default_tab&amp;search_scope=EVERYTHING&amp;vid=01CRU&amp;lang=en_US&amp;offset=0&amp;query=any,contains,991003329309702656","Catalog Record")</f>
        <v>Catalog Record</v>
      </c>
      <c r="AT316" s="6" t="str">
        <f>HYPERLINK("http://www.worldcat.org/oclc/859154","WorldCat Record")</f>
        <v>WorldCat Record</v>
      </c>
      <c r="AU316" s="3" t="s">
        <v>4165</v>
      </c>
      <c r="AV316" s="3" t="s">
        <v>4166</v>
      </c>
      <c r="AW316" s="3" t="s">
        <v>4167</v>
      </c>
      <c r="AX316" s="3" t="s">
        <v>4167</v>
      </c>
      <c r="AY316" s="3" t="s">
        <v>4168</v>
      </c>
      <c r="AZ316" s="3" t="s">
        <v>76</v>
      </c>
      <c r="BB316" s="3" t="s">
        <v>4169</v>
      </c>
      <c r="BC316" s="3" t="s">
        <v>4170</v>
      </c>
      <c r="BD316" s="3" t="s">
        <v>4171</v>
      </c>
    </row>
    <row r="317" spans="1:56" ht="52.5" customHeight="1" x14ac:dyDescent="0.25">
      <c r="A317" s="7" t="s">
        <v>59</v>
      </c>
      <c r="B317" s="2" t="s">
        <v>4172</v>
      </c>
      <c r="C317" s="2" t="s">
        <v>4173</v>
      </c>
      <c r="D317" s="2" t="s">
        <v>4174</v>
      </c>
      <c r="F317" s="3" t="s">
        <v>59</v>
      </c>
      <c r="G317" s="3" t="s">
        <v>60</v>
      </c>
      <c r="H317" s="3" t="s">
        <v>59</v>
      </c>
      <c r="I317" s="3" t="s">
        <v>59</v>
      </c>
      <c r="J317" s="3" t="s">
        <v>61</v>
      </c>
      <c r="K317" s="2" t="s">
        <v>4175</v>
      </c>
      <c r="L317" s="2" t="s">
        <v>4176</v>
      </c>
      <c r="M317" s="3" t="s">
        <v>1000</v>
      </c>
      <c r="O317" s="3" t="s">
        <v>65</v>
      </c>
      <c r="P317" s="3" t="s">
        <v>699</v>
      </c>
      <c r="Q317" s="2" t="s">
        <v>4177</v>
      </c>
      <c r="R317" s="3" t="s">
        <v>68</v>
      </c>
      <c r="S317" s="4">
        <v>7</v>
      </c>
      <c r="T317" s="4">
        <v>7</v>
      </c>
      <c r="U317" s="5" t="s">
        <v>4178</v>
      </c>
      <c r="V317" s="5" t="s">
        <v>4178</v>
      </c>
      <c r="W317" s="5" t="s">
        <v>3612</v>
      </c>
      <c r="X317" s="5" t="s">
        <v>3612</v>
      </c>
      <c r="Y317" s="4">
        <v>372</v>
      </c>
      <c r="Z317" s="4">
        <v>244</v>
      </c>
      <c r="AA317" s="4">
        <v>361</v>
      </c>
      <c r="AB317" s="4">
        <v>3</v>
      </c>
      <c r="AC317" s="4">
        <v>3</v>
      </c>
      <c r="AD317" s="4">
        <v>11</v>
      </c>
      <c r="AE317" s="4">
        <v>19</v>
      </c>
      <c r="AF317" s="4">
        <v>2</v>
      </c>
      <c r="AG317" s="4">
        <v>5</v>
      </c>
      <c r="AH317" s="4">
        <v>4</v>
      </c>
      <c r="AI317" s="4">
        <v>7</v>
      </c>
      <c r="AJ317" s="4">
        <v>5</v>
      </c>
      <c r="AK317" s="4">
        <v>10</v>
      </c>
      <c r="AL317" s="4">
        <v>2</v>
      </c>
      <c r="AM317" s="4">
        <v>2</v>
      </c>
      <c r="AN317" s="4">
        <v>0</v>
      </c>
      <c r="AO317" s="4">
        <v>0</v>
      </c>
      <c r="AP317" s="3" t="s">
        <v>59</v>
      </c>
      <c r="AQ317" s="3" t="s">
        <v>71</v>
      </c>
      <c r="AR317" s="6" t="str">
        <f>HYPERLINK("http://catalog.hathitrust.org/Record/007116128","HathiTrust Record")</f>
        <v>HathiTrust Record</v>
      </c>
      <c r="AS317" s="6" t="str">
        <f>HYPERLINK("https://creighton-primo.hosted.exlibrisgroup.com/primo-explore/search?tab=default_tab&amp;search_scope=EVERYTHING&amp;vid=01CRU&amp;lang=en_US&amp;offset=0&amp;query=any,contains,991004564419702656","Catalog Record")</f>
        <v>Catalog Record</v>
      </c>
      <c r="AT317" s="6" t="str">
        <f>HYPERLINK("http://www.worldcat.org/oclc/4004156","WorldCat Record")</f>
        <v>WorldCat Record</v>
      </c>
      <c r="AU317" s="3" t="s">
        <v>4179</v>
      </c>
      <c r="AV317" s="3" t="s">
        <v>4180</v>
      </c>
      <c r="AW317" s="3" t="s">
        <v>4181</v>
      </c>
      <c r="AX317" s="3" t="s">
        <v>4181</v>
      </c>
      <c r="AY317" s="3" t="s">
        <v>4182</v>
      </c>
      <c r="AZ317" s="3" t="s">
        <v>76</v>
      </c>
      <c r="BB317" s="3" t="s">
        <v>4183</v>
      </c>
      <c r="BC317" s="3" t="s">
        <v>4184</v>
      </c>
      <c r="BD317" s="3" t="s">
        <v>4185</v>
      </c>
    </row>
    <row r="318" spans="1:56" ht="52.5" customHeight="1" x14ac:dyDescent="0.25">
      <c r="A318" s="7" t="s">
        <v>59</v>
      </c>
      <c r="B318" s="2" t="s">
        <v>4186</v>
      </c>
      <c r="C318" s="2" t="s">
        <v>4187</v>
      </c>
      <c r="D318" s="2" t="s">
        <v>4188</v>
      </c>
      <c r="F318" s="3" t="s">
        <v>59</v>
      </c>
      <c r="G318" s="3" t="s">
        <v>60</v>
      </c>
      <c r="H318" s="3" t="s">
        <v>59</v>
      </c>
      <c r="I318" s="3" t="s">
        <v>59</v>
      </c>
      <c r="J318" s="3" t="s">
        <v>61</v>
      </c>
      <c r="K318" s="2" t="s">
        <v>1260</v>
      </c>
      <c r="L318" s="2" t="s">
        <v>4189</v>
      </c>
      <c r="M318" s="3" t="s">
        <v>684</v>
      </c>
      <c r="O318" s="3" t="s">
        <v>65</v>
      </c>
      <c r="P318" s="3" t="s">
        <v>1262</v>
      </c>
      <c r="Q318" s="2" t="s">
        <v>1263</v>
      </c>
      <c r="R318" s="3" t="s">
        <v>68</v>
      </c>
      <c r="S318" s="4">
        <v>4</v>
      </c>
      <c r="T318" s="4">
        <v>4</v>
      </c>
      <c r="U318" s="5" t="s">
        <v>2257</v>
      </c>
      <c r="V318" s="5" t="s">
        <v>2257</v>
      </c>
      <c r="W318" s="5" t="s">
        <v>3612</v>
      </c>
      <c r="X318" s="5" t="s">
        <v>3612</v>
      </c>
      <c r="Y318" s="4">
        <v>281</v>
      </c>
      <c r="Z318" s="4">
        <v>183</v>
      </c>
      <c r="AA318" s="4">
        <v>191</v>
      </c>
      <c r="AB318" s="4">
        <v>2</v>
      </c>
      <c r="AC318" s="4">
        <v>2</v>
      </c>
      <c r="AD318" s="4">
        <v>18</v>
      </c>
      <c r="AE318" s="4">
        <v>18</v>
      </c>
      <c r="AF318" s="4">
        <v>6</v>
      </c>
      <c r="AG318" s="4">
        <v>6</v>
      </c>
      <c r="AH318" s="4">
        <v>3</v>
      </c>
      <c r="AI318" s="4">
        <v>3</v>
      </c>
      <c r="AJ318" s="4">
        <v>15</v>
      </c>
      <c r="AK318" s="4">
        <v>15</v>
      </c>
      <c r="AL318" s="4">
        <v>1</v>
      </c>
      <c r="AM318" s="4">
        <v>1</v>
      </c>
      <c r="AN318" s="4">
        <v>0</v>
      </c>
      <c r="AO318" s="4">
        <v>0</v>
      </c>
      <c r="AP318" s="3" t="s">
        <v>59</v>
      </c>
      <c r="AQ318" s="3" t="s">
        <v>59</v>
      </c>
      <c r="AS318" s="6" t="str">
        <f>HYPERLINK("https://creighton-primo.hosted.exlibrisgroup.com/primo-explore/search?tab=default_tab&amp;search_scope=EVERYTHING&amp;vid=01CRU&amp;lang=en_US&amp;offset=0&amp;query=any,contains,991004956499702656","Catalog Record")</f>
        <v>Catalog Record</v>
      </c>
      <c r="AT318" s="6" t="str">
        <f>HYPERLINK("http://www.worldcat.org/oclc/6278711","WorldCat Record")</f>
        <v>WorldCat Record</v>
      </c>
      <c r="AU318" s="3" t="s">
        <v>4190</v>
      </c>
      <c r="AV318" s="3" t="s">
        <v>4191</v>
      </c>
      <c r="AW318" s="3" t="s">
        <v>4192</v>
      </c>
      <c r="AX318" s="3" t="s">
        <v>4192</v>
      </c>
      <c r="AY318" s="3" t="s">
        <v>4193</v>
      </c>
      <c r="AZ318" s="3" t="s">
        <v>76</v>
      </c>
      <c r="BB318" s="3" t="s">
        <v>4194</v>
      </c>
      <c r="BC318" s="3" t="s">
        <v>4195</v>
      </c>
      <c r="BD318" s="3" t="s">
        <v>4196</v>
      </c>
    </row>
    <row r="319" spans="1:56" ht="52.5" customHeight="1" x14ac:dyDescent="0.25">
      <c r="A319" s="7" t="s">
        <v>59</v>
      </c>
      <c r="B319" s="2" t="s">
        <v>4197</v>
      </c>
      <c r="C319" s="2" t="s">
        <v>4198</v>
      </c>
      <c r="D319" s="2" t="s">
        <v>4199</v>
      </c>
      <c r="E319" s="3" t="s">
        <v>768</v>
      </c>
      <c r="F319" s="3" t="s">
        <v>71</v>
      </c>
      <c r="G319" s="3" t="s">
        <v>60</v>
      </c>
      <c r="H319" s="3" t="s">
        <v>59</v>
      </c>
      <c r="I319" s="3" t="s">
        <v>59</v>
      </c>
      <c r="J319" s="3" t="s">
        <v>61</v>
      </c>
      <c r="L319" s="2" t="s">
        <v>4200</v>
      </c>
      <c r="M319" s="3" t="s">
        <v>131</v>
      </c>
      <c r="O319" s="3" t="s">
        <v>65</v>
      </c>
      <c r="P319" s="3" t="s">
        <v>699</v>
      </c>
      <c r="R319" s="3" t="s">
        <v>68</v>
      </c>
      <c r="S319" s="4">
        <v>2</v>
      </c>
      <c r="T319" s="4">
        <v>2</v>
      </c>
      <c r="U319" s="5" t="s">
        <v>4201</v>
      </c>
      <c r="V319" s="5" t="s">
        <v>4201</v>
      </c>
      <c r="W319" s="5" t="s">
        <v>3612</v>
      </c>
      <c r="X319" s="5" t="s">
        <v>3612</v>
      </c>
      <c r="Y319" s="4">
        <v>153</v>
      </c>
      <c r="Z319" s="4">
        <v>114</v>
      </c>
      <c r="AA319" s="4">
        <v>529</v>
      </c>
      <c r="AB319" s="4">
        <v>2</v>
      </c>
      <c r="AC319" s="4">
        <v>3</v>
      </c>
      <c r="AD319" s="4">
        <v>4</v>
      </c>
      <c r="AE319" s="4">
        <v>25</v>
      </c>
      <c r="AF319" s="4">
        <v>1</v>
      </c>
      <c r="AG319" s="4">
        <v>11</v>
      </c>
      <c r="AH319" s="4">
        <v>1</v>
      </c>
      <c r="AI319" s="4">
        <v>8</v>
      </c>
      <c r="AJ319" s="4">
        <v>2</v>
      </c>
      <c r="AK319" s="4">
        <v>12</v>
      </c>
      <c r="AL319" s="4">
        <v>1</v>
      </c>
      <c r="AM319" s="4">
        <v>2</v>
      </c>
      <c r="AN319" s="4">
        <v>0</v>
      </c>
      <c r="AO319" s="4">
        <v>0</v>
      </c>
      <c r="AP319" s="3" t="s">
        <v>59</v>
      </c>
      <c r="AQ319" s="3" t="s">
        <v>71</v>
      </c>
      <c r="AR319" s="6" t="str">
        <f>HYPERLINK("http://catalog.hathitrust.org/Record/000164424","HathiTrust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HYPERLINK("https://creighton-primo.hosted.exlibrisgroup.com/primo-explore/search?tab=default_tab&amp;search_scope=EVERYTHING&amp;vid=01CRU&amp;lang=en_US&amp;offset=0&amp;query=any,contains,991005231559702656","Catalog Record")</f>
        <v>Catalog Record</v>
      </c>
      <c r="AT319" s="6" t="str">
        <f>HYPERLINK("http://www.worldcat.org/oclc/8336950","WorldCat Record")</f>
        <v>WorldCat Record</v>
      </c>
      <c r="AU319" s="3" t="s">
        <v>4202</v>
      </c>
      <c r="AV319" s="3" t="s">
        <v>4203</v>
      </c>
      <c r="AW319" s="3" t="s">
        <v>4204</v>
      </c>
      <c r="AX319" s="3" t="s">
        <v>4204</v>
      </c>
      <c r="AY319" s="3" t="s">
        <v>4205</v>
      </c>
      <c r="AZ319" s="3" t="s">
        <v>76</v>
      </c>
      <c r="BB319" s="3" t="s">
        <v>4206</v>
      </c>
      <c r="BC319" s="3" t="s">
        <v>4207</v>
      </c>
      <c r="BD319" s="3" t="s">
        <v>4208</v>
      </c>
    </row>
    <row r="320" spans="1:56" ht="52.5" customHeight="1" x14ac:dyDescent="0.25">
      <c r="A320" s="7" t="s">
        <v>59</v>
      </c>
      <c r="B320" s="2" t="s">
        <v>4197</v>
      </c>
      <c r="C320" s="2" t="s">
        <v>4198</v>
      </c>
      <c r="D320" s="2" t="s">
        <v>4199</v>
      </c>
      <c r="E320" s="3" t="s">
        <v>781</v>
      </c>
      <c r="F320" s="3" t="s">
        <v>71</v>
      </c>
      <c r="G320" s="3" t="s">
        <v>60</v>
      </c>
      <c r="H320" s="3" t="s">
        <v>59</v>
      </c>
      <c r="I320" s="3" t="s">
        <v>59</v>
      </c>
      <c r="J320" s="3" t="s">
        <v>61</v>
      </c>
      <c r="L320" s="2" t="s">
        <v>4200</v>
      </c>
      <c r="M320" s="3" t="s">
        <v>131</v>
      </c>
      <c r="O320" s="3" t="s">
        <v>65</v>
      </c>
      <c r="P320" s="3" t="s">
        <v>699</v>
      </c>
      <c r="R320" s="3" t="s">
        <v>68</v>
      </c>
      <c r="S320" s="4">
        <v>0</v>
      </c>
      <c r="T320" s="4">
        <v>2</v>
      </c>
      <c r="V320" s="5" t="s">
        <v>4201</v>
      </c>
      <c r="W320" s="5" t="s">
        <v>3612</v>
      </c>
      <c r="X320" s="5" t="s">
        <v>3612</v>
      </c>
      <c r="Y320" s="4">
        <v>153</v>
      </c>
      <c r="Z320" s="4">
        <v>114</v>
      </c>
      <c r="AA320" s="4">
        <v>529</v>
      </c>
      <c r="AB320" s="4">
        <v>2</v>
      </c>
      <c r="AC320" s="4">
        <v>3</v>
      </c>
      <c r="AD320" s="4">
        <v>4</v>
      </c>
      <c r="AE320" s="4">
        <v>25</v>
      </c>
      <c r="AF320" s="4">
        <v>1</v>
      </c>
      <c r="AG320" s="4">
        <v>11</v>
      </c>
      <c r="AH320" s="4">
        <v>1</v>
      </c>
      <c r="AI320" s="4">
        <v>8</v>
      </c>
      <c r="AJ320" s="4">
        <v>2</v>
      </c>
      <c r="AK320" s="4">
        <v>12</v>
      </c>
      <c r="AL320" s="4">
        <v>1</v>
      </c>
      <c r="AM320" s="4">
        <v>2</v>
      </c>
      <c r="AN320" s="4">
        <v>0</v>
      </c>
      <c r="AO320" s="4">
        <v>0</v>
      </c>
      <c r="AP320" s="3" t="s">
        <v>59</v>
      </c>
      <c r="AQ320" s="3" t="s">
        <v>71</v>
      </c>
      <c r="AR320" s="6" t="str">
        <f>HYPERLINK("http://catalog.hathitrust.org/Record/000164424","HathiTrust Record")</f>
        <v>HathiTrust Record</v>
      </c>
      <c r="AS320" s="6" t="str">
        <f>HYPERLINK("https://creighton-primo.hosted.exlibrisgroup.com/primo-explore/search?tab=default_tab&amp;search_scope=EVERYTHING&amp;vid=01CRU&amp;lang=en_US&amp;offset=0&amp;query=any,contains,991005231559702656","Catalog Record")</f>
        <v>Catalog Record</v>
      </c>
      <c r="AT320" s="6" t="str">
        <f>HYPERLINK("http://www.worldcat.org/oclc/8336950","WorldCat Record")</f>
        <v>WorldCat Record</v>
      </c>
      <c r="AU320" s="3" t="s">
        <v>4202</v>
      </c>
      <c r="AV320" s="3" t="s">
        <v>4203</v>
      </c>
      <c r="AW320" s="3" t="s">
        <v>4204</v>
      </c>
      <c r="AX320" s="3" t="s">
        <v>4204</v>
      </c>
      <c r="AY320" s="3" t="s">
        <v>4205</v>
      </c>
      <c r="AZ320" s="3" t="s">
        <v>76</v>
      </c>
      <c r="BB320" s="3" t="s">
        <v>4206</v>
      </c>
      <c r="BC320" s="3" t="s">
        <v>4209</v>
      </c>
      <c r="BD320" s="3" t="s">
        <v>4210</v>
      </c>
    </row>
    <row r="321" spans="1:56" ht="52.5" customHeight="1" x14ac:dyDescent="0.25">
      <c r="A321" s="7" t="s">
        <v>59</v>
      </c>
      <c r="B321" s="2" t="s">
        <v>4211</v>
      </c>
      <c r="C321" s="2" t="s">
        <v>4212</v>
      </c>
      <c r="D321" s="2" t="s">
        <v>4213</v>
      </c>
      <c r="F321" s="3" t="s">
        <v>59</v>
      </c>
      <c r="G321" s="3" t="s">
        <v>60</v>
      </c>
      <c r="H321" s="3" t="s">
        <v>59</v>
      </c>
      <c r="I321" s="3" t="s">
        <v>59</v>
      </c>
      <c r="J321" s="3" t="s">
        <v>61</v>
      </c>
      <c r="L321" s="2" t="s">
        <v>4214</v>
      </c>
      <c r="M321" s="3" t="s">
        <v>943</v>
      </c>
      <c r="O321" s="3" t="s">
        <v>65</v>
      </c>
      <c r="P321" s="3" t="s">
        <v>699</v>
      </c>
      <c r="R321" s="3" t="s">
        <v>68</v>
      </c>
      <c r="S321" s="4">
        <v>3</v>
      </c>
      <c r="T321" s="4">
        <v>3</v>
      </c>
      <c r="U321" s="5" t="s">
        <v>4215</v>
      </c>
      <c r="V321" s="5" t="s">
        <v>4215</v>
      </c>
      <c r="W321" s="5" t="s">
        <v>4216</v>
      </c>
      <c r="X321" s="5" t="s">
        <v>4216</v>
      </c>
      <c r="Y321" s="4">
        <v>331</v>
      </c>
      <c r="Z321" s="4">
        <v>275</v>
      </c>
      <c r="AA321" s="4">
        <v>298</v>
      </c>
      <c r="AB321" s="4">
        <v>2</v>
      </c>
      <c r="AC321" s="4">
        <v>2</v>
      </c>
      <c r="AD321" s="4">
        <v>16</v>
      </c>
      <c r="AE321" s="4">
        <v>16</v>
      </c>
      <c r="AF321" s="4">
        <v>5</v>
      </c>
      <c r="AG321" s="4">
        <v>5</v>
      </c>
      <c r="AH321" s="4">
        <v>8</v>
      </c>
      <c r="AI321" s="4">
        <v>8</v>
      </c>
      <c r="AJ321" s="4">
        <v>7</v>
      </c>
      <c r="AK321" s="4">
        <v>7</v>
      </c>
      <c r="AL321" s="4">
        <v>1</v>
      </c>
      <c r="AM321" s="4">
        <v>1</v>
      </c>
      <c r="AN321" s="4">
        <v>0</v>
      </c>
      <c r="AO321" s="4">
        <v>0</v>
      </c>
      <c r="AP321" s="3" t="s">
        <v>59</v>
      </c>
      <c r="AQ321" s="3" t="s">
        <v>59</v>
      </c>
      <c r="AS321" s="6" t="str">
        <f>HYPERLINK("https://creighton-primo.hosted.exlibrisgroup.com/primo-explore/search?tab=default_tab&amp;search_scope=EVERYTHING&amp;vid=01CRU&amp;lang=en_US&amp;offset=0&amp;query=any,contains,991001812939702656","Catalog Record")</f>
        <v>Catalog Record</v>
      </c>
      <c r="AT321" s="6" t="str">
        <f>HYPERLINK("http://www.worldcat.org/oclc/22766192","WorldCat Record")</f>
        <v>WorldCat Record</v>
      </c>
      <c r="AU321" s="3" t="s">
        <v>4217</v>
      </c>
      <c r="AV321" s="3" t="s">
        <v>4218</v>
      </c>
      <c r="AW321" s="3" t="s">
        <v>4219</v>
      </c>
      <c r="AX321" s="3" t="s">
        <v>4219</v>
      </c>
      <c r="AY321" s="3" t="s">
        <v>4220</v>
      </c>
      <c r="AZ321" s="3" t="s">
        <v>76</v>
      </c>
      <c r="BB321" s="3" t="s">
        <v>4221</v>
      </c>
      <c r="BC321" s="3" t="s">
        <v>4222</v>
      </c>
      <c r="BD321" s="3" t="s">
        <v>4223</v>
      </c>
    </row>
    <row r="322" spans="1:56" ht="52.5" customHeight="1" x14ac:dyDescent="0.25">
      <c r="A322" s="7" t="s">
        <v>59</v>
      </c>
      <c r="B322" s="2" t="s">
        <v>4224</v>
      </c>
      <c r="C322" s="2" t="s">
        <v>4225</v>
      </c>
      <c r="D322" s="2" t="s">
        <v>4226</v>
      </c>
      <c r="F322" s="3" t="s">
        <v>59</v>
      </c>
      <c r="G322" s="3" t="s">
        <v>60</v>
      </c>
      <c r="H322" s="3" t="s">
        <v>59</v>
      </c>
      <c r="I322" s="3" t="s">
        <v>59</v>
      </c>
      <c r="J322" s="3" t="s">
        <v>61</v>
      </c>
      <c r="L322" s="2" t="s">
        <v>4227</v>
      </c>
      <c r="M322" s="3" t="s">
        <v>4228</v>
      </c>
      <c r="N322" s="2" t="s">
        <v>887</v>
      </c>
      <c r="O322" s="3" t="s">
        <v>65</v>
      </c>
      <c r="P322" s="3" t="s">
        <v>1218</v>
      </c>
      <c r="R322" s="3" t="s">
        <v>68</v>
      </c>
      <c r="S322" s="4">
        <v>4</v>
      </c>
      <c r="T322" s="4">
        <v>4</v>
      </c>
      <c r="U322" s="5" t="s">
        <v>4229</v>
      </c>
      <c r="V322" s="5" t="s">
        <v>4229</v>
      </c>
      <c r="W322" s="5" t="s">
        <v>4230</v>
      </c>
      <c r="X322" s="5" t="s">
        <v>4230</v>
      </c>
      <c r="Y322" s="4">
        <v>485</v>
      </c>
      <c r="Z322" s="4">
        <v>381</v>
      </c>
      <c r="AA322" s="4">
        <v>450</v>
      </c>
      <c r="AB322" s="4">
        <v>5</v>
      </c>
      <c r="AC322" s="4">
        <v>6</v>
      </c>
      <c r="AD322" s="4">
        <v>27</v>
      </c>
      <c r="AE322" s="4">
        <v>29</v>
      </c>
      <c r="AF322" s="4">
        <v>10</v>
      </c>
      <c r="AG322" s="4">
        <v>11</v>
      </c>
      <c r="AH322" s="4">
        <v>6</v>
      </c>
      <c r="AI322" s="4">
        <v>6</v>
      </c>
      <c r="AJ322" s="4">
        <v>13</v>
      </c>
      <c r="AK322" s="4">
        <v>13</v>
      </c>
      <c r="AL322" s="4">
        <v>4</v>
      </c>
      <c r="AM322" s="4">
        <v>5</v>
      </c>
      <c r="AN322" s="4">
        <v>0</v>
      </c>
      <c r="AO322" s="4">
        <v>0</v>
      </c>
      <c r="AP322" s="3" t="s">
        <v>59</v>
      </c>
      <c r="AQ322" s="3" t="s">
        <v>59</v>
      </c>
      <c r="AS322" s="6" t="str">
        <f>HYPERLINK("https://creighton-primo.hosted.exlibrisgroup.com/primo-explore/search?tab=default_tab&amp;search_scope=EVERYTHING&amp;vid=01CRU&amp;lang=en_US&amp;offset=0&amp;query=any,contains,991001972319702656","Catalog Record")</f>
        <v>Catalog Record</v>
      </c>
      <c r="AT322" s="6" t="str">
        <f>HYPERLINK("http://www.worldcat.org/oclc/25025223","WorldCat Record")</f>
        <v>WorldCat Record</v>
      </c>
      <c r="AU322" s="3" t="s">
        <v>4231</v>
      </c>
      <c r="AV322" s="3" t="s">
        <v>4232</v>
      </c>
      <c r="AW322" s="3" t="s">
        <v>4233</v>
      </c>
      <c r="AX322" s="3" t="s">
        <v>4233</v>
      </c>
      <c r="AY322" s="3" t="s">
        <v>4234</v>
      </c>
      <c r="AZ322" s="3" t="s">
        <v>76</v>
      </c>
      <c r="BB322" s="3" t="s">
        <v>4235</v>
      </c>
      <c r="BC322" s="3" t="s">
        <v>4236</v>
      </c>
      <c r="BD322" s="3" t="s">
        <v>4237</v>
      </c>
    </row>
    <row r="323" spans="1:56" ht="52.5" customHeight="1" x14ac:dyDescent="0.25">
      <c r="A323" s="7" t="s">
        <v>59</v>
      </c>
      <c r="B323" s="2" t="s">
        <v>4238</v>
      </c>
      <c r="C323" s="2" t="s">
        <v>4239</v>
      </c>
      <c r="D323" s="2" t="s">
        <v>4240</v>
      </c>
      <c r="F323" s="3" t="s">
        <v>59</v>
      </c>
      <c r="G323" s="3" t="s">
        <v>60</v>
      </c>
      <c r="H323" s="3" t="s">
        <v>59</v>
      </c>
      <c r="I323" s="3" t="s">
        <v>59</v>
      </c>
      <c r="J323" s="3" t="s">
        <v>61</v>
      </c>
      <c r="L323" s="2" t="s">
        <v>4241</v>
      </c>
      <c r="M323" s="3" t="s">
        <v>405</v>
      </c>
      <c r="O323" s="3" t="s">
        <v>65</v>
      </c>
      <c r="P323" s="3" t="s">
        <v>66</v>
      </c>
      <c r="R323" s="3" t="s">
        <v>68</v>
      </c>
      <c r="S323" s="4">
        <v>1</v>
      </c>
      <c r="T323" s="4">
        <v>1</v>
      </c>
      <c r="U323" s="5" t="s">
        <v>4242</v>
      </c>
      <c r="V323" s="5" t="s">
        <v>4242</v>
      </c>
      <c r="W323" s="5" t="s">
        <v>3612</v>
      </c>
      <c r="X323" s="5" t="s">
        <v>3612</v>
      </c>
      <c r="Y323" s="4">
        <v>283</v>
      </c>
      <c r="Z323" s="4">
        <v>249</v>
      </c>
      <c r="AA323" s="4">
        <v>304</v>
      </c>
      <c r="AB323" s="4">
        <v>2</v>
      </c>
      <c r="AC323" s="4">
        <v>3</v>
      </c>
      <c r="AD323" s="4">
        <v>11</v>
      </c>
      <c r="AE323" s="4">
        <v>12</v>
      </c>
      <c r="AF323" s="4">
        <v>4</v>
      </c>
      <c r="AG323" s="4">
        <v>4</v>
      </c>
      <c r="AH323" s="4">
        <v>4</v>
      </c>
      <c r="AI323" s="4">
        <v>4</v>
      </c>
      <c r="AJ323" s="4">
        <v>6</v>
      </c>
      <c r="AK323" s="4">
        <v>6</v>
      </c>
      <c r="AL323" s="4">
        <v>1</v>
      </c>
      <c r="AM323" s="4">
        <v>2</v>
      </c>
      <c r="AN323" s="4">
        <v>0</v>
      </c>
      <c r="AO323" s="4">
        <v>0</v>
      </c>
      <c r="AP323" s="3" t="s">
        <v>59</v>
      </c>
      <c r="AQ323" s="3" t="s">
        <v>59</v>
      </c>
      <c r="AS323" s="6" t="str">
        <f>HYPERLINK("https://creighton-primo.hosted.exlibrisgroup.com/primo-explore/search?tab=default_tab&amp;search_scope=EVERYTHING&amp;vid=01CRU&amp;lang=en_US&amp;offset=0&amp;query=any,contains,991000935289702656","Catalog Record")</f>
        <v>Catalog Record</v>
      </c>
      <c r="AT323" s="6" t="str">
        <f>HYPERLINK("http://www.worldcat.org/oclc/14358977","WorldCat Record")</f>
        <v>WorldCat Record</v>
      </c>
      <c r="AU323" s="3" t="s">
        <v>4243</v>
      </c>
      <c r="AV323" s="3" t="s">
        <v>4244</v>
      </c>
      <c r="AW323" s="3" t="s">
        <v>4245</v>
      </c>
      <c r="AX323" s="3" t="s">
        <v>4245</v>
      </c>
      <c r="AY323" s="3" t="s">
        <v>4246</v>
      </c>
      <c r="AZ323" s="3" t="s">
        <v>76</v>
      </c>
      <c r="BB323" s="3" t="s">
        <v>4247</v>
      </c>
      <c r="BC323" s="3" t="s">
        <v>4248</v>
      </c>
      <c r="BD323" s="3" t="s">
        <v>4249</v>
      </c>
    </row>
    <row r="324" spans="1:56" ht="52.5" customHeight="1" x14ac:dyDescent="0.25">
      <c r="A324" s="7" t="s">
        <v>59</v>
      </c>
      <c r="B324" s="2" t="s">
        <v>4250</v>
      </c>
      <c r="C324" s="2" t="s">
        <v>4251</v>
      </c>
      <c r="D324" s="2" t="s">
        <v>4252</v>
      </c>
      <c r="F324" s="3" t="s">
        <v>59</v>
      </c>
      <c r="G324" s="3" t="s">
        <v>60</v>
      </c>
      <c r="H324" s="3" t="s">
        <v>59</v>
      </c>
      <c r="I324" s="3" t="s">
        <v>59</v>
      </c>
      <c r="J324" s="3" t="s">
        <v>61</v>
      </c>
      <c r="L324" s="2" t="s">
        <v>4253</v>
      </c>
      <c r="M324" s="3" t="s">
        <v>365</v>
      </c>
      <c r="O324" s="3" t="s">
        <v>65</v>
      </c>
      <c r="P324" s="3" t="s">
        <v>3610</v>
      </c>
      <c r="Q324" s="2" t="s">
        <v>4254</v>
      </c>
      <c r="R324" s="3" t="s">
        <v>68</v>
      </c>
      <c r="S324" s="4">
        <v>2</v>
      </c>
      <c r="T324" s="4">
        <v>2</v>
      </c>
      <c r="U324" s="5" t="s">
        <v>1430</v>
      </c>
      <c r="V324" s="5" t="s">
        <v>1430</v>
      </c>
      <c r="W324" s="5" t="s">
        <v>4255</v>
      </c>
      <c r="X324" s="5" t="s">
        <v>4255</v>
      </c>
      <c r="Y324" s="4">
        <v>232</v>
      </c>
      <c r="Z324" s="4">
        <v>143</v>
      </c>
      <c r="AA324" s="4">
        <v>152</v>
      </c>
      <c r="AB324" s="4">
        <v>2</v>
      </c>
      <c r="AC324" s="4">
        <v>2</v>
      </c>
      <c r="AD324" s="4">
        <v>4</v>
      </c>
      <c r="AE324" s="4">
        <v>5</v>
      </c>
      <c r="AF324" s="4">
        <v>0</v>
      </c>
      <c r="AG324" s="4">
        <v>1</v>
      </c>
      <c r="AH324" s="4">
        <v>1</v>
      </c>
      <c r="AI324" s="4">
        <v>1</v>
      </c>
      <c r="AJ324" s="4">
        <v>3</v>
      </c>
      <c r="AK324" s="4">
        <v>4</v>
      </c>
      <c r="AL324" s="4">
        <v>1</v>
      </c>
      <c r="AM324" s="4">
        <v>1</v>
      </c>
      <c r="AN324" s="4">
        <v>0</v>
      </c>
      <c r="AO324" s="4">
        <v>0</v>
      </c>
      <c r="AP324" s="3" t="s">
        <v>59</v>
      </c>
      <c r="AQ324" s="3" t="s">
        <v>71</v>
      </c>
      <c r="AR324" s="6" t="str">
        <f>HYPERLINK("http://catalog.hathitrust.org/Record/001841415","HathiTrust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HYPERLINK("https://creighton-primo.hosted.exlibrisgroup.com/primo-explore/search?tab=default_tab&amp;search_scope=EVERYTHING&amp;vid=01CRU&amp;lang=en_US&amp;offset=0&amp;query=any,contains,991001281609702656","Catalog Record")</f>
        <v>Catalog Record</v>
      </c>
      <c r="AT324" s="6" t="str">
        <f>HYPERLINK("http://www.worldcat.org/oclc/17918394","WorldCat Record")</f>
        <v>WorldCat Record</v>
      </c>
      <c r="AU324" s="3" t="s">
        <v>4256</v>
      </c>
      <c r="AV324" s="3" t="s">
        <v>4257</v>
      </c>
      <c r="AW324" s="3" t="s">
        <v>4258</v>
      </c>
      <c r="AX324" s="3" t="s">
        <v>4258</v>
      </c>
      <c r="AY324" s="3" t="s">
        <v>4259</v>
      </c>
      <c r="AZ324" s="3" t="s">
        <v>76</v>
      </c>
      <c r="BB324" s="3" t="s">
        <v>4260</v>
      </c>
      <c r="BC324" s="3" t="s">
        <v>4261</v>
      </c>
      <c r="BD324" s="3" t="s">
        <v>4262</v>
      </c>
    </row>
    <row r="325" spans="1:56" ht="52.5" customHeight="1" x14ac:dyDescent="0.25">
      <c r="A325" s="7" t="s">
        <v>59</v>
      </c>
      <c r="B325" s="2" t="s">
        <v>4263</v>
      </c>
      <c r="C325" s="2" t="s">
        <v>4264</v>
      </c>
      <c r="D325" s="2" t="s">
        <v>4265</v>
      </c>
      <c r="F325" s="3" t="s">
        <v>59</v>
      </c>
      <c r="G325" s="3" t="s">
        <v>60</v>
      </c>
      <c r="H325" s="3" t="s">
        <v>59</v>
      </c>
      <c r="I325" s="3" t="s">
        <v>59</v>
      </c>
      <c r="J325" s="3" t="s">
        <v>61</v>
      </c>
      <c r="L325" s="2" t="s">
        <v>4266</v>
      </c>
      <c r="M325" s="3" t="s">
        <v>164</v>
      </c>
      <c r="O325" s="3" t="s">
        <v>65</v>
      </c>
      <c r="P325" s="3" t="s">
        <v>3610</v>
      </c>
      <c r="Q325" s="2" t="s">
        <v>4267</v>
      </c>
      <c r="R325" s="3" t="s">
        <v>68</v>
      </c>
      <c r="S325" s="4">
        <v>5</v>
      </c>
      <c r="T325" s="4">
        <v>5</v>
      </c>
      <c r="U325" s="5" t="s">
        <v>4268</v>
      </c>
      <c r="V325" s="5" t="s">
        <v>4268</v>
      </c>
      <c r="W325" s="5" t="s">
        <v>3612</v>
      </c>
      <c r="X325" s="5" t="s">
        <v>3612</v>
      </c>
      <c r="Y325" s="4">
        <v>289</v>
      </c>
      <c r="Z325" s="4">
        <v>167</v>
      </c>
      <c r="AA325" s="4">
        <v>216</v>
      </c>
      <c r="AB325" s="4">
        <v>2</v>
      </c>
      <c r="AC325" s="4">
        <v>3</v>
      </c>
      <c r="AD325" s="4">
        <v>5</v>
      </c>
      <c r="AE325" s="4">
        <v>8</v>
      </c>
      <c r="AF325" s="4">
        <v>0</v>
      </c>
      <c r="AG325" s="4">
        <v>1</v>
      </c>
      <c r="AH325" s="4">
        <v>2</v>
      </c>
      <c r="AI325" s="4">
        <v>3</v>
      </c>
      <c r="AJ325" s="4">
        <v>3</v>
      </c>
      <c r="AK325" s="4">
        <v>3</v>
      </c>
      <c r="AL325" s="4">
        <v>1</v>
      </c>
      <c r="AM325" s="4">
        <v>2</v>
      </c>
      <c r="AN325" s="4">
        <v>0</v>
      </c>
      <c r="AO325" s="4">
        <v>0</v>
      </c>
      <c r="AP325" s="3" t="s">
        <v>59</v>
      </c>
      <c r="AQ325" s="3" t="s">
        <v>59</v>
      </c>
      <c r="AS325" s="6" t="str">
        <f>HYPERLINK("https://creighton-primo.hosted.exlibrisgroup.com/primo-explore/search?tab=default_tab&amp;search_scope=EVERYTHING&amp;vid=01CRU&amp;lang=en_US&amp;offset=0&amp;query=any,contains,991005118589702656","Catalog Record")</f>
        <v>Catalog Record</v>
      </c>
      <c r="AT325" s="6" t="str">
        <f>HYPERLINK("http://www.worldcat.org/oclc/7469573","WorldCat Record")</f>
        <v>WorldCat Record</v>
      </c>
      <c r="AU325" s="3" t="s">
        <v>4269</v>
      </c>
      <c r="AV325" s="3" t="s">
        <v>4270</v>
      </c>
      <c r="AW325" s="3" t="s">
        <v>4271</v>
      </c>
      <c r="AX325" s="3" t="s">
        <v>4271</v>
      </c>
      <c r="AY325" s="3" t="s">
        <v>4272</v>
      </c>
      <c r="AZ325" s="3" t="s">
        <v>76</v>
      </c>
      <c r="BB325" s="3" t="s">
        <v>4273</v>
      </c>
      <c r="BC325" s="3" t="s">
        <v>4274</v>
      </c>
      <c r="BD325" s="3" t="s">
        <v>4275</v>
      </c>
    </row>
    <row r="326" spans="1:56" ht="52.5" customHeight="1" x14ac:dyDescent="0.25">
      <c r="A326" s="7" t="s">
        <v>59</v>
      </c>
      <c r="B326" s="2" t="s">
        <v>4276</v>
      </c>
      <c r="C326" s="2" t="s">
        <v>4277</v>
      </c>
      <c r="D326" s="2" t="s">
        <v>4278</v>
      </c>
      <c r="F326" s="3" t="s">
        <v>59</v>
      </c>
      <c r="G326" s="3" t="s">
        <v>60</v>
      </c>
      <c r="H326" s="3" t="s">
        <v>59</v>
      </c>
      <c r="I326" s="3" t="s">
        <v>59</v>
      </c>
      <c r="J326" s="3" t="s">
        <v>61</v>
      </c>
      <c r="L326" s="2" t="s">
        <v>4279</v>
      </c>
      <c r="M326" s="3" t="s">
        <v>616</v>
      </c>
      <c r="O326" s="3" t="s">
        <v>65</v>
      </c>
      <c r="P326" s="3" t="s">
        <v>1262</v>
      </c>
      <c r="R326" s="3" t="s">
        <v>68</v>
      </c>
      <c r="S326" s="4">
        <v>3</v>
      </c>
      <c r="T326" s="4">
        <v>3</v>
      </c>
      <c r="U326" s="5" t="s">
        <v>4280</v>
      </c>
      <c r="V326" s="5" t="s">
        <v>4280</v>
      </c>
      <c r="W326" s="5" t="s">
        <v>4281</v>
      </c>
      <c r="X326" s="5" t="s">
        <v>4281</v>
      </c>
      <c r="Y326" s="4">
        <v>349</v>
      </c>
      <c r="Z326" s="4">
        <v>237</v>
      </c>
      <c r="AA326" s="4">
        <v>311</v>
      </c>
      <c r="AB326" s="4">
        <v>2</v>
      </c>
      <c r="AC326" s="4">
        <v>2</v>
      </c>
      <c r="AD326" s="4">
        <v>14</v>
      </c>
      <c r="AE326" s="4">
        <v>16</v>
      </c>
      <c r="AF326" s="4">
        <v>4</v>
      </c>
      <c r="AG326" s="4">
        <v>5</v>
      </c>
      <c r="AH326" s="4">
        <v>6</v>
      </c>
      <c r="AI326" s="4">
        <v>7</v>
      </c>
      <c r="AJ326" s="4">
        <v>7</v>
      </c>
      <c r="AK326" s="4">
        <v>8</v>
      </c>
      <c r="AL326" s="4">
        <v>1</v>
      </c>
      <c r="AM326" s="4">
        <v>1</v>
      </c>
      <c r="AN326" s="4">
        <v>0</v>
      </c>
      <c r="AO326" s="4">
        <v>0</v>
      </c>
      <c r="AP326" s="3" t="s">
        <v>59</v>
      </c>
      <c r="AQ326" s="3" t="s">
        <v>71</v>
      </c>
      <c r="AR326" s="6" t="str">
        <f>HYPERLINK("http://catalog.hathitrust.org/Record/004514347","HathiTrust Record")</f>
        <v>HathiTrust Record</v>
      </c>
      <c r="AS326" s="6" t="str">
        <f>HYPERLINK("https://creighton-primo.hosted.exlibrisgroup.com/primo-explore/search?tab=default_tab&amp;search_scope=EVERYTHING&amp;vid=01CRU&amp;lang=en_US&amp;offset=0&amp;query=any,contains,991001232899702656","Catalog Record")</f>
        <v>Catalog Record</v>
      </c>
      <c r="AT326" s="6" t="str">
        <f>HYPERLINK("http://www.worldcat.org/oclc/17548679","WorldCat Record")</f>
        <v>WorldCat Record</v>
      </c>
      <c r="AU326" s="3" t="s">
        <v>4282</v>
      </c>
      <c r="AV326" s="3" t="s">
        <v>4283</v>
      </c>
      <c r="AW326" s="3" t="s">
        <v>4284</v>
      </c>
      <c r="AX326" s="3" t="s">
        <v>4284</v>
      </c>
      <c r="AY326" s="3" t="s">
        <v>4285</v>
      </c>
      <c r="AZ326" s="3" t="s">
        <v>76</v>
      </c>
      <c r="BB326" s="3" t="s">
        <v>4286</v>
      </c>
      <c r="BC326" s="3" t="s">
        <v>4287</v>
      </c>
      <c r="BD326" s="3" t="s">
        <v>4288</v>
      </c>
    </row>
    <row r="327" spans="1:56" ht="52.5" customHeight="1" x14ac:dyDescent="0.25">
      <c r="A327" s="7" t="s">
        <v>59</v>
      </c>
      <c r="B327" s="2" t="s">
        <v>4289</v>
      </c>
      <c r="C327" s="2" t="s">
        <v>4290</v>
      </c>
      <c r="D327" s="2" t="s">
        <v>4291</v>
      </c>
      <c r="F327" s="3" t="s">
        <v>59</v>
      </c>
      <c r="G327" s="3" t="s">
        <v>60</v>
      </c>
      <c r="H327" s="3" t="s">
        <v>59</v>
      </c>
      <c r="I327" s="3" t="s">
        <v>59</v>
      </c>
      <c r="J327" s="3" t="s">
        <v>61</v>
      </c>
      <c r="K327" s="2" t="s">
        <v>4292</v>
      </c>
      <c r="L327" s="2" t="s">
        <v>4293</v>
      </c>
      <c r="M327" s="3" t="s">
        <v>475</v>
      </c>
      <c r="O327" s="3" t="s">
        <v>65</v>
      </c>
      <c r="P327" s="3" t="s">
        <v>296</v>
      </c>
      <c r="R327" s="3" t="s">
        <v>68</v>
      </c>
      <c r="S327" s="4">
        <v>3</v>
      </c>
      <c r="T327" s="4">
        <v>3</v>
      </c>
      <c r="U327" s="5" t="s">
        <v>4294</v>
      </c>
      <c r="V327" s="5" t="s">
        <v>4294</v>
      </c>
      <c r="W327" s="5" t="s">
        <v>3612</v>
      </c>
      <c r="X327" s="5" t="s">
        <v>3612</v>
      </c>
      <c r="Y327" s="4">
        <v>544</v>
      </c>
      <c r="Z327" s="4">
        <v>468</v>
      </c>
      <c r="AA327" s="4">
        <v>476</v>
      </c>
      <c r="AB327" s="4">
        <v>6</v>
      </c>
      <c r="AC327" s="4">
        <v>6</v>
      </c>
      <c r="AD327" s="4">
        <v>17</v>
      </c>
      <c r="AE327" s="4">
        <v>17</v>
      </c>
      <c r="AF327" s="4">
        <v>4</v>
      </c>
      <c r="AG327" s="4">
        <v>4</v>
      </c>
      <c r="AH327" s="4">
        <v>4</v>
      </c>
      <c r="AI327" s="4">
        <v>4</v>
      </c>
      <c r="AJ327" s="4">
        <v>8</v>
      </c>
      <c r="AK327" s="4">
        <v>8</v>
      </c>
      <c r="AL327" s="4">
        <v>5</v>
      </c>
      <c r="AM327" s="4">
        <v>5</v>
      </c>
      <c r="AN327" s="4">
        <v>0</v>
      </c>
      <c r="AO327" s="4">
        <v>0</v>
      </c>
      <c r="AP327" s="3" t="s">
        <v>59</v>
      </c>
      <c r="AQ327" s="3" t="s">
        <v>71</v>
      </c>
      <c r="AR327" s="6" t="str">
        <f>HYPERLINK("http://catalog.hathitrust.org/Record/000114024","HathiTrust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HYPERLINK("https://creighton-primo.hosted.exlibrisgroup.com/primo-explore/search?tab=default_tab&amp;search_scope=EVERYTHING&amp;vid=01CRU&amp;lang=en_US&amp;offset=0&amp;query=any,contains,991000172969702656","Catalog Record")</f>
        <v>Catalog Record</v>
      </c>
      <c r="AT327" s="6" t="str">
        <f>HYPERLINK("http://www.worldcat.org/oclc/9325090","WorldCat Record")</f>
        <v>WorldCat Record</v>
      </c>
      <c r="AU327" s="3" t="s">
        <v>4295</v>
      </c>
      <c r="AV327" s="3" t="s">
        <v>4296</v>
      </c>
      <c r="AW327" s="3" t="s">
        <v>4297</v>
      </c>
      <c r="AX327" s="3" t="s">
        <v>4297</v>
      </c>
      <c r="AY327" s="3" t="s">
        <v>4298</v>
      </c>
      <c r="AZ327" s="3" t="s">
        <v>76</v>
      </c>
      <c r="BB327" s="3" t="s">
        <v>4299</v>
      </c>
      <c r="BC327" s="3" t="s">
        <v>4300</v>
      </c>
      <c r="BD327" s="3" t="s">
        <v>4301</v>
      </c>
    </row>
    <row r="328" spans="1:56" ht="52.5" customHeight="1" x14ac:dyDescent="0.25">
      <c r="A328" s="7" t="s">
        <v>59</v>
      </c>
      <c r="B328" s="2" t="s">
        <v>4302</v>
      </c>
      <c r="C328" s="2" t="s">
        <v>4303</v>
      </c>
      <c r="D328" s="2" t="s">
        <v>4304</v>
      </c>
      <c r="F328" s="3" t="s">
        <v>59</v>
      </c>
      <c r="G328" s="3" t="s">
        <v>60</v>
      </c>
      <c r="H328" s="3" t="s">
        <v>59</v>
      </c>
      <c r="I328" s="3" t="s">
        <v>59</v>
      </c>
      <c r="J328" s="3" t="s">
        <v>61</v>
      </c>
      <c r="K328" s="2" t="s">
        <v>4292</v>
      </c>
      <c r="L328" s="2" t="s">
        <v>4305</v>
      </c>
      <c r="M328" s="3" t="s">
        <v>148</v>
      </c>
      <c r="O328" s="3" t="s">
        <v>65</v>
      </c>
      <c r="P328" s="3" t="s">
        <v>699</v>
      </c>
      <c r="R328" s="3" t="s">
        <v>68</v>
      </c>
      <c r="S328" s="4">
        <v>3</v>
      </c>
      <c r="T328" s="4">
        <v>3</v>
      </c>
      <c r="U328" s="5" t="s">
        <v>4306</v>
      </c>
      <c r="V328" s="5" t="s">
        <v>4306</v>
      </c>
      <c r="W328" s="5" t="s">
        <v>2545</v>
      </c>
      <c r="X328" s="5" t="s">
        <v>2545</v>
      </c>
      <c r="Y328" s="4">
        <v>833</v>
      </c>
      <c r="Z328" s="4">
        <v>668</v>
      </c>
      <c r="AA328" s="4">
        <v>685</v>
      </c>
      <c r="AB328" s="4">
        <v>3</v>
      </c>
      <c r="AC328" s="4">
        <v>3</v>
      </c>
      <c r="AD328" s="4">
        <v>31</v>
      </c>
      <c r="AE328" s="4">
        <v>31</v>
      </c>
      <c r="AF328" s="4">
        <v>15</v>
      </c>
      <c r="AG328" s="4">
        <v>15</v>
      </c>
      <c r="AH328" s="4">
        <v>9</v>
      </c>
      <c r="AI328" s="4">
        <v>9</v>
      </c>
      <c r="AJ328" s="4">
        <v>13</v>
      </c>
      <c r="AK328" s="4">
        <v>13</v>
      </c>
      <c r="AL328" s="4">
        <v>2</v>
      </c>
      <c r="AM328" s="4">
        <v>2</v>
      </c>
      <c r="AN328" s="4">
        <v>0</v>
      </c>
      <c r="AO328" s="4">
        <v>0</v>
      </c>
      <c r="AP328" s="3" t="s">
        <v>59</v>
      </c>
      <c r="AQ328" s="3" t="s">
        <v>71</v>
      </c>
      <c r="AR328" s="6" t="str">
        <f>HYPERLINK("http://catalog.hathitrust.org/Record/000702198","HathiTrust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HYPERLINK("https://creighton-primo.hosted.exlibrisgroup.com/primo-explore/search?tab=default_tab&amp;search_scope=EVERYTHING&amp;vid=01CRU&amp;lang=en_US&amp;offset=0&amp;query=any,contains,991004041609702656","Catalog Record")</f>
        <v>Catalog Record</v>
      </c>
      <c r="AT328" s="6" t="str">
        <f>HYPERLINK("http://www.worldcat.org/oclc/2189030","WorldCat Record")</f>
        <v>WorldCat Record</v>
      </c>
      <c r="AU328" s="3" t="s">
        <v>4307</v>
      </c>
      <c r="AV328" s="3" t="s">
        <v>4308</v>
      </c>
      <c r="AW328" s="3" t="s">
        <v>4309</v>
      </c>
      <c r="AX328" s="3" t="s">
        <v>4309</v>
      </c>
      <c r="AY328" s="3" t="s">
        <v>4310</v>
      </c>
      <c r="AZ328" s="3" t="s">
        <v>76</v>
      </c>
      <c r="BB328" s="3" t="s">
        <v>4311</v>
      </c>
      <c r="BC328" s="3" t="s">
        <v>4312</v>
      </c>
      <c r="BD328" s="3" t="s">
        <v>4313</v>
      </c>
    </row>
    <row r="329" spans="1:56" ht="52.5" customHeight="1" x14ac:dyDescent="0.25">
      <c r="A329" s="7" t="s">
        <v>59</v>
      </c>
      <c r="B329" s="2" t="s">
        <v>4314</v>
      </c>
      <c r="C329" s="2" t="s">
        <v>4315</v>
      </c>
      <c r="D329" s="2" t="s">
        <v>4316</v>
      </c>
      <c r="F329" s="3" t="s">
        <v>59</v>
      </c>
      <c r="G329" s="3" t="s">
        <v>60</v>
      </c>
      <c r="H329" s="3" t="s">
        <v>59</v>
      </c>
      <c r="I329" s="3" t="s">
        <v>59</v>
      </c>
      <c r="J329" s="3" t="s">
        <v>61</v>
      </c>
      <c r="K329" s="2" t="s">
        <v>4317</v>
      </c>
      <c r="L329" s="2" t="s">
        <v>4318</v>
      </c>
      <c r="M329" s="3" t="s">
        <v>475</v>
      </c>
      <c r="O329" s="3" t="s">
        <v>65</v>
      </c>
      <c r="P329" s="3" t="s">
        <v>66</v>
      </c>
      <c r="R329" s="3" t="s">
        <v>68</v>
      </c>
      <c r="S329" s="4">
        <v>1</v>
      </c>
      <c r="T329" s="4">
        <v>1</v>
      </c>
      <c r="U329" s="5" t="s">
        <v>4242</v>
      </c>
      <c r="V329" s="5" t="s">
        <v>4242</v>
      </c>
      <c r="W329" s="5" t="s">
        <v>3612</v>
      </c>
      <c r="X329" s="5" t="s">
        <v>3612</v>
      </c>
      <c r="Y329" s="4">
        <v>294</v>
      </c>
      <c r="Z329" s="4">
        <v>261</v>
      </c>
      <c r="AA329" s="4">
        <v>307</v>
      </c>
      <c r="AB329" s="4">
        <v>5</v>
      </c>
      <c r="AC329" s="4">
        <v>5</v>
      </c>
      <c r="AD329" s="4">
        <v>19</v>
      </c>
      <c r="AE329" s="4">
        <v>19</v>
      </c>
      <c r="AF329" s="4">
        <v>4</v>
      </c>
      <c r="AG329" s="4">
        <v>4</v>
      </c>
      <c r="AH329" s="4">
        <v>6</v>
      </c>
      <c r="AI329" s="4">
        <v>6</v>
      </c>
      <c r="AJ329" s="4">
        <v>10</v>
      </c>
      <c r="AK329" s="4">
        <v>10</v>
      </c>
      <c r="AL329" s="4">
        <v>4</v>
      </c>
      <c r="AM329" s="4">
        <v>4</v>
      </c>
      <c r="AN329" s="4">
        <v>0</v>
      </c>
      <c r="AO329" s="4">
        <v>0</v>
      </c>
      <c r="AP329" s="3" t="s">
        <v>59</v>
      </c>
      <c r="AQ329" s="3" t="s">
        <v>59</v>
      </c>
      <c r="AS329" s="6" t="str">
        <f>HYPERLINK("https://creighton-primo.hosted.exlibrisgroup.com/primo-explore/search?tab=default_tab&amp;search_scope=EVERYTHING&amp;vid=01CRU&amp;lang=en_US&amp;offset=0&amp;query=any,contains,991000219799702656","Catalog Record")</f>
        <v>Catalog Record</v>
      </c>
      <c r="AT329" s="6" t="str">
        <f>HYPERLINK("http://www.worldcat.org/oclc/9575662","WorldCat Record")</f>
        <v>WorldCat Record</v>
      </c>
      <c r="AU329" s="3" t="s">
        <v>4319</v>
      </c>
      <c r="AV329" s="3" t="s">
        <v>4320</v>
      </c>
      <c r="AW329" s="3" t="s">
        <v>4321</v>
      </c>
      <c r="AX329" s="3" t="s">
        <v>4321</v>
      </c>
      <c r="AY329" s="3" t="s">
        <v>4322</v>
      </c>
      <c r="AZ329" s="3" t="s">
        <v>76</v>
      </c>
      <c r="BB329" s="3" t="s">
        <v>4323</v>
      </c>
      <c r="BC329" s="3" t="s">
        <v>4324</v>
      </c>
      <c r="BD329" s="3" t="s">
        <v>4325</v>
      </c>
    </row>
    <row r="330" spans="1:56" ht="52.5" customHeight="1" x14ac:dyDescent="0.25">
      <c r="A330" s="7" t="s">
        <v>59</v>
      </c>
      <c r="B330" s="2" t="s">
        <v>4326</v>
      </c>
      <c r="C330" s="2" t="s">
        <v>4327</v>
      </c>
      <c r="D330" s="2" t="s">
        <v>4328</v>
      </c>
      <c r="F330" s="3" t="s">
        <v>59</v>
      </c>
      <c r="G330" s="3" t="s">
        <v>60</v>
      </c>
      <c r="H330" s="3" t="s">
        <v>59</v>
      </c>
      <c r="I330" s="3" t="s">
        <v>59</v>
      </c>
      <c r="J330" s="3" t="s">
        <v>61</v>
      </c>
      <c r="K330" s="2" t="s">
        <v>4329</v>
      </c>
      <c r="L330" s="2" t="s">
        <v>4330</v>
      </c>
      <c r="M330" s="3" t="s">
        <v>195</v>
      </c>
      <c r="O330" s="3" t="s">
        <v>65</v>
      </c>
      <c r="P330" s="3" t="s">
        <v>1218</v>
      </c>
      <c r="R330" s="3" t="s">
        <v>68</v>
      </c>
      <c r="S330" s="4">
        <v>5</v>
      </c>
      <c r="T330" s="4">
        <v>5</v>
      </c>
      <c r="U330" s="5" t="s">
        <v>4331</v>
      </c>
      <c r="V330" s="5" t="s">
        <v>4331</v>
      </c>
      <c r="W330" s="5" t="s">
        <v>3612</v>
      </c>
      <c r="X330" s="5" t="s">
        <v>3612</v>
      </c>
      <c r="Y330" s="4">
        <v>297</v>
      </c>
      <c r="Z330" s="4">
        <v>268</v>
      </c>
      <c r="AA330" s="4">
        <v>270</v>
      </c>
      <c r="AB330" s="4">
        <v>2</v>
      </c>
      <c r="AC330" s="4">
        <v>2</v>
      </c>
      <c r="AD330" s="4">
        <v>8</v>
      </c>
      <c r="AE330" s="4">
        <v>8</v>
      </c>
      <c r="AF330" s="4">
        <v>5</v>
      </c>
      <c r="AG330" s="4">
        <v>5</v>
      </c>
      <c r="AH330" s="4">
        <v>1</v>
      </c>
      <c r="AI330" s="4">
        <v>1</v>
      </c>
      <c r="AJ330" s="4">
        <v>4</v>
      </c>
      <c r="AK330" s="4">
        <v>4</v>
      </c>
      <c r="AL330" s="4">
        <v>1</v>
      </c>
      <c r="AM330" s="4">
        <v>1</v>
      </c>
      <c r="AN330" s="4">
        <v>0</v>
      </c>
      <c r="AO330" s="4">
        <v>0</v>
      </c>
      <c r="AP330" s="3" t="s">
        <v>59</v>
      </c>
      <c r="AQ330" s="3" t="s">
        <v>71</v>
      </c>
      <c r="AR330" s="6" t="str">
        <f>HYPERLINK("http://catalog.hathitrust.org/Record/000537525","HathiTrust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HYPERLINK("https://creighton-primo.hosted.exlibrisgroup.com/primo-explore/search?tab=default_tab&amp;search_scope=EVERYTHING&amp;vid=01CRU&amp;lang=en_US&amp;offset=0&amp;query=any,contains,991000079379702656","Catalog Record")</f>
        <v>Catalog Record</v>
      </c>
      <c r="AT330" s="6" t="str">
        <f>HYPERLINK("http://www.worldcat.org/oclc/8826701","WorldCat Record")</f>
        <v>WorldCat Record</v>
      </c>
      <c r="AU330" s="3" t="s">
        <v>4332</v>
      </c>
      <c r="AV330" s="3" t="s">
        <v>4333</v>
      </c>
      <c r="AW330" s="3" t="s">
        <v>4334</v>
      </c>
      <c r="AX330" s="3" t="s">
        <v>4334</v>
      </c>
      <c r="AY330" s="3" t="s">
        <v>4335</v>
      </c>
      <c r="AZ330" s="3" t="s">
        <v>76</v>
      </c>
      <c r="BB330" s="3" t="s">
        <v>4336</v>
      </c>
      <c r="BC330" s="3" t="s">
        <v>4337</v>
      </c>
      <c r="BD330" s="3" t="s">
        <v>4338</v>
      </c>
    </row>
    <row r="331" spans="1:56" ht="52.5" customHeight="1" x14ac:dyDescent="0.25">
      <c r="A331" s="7" t="s">
        <v>59</v>
      </c>
      <c r="B331" s="2" t="s">
        <v>4339</v>
      </c>
      <c r="C331" s="2" t="s">
        <v>4340</v>
      </c>
      <c r="D331" s="2" t="s">
        <v>4341</v>
      </c>
      <c r="F331" s="3" t="s">
        <v>59</v>
      </c>
      <c r="G331" s="3" t="s">
        <v>60</v>
      </c>
      <c r="H331" s="3" t="s">
        <v>59</v>
      </c>
      <c r="I331" s="3" t="s">
        <v>59</v>
      </c>
      <c r="J331" s="3" t="s">
        <v>61</v>
      </c>
      <c r="K331" s="2" t="s">
        <v>4342</v>
      </c>
      <c r="L331" s="2" t="s">
        <v>147</v>
      </c>
      <c r="M331" s="3" t="s">
        <v>148</v>
      </c>
      <c r="O331" s="3" t="s">
        <v>65</v>
      </c>
      <c r="P331" s="3" t="s">
        <v>66</v>
      </c>
      <c r="R331" s="3" t="s">
        <v>68</v>
      </c>
      <c r="S331" s="4">
        <v>2</v>
      </c>
      <c r="T331" s="4">
        <v>2</v>
      </c>
      <c r="U331" s="5" t="s">
        <v>4343</v>
      </c>
      <c r="V331" s="5" t="s">
        <v>4343</v>
      </c>
      <c r="W331" s="5" t="s">
        <v>2545</v>
      </c>
      <c r="X331" s="5" t="s">
        <v>2545</v>
      </c>
      <c r="Y331" s="4">
        <v>555</v>
      </c>
      <c r="Z331" s="4">
        <v>474</v>
      </c>
      <c r="AA331" s="4">
        <v>483</v>
      </c>
      <c r="AB331" s="4">
        <v>4</v>
      </c>
      <c r="AC331" s="4">
        <v>4</v>
      </c>
      <c r="AD331" s="4">
        <v>20</v>
      </c>
      <c r="AE331" s="4">
        <v>20</v>
      </c>
      <c r="AF331" s="4">
        <v>7</v>
      </c>
      <c r="AG331" s="4">
        <v>7</v>
      </c>
      <c r="AH331" s="4">
        <v>6</v>
      </c>
      <c r="AI331" s="4">
        <v>6</v>
      </c>
      <c r="AJ331" s="4">
        <v>9</v>
      </c>
      <c r="AK331" s="4">
        <v>9</v>
      </c>
      <c r="AL331" s="4">
        <v>3</v>
      </c>
      <c r="AM331" s="4">
        <v>3</v>
      </c>
      <c r="AN331" s="4">
        <v>0</v>
      </c>
      <c r="AO331" s="4">
        <v>0</v>
      </c>
      <c r="AP331" s="3" t="s">
        <v>59</v>
      </c>
      <c r="AQ331" s="3" t="s">
        <v>71</v>
      </c>
      <c r="AR331" s="6" t="str">
        <f>HYPERLINK("http://catalog.hathitrust.org/Record/000716739","HathiTrust Record")</f>
        <v>HathiTrust Record</v>
      </c>
      <c r="AS331" s="6" t="str">
        <f>HYPERLINK("https://creighton-primo.hosted.exlibrisgroup.com/primo-explore/search?tab=default_tab&amp;search_scope=EVERYTHING&amp;vid=01CRU&amp;lang=en_US&amp;offset=0&amp;query=any,contains,991003960579702656","Catalog Record")</f>
        <v>Catalog Record</v>
      </c>
      <c r="AT331" s="6" t="str">
        <f>HYPERLINK("http://www.worldcat.org/oclc/1975019","WorldCat Record")</f>
        <v>WorldCat Record</v>
      </c>
      <c r="AU331" s="3" t="s">
        <v>4344</v>
      </c>
      <c r="AV331" s="3" t="s">
        <v>4345</v>
      </c>
      <c r="AW331" s="3" t="s">
        <v>4346</v>
      </c>
      <c r="AX331" s="3" t="s">
        <v>4346</v>
      </c>
      <c r="AY331" s="3" t="s">
        <v>4347</v>
      </c>
      <c r="AZ331" s="3" t="s">
        <v>76</v>
      </c>
      <c r="BB331" s="3" t="s">
        <v>4348</v>
      </c>
      <c r="BC331" s="3" t="s">
        <v>4349</v>
      </c>
      <c r="BD331" s="3" t="s">
        <v>4350</v>
      </c>
    </row>
    <row r="332" spans="1:56" ht="52.5" customHeight="1" x14ac:dyDescent="0.25">
      <c r="A332" s="7" t="s">
        <v>59</v>
      </c>
      <c r="B332" s="2" t="s">
        <v>4351</v>
      </c>
      <c r="C332" s="2" t="s">
        <v>4352</v>
      </c>
      <c r="D332" s="2" t="s">
        <v>4353</v>
      </c>
      <c r="F332" s="3" t="s">
        <v>59</v>
      </c>
      <c r="G332" s="3" t="s">
        <v>60</v>
      </c>
      <c r="H332" s="3" t="s">
        <v>59</v>
      </c>
      <c r="I332" s="3" t="s">
        <v>59</v>
      </c>
      <c r="J332" s="3" t="s">
        <v>61</v>
      </c>
      <c r="L332" s="2" t="s">
        <v>4354</v>
      </c>
      <c r="M332" s="3" t="s">
        <v>616</v>
      </c>
      <c r="O332" s="3" t="s">
        <v>65</v>
      </c>
      <c r="P332" s="3" t="s">
        <v>699</v>
      </c>
      <c r="Q332" s="2" t="s">
        <v>4355</v>
      </c>
      <c r="R332" s="3" t="s">
        <v>68</v>
      </c>
      <c r="S332" s="4">
        <v>4</v>
      </c>
      <c r="T332" s="4">
        <v>4</v>
      </c>
      <c r="U332" s="5" t="s">
        <v>4356</v>
      </c>
      <c r="V332" s="5" t="s">
        <v>4356</v>
      </c>
      <c r="W332" s="5" t="s">
        <v>4357</v>
      </c>
      <c r="X332" s="5" t="s">
        <v>4357</v>
      </c>
      <c r="Y332" s="4">
        <v>195</v>
      </c>
      <c r="Z332" s="4">
        <v>156</v>
      </c>
      <c r="AA332" s="4">
        <v>173</v>
      </c>
      <c r="AB332" s="4">
        <v>2</v>
      </c>
      <c r="AC332" s="4">
        <v>2</v>
      </c>
      <c r="AD332" s="4">
        <v>13</v>
      </c>
      <c r="AE332" s="4">
        <v>13</v>
      </c>
      <c r="AF332" s="4">
        <v>6</v>
      </c>
      <c r="AG332" s="4">
        <v>6</v>
      </c>
      <c r="AH332" s="4">
        <v>1</v>
      </c>
      <c r="AI332" s="4">
        <v>1</v>
      </c>
      <c r="AJ332" s="4">
        <v>8</v>
      </c>
      <c r="AK332" s="4">
        <v>8</v>
      </c>
      <c r="AL332" s="4">
        <v>1</v>
      </c>
      <c r="AM332" s="4">
        <v>1</v>
      </c>
      <c r="AN332" s="4">
        <v>0</v>
      </c>
      <c r="AO332" s="4">
        <v>0</v>
      </c>
      <c r="AP332" s="3" t="s">
        <v>59</v>
      </c>
      <c r="AQ332" s="3" t="s">
        <v>71</v>
      </c>
      <c r="AR332" s="6" t="str">
        <f>HYPERLINK("http://catalog.hathitrust.org/Record/007138863","HathiTrust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HYPERLINK("https://creighton-primo.hosted.exlibrisgroup.com/primo-explore/search?tab=default_tab&amp;search_scope=EVERYTHING&amp;vid=01CRU&amp;lang=en_US&amp;offset=0&amp;query=any,contains,991001390789702656","Catalog Record")</f>
        <v>Catalog Record</v>
      </c>
      <c r="AT332" s="6" t="str">
        <f>HYPERLINK("http://www.worldcat.org/oclc/18756610","WorldCat Record")</f>
        <v>WorldCat Record</v>
      </c>
      <c r="AU332" s="3" t="s">
        <v>4358</v>
      </c>
      <c r="AV332" s="3" t="s">
        <v>4359</v>
      </c>
      <c r="AW332" s="3" t="s">
        <v>4360</v>
      </c>
      <c r="AX332" s="3" t="s">
        <v>4360</v>
      </c>
      <c r="AY332" s="3" t="s">
        <v>4361</v>
      </c>
      <c r="AZ332" s="3" t="s">
        <v>76</v>
      </c>
      <c r="BB332" s="3" t="s">
        <v>4362</v>
      </c>
      <c r="BC332" s="3" t="s">
        <v>4363</v>
      </c>
      <c r="BD332" s="3" t="s">
        <v>4364</v>
      </c>
    </row>
    <row r="333" spans="1:56" ht="52.5" customHeight="1" x14ac:dyDescent="0.25">
      <c r="A333" s="7" t="s">
        <v>59</v>
      </c>
      <c r="B333" s="2" t="s">
        <v>4365</v>
      </c>
      <c r="C333" s="2" t="s">
        <v>4366</v>
      </c>
      <c r="D333" s="2" t="s">
        <v>4367</v>
      </c>
      <c r="F333" s="3" t="s">
        <v>59</v>
      </c>
      <c r="G333" s="3" t="s">
        <v>60</v>
      </c>
      <c r="H333" s="3" t="s">
        <v>59</v>
      </c>
      <c r="I333" s="3" t="s">
        <v>59</v>
      </c>
      <c r="J333" s="3" t="s">
        <v>61</v>
      </c>
      <c r="K333" s="2" t="s">
        <v>4368</v>
      </c>
      <c r="L333" s="2" t="s">
        <v>4369</v>
      </c>
      <c r="M333" s="3" t="s">
        <v>987</v>
      </c>
      <c r="O333" s="3" t="s">
        <v>65</v>
      </c>
      <c r="P333" s="3" t="s">
        <v>66</v>
      </c>
      <c r="R333" s="3" t="s">
        <v>68</v>
      </c>
      <c r="S333" s="4">
        <v>3</v>
      </c>
      <c r="T333" s="4">
        <v>3</v>
      </c>
      <c r="U333" s="5" t="s">
        <v>1248</v>
      </c>
      <c r="V333" s="5" t="s">
        <v>1248</v>
      </c>
      <c r="W333" s="5" t="s">
        <v>3522</v>
      </c>
      <c r="X333" s="5" t="s">
        <v>3522</v>
      </c>
      <c r="Y333" s="4">
        <v>499</v>
      </c>
      <c r="Z333" s="4">
        <v>382</v>
      </c>
      <c r="AA333" s="4">
        <v>401</v>
      </c>
      <c r="AB333" s="4">
        <v>3</v>
      </c>
      <c r="AC333" s="4">
        <v>3</v>
      </c>
      <c r="AD333" s="4">
        <v>14</v>
      </c>
      <c r="AE333" s="4">
        <v>15</v>
      </c>
      <c r="AF333" s="4">
        <v>3</v>
      </c>
      <c r="AG333" s="4">
        <v>3</v>
      </c>
      <c r="AH333" s="4">
        <v>4</v>
      </c>
      <c r="AI333" s="4">
        <v>4</v>
      </c>
      <c r="AJ333" s="4">
        <v>9</v>
      </c>
      <c r="AK333" s="4">
        <v>10</v>
      </c>
      <c r="AL333" s="4">
        <v>1</v>
      </c>
      <c r="AM333" s="4">
        <v>1</v>
      </c>
      <c r="AN333" s="4">
        <v>0</v>
      </c>
      <c r="AO333" s="4">
        <v>0</v>
      </c>
      <c r="AP333" s="3" t="s">
        <v>59</v>
      </c>
      <c r="AQ333" s="3" t="s">
        <v>71</v>
      </c>
      <c r="AR333" s="6" t="str">
        <f>HYPERLINK("http://catalog.hathitrust.org/Record/000354539","HathiTrust Record")</f>
        <v>HathiTrust Record</v>
      </c>
      <c r="AS333" s="6" t="str">
        <f>HYPERLINK("https://creighton-primo.hosted.exlibrisgroup.com/primo-explore/search?tab=default_tab&amp;search_scope=EVERYTHING&amp;vid=01CRU&amp;lang=en_US&amp;offset=0&amp;query=any,contains,991000655589702656","Catalog Record")</f>
        <v>Catalog Record</v>
      </c>
      <c r="AT333" s="6" t="str">
        <f>HYPERLINK("http://www.worldcat.org/oclc/115098","WorldCat Record")</f>
        <v>WorldCat Record</v>
      </c>
      <c r="AU333" s="3" t="s">
        <v>4370</v>
      </c>
      <c r="AV333" s="3" t="s">
        <v>4371</v>
      </c>
      <c r="AW333" s="3" t="s">
        <v>4372</v>
      </c>
      <c r="AX333" s="3" t="s">
        <v>4372</v>
      </c>
      <c r="AY333" s="3" t="s">
        <v>4373</v>
      </c>
      <c r="AZ333" s="3" t="s">
        <v>76</v>
      </c>
      <c r="BB333" s="3" t="s">
        <v>4374</v>
      </c>
      <c r="BC333" s="3" t="s">
        <v>4375</v>
      </c>
      <c r="BD333" s="3" t="s">
        <v>4376</v>
      </c>
    </row>
    <row r="334" spans="1:56" ht="52.5" customHeight="1" x14ac:dyDescent="0.25">
      <c r="A334" s="7" t="s">
        <v>59</v>
      </c>
      <c r="B334" s="2" t="s">
        <v>4377</v>
      </c>
      <c r="C334" s="2" t="s">
        <v>4378</v>
      </c>
      <c r="D334" s="2" t="s">
        <v>4379</v>
      </c>
      <c r="F334" s="3" t="s">
        <v>59</v>
      </c>
      <c r="G334" s="3" t="s">
        <v>60</v>
      </c>
      <c r="H334" s="3" t="s">
        <v>59</v>
      </c>
      <c r="I334" s="3" t="s">
        <v>59</v>
      </c>
      <c r="J334" s="3" t="s">
        <v>61</v>
      </c>
      <c r="K334" s="2" t="s">
        <v>4380</v>
      </c>
      <c r="L334" s="2" t="s">
        <v>4381</v>
      </c>
      <c r="M334" s="3" t="s">
        <v>1015</v>
      </c>
      <c r="N334" s="2" t="s">
        <v>435</v>
      </c>
      <c r="O334" s="3" t="s">
        <v>65</v>
      </c>
      <c r="P334" s="3" t="s">
        <v>1262</v>
      </c>
      <c r="Q334" s="2" t="s">
        <v>4382</v>
      </c>
      <c r="R334" s="3" t="s">
        <v>68</v>
      </c>
      <c r="S334" s="4">
        <v>2</v>
      </c>
      <c r="T334" s="4">
        <v>2</v>
      </c>
      <c r="U334" s="5" t="s">
        <v>4383</v>
      </c>
      <c r="V334" s="5" t="s">
        <v>4383</v>
      </c>
      <c r="W334" s="5" t="s">
        <v>3612</v>
      </c>
      <c r="X334" s="5" t="s">
        <v>3612</v>
      </c>
      <c r="Y334" s="4">
        <v>459</v>
      </c>
      <c r="Z334" s="4">
        <v>347</v>
      </c>
      <c r="AA334" s="4">
        <v>373</v>
      </c>
      <c r="AB334" s="4">
        <v>5</v>
      </c>
      <c r="AC334" s="4">
        <v>5</v>
      </c>
      <c r="AD334" s="4">
        <v>19</v>
      </c>
      <c r="AE334" s="4">
        <v>21</v>
      </c>
      <c r="AF334" s="4">
        <v>5</v>
      </c>
      <c r="AG334" s="4">
        <v>6</v>
      </c>
      <c r="AH334" s="4">
        <v>7</v>
      </c>
      <c r="AI334" s="4">
        <v>8</v>
      </c>
      <c r="AJ334" s="4">
        <v>9</v>
      </c>
      <c r="AK334" s="4">
        <v>9</v>
      </c>
      <c r="AL334" s="4">
        <v>4</v>
      </c>
      <c r="AM334" s="4">
        <v>4</v>
      </c>
      <c r="AN334" s="4">
        <v>0</v>
      </c>
      <c r="AO334" s="4">
        <v>0</v>
      </c>
      <c r="AP334" s="3" t="s">
        <v>59</v>
      </c>
      <c r="AQ334" s="3" t="s">
        <v>71</v>
      </c>
      <c r="AR334" s="6" t="str">
        <f>HYPERLINK("http://catalog.hathitrust.org/Record/000662817","HathiTrust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HYPERLINK("https://creighton-primo.hosted.exlibrisgroup.com/primo-explore/search?tab=default_tab&amp;search_scope=EVERYTHING&amp;vid=01CRU&amp;lang=en_US&amp;offset=0&amp;query=any,contains,991001372509702656","Catalog Record")</f>
        <v>Catalog Record</v>
      </c>
      <c r="AT334" s="6" t="str">
        <f>HYPERLINK("http://www.worldcat.org/oclc/224043","WorldCat Record")</f>
        <v>WorldCat Record</v>
      </c>
      <c r="AU334" s="3" t="s">
        <v>4384</v>
      </c>
      <c r="AV334" s="3" t="s">
        <v>4385</v>
      </c>
      <c r="AW334" s="3" t="s">
        <v>4386</v>
      </c>
      <c r="AX334" s="3" t="s">
        <v>4386</v>
      </c>
      <c r="AY334" s="3" t="s">
        <v>4387</v>
      </c>
      <c r="AZ334" s="3" t="s">
        <v>76</v>
      </c>
      <c r="BC334" s="3" t="s">
        <v>4388</v>
      </c>
      <c r="BD334" s="3" t="s">
        <v>4389</v>
      </c>
    </row>
    <row r="335" spans="1:56" ht="52.5" customHeight="1" x14ac:dyDescent="0.25">
      <c r="A335" s="7" t="s">
        <v>59</v>
      </c>
      <c r="B335" s="2" t="s">
        <v>4390</v>
      </c>
      <c r="C335" s="2" t="s">
        <v>4391</v>
      </c>
      <c r="D335" s="2" t="s">
        <v>4392</v>
      </c>
      <c r="F335" s="3" t="s">
        <v>59</v>
      </c>
      <c r="G335" s="3" t="s">
        <v>60</v>
      </c>
      <c r="H335" s="3" t="s">
        <v>59</v>
      </c>
      <c r="I335" s="3" t="s">
        <v>59</v>
      </c>
      <c r="J335" s="3" t="s">
        <v>61</v>
      </c>
      <c r="K335" s="2" t="s">
        <v>4393</v>
      </c>
      <c r="L335" s="2" t="s">
        <v>4394</v>
      </c>
      <c r="M335" s="3" t="s">
        <v>224</v>
      </c>
      <c r="O335" s="3" t="s">
        <v>65</v>
      </c>
      <c r="P335" s="3" t="s">
        <v>66</v>
      </c>
      <c r="Q335" s="2" t="s">
        <v>4395</v>
      </c>
      <c r="R335" s="3" t="s">
        <v>68</v>
      </c>
      <c r="S335" s="4">
        <v>2</v>
      </c>
      <c r="T335" s="4">
        <v>2</v>
      </c>
      <c r="U335" s="5" t="s">
        <v>564</v>
      </c>
      <c r="V335" s="5" t="s">
        <v>564</v>
      </c>
      <c r="W335" s="5" t="s">
        <v>3612</v>
      </c>
      <c r="X335" s="5" t="s">
        <v>3612</v>
      </c>
      <c r="Y335" s="4">
        <v>426</v>
      </c>
      <c r="Z335" s="4">
        <v>329</v>
      </c>
      <c r="AA335" s="4">
        <v>539</v>
      </c>
      <c r="AB335" s="4">
        <v>5</v>
      </c>
      <c r="AC335" s="4">
        <v>5</v>
      </c>
      <c r="AD335" s="4">
        <v>17</v>
      </c>
      <c r="AE335" s="4">
        <v>31</v>
      </c>
      <c r="AF335" s="4">
        <v>2</v>
      </c>
      <c r="AG335" s="4">
        <v>10</v>
      </c>
      <c r="AH335" s="4">
        <v>7</v>
      </c>
      <c r="AI335" s="4">
        <v>8</v>
      </c>
      <c r="AJ335" s="4">
        <v>9</v>
      </c>
      <c r="AK335" s="4">
        <v>17</v>
      </c>
      <c r="AL335" s="4">
        <v>4</v>
      </c>
      <c r="AM335" s="4">
        <v>4</v>
      </c>
      <c r="AN335" s="4">
        <v>0</v>
      </c>
      <c r="AO335" s="4">
        <v>0</v>
      </c>
      <c r="AP335" s="3" t="s">
        <v>59</v>
      </c>
      <c r="AQ335" s="3" t="s">
        <v>71</v>
      </c>
      <c r="AR335" s="6" t="str">
        <f>HYPERLINK("http://catalog.hathitrust.org/Record/000662824","HathiTrust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HYPERLINK("https://creighton-primo.hosted.exlibrisgroup.com/primo-explore/search?tab=default_tab&amp;search_scope=EVERYTHING&amp;vid=01CRU&amp;lang=en_US&amp;offset=0&amp;query=any,contains,991003620799702656","Catalog Record")</f>
        <v>Catalog Record</v>
      </c>
      <c r="AT335" s="6" t="str">
        <f>HYPERLINK("http://www.worldcat.org/oclc/1207407","WorldCat Record")</f>
        <v>WorldCat Record</v>
      </c>
      <c r="AU335" s="3" t="s">
        <v>4396</v>
      </c>
      <c r="AV335" s="3" t="s">
        <v>4397</v>
      </c>
      <c r="AW335" s="3" t="s">
        <v>4398</v>
      </c>
      <c r="AX335" s="3" t="s">
        <v>4398</v>
      </c>
      <c r="AY335" s="3" t="s">
        <v>4399</v>
      </c>
      <c r="AZ335" s="3" t="s">
        <v>76</v>
      </c>
      <c r="BB335" s="3" t="s">
        <v>4400</v>
      </c>
      <c r="BC335" s="3" t="s">
        <v>4401</v>
      </c>
      <c r="BD335" s="3" t="s">
        <v>4402</v>
      </c>
    </row>
    <row r="336" spans="1:56" ht="52.5" customHeight="1" x14ac:dyDescent="0.25">
      <c r="A336" s="7" t="s">
        <v>59</v>
      </c>
      <c r="B336" s="2" t="s">
        <v>4403</v>
      </c>
      <c r="C336" s="2" t="s">
        <v>4404</v>
      </c>
      <c r="D336" s="2" t="s">
        <v>4405</v>
      </c>
      <c r="F336" s="3" t="s">
        <v>59</v>
      </c>
      <c r="G336" s="3" t="s">
        <v>60</v>
      </c>
      <c r="H336" s="3" t="s">
        <v>59</v>
      </c>
      <c r="I336" s="3" t="s">
        <v>59</v>
      </c>
      <c r="J336" s="3" t="s">
        <v>61</v>
      </c>
      <c r="K336" s="2" t="s">
        <v>4393</v>
      </c>
      <c r="L336" s="2" t="s">
        <v>4406</v>
      </c>
      <c r="M336" s="3" t="s">
        <v>684</v>
      </c>
      <c r="N336" s="2" t="s">
        <v>4407</v>
      </c>
      <c r="O336" s="3" t="s">
        <v>65</v>
      </c>
      <c r="P336" s="3" t="s">
        <v>283</v>
      </c>
      <c r="R336" s="3" t="s">
        <v>68</v>
      </c>
      <c r="S336" s="4">
        <v>3</v>
      </c>
      <c r="T336" s="4">
        <v>3</v>
      </c>
      <c r="U336" s="5" t="s">
        <v>4408</v>
      </c>
      <c r="V336" s="5" t="s">
        <v>4408</v>
      </c>
      <c r="W336" s="5" t="s">
        <v>2176</v>
      </c>
      <c r="X336" s="5" t="s">
        <v>2176</v>
      </c>
      <c r="Y336" s="4">
        <v>546</v>
      </c>
      <c r="Z336" s="4">
        <v>439</v>
      </c>
      <c r="AA336" s="4">
        <v>516</v>
      </c>
      <c r="AB336" s="4">
        <v>2</v>
      </c>
      <c r="AC336" s="4">
        <v>3</v>
      </c>
      <c r="AD336" s="4">
        <v>24</v>
      </c>
      <c r="AE336" s="4">
        <v>30</v>
      </c>
      <c r="AF336" s="4">
        <v>9</v>
      </c>
      <c r="AG336" s="4">
        <v>13</v>
      </c>
      <c r="AH336" s="4">
        <v>8</v>
      </c>
      <c r="AI336" s="4">
        <v>8</v>
      </c>
      <c r="AJ336" s="4">
        <v>14</v>
      </c>
      <c r="AK336" s="4">
        <v>16</v>
      </c>
      <c r="AL336" s="4">
        <v>1</v>
      </c>
      <c r="AM336" s="4">
        <v>2</v>
      </c>
      <c r="AN336" s="4">
        <v>0</v>
      </c>
      <c r="AO336" s="4">
        <v>0</v>
      </c>
      <c r="AP336" s="3" t="s">
        <v>59</v>
      </c>
      <c r="AQ336" s="3" t="s">
        <v>59</v>
      </c>
      <c r="AS336" s="6" t="str">
        <f>HYPERLINK("https://creighton-primo.hosted.exlibrisgroup.com/primo-explore/search?tab=default_tab&amp;search_scope=EVERYTHING&amp;vid=01CRU&amp;lang=en_US&amp;offset=0&amp;query=any,contains,991005115989702656","Catalog Record")</f>
        <v>Catalog Record</v>
      </c>
      <c r="AT336" s="6" t="str">
        <f>HYPERLINK("http://www.worldcat.org/oclc/7462473","WorldCat Record")</f>
        <v>WorldCat Record</v>
      </c>
      <c r="AU336" s="3" t="s">
        <v>4409</v>
      </c>
      <c r="AV336" s="3" t="s">
        <v>4410</v>
      </c>
      <c r="AW336" s="3" t="s">
        <v>4411</v>
      </c>
      <c r="AX336" s="3" t="s">
        <v>4411</v>
      </c>
      <c r="AY336" s="3" t="s">
        <v>4412</v>
      </c>
      <c r="AZ336" s="3" t="s">
        <v>76</v>
      </c>
      <c r="BB336" s="3" t="s">
        <v>4413</v>
      </c>
      <c r="BC336" s="3" t="s">
        <v>4414</v>
      </c>
      <c r="BD336" s="3" t="s">
        <v>4415</v>
      </c>
    </row>
    <row r="337" spans="1:56" ht="52.5" customHeight="1" x14ac:dyDescent="0.25">
      <c r="A337" s="7" t="s">
        <v>59</v>
      </c>
      <c r="B337" s="2" t="s">
        <v>4416</v>
      </c>
      <c r="C337" s="2" t="s">
        <v>4417</v>
      </c>
      <c r="D337" s="2" t="s">
        <v>4418</v>
      </c>
      <c r="F337" s="3" t="s">
        <v>59</v>
      </c>
      <c r="G337" s="3" t="s">
        <v>60</v>
      </c>
      <c r="H337" s="3" t="s">
        <v>59</v>
      </c>
      <c r="I337" s="3" t="s">
        <v>59</v>
      </c>
      <c r="J337" s="3" t="s">
        <v>61</v>
      </c>
      <c r="K337" s="2" t="s">
        <v>4419</v>
      </c>
      <c r="L337" s="2" t="s">
        <v>3859</v>
      </c>
      <c r="M337" s="3" t="s">
        <v>514</v>
      </c>
      <c r="O337" s="3" t="s">
        <v>65</v>
      </c>
      <c r="P337" s="3" t="s">
        <v>66</v>
      </c>
      <c r="Q337" s="2" t="s">
        <v>3470</v>
      </c>
      <c r="R337" s="3" t="s">
        <v>68</v>
      </c>
      <c r="S337" s="4">
        <v>2</v>
      </c>
      <c r="T337" s="4">
        <v>2</v>
      </c>
      <c r="U337" s="5" t="s">
        <v>421</v>
      </c>
      <c r="V337" s="5" t="s">
        <v>421</v>
      </c>
      <c r="W337" s="5" t="s">
        <v>3522</v>
      </c>
      <c r="X337" s="5" t="s">
        <v>3522</v>
      </c>
      <c r="Y337" s="4">
        <v>663</v>
      </c>
      <c r="Z337" s="4">
        <v>513</v>
      </c>
      <c r="AA337" s="4">
        <v>516</v>
      </c>
      <c r="AB337" s="4">
        <v>4</v>
      </c>
      <c r="AC337" s="4">
        <v>4</v>
      </c>
      <c r="AD337" s="4">
        <v>17</v>
      </c>
      <c r="AE337" s="4">
        <v>17</v>
      </c>
      <c r="AF337" s="4">
        <v>3</v>
      </c>
      <c r="AG337" s="4">
        <v>3</v>
      </c>
      <c r="AH337" s="4">
        <v>6</v>
      </c>
      <c r="AI337" s="4">
        <v>6</v>
      </c>
      <c r="AJ337" s="4">
        <v>13</v>
      </c>
      <c r="AK337" s="4">
        <v>13</v>
      </c>
      <c r="AL337" s="4">
        <v>2</v>
      </c>
      <c r="AM337" s="4">
        <v>2</v>
      </c>
      <c r="AN337" s="4">
        <v>0</v>
      </c>
      <c r="AO337" s="4">
        <v>0</v>
      </c>
      <c r="AP337" s="3" t="s">
        <v>59</v>
      </c>
      <c r="AQ337" s="3" t="s">
        <v>71</v>
      </c>
      <c r="AR337" s="6" t="str">
        <f>HYPERLINK("http://catalog.hathitrust.org/Record/000357722","HathiTrust Record")</f>
        <v>HathiTrust Record</v>
      </c>
      <c r="AS337" s="6" t="str">
        <f>HYPERLINK("https://creighton-primo.hosted.exlibrisgroup.com/primo-explore/search?tab=default_tab&amp;search_scope=EVERYTHING&amp;vid=01CRU&amp;lang=en_US&amp;offset=0&amp;query=any,contains,991003180489702656","Catalog Record")</f>
        <v>Catalog Record</v>
      </c>
      <c r="AT337" s="6" t="str">
        <f>HYPERLINK("http://www.worldcat.org/oclc/711642","WorldCat Record")</f>
        <v>WorldCat Record</v>
      </c>
      <c r="AU337" s="3" t="s">
        <v>4420</v>
      </c>
      <c r="AV337" s="3" t="s">
        <v>4421</v>
      </c>
      <c r="AW337" s="3" t="s">
        <v>4422</v>
      </c>
      <c r="AX337" s="3" t="s">
        <v>4422</v>
      </c>
      <c r="AY337" s="3" t="s">
        <v>4423</v>
      </c>
      <c r="AZ337" s="3" t="s">
        <v>76</v>
      </c>
      <c r="BC337" s="3" t="s">
        <v>4424</v>
      </c>
      <c r="BD337" s="3" t="s">
        <v>4425</v>
      </c>
    </row>
    <row r="338" spans="1:56" ht="52.5" customHeight="1" x14ac:dyDescent="0.25">
      <c r="A338" s="7" t="s">
        <v>59</v>
      </c>
      <c r="B338" s="2" t="s">
        <v>4426</v>
      </c>
      <c r="C338" s="2" t="s">
        <v>4427</v>
      </c>
      <c r="D338" s="2" t="s">
        <v>4428</v>
      </c>
      <c r="F338" s="3" t="s">
        <v>59</v>
      </c>
      <c r="G338" s="3" t="s">
        <v>60</v>
      </c>
      <c r="H338" s="3" t="s">
        <v>59</v>
      </c>
      <c r="I338" s="3" t="s">
        <v>59</v>
      </c>
      <c r="J338" s="3" t="s">
        <v>61</v>
      </c>
      <c r="K338" s="2" t="s">
        <v>4429</v>
      </c>
      <c r="L338" s="2" t="s">
        <v>3235</v>
      </c>
      <c r="M338" s="3" t="s">
        <v>1000</v>
      </c>
      <c r="O338" s="3" t="s">
        <v>65</v>
      </c>
      <c r="P338" s="3" t="s">
        <v>420</v>
      </c>
      <c r="Q338" s="2" t="s">
        <v>4430</v>
      </c>
      <c r="R338" s="3" t="s">
        <v>68</v>
      </c>
      <c r="S338" s="4">
        <v>6</v>
      </c>
      <c r="T338" s="4">
        <v>6</v>
      </c>
      <c r="U338" s="5" t="s">
        <v>4431</v>
      </c>
      <c r="V338" s="5" t="s">
        <v>4431</v>
      </c>
      <c r="W338" s="5" t="s">
        <v>3612</v>
      </c>
      <c r="X338" s="5" t="s">
        <v>3612</v>
      </c>
      <c r="Y338" s="4">
        <v>371</v>
      </c>
      <c r="Z338" s="4">
        <v>296</v>
      </c>
      <c r="AA338" s="4">
        <v>302</v>
      </c>
      <c r="AB338" s="4">
        <v>2</v>
      </c>
      <c r="AC338" s="4">
        <v>2</v>
      </c>
      <c r="AD338" s="4">
        <v>11</v>
      </c>
      <c r="AE338" s="4">
        <v>11</v>
      </c>
      <c r="AF338" s="4">
        <v>6</v>
      </c>
      <c r="AG338" s="4">
        <v>6</v>
      </c>
      <c r="AH338" s="4">
        <v>3</v>
      </c>
      <c r="AI338" s="4">
        <v>3</v>
      </c>
      <c r="AJ338" s="4">
        <v>6</v>
      </c>
      <c r="AK338" s="4">
        <v>6</v>
      </c>
      <c r="AL338" s="4">
        <v>1</v>
      </c>
      <c r="AM338" s="4">
        <v>1</v>
      </c>
      <c r="AN338" s="4">
        <v>0</v>
      </c>
      <c r="AO338" s="4">
        <v>0</v>
      </c>
      <c r="AP338" s="3" t="s">
        <v>59</v>
      </c>
      <c r="AQ338" s="3" t="s">
        <v>71</v>
      </c>
      <c r="AR338" s="6" t="str">
        <f>HYPERLINK("http://catalog.hathitrust.org/Record/000695345","HathiTrust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HYPERLINK("https://creighton-primo.hosted.exlibrisgroup.com/primo-explore/search?tab=default_tab&amp;search_scope=EVERYTHING&amp;vid=01CRU&amp;lang=en_US&amp;offset=0&amp;query=any,contains,991004678459702656","Catalog Record")</f>
        <v>Catalog Record</v>
      </c>
      <c r="AT338" s="6" t="str">
        <f>HYPERLINK("http://www.worldcat.org/oclc/4549672","WorldCat Record")</f>
        <v>WorldCat Record</v>
      </c>
      <c r="AU338" s="3" t="s">
        <v>4432</v>
      </c>
      <c r="AV338" s="3" t="s">
        <v>4433</v>
      </c>
      <c r="AW338" s="3" t="s">
        <v>4434</v>
      </c>
      <c r="AX338" s="3" t="s">
        <v>4434</v>
      </c>
      <c r="AY338" s="3" t="s">
        <v>4435</v>
      </c>
      <c r="AZ338" s="3" t="s">
        <v>76</v>
      </c>
      <c r="BB338" s="3" t="s">
        <v>4436</v>
      </c>
      <c r="BC338" s="3" t="s">
        <v>4437</v>
      </c>
      <c r="BD338" s="3" t="s">
        <v>4438</v>
      </c>
    </row>
    <row r="339" spans="1:56" ht="52.5" customHeight="1" x14ac:dyDescent="0.25">
      <c r="A339" s="7" t="s">
        <v>59</v>
      </c>
      <c r="B339" s="2" t="s">
        <v>4439</v>
      </c>
      <c r="C339" s="2" t="s">
        <v>4440</v>
      </c>
      <c r="D339" s="2" t="s">
        <v>4441</v>
      </c>
      <c r="F339" s="3" t="s">
        <v>59</v>
      </c>
      <c r="G339" s="3" t="s">
        <v>60</v>
      </c>
      <c r="H339" s="3" t="s">
        <v>59</v>
      </c>
      <c r="I339" s="3" t="s">
        <v>59</v>
      </c>
      <c r="J339" s="3" t="s">
        <v>61</v>
      </c>
      <c r="K339" s="2" t="s">
        <v>4442</v>
      </c>
      <c r="L339" s="2" t="s">
        <v>4443</v>
      </c>
      <c r="M339" s="3" t="s">
        <v>254</v>
      </c>
      <c r="O339" s="3" t="s">
        <v>65</v>
      </c>
      <c r="P339" s="3" t="s">
        <v>699</v>
      </c>
      <c r="R339" s="3" t="s">
        <v>68</v>
      </c>
      <c r="S339" s="4">
        <v>1</v>
      </c>
      <c r="T339" s="4">
        <v>1</v>
      </c>
      <c r="U339" s="5" t="s">
        <v>4444</v>
      </c>
      <c r="V339" s="5" t="s">
        <v>4444</v>
      </c>
      <c r="W339" s="5" t="s">
        <v>4150</v>
      </c>
      <c r="X339" s="5" t="s">
        <v>4150</v>
      </c>
      <c r="Y339" s="4">
        <v>1222</v>
      </c>
      <c r="Z339" s="4">
        <v>993</v>
      </c>
      <c r="AA339" s="4">
        <v>1143</v>
      </c>
      <c r="AB339" s="4">
        <v>3</v>
      </c>
      <c r="AC339" s="4">
        <v>5</v>
      </c>
      <c r="AD339" s="4">
        <v>35</v>
      </c>
      <c r="AE339" s="4">
        <v>41</v>
      </c>
      <c r="AF339" s="4">
        <v>13</v>
      </c>
      <c r="AG339" s="4">
        <v>15</v>
      </c>
      <c r="AH339" s="4">
        <v>9</v>
      </c>
      <c r="AI339" s="4">
        <v>10</v>
      </c>
      <c r="AJ339" s="4">
        <v>17</v>
      </c>
      <c r="AK339" s="4">
        <v>21</v>
      </c>
      <c r="AL339" s="4">
        <v>2</v>
      </c>
      <c r="AM339" s="4">
        <v>4</v>
      </c>
      <c r="AN339" s="4">
        <v>0</v>
      </c>
      <c r="AO339" s="4">
        <v>0</v>
      </c>
      <c r="AP339" s="3" t="s">
        <v>59</v>
      </c>
      <c r="AQ339" s="3" t="s">
        <v>71</v>
      </c>
      <c r="AR339" s="6" t="str">
        <f>HYPERLINK("http://catalog.hathitrust.org/Record/000354559","HathiTrust Record")</f>
        <v>HathiTrust Record</v>
      </c>
      <c r="AS339" s="6" t="str">
        <f>HYPERLINK("https://creighton-primo.hosted.exlibrisgroup.com/primo-explore/search?tab=default_tab&amp;search_scope=EVERYTHING&amp;vid=01CRU&amp;lang=en_US&amp;offset=0&amp;query=any,contains,991005433939702656","Catalog Record")</f>
        <v>Catalog Record</v>
      </c>
      <c r="AT339" s="6" t="str">
        <f>HYPERLINK("http://www.worldcat.org/oclc/2194","WorldCat Record")</f>
        <v>WorldCat Record</v>
      </c>
      <c r="AU339" s="3" t="s">
        <v>4445</v>
      </c>
      <c r="AV339" s="3" t="s">
        <v>4446</v>
      </c>
      <c r="AW339" s="3" t="s">
        <v>4447</v>
      </c>
      <c r="AX339" s="3" t="s">
        <v>4447</v>
      </c>
      <c r="AY339" s="3" t="s">
        <v>4448</v>
      </c>
      <c r="AZ339" s="3" t="s">
        <v>76</v>
      </c>
      <c r="BC339" s="3" t="s">
        <v>4449</v>
      </c>
      <c r="BD339" s="3" t="s">
        <v>4450</v>
      </c>
    </row>
    <row r="340" spans="1:56" ht="52.5" customHeight="1" x14ac:dyDescent="0.25">
      <c r="A340" s="7" t="s">
        <v>59</v>
      </c>
      <c r="B340" s="2" t="s">
        <v>4451</v>
      </c>
      <c r="C340" s="2" t="s">
        <v>4452</v>
      </c>
      <c r="D340" s="2" t="s">
        <v>4453</v>
      </c>
      <c r="F340" s="3" t="s">
        <v>59</v>
      </c>
      <c r="G340" s="3" t="s">
        <v>60</v>
      </c>
      <c r="H340" s="3" t="s">
        <v>59</v>
      </c>
      <c r="I340" s="3" t="s">
        <v>59</v>
      </c>
      <c r="J340" s="3" t="s">
        <v>61</v>
      </c>
      <c r="K340" s="2" t="s">
        <v>4454</v>
      </c>
      <c r="L340" s="2" t="s">
        <v>4455</v>
      </c>
      <c r="M340" s="3" t="s">
        <v>405</v>
      </c>
      <c r="N340" s="2" t="s">
        <v>4456</v>
      </c>
      <c r="O340" s="3" t="s">
        <v>65</v>
      </c>
      <c r="P340" s="3" t="s">
        <v>66</v>
      </c>
      <c r="R340" s="3" t="s">
        <v>68</v>
      </c>
      <c r="S340" s="4">
        <v>3</v>
      </c>
      <c r="T340" s="4">
        <v>3</v>
      </c>
      <c r="U340" s="5" t="s">
        <v>4457</v>
      </c>
      <c r="V340" s="5" t="s">
        <v>4457</v>
      </c>
      <c r="W340" s="5" t="s">
        <v>4458</v>
      </c>
      <c r="X340" s="5" t="s">
        <v>4458</v>
      </c>
      <c r="Y340" s="4">
        <v>402</v>
      </c>
      <c r="Z340" s="4">
        <v>311</v>
      </c>
      <c r="AA340" s="4">
        <v>1529</v>
      </c>
      <c r="AB340" s="4">
        <v>3</v>
      </c>
      <c r="AC340" s="4">
        <v>10</v>
      </c>
      <c r="AD340" s="4">
        <v>8</v>
      </c>
      <c r="AE340" s="4">
        <v>51</v>
      </c>
      <c r="AF340" s="4">
        <v>2</v>
      </c>
      <c r="AG340" s="4">
        <v>23</v>
      </c>
      <c r="AH340" s="4">
        <v>3</v>
      </c>
      <c r="AI340" s="4">
        <v>9</v>
      </c>
      <c r="AJ340" s="4">
        <v>2</v>
      </c>
      <c r="AK340" s="4">
        <v>25</v>
      </c>
      <c r="AL340" s="4">
        <v>2</v>
      </c>
      <c r="AM340" s="4">
        <v>7</v>
      </c>
      <c r="AN340" s="4">
        <v>0</v>
      </c>
      <c r="AO340" s="4">
        <v>0</v>
      </c>
      <c r="AP340" s="3" t="s">
        <v>59</v>
      </c>
      <c r="AQ340" s="3" t="s">
        <v>59</v>
      </c>
      <c r="AS340" s="6" t="str">
        <f>HYPERLINK("https://creighton-primo.hosted.exlibrisgroup.com/primo-explore/search?tab=default_tab&amp;search_scope=EVERYTHING&amp;vid=01CRU&amp;lang=en_US&amp;offset=0&amp;query=any,contains,991001117549702656","Catalog Record")</f>
        <v>Catalog Record</v>
      </c>
      <c r="AT340" s="6" t="str">
        <f>HYPERLINK("http://www.worldcat.org/oclc/16529666","WorldCat Record")</f>
        <v>WorldCat Record</v>
      </c>
      <c r="AU340" s="3" t="s">
        <v>4459</v>
      </c>
      <c r="AV340" s="3" t="s">
        <v>4460</v>
      </c>
      <c r="AW340" s="3" t="s">
        <v>4461</v>
      </c>
      <c r="AX340" s="3" t="s">
        <v>4461</v>
      </c>
      <c r="AY340" s="3" t="s">
        <v>4462</v>
      </c>
      <c r="AZ340" s="3" t="s">
        <v>76</v>
      </c>
      <c r="BB340" s="3" t="s">
        <v>4463</v>
      </c>
      <c r="BC340" s="3" t="s">
        <v>4464</v>
      </c>
      <c r="BD340" s="3" t="s">
        <v>4465</v>
      </c>
    </row>
    <row r="341" spans="1:56" ht="52.5" customHeight="1" x14ac:dyDescent="0.25">
      <c r="A341" s="7" t="s">
        <v>59</v>
      </c>
      <c r="B341" s="2" t="s">
        <v>4466</v>
      </c>
      <c r="C341" s="2" t="s">
        <v>4467</v>
      </c>
      <c r="D341" s="2" t="s">
        <v>4468</v>
      </c>
      <c r="F341" s="3" t="s">
        <v>59</v>
      </c>
      <c r="G341" s="3" t="s">
        <v>60</v>
      </c>
      <c r="H341" s="3" t="s">
        <v>59</v>
      </c>
      <c r="I341" s="3" t="s">
        <v>59</v>
      </c>
      <c r="J341" s="3" t="s">
        <v>61</v>
      </c>
      <c r="L341" s="2" t="s">
        <v>4469</v>
      </c>
      <c r="M341" s="3" t="s">
        <v>616</v>
      </c>
      <c r="O341" s="3" t="s">
        <v>65</v>
      </c>
      <c r="P341" s="3" t="s">
        <v>1262</v>
      </c>
      <c r="Q341" s="2" t="s">
        <v>4470</v>
      </c>
      <c r="R341" s="3" t="s">
        <v>68</v>
      </c>
      <c r="S341" s="4">
        <v>5</v>
      </c>
      <c r="T341" s="4">
        <v>5</v>
      </c>
      <c r="U341" s="5" t="s">
        <v>4178</v>
      </c>
      <c r="V341" s="5" t="s">
        <v>4178</v>
      </c>
      <c r="W341" s="5" t="s">
        <v>4471</v>
      </c>
      <c r="X341" s="5" t="s">
        <v>4471</v>
      </c>
      <c r="Y341" s="4">
        <v>398</v>
      </c>
      <c r="Z341" s="4">
        <v>273</v>
      </c>
      <c r="AA341" s="4">
        <v>279</v>
      </c>
      <c r="AB341" s="4">
        <v>2</v>
      </c>
      <c r="AC341" s="4">
        <v>2</v>
      </c>
      <c r="AD341" s="4">
        <v>14</v>
      </c>
      <c r="AE341" s="4">
        <v>14</v>
      </c>
      <c r="AF341" s="4">
        <v>7</v>
      </c>
      <c r="AG341" s="4">
        <v>7</v>
      </c>
      <c r="AH341" s="4">
        <v>3</v>
      </c>
      <c r="AI341" s="4">
        <v>3</v>
      </c>
      <c r="AJ341" s="4">
        <v>7</v>
      </c>
      <c r="AK341" s="4">
        <v>7</v>
      </c>
      <c r="AL341" s="4">
        <v>1</v>
      </c>
      <c r="AM341" s="4">
        <v>1</v>
      </c>
      <c r="AN341" s="4">
        <v>0</v>
      </c>
      <c r="AO341" s="4">
        <v>0</v>
      </c>
      <c r="AP341" s="3" t="s">
        <v>59</v>
      </c>
      <c r="AQ341" s="3" t="s">
        <v>71</v>
      </c>
      <c r="AR341" s="6" t="str">
        <f>HYPERLINK("http://catalog.hathitrust.org/Record/007479194","HathiTrust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HYPERLINK("https://creighton-primo.hosted.exlibrisgroup.com/primo-explore/search?tab=default_tab&amp;search_scope=EVERYTHING&amp;vid=01CRU&amp;lang=en_US&amp;offset=0&amp;query=any,contains,991001178739702656","Catalog Record")</f>
        <v>Catalog Record</v>
      </c>
      <c r="AT341" s="6" t="str">
        <f>HYPERLINK("http://www.worldcat.org/oclc/17105783","WorldCat Record")</f>
        <v>WorldCat Record</v>
      </c>
      <c r="AU341" s="3" t="s">
        <v>4472</v>
      </c>
      <c r="AV341" s="3" t="s">
        <v>4473</v>
      </c>
      <c r="AW341" s="3" t="s">
        <v>4474</v>
      </c>
      <c r="AX341" s="3" t="s">
        <v>4474</v>
      </c>
      <c r="AY341" s="3" t="s">
        <v>4475</v>
      </c>
      <c r="AZ341" s="3" t="s">
        <v>76</v>
      </c>
      <c r="BB341" s="3" t="s">
        <v>4476</v>
      </c>
      <c r="BC341" s="3" t="s">
        <v>4477</v>
      </c>
      <c r="BD341" s="3" t="s">
        <v>4478</v>
      </c>
    </row>
    <row r="342" spans="1:56" ht="52.5" customHeight="1" x14ac:dyDescent="0.25">
      <c r="A342" s="7" t="s">
        <v>59</v>
      </c>
      <c r="B342" s="2" t="s">
        <v>4479</v>
      </c>
      <c r="C342" s="2" t="s">
        <v>4480</v>
      </c>
      <c r="D342" s="2" t="s">
        <v>4481</v>
      </c>
      <c r="F342" s="3" t="s">
        <v>59</v>
      </c>
      <c r="G342" s="3" t="s">
        <v>60</v>
      </c>
      <c r="H342" s="3" t="s">
        <v>59</v>
      </c>
      <c r="I342" s="3" t="s">
        <v>59</v>
      </c>
      <c r="J342" s="3" t="s">
        <v>61</v>
      </c>
      <c r="K342" s="2" t="s">
        <v>4482</v>
      </c>
      <c r="L342" s="2" t="s">
        <v>4483</v>
      </c>
      <c r="M342" s="3" t="s">
        <v>434</v>
      </c>
      <c r="O342" s="3" t="s">
        <v>65</v>
      </c>
      <c r="P342" s="3" t="s">
        <v>66</v>
      </c>
      <c r="Q342" s="2" t="s">
        <v>1263</v>
      </c>
      <c r="R342" s="3" t="s">
        <v>68</v>
      </c>
      <c r="S342" s="4">
        <v>5</v>
      </c>
      <c r="T342" s="4">
        <v>5</v>
      </c>
      <c r="U342" s="5" t="s">
        <v>4484</v>
      </c>
      <c r="V342" s="5" t="s">
        <v>4484</v>
      </c>
      <c r="W342" s="5" t="s">
        <v>4485</v>
      </c>
      <c r="X342" s="5" t="s">
        <v>4485</v>
      </c>
      <c r="Y342" s="4">
        <v>420</v>
      </c>
      <c r="Z342" s="4">
        <v>386</v>
      </c>
      <c r="AA342" s="4">
        <v>575</v>
      </c>
      <c r="AB342" s="4">
        <v>1</v>
      </c>
      <c r="AC342" s="4">
        <v>2</v>
      </c>
      <c r="AD342" s="4">
        <v>21</v>
      </c>
      <c r="AE342" s="4">
        <v>33</v>
      </c>
      <c r="AF342" s="4">
        <v>10</v>
      </c>
      <c r="AG342" s="4">
        <v>15</v>
      </c>
      <c r="AH342" s="4">
        <v>5</v>
      </c>
      <c r="AI342" s="4">
        <v>7</v>
      </c>
      <c r="AJ342" s="4">
        <v>13</v>
      </c>
      <c r="AK342" s="4">
        <v>19</v>
      </c>
      <c r="AL342" s="4">
        <v>0</v>
      </c>
      <c r="AM342" s="4">
        <v>1</v>
      </c>
      <c r="AN342" s="4">
        <v>0</v>
      </c>
      <c r="AO342" s="4">
        <v>0</v>
      </c>
      <c r="AP342" s="3" t="s">
        <v>59</v>
      </c>
      <c r="AQ342" s="3" t="s">
        <v>71</v>
      </c>
      <c r="AR342" s="6" t="str">
        <f>HYPERLINK("http://catalog.hathitrust.org/Record/000662705","HathiTrust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HYPERLINK("https://creighton-primo.hosted.exlibrisgroup.com/primo-explore/search?tab=default_tab&amp;search_scope=EVERYTHING&amp;vid=01CRU&amp;lang=en_US&amp;offset=0&amp;query=any,contains,991003460409702656","Catalog Record")</f>
        <v>Catalog Record</v>
      </c>
      <c r="AT342" s="6" t="str">
        <f>HYPERLINK("http://www.worldcat.org/oclc/1001595","WorldCat Record")</f>
        <v>WorldCat Record</v>
      </c>
      <c r="AU342" s="3" t="s">
        <v>4486</v>
      </c>
      <c r="AV342" s="3" t="s">
        <v>4487</v>
      </c>
      <c r="AW342" s="3" t="s">
        <v>4488</v>
      </c>
      <c r="AX342" s="3" t="s">
        <v>4488</v>
      </c>
      <c r="AY342" s="3" t="s">
        <v>4489</v>
      </c>
      <c r="AZ342" s="3" t="s">
        <v>76</v>
      </c>
      <c r="BC342" s="3" t="s">
        <v>4490</v>
      </c>
      <c r="BD342" s="3" t="s">
        <v>4491</v>
      </c>
    </row>
    <row r="343" spans="1:56" ht="52.5" customHeight="1" x14ac:dyDescent="0.25">
      <c r="A343" s="7" t="s">
        <v>59</v>
      </c>
      <c r="B343" s="2" t="s">
        <v>4492</v>
      </c>
      <c r="C343" s="2" t="s">
        <v>4493</v>
      </c>
      <c r="D343" s="2" t="s">
        <v>4494</v>
      </c>
      <c r="E343" s="3" t="s">
        <v>4495</v>
      </c>
      <c r="F343" s="3" t="s">
        <v>71</v>
      </c>
      <c r="G343" s="3" t="s">
        <v>60</v>
      </c>
      <c r="H343" s="3" t="s">
        <v>59</v>
      </c>
      <c r="I343" s="3" t="s">
        <v>59</v>
      </c>
      <c r="J343" s="3" t="s">
        <v>61</v>
      </c>
      <c r="L343" s="2" t="s">
        <v>1162</v>
      </c>
      <c r="M343" s="3" t="s">
        <v>549</v>
      </c>
      <c r="O343" s="3" t="s">
        <v>65</v>
      </c>
      <c r="P343" s="3" t="s">
        <v>66</v>
      </c>
      <c r="R343" s="3" t="s">
        <v>68</v>
      </c>
      <c r="S343" s="4">
        <v>1</v>
      </c>
      <c r="T343" s="4">
        <v>2</v>
      </c>
      <c r="U343" s="5" t="s">
        <v>1885</v>
      </c>
      <c r="V343" s="5" t="s">
        <v>1885</v>
      </c>
      <c r="W343" s="5" t="s">
        <v>366</v>
      </c>
      <c r="X343" s="5" t="s">
        <v>366</v>
      </c>
      <c r="Y343" s="4">
        <v>635</v>
      </c>
      <c r="Z343" s="4">
        <v>513</v>
      </c>
      <c r="AA343" s="4">
        <v>529</v>
      </c>
      <c r="AB343" s="4">
        <v>3</v>
      </c>
      <c r="AC343" s="4">
        <v>3</v>
      </c>
      <c r="AD343" s="4">
        <v>16</v>
      </c>
      <c r="AE343" s="4">
        <v>16</v>
      </c>
      <c r="AF343" s="4">
        <v>7</v>
      </c>
      <c r="AG343" s="4">
        <v>7</v>
      </c>
      <c r="AH343" s="4">
        <v>4</v>
      </c>
      <c r="AI343" s="4">
        <v>4</v>
      </c>
      <c r="AJ343" s="4">
        <v>8</v>
      </c>
      <c r="AK343" s="4">
        <v>8</v>
      </c>
      <c r="AL343" s="4">
        <v>2</v>
      </c>
      <c r="AM343" s="4">
        <v>2</v>
      </c>
      <c r="AN343" s="4">
        <v>0</v>
      </c>
      <c r="AO343" s="4">
        <v>0</v>
      </c>
      <c r="AP343" s="3" t="s">
        <v>59</v>
      </c>
      <c r="AQ343" s="3" t="s">
        <v>71</v>
      </c>
      <c r="AR343" s="6" t="str">
        <f>HYPERLINK("http://catalog.hathitrust.org/Record/000664959","HathiTrust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HYPERLINK("https://creighton-primo.hosted.exlibrisgroup.com/primo-explore/search?tab=default_tab&amp;search_scope=EVERYTHING&amp;vid=01CRU&amp;lang=en_US&amp;offset=0&amp;query=any,contains,991000703549702656","Catalog Record")</f>
        <v>Catalog Record</v>
      </c>
      <c r="AT343" s="6" t="str">
        <f>HYPERLINK("http://www.worldcat.org/oclc/12553973","WorldCat Record")</f>
        <v>WorldCat Record</v>
      </c>
      <c r="AU343" s="3" t="s">
        <v>4496</v>
      </c>
      <c r="AV343" s="3" t="s">
        <v>4497</v>
      </c>
      <c r="AW343" s="3" t="s">
        <v>4498</v>
      </c>
      <c r="AX343" s="3" t="s">
        <v>4498</v>
      </c>
      <c r="AY343" s="3" t="s">
        <v>4499</v>
      </c>
      <c r="AZ343" s="3" t="s">
        <v>76</v>
      </c>
      <c r="BB343" s="3" t="s">
        <v>4500</v>
      </c>
      <c r="BC343" s="3" t="s">
        <v>4501</v>
      </c>
      <c r="BD343" s="3" t="s">
        <v>4502</v>
      </c>
    </row>
    <row r="344" spans="1:56" ht="52.5" customHeight="1" x14ac:dyDescent="0.25">
      <c r="A344" s="7" t="s">
        <v>59</v>
      </c>
      <c r="B344" s="2" t="s">
        <v>4492</v>
      </c>
      <c r="C344" s="2" t="s">
        <v>4493</v>
      </c>
      <c r="D344" s="2" t="s">
        <v>4494</v>
      </c>
      <c r="E344" s="3" t="s">
        <v>4503</v>
      </c>
      <c r="F344" s="3" t="s">
        <v>71</v>
      </c>
      <c r="G344" s="3" t="s">
        <v>60</v>
      </c>
      <c r="H344" s="3" t="s">
        <v>59</v>
      </c>
      <c r="I344" s="3" t="s">
        <v>59</v>
      </c>
      <c r="J344" s="3" t="s">
        <v>61</v>
      </c>
      <c r="L344" s="2" t="s">
        <v>1162</v>
      </c>
      <c r="M344" s="3" t="s">
        <v>549</v>
      </c>
      <c r="O344" s="3" t="s">
        <v>65</v>
      </c>
      <c r="P344" s="3" t="s">
        <v>66</v>
      </c>
      <c r="R344" s="3" t="s">
        <v>68</v>
      </c>
      <c r="S344" s="4">
        <v>1</v>
      </c>
      <c r="T344" s="4">
        <v>2</v>
      </c>
      <c r="U344" s="5" t="s">
        <v>1885</v>
      </c>
      <c r="V344" s="5" t="s">
        <v>1885</v>
      </c>
      <c r="W344" s="5" t="s">
        <v>366</v>
      </c>
      <c r="X344" s="5" t="s">
        <v>366</v>
      </c>
      <c r="Y344" s="4">
        <v>635</v>
      </c>
      <c r="Z344" s="4">
        <v>513</v>
      </c>
      <c r="AA344" s="4">
        <v>529</v>
      </c>
      <c r="AB344" s="4">
        <v>3</v>
      </c>
      <c r="AC344" s="4">
        <v>3</v>
      </c>
      <c r="AD344" s="4">
        <v>16</v>
      </c>
      <c r="AE344" s="4">
        <v>16</v>
      </c>
      <c r="AF344" s="4">
        <v>7</v>
      </c>
      <c r="AG344" s="4">
        <v>7</v>
      </c>
      <c r="AH344" s="4">
        <v>4</v>
      </c>
      <c r="AI344" s="4">
        <v>4</v>
      </c>
      <c r="AJ344" s="4">
        <v>8</v>
      </c>
      <c r="AK344" s="4">
        <v>8</v>
      </c>
      <c r="AL344" s="4">
        <v>2</v>
      </c>
      <c r="AM344" s="4">
        <v>2</v>
      </c>
      <c r="AN344" s="4">
        <v>0</v>
      </c>
      <c r="AO344" s="4">
        <v>0</v>
      </c>
      <c r="AP344" s="3" t="s">
        <v>59</v>
      </c>
      <c r="AQ344" s="3" t="s">
        <v>71</v>
      </c>
      <c r="AR344" s="6" t="str">
        <f>HYPERLINK("http://catalog.hathitrust.org/Record/000664959","HathiTrust Record")</f>
        <v>HathiTrust Record</v>
      </c>
      <c r="AS344" s="6" t="str">
        <f>HYPERLINK("https://creighton-primo.hosted.exlibrisgroup.com/primo-explore/search?tab=default_tab&amp;search_scope=EVERYTHING&amp;vid=01CRU&amp;lang=en_US&amp;offset=0&amp;query=any,contains,991000703549702656","Catalog Record")</f>
        <v>Catalog Record</v>
      </c>
      <c r="AT344" s="6" t="str">
        <f>HYPERLINK("http://www.worldcat.org/oclc/12553973","WorldCat Record")</f>
        <v>WorldCat Record</v>
      </c>
      <c r="AU344" s="3" t="s">
        <v>4496</v>
      </c>
      <c r="AV344" s="3" t="s">
        <v>4497</v>
      </c>
      <c r="AW344" s="3" t="s">
        <v>4498</v>
      </c>
      <c r="AX344" s="3" t="s">
        <v>4498</v>
      </c>
      <c r="AY344" s="3" t="s">
        <v>4499</v>
      </c>
      <c r="AZ344" s="3" t="s">
        <v>76</v>
      </c>
      <c r="BB344" s="3" t="s">
        <v>4500</v>
      </c>
      <c r="BC344" s="3" t="s">
        <v>4504</v>
      </c>
      <c r="BD344" s="3" t="s">
        <v>4505</v>
      </c>
    </row>
    <row r="345" spans="1:56" ht="52.5" customHeight="1" x14ac:dyDescent="0.25">
      <c r="A345" s="7" t="s">
        <v>59</v>
      </c>
      <c r="B345" s="2" t="s">
        <v>4506</v>
      </c>
      <c r="C345" s="2" t="s">
        <v>4507</v>
      </c>
      <c r="D345" s="2" t="s">
        <v>4508</v>
      </c>
      <c r="F345" s="3" t="s">
        <v>59</v>
      </c>
      <c r="G345" s="3" t="s">
        <v>60</v>
      </c>
      <c r="H345" s="3" t="s">
        <v>59</v>
      </c>
      <c r="I345" s="3" t="s">
        <v>59</v>
      </c>
      <c r="J345" s="3" t="s">
        <v>61</v>
      </c>
      <c r="K345" s="2" t="s">
        <v>4509</v>
      </c>
      <c r="L345" s="2" t="s">
        <v>4510</v>
      </c>
      <c r="M345" s="3" t="s">
        <v>1467</v>
      </c>
      <c r="O345" s="3" t="s">
        <v>65</v>
      </c>
      <c r="P345" s="3" t="s">
        <v>66</v>
      </c>
      <c r="Q345" s="2" t="s">
        <v>4511</v>
      </c>
      <c r="R345" s="3" t="s">
        <v>68</v>
      </c>
      <c r="S345" s="4">
        <v>1</v>
      </c>
      <c r="T345" s="4">
        <v>1</v>
      </c>
      <c r="U345" s="5" t="s">
        <v>4512</v>
      </c>
      <c r="V345" s="5" t="s">
        <v>4512</v>
      </c>
      <c r="W345" s="5" t="s">
        <v>3522</v>
      </c>
      <c r="X345" s="5" t="s">
        <v>3522</v>
      </c>
      <c r="Y345" s="4">
        <v>540</v>
      </c>
      <c r="Z345" s="4">
        <v>408</v>
      </c>
      <c r="AA345" s="4">
        <v>410</v>
      </c>
      <c r="AB345" s="4">
        <v>2</v>
      </c>
      <c r="AC345" s="4">
        <v>2</v>
      </c>
      <c r="AD345" s="4">
        <v>20</v>
      </c>
      <c r="AE345" s="4">
        <v>20</v>
      </c>
      <c r="AF345" s="4">
        <v>6</v>
      </c>
      <c r="AG345" s="4">
        <v>6</v>
      </c>
      <c r="AH345" s="4">
        <v>7</v>
      </c>
      <c r="AI345" s="4">
        <v>7</v>
      </c>
      <c r="AJ345" s="4">
        <v>13</v>
      </c>
      <c r="AK345" s="4">
        <v>13</v>
      </c>
      <c r="AL345" s="4">
        <v>1</v>
      </c>
      <c r="AM345" s="4">
        <v>1</v>
      </c>
      <c r="AN345" s="4">
        <v>0</v>
      </c>
      <c r="AO345" s="4">
        <v>0</v>
      </c>
      <c r="AP345" s="3" t="s">
        <v>59</v>
      </c>
      <c r="AQ345" s="3" t="s">
        <v>59</v>
      </c>
      <c r="AR345" s="6" t="str">
        <f>HYPERLINK("http://catalog.hathitrust.org/Record/000354296","HathiTrust Record")</f>
        <v>HathiTrust Record</v>
      </c>
      <c r="AS345" s="6" t="str">
        <f>HYPERLINK("https://creighton-primo.hosted.exlibrisgroup.com/primo-explore/search?tab=default_tab&amp;search_scope=EVERYTHING&amp;vid=01CRU&amp;lang=en_US&amp;offset=0&amp;query=any,contains,991003535889702656","Catalog Record")</f>
        <v>Catalog Record</v>
      </c>
      <c r="AT345" s="6" t="str">
        <f>HYPERLINK("http://www.worldcat.org/oclc/1100602","WorldCat Record")</f>
        <v>WorldCat Record</v>
      </c>
      <c r="AU345" s="3" t="s">
        <v>4513</v>
      </c>
      <c r="AV345" s="3" t="s">
        <v>4514</v>
      </c>
      <c r="AW345" s="3" t="s">
        <v>4515</v>
      </c>
      <c r="AX345" s="3" t="s">
        <v>4515</v>
      </c>
      <c r="AY345" s="3" t="s">
        <v>4516</v>
      </c>
      <c r="AZ345" s="3" t="s">
        <v>76</v>
      </c>
      <c r="BC345" s="3" t="s">
        <v>4517</v>
      </c>
      <c r="BD345" s="3" t="s">
        <v>4518</v>
      </c>
    </row>
    <row r="346" spans="1:56" ht="52.5" customHeight="1" x14ac:dyDescent="0.25">
      <c r="A346" s="7" t="s">
        <v>59</v>
      </c>
      <c r="B346" s="2" t="s">
        <v>4519</v>
      </c>
      <c r="C346" s="2" t="s">
        <v>4520</v>
      </c>
      <c r="D346" s="2" t="s">
        <v>4521</v>
      </c>
      <c r="F346" s="3" t="s">
        <v>59</v>
      </c>
      <c r="G346" s="3" t="s">
        <v>60</v>
      </c>
      <c r="H346" s="3" t="s">
        <v>59</v>
      </c>
      <c r="I346" s="3" t="s">
        <v>59</v>
      </c>
      <c r="J346" s="3" t="s">
        <v>61</v>
      </c>
      <c r="K346" s="2" t="s">
        <v>4522</v>
      </c>
      <c r="L346" s="2" t="s">
        <v>4523</v>
      </c>
      <c r="M346" s="3" t="s">
        <v>309</v>
      </c>
      <c r="O346" s="3" t="s">
        <v>65</v>
      </c>
      <c r="P346" s="3" t="s">
        <v>296</v>
      </c>
      <c r="Q346" s="2" t="s">
        <v>4524</v>
      </c>
      <c r="R346" s="3" t="s">
        <v>68</v>
      </c>
      <c r="S346" s="4">
        <v>6</v>
      </c>
      <c r="T346" s="4">
        <v>6</v>
      </c>
      <c r="U346" s="5" t="s">
        <v>4525</v>
      </c>
      <c r="V346" s="5" t="s">
        <v>4525</v>
      </c>
      <c r="W346" s="5" t="s">
        <v>4526</v>
      </c>
      <c r="X346" s="5" t="s">
        <v>4526</v>
      </c>
      <c r="Y346" s="4">
        <v>291</v>
      </c>
      <c r="Z346" s="4">
        <v>209</v>
      </c>
      <c r="AA346" s="4">
        <v>216</v>
      </c>
      <c r="AB346" s="4">
        <v>2</v>
      </c>
      <c r="AC346" s="4">
        <v>2</v>
      </c>
      <c r="AD346" s="4">
        <v>12</v>
      </c>
      <c r="AE346" s="4">
        <v>12</v>
      </c>
      <c r="AF346" s="4">
        <v>4</v>
      </c>
      <c r="AG346" s="4">
        <v>4</v>
      </c>
      <c r="AH346" s="4">
        <v>4</v>
      </c>
      <c r="AI346" s="4">
        <v>4</v>
      </c>
      <c r="AJ346" s="4">
        <v>6</v>
      </c>
      <c r="AK346" s="4">
        <v>6</v>
      </c>
      <c r="AL346" s="4">
        <v>1</v>
      </c>
      <c r="AM346" s="4">
        <v>1</v>
      </c>
      <c r="AN346" s="4">
        <v>0</v>
      </c>
      <c r="AO346" s="4">
        <v>0</v>
      </c>
      <c r="AP346" s="3" t="s">
        <v>59</v>
      </c>
      <c r="AQ346" s="3" t="s">
        <v>71</v>
      </c>
      <c r="AR346" s="6" t="str">
        <f>HYPERLINK("http://catalog.hathitrust.org/Record/000264545","HathiTrust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HYPERLINK("https://creighton-primo.hosted.exlibrisgroup.com/primo-explore/search?tab=default_tab&amp;search_scope=EVERYTHING&amp;vid=01CRU&amp;lang=en_US&amp;offset=0&amp;query=any,contains,991004575429702656","Catalog Record")</f>
        <v>Catalog Record</v>
      </c>
      <c r="AT346" s="6" t="str">
        <f>HYPERLINK("http://www.worldcat.org/oclc/4037303","WorldCat Record")</f>
        <v>WorldCat Record</v>
      </c>
      <c r="AU346" s="3" t="s">
        <v>4527</v>
      </c>
      <c r="AV346" s="3" t="s">
        <v>4528</v>
      </c>
      <c r="AW346" s="3" t="s">
        <v>4529</v>
      </c>
      <c r="AX346" s="3" t="s">
        <v>4529</v>
      </c>
      <c r="AY346" s="3" t="s">
        <v>4530</v>
      </c>
      <c r="AZ346" s="3" t="s">
        <v>76</v>
      </c>
      <c r="BB346" s="3" t="s">
        <v>4531</v>
      </c>
      <c r="BC346" s="3" t="s">
        <v>4532</v>
      </c>
      <c r="BD346" s="3" t="s">
        <v>4533</v>
      </c>
    </row>
    <row r="347" spans="1:56" ht="52.5" customHeight="1" x14ac:dyDescent="0.25">
      <c r="A347" s="7" t="s">
        <v>59</v>
      </c>
      <c r="B347" s="2" t="s">
        <v>4534</v>
      </c>
      <c r="C347" s="2" t="s">
        <v>4535</v>
      </c>
      <c r="D347" s="2" t="s">
        <v>4536</v>
      </c>
      <c r="F347" s="3" t="s">
        <v>59</v>
      </c>
      <c r="G347" s="3" t="s">
        <v>60</v>
      </c>
      <c r="H347" s="3" t="s">
        <v>59</v>
      </c>
      <c r="I347" s="3" t="s">
        <v>59</v>
      </c>
      <c r="J347" s="3" t="s">
        <v>61</v>
      </c>
      <c r="K347" s="2" t="s">
        <v>4537</v>
      </c>
      <c r="L347" s="2" t="s">
        <v>4538</v>
      </c>
      <c r="M347" s="3" t="s">
        <v>195</v>
      </c>
      <c r="O347" s="3" t="s">
        <v>65</v>
      </c>
      <c r="P347" s="3" t="s">
        <v>66</v>
      </c>
      <c r="R347" s="3" t="s">
        <v>68</v>
      </c>
      <c r="S347" s="4">
        <v>3</v>
      </c>
      <c r="T347" s="4">
        <v>3</v>
      </c>
      <c r="U347" s="5" t="s">
        <v>4539</v>
      </c>
      <c r="V347" s="5" t="s">
        <v>4539</v>
      </c>
      <c r="W347" s="5" t="s">
        <v>2176</v>
      </c>
      <c r="X347" s="5" t="s">
        <v>2176</v>
      </c>
      <c r="Y347" s="4">
        <v>1134</v>
      </c>
      <c r="Z347" s="4">
        <v>1063</v>
      </c>
      <c r="AA347" s="4">
        <v>1110</v>
      </c>
      <c r="AB347" s="4">
        <v>6</v>
      </c>
      <c r="AC347" s="4">
        <v>6</v>
      </c>
      <c r="AD347" s="4">
        <v>23</v>
      </c>
      <c r="AE347" s="4">
        <v>23</v>
      </c>
      <c r="AF347" s="4">
        <v>11</v>
      </c>
      <c r="AG347" s="4">
        <v>11</v>
      </c>
      <c r="AH347" s="4">
        <v>4</v>
      </c>
      <c r="AI347" s="4">
        <v>4</v>
      </c>
      <c r="AJ347" s="4">
        <v>12</v>
      </c>
      <c r="AK347" s="4">
        <v>12</v>
      </c>
      <c r="AL347" s="4">
        <v>2</v>
      </c>
      <c r="AM347" s="4">
        <v>2</v>
      </c>
      <c r="AN347" s="4">
        <v>1</v>
      </c>
      <c r="AO347" s="4">
        <v>1</v>
      </c>
      <c r="AP347" s="3" t="s">
        <v>59</v>
      </c>
      <c r="AQ347" s="3" t="s">
        <v>71</v>
      </c>
      <c r="AR347" s="6" t="str">
        <f>HYPERLINK("http://catalog.hathitrust.org/Record/000227086","HathiTrust Record")</f>
        <v>HathiTrust Record</v>
      </c>
      <c r="AS347" s="6" t="str">
        <f>HYPERLINK("https://creighton-primo.hosted.exlibrisgroup.com/primo-explore/search?tab=default_tab&amp;search_scope=EVERYTHING&amp;vid=01CRU&amp;lang=en_US&amp;offset=0&amp;query=any,contains,991005159489702656","Catalog Record")</f>
        <v>Catalog Record</v>
      </c>
      <c r="AT347" s="6" t="str">
        <f>HYPERLINK("http://www.worldcat.org/oclc/7773739","WorldCat Record")</f>
        <v>WorldCat Record</v>
      </c>
      <c r="AU347" s="3" t="s">
        <v>4540</v>
      </c>
      <c r="AV347" s="3" t="s">
        <v>4541</v>
      </c>
      <c r="AW347" s="3" t="s">
        <v>4542</v>
      </c>
      <c r="AX347" s="3" t="s">
        <v>4542</v>
      </c>
      <c r="AY347" s="3" t="s">
        <v>4543</v>
      </c>
      <c r="AZ347" s="3" t="s">
        <v>76</v>
      </c>
      <c r="BB347" s="3" t="s">
        <v>4544</v>
      </c>
      <c r="BC347" s="3" t="s">
        <v>4545</v>
      </c>
      <c r="BD347" s="3" t="s">
        <v>4546</v>
      </c>
    </row>
    <row r="348" spans="1:56" ht="52.5" customHeight="1" x14ac:dyDescent="0.25">
      <c r="A348" s="7" t="s">
        <v>59</v>
      </c>
      <c r="B348" s="2" t="s">
        <v>4547</v>
      </c>
      <c r="C348" s="2" t="s">
        <v>4548</v>
      </c>
      <c r="D348" s="2" t="s">
        <v>4549</v>
      </c>
      <c r="F348" s="3" t="s">
        <v>59</v>
      </c>
      <c r="G348" s="3" t="s">
        <v>60</v>
      </c>
      <c r="H348" s="3" t="s">
        <v>59</v>
      </c>
      <c r="I348" s="3" t="s">
        <v>59</v>
      </c>
      <c r="J348" s="3" t="s">
        <v>61</v>
      </c>
      <c r="K348" s="2" t="s">
        <v>4550</v>
      </c>
      <c r="L348" s="2" t="s">
        <v>4551</v>
      </c>
      <c r="M348" s="3" t="s">
        <v>115</v>
      </c>
      <c r="O348" s="3" t="s">
        <v>65</v>
      </c>
      <c r="P348" s="3" t="s">
        <v>491</v>
      </c>
      <c r="Q348" s="2" t="s">
        <v>4552</v>
      </c>
      <c r="R348" s="3" t="s">
        <v>68</v>
      </c>
      <c r="S348" s="4">
        <v>1</v>
      </c>
      <c r="T348" s="4">
        <v>1</v>
      </c>
      <c r="U348" s="5" t="s">
        <v>4553</v>
      </c>
      <c r="V348" s="5" t="s">
        <v>4553</v>
      </c>
      <c r="W348" s="5" t="s">
        <v>4554</v>
      </c>
      <c r="X348" s="5" t="s">
        <v>4554</v>
      </c>
      <c r="Y348" s="4">
        <v>53</v>
      </c>
      <c r="Z348" s="4">
        <v>49</v>
      </c>
      <c r="AA348" s="4">
        <v>256</v>
      </c>
      <c r="AB348" s="4">
        <v>2</v>
      </c>
      <c r="AC348" s="4">
        <v>3</v>
      </c>
      <c r="AD348" s="4">
        <v>2</v>
      </c>
      <c r="AE348" s="4">
        <v>7</v>
      </c>
      <c r="AF348" s="4">
        <v>1</v>
      </c>
      <c r="AG348" s="4">
        <v>2</v>
      </c>
      <c r="AH348" s="4">
        <v>0</v>
      </c>
      <c r="AI348" s="4">
        <v>2</v>
      </c>
      <c r="AJ348" s="4">
        <v>1</v>
      </c>
      <c r="AK348" s="4">
        <v>5</v>
      </c>
      <c r="AL348" s="4">
        <v>1</v>
      </c>
      <c r="AM348" s="4">
        <v>2</v>
      </c>
      <c r="AN348" s="4">
        <v>0</v>
      </c>
      <c r="AO348" s="4">
        <v>0</v>
      </c>
      <c r="AP348" s="3" t="s">
        <v>59</v>
      </c>
      <c r="AQ348" s="3" t="s">
        <v>59</v>
      </c>
      <c r="AS348" s="6" t="str">
        <f>HYPERLINK("https://creighton-primo.hosted.exlibrisgroup.com/primo-explore/search?tab=default_tab&amp;search_scope=EVERYTHING&amp;vid=01CRU&amp;lang=en_US&amp;offset=0&amp;query=any,contains,991003676189702656","Catalog Record")</f>
        <v>Catalog Record</v>
      </c>
      <c r="AT348" s="6" t="str">
        <f>HYPERLINK("http://www.worldcat.org/oclc/1297210","WorldCat Record")</f>
        <v>WorldCat Record</v>
      </c>
      <c r="AU348" s="3" t="s">
        <v>4555</v>
      </c>
      <c r="AV348" s="3" t="s">
        <v>4556</v>
      </c>
      <c r="AW348" s="3" t="s">
        <v>4557</v>
      </c>
      <c r="AX348" s="3" t="s">
        <v>4557</v>
      </c>
      <c r="AY348" s="3" t="s">
        <v>4558</v>
      </c>
      <c r="AZ348" s="3" t="s">
        <v>76</v>
      </c>
      <c r="BC348" s="3" t="s">
        <v>4559</v>
      </c>
      <c r="BD348" s="3" t="s">
        <v>4560</v>
      </c>
    </row>
    <row r="349" spans="1:56" ht="52.5" customHeight="1" x14ac:dyDescent="0.25">
      <c r="A349" s="7" t="s">
        <v>59</v>
      </c>
      <c r="B349" s="2" t="s">
        <v>4561</v>
      </c>
      <c r="C349" s="2" t="s">
        <v>4562</v>
      </c>
      <c r="D349" s="2" t="s">
        <v>4563</v>
      </c>
      <c r="E349" s="3" t="s">
        <v>768</v>
      </c>
      <c r="F349" s="3" t="s">
        <v>71</v>
      </c>
      <c r="G349" s="3" t="s">
        <v>60</v>
      </c>
      <c r="H349" s="3" t="s">
        <v>59</v>
      </c>
      <c r="I349" s="3" t="s">
        <v>59</v>
      </c>
      <c r="J349" s="3" t="s">
        <v>61</v>
      </c>
      <c r="L349" s="2" t="s">
        <v>4564</v>
      </c>
      <c r="M349" s="3" t="s">
        <v>475</v>
      </c>
      <c r="O349" s="3" t="s">
        <v>65</v>
      </c>
      <c r="P349" s="3" t="s">
        <v>66</v>
      </c>
      <c r="R349" s="3" t="s">
        <v>68</v>
      </c>
      <c r="S349" s="4">
        <v>6</v>
      </c>
      <c r="T349" s="4">
        <v>12</v>
      </c>
      <c r="U349" s="5" t="s">
        <v>4565</v>
      </c>
      <c r="V349" s="5" t="s">
        <v>4566</v>
      </c>
      <c r="W349" s="5" t="s">
        <v>4567</v>
      </c>
      <c r="X349" s="5" t="s">
        <v>4567</v>
      </c>
      <c r="Y349" s="4">
        <v>457</v>
      </c>
      <c r="Z349" s="4">
        <v>337</v>
      </c>
      <c r="AA349" s="4">
        <v>341</v>
      </c>
      <c r="AB349" s="4">
        <v>3</v>
      </c>
      <c r="AC349" s="4">
        <v>3</v>
      </c>
      <c r="AD349" s="4">
        <v>14</v>
      </c>
      <c r="AE349" s="4">
        <v>14</v>
      </c>
      <c r="AF349" s="4">
        <v>3</v>
      </c>
      <c r="AG349" s="4">
        <v>3</v>
      </c>
      <c r="AH349" s="4">
        <v>3</v>
      </c>
      <c r="AI349" s="4">
        <v>3</v>
      </c>
      <c r="AJ349" s="4">
        <v>9</v>
      </c>
      <c r="AK349" s="4">
        <v>9</v>
      </c>
      <c r="AL349" s="4">
        <v>2</v>
      </c>
      <c r="AM349" s="4">
        <v>2</v>
      </c>
      <c r="AN349" s="4">
        <v>0</v>
      </c>
      <c r="AO349" s="4">
        <v>0</v>
      </c>
      <c r="AP349" s="3" t="s">
        <v>59</v>
      </c>
      <c r="AQ349" s="3" t="s">
        <v>71</v>
      </c>
      <c r="AR349" s="6" t="str">
        <f>HYPERLINK("http://catalog.hathitrust.org/Record/000199382","HathiTrust Record")</f>
        <v>HathiTrust Record</v>
      </c>
      <c r="AS349" s="6" t="str">
        <f>HYPERLINK("https://creighton-primo.hosted.exlibrisgroup.com/primo-explore/search?tab=default_tab&amp;search_scope=EVERYTHING&amp;vid=01CRU&amp;lang=en_US&amp;offset=0&amp;query=any,contains,991000126939702656","Catalog Record")</f>
        <v>Catalog Record</v>
      </c>
      <c r="AT349" s="6" t="str">
        <f>HYPERLINK("http://www.worldcat.org/oclc/9084022","WorldCat Record")</f>
        <v>WorldCat Record</v>
      </c>
      <c r="AU349" s="3" t="s">
        <v>4568</v>
      </c>
      <c r="AV349" s="3" t="s">
        <v>4569</v>
      </c>
      <c r="AW349" s="3" t="s">
        <v>4570</v>
      </c>
      <c r="AX349" s="3" t="s">
        <v>4570</v>
      </c>
      <c r="AY349" s="3" t="s">
        <v>4571</v>
      </c>
      <c r="AZ349" s="3" t="s">
        <v>76</v>
      </c>
      <c r="BB349" s="3" t="s">
        <v>4572</v>
      </c>
      <c r="BC349" s="3" t="s">
        <v>4573</v>
      </c>
      <c r="BD349" s="3" t="s">
        <v>4574</v>
      </c>
    </row>
    <row r="350" spans="1:56" ht="52.5" customHeight="1" x14ac:dyDescent="0.25">
      <c r="A350" s="7" t="s">
        <v>59</v>
      </c>
      <c r="B350" s="2" t="s">
        <v>4561</v>
      </c>
      <c r="C350" s="2" t="s">
        <v>4562</v>
      </c>
      <c r="D350" s="2" t="s">
        <v>4563</v>
      </c>
      <c r="E350" s="3" t="s">
        <v>781</v>
      </c>
      <c r="F350" s="3" t="s">
        <v>71</v>
      </c>
      <c r="G350" s="3" t="s">
        <v>60</v>
      </c>
      <c r="H350" s="3" t="s">
        <v>59</v>
      </c>
      <c r="I350" s="3" t="s">
        <v>59</v>
      </c>
      <c r="J350" s="3" t="s">
        <v>61</v>
      </c>
      <c r="L350" s="2" t="s">
        <v>4564</v>
      </c>
      <c r="M350" s="3" t="s">
        <v>475</v>
      </c>
      <c r="O350" s="3" t="s">
        <v>65</v>
      </c>
      <c r="P350" s="3" t="s">
        <v>66</v>
      </c>
      <c r="R350" s="3" t="s">
        <v>68</v>
      </c>
      <c r="S350" s="4">
        <v>6</v>
      </c>
      <c r="T350" s="4">
        <v>12</v>
      </c>
      <c r="U350" s="5" t="s">
        <v>4566</v>
      </c>
      <c r="V350" s="5" t="s">
        <v>4566</v>
      </c>
      <c r="W350" s="5" t="s">
        <v>4567</v>
      </c>
      <c r="X350" s="5" t="s">
        <v>4567</v>
      </c>
      <c r="Y350" s="4">
        <v>457</v>
      </c>
      <c r="Z350" s="4">
        <v>337</v>
      </c>
      <c r="AA350" s="4">
        <v>341</v>
      </c>
      <c r="AB350" s="4">
        <v>3</v>
      </c>
      <c r="AC350" s="4">
        <v>3</v>
      </c>
      <c r="AD350" s="4">
        <v>14</v>
      </c>
      <c r="AE350" s="4">
        <v>14</v>
      </c>
      <c r="AF350" s="4">
        <v>3</v>
      </c>
      <c r="AG350" s="4">
        <v>3</v>
      </c>
      <c r="AH350" s="4">
        <v>3</v>
      </c>
      <c r="AI350" s="4">
        <v>3</v>
      </c>
      <c r="AJ350" s="4">
        <v>9</v>
      </c>
      <c r="AK350" s="4">
        <v>9</v>
      </c>
      <c r="AL350" s="4">
        <v>2</v>
      </c>
      <c r="AM350" s="4">
        <v>2</v>
      </c>
      <c r="AN350" s="4">
        <v>0</v>
      </c>
      <c r="AO350" s="4">
        <v>0</v>
      </c>
      <c r="AP350" s="3" t="s">
        <v>59</v>
      </c>
      <c r="AQ350" s="3" t="s">
        <v>71</v>
      </c>
      <c r="AR350" s="6" t="str">
        <f>HYPERLINK("http://catalog.hathitrust.org/Record/000199382","HathiTrust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HYPERLINK("https://creighton-primo.hosted.exlibrisgroup.com/primo-explore/search?tab=default_tab&amp;search_scope=EVERYTHING&amp;vid=01CRU&amp;lang=en_US&amp;offset=0&amp;query=any,contains,991000126939702656","Catalog Record")</f>
        <v>Catalog Record</v>
      </c>
      <c r="AT350" s="6" t="str">
        <f>HYPERLINK("http://www.worldcat.org/oclc/9084022","WorldCat Record")</f>
        <v>WorldCat Record</v>
      </c>
      <c r="AU350" s="3" t="s">
        <v>4568</v>
      </c>
      <c r="AV350" s="3" t="s">
        <v>4569</v>
      </c>
      <c r="AW350" s="3" t="s">
        <v>4570</v>
      </c>
      <c r="AX350" s="3" t="s">
        <v>4570</v>
      </c>
      <c r="AY350" s="3" t="s">
        <v>4571</v>
      </c>
      <c r="AZ350" s="3" t="s">
        <v>76</v>
      </c>
      <c r="BB350" s="3" t="s">
        <v>4572</v>
      </c>
      <c r="BC350" s="3" t="s">
        <v>4575</v>
      </c>
      <c r="BD350" s="3" t="s">
        <v>4576</v>
      </c>
    </row>
    <row r="351" spans="1:56" ht="52.5" customHeight="1" x14ac:dyDescent="0.25">
      <c r="A351" s="7" t="s">
        <v>59</v>
      </c>
      <c r="B351" s="2" t="s">
        <v>4577</v>
      </c>
      <c r="C351" s="2" t="s">
        <v>4578</v>
      </c>
      <c r="D351" s="2" t="s">
        <v>4579</v>
      </c>
      <c r="F351" s="3" t="s">
        <v>59</v>
      </c>
      <c r="G351" s="3" t="s">
        <v>60</v>
      </c>
      <c r="H351" s="3" t="s">
        <v>59</v>
      </c>
      <c r="I351" s="3" t="s">
        <v>59</v>
      </c>
      <c r="J351" s="3" t="s">
        <v>61</v>
      </c>
      <c r="L351" s="2" t="s">
        <v>4580</v>
      </c>
      <c r="M351" s="3" t="s">
        <v>684</v>
      </c>
      <c r="O351" s="3" t="s">
        <v>65</v>
      </c>
      <c r="P351" s="3" t="s">
        <v>66</v>
      </c>
      <c r="Q351" s="2" t="s">
        <v>4581</v>
      </c>
      <c r="R351" s="3" t="s">
        <v>68</v>
      </c>
      <c r="S351" s="4">
        <v>2</v>
      </c>
      <c r="T351" s="4">
        <v>2</v>
      </c>
      <c r="U351" s="5" t="s">
        <v>4582</v>
      </c>
      <c r="V351" s="5" t="s">
        <v>4582</v>
      </c>
      <c r="W351" s="5" t="s">
        <v>4567</v>
      </c>
      <c r="X351" s="5" t="s">
        <v>4567</v>
      </c>
      <c r="Y351" s="4">
        <v>338</v>
      </c>
      <c r="Z351" s="4">
        <v>248</v>
      </c>
      <c r="AA351" s="4">
        <v>270</v>
      </c>
      <c r="AB351" s="4">
        <v>4</v>
      </c>
      <c r="AC351" s="4">
        <v>4</v>
      </c>
      <c r="AD351" s="4">
        <v>11</v>
      </c>
      <c r="AE351" s="4">
        <v>11</v>
      </c>
      <c r="AF351" s="4">
        <v>0</v>
      </c>
      <c r="AG351" s="4">
        <v>0</v>
      </c>
      <c r="AH351" s="4">
        <v>2</v>
      </c>
      <c r="AI351" s="4">
        <v>2</v>
      </c>
      <c r="AJ351" s="4">
        <v>7</v>
      </c>
      <c r="AK351" s="4">
        <v>7</v>
      </c>
      <c r="AL351" s="4">
        <v>3</v>
      </c>
      <c r="AM351" s="4">
        <v>3</v>
      </c>
      <c r="AN351" s="4">
        <v>0</v>
      </c>
      <c r="AO351" s="4">
        <v>0</v>
      </c>
      <c r="AP351" s="3" t="s">
        <v>59</v>
      </c>
      <c r="AQ351" s="3" t="s">
        <v>71</v>
      </c>
      <c r="AR351" s="6" t="str">
        <f>HYPERLINK("http://catalog.hathitrust.org/Record/000262748","HathiTrust Record")</f>
        <v>HathiTrust Record</v>
      </c>
      <c r="AS351" s="6" t="str">
        <f>HYPERLINK("https://creighton-primo.hosted.exlibrisgroup.com/primo-explore/search?tab=default_tab&amp;search_scope=EVERYTHING&amp;vid=01CRU&amp;lang=en_US&amp;offset=0&amp;query=any,contains,991005083369702656","Catalog Record")</f>
        <v>Catalog Record</v>
      </c>
      <c r="AT351" s="6" t="str">
        <f>HYPERLINK("http://www.worldcat.org/oclc/7176133","WorldCat Record")</f>
        <v>WorldCat Record</v>
      </c>
      <c r="AU351" s="3" t="s">
        <v>4583</v>
      </c>
      <c r="AV351" s="3" t="s">
        <v>4584</v>
      </c>
      <c r="AW351" s="3" t="s">
        <v>4585</v>
      </c>
      <c r="AX351" s="3" t="s">
        <v>4585</v>
      </c>
      <c r="AY351" s="3" t="s">
        <v>4586</v>
      </c>
      <c r="AZ351" s="3" t="s">
        <v>76</v>
      </c>
      <c r="BB351" s="3" t="s">
        <v>4587</v>
      </c>
      <c r="BC351" s="3" t="s">
        <v>4588</v>
      </c>
      <c r="BD351" s="3" t="s">
        <v>4589</v>
      </c>
    </row>
    <row r="352" spans="1:56" ht="52.5" customHeight="1" x14ac:dyDescent="0.25">
      <c r="A352" s="7" t="s">
        <v>59</v>
      </c>
      <c r="B352" s="2" t="s">
        <v>4590</v>
      </c>
      <c r="C352" s="2" t="s">
        <v>4591</v>
      </c>
      <c r="D352" s="2" t="s">
        <v>4592</v>
      </c>
      <c r="F352" s="3" t="s">
        <v>59</v>
      </c>
      <c r="G352" s="3" t="s">
        <v>60</v>
      </c>
      <c r="H352" s="3" t="s">
        <v>59</v>
      </c>
      <c r="I352" s="3" t="s">
        <v>59</v>
      </c>
      <c r="J352" s="3" t="s">
        <v>61</v>
      </c>
      <c r="K352" s="2" t="s">
        <v>4593</v>
      </c>
      <c r="L352" s="2" t="s">
        <v>3507</v>
      </c>
      <c r="M352" s="3" t="s">
        <v>616</v>
      </c>
      <c r="O352" s="3" t="s">
        <v>65</v>
      </c>
      <c r="P352" s="3" t="s">
        <v>1262</v>
      </c>
      <c r="R352" s="3" t="s">
        <v>68</v>
      </c>
      <c r="S352" s="4">
        <v>5</v>
      </c>
      <c r="T352" s="4">
        <v>5</v>
      </c>
      <c r="U352" s="5" t="s">
        <v>4594</v>
      </c>
      <c r="V352" s="5" t="s">
        <v>4594</v>
      </c>
      <c r="W352" s="5" t="s">
        <v>4595</v>
      </c>
      <c r="X352" s="5" t="s">
        <v>4595</v>
      </c>
      <c r="Y352" s="4">
        <v>650</v>
      </c>
      <c r="Z352" s="4">
        <v>432</v>
      </c>
      <c r="AA352" s="4">
        <v>446</v>
      </c>
      <c r="AB352" s="4">
        <v>3</v>
      </c>
      <c r="AC352" s="4">
        <v>3</v>
      </c>
      <c r="AD352" s="4">
        <v>23</v>
      </c>
      <c r="AE352" s="4">
        <v>23</v>
      </c>
      <c r="AF352" s="4">
        <v>10</v>
      </c>
      <c r="AG352" s="4">
        <v>10</v>
      </c>
      <c r="AH352" s="4">
        <v>7</v>
      </c>
      <c r="AI352" s="4">
        <v>7</v>
      </c>
      <c r="AJ352" s="4">
        <v>12</v>
      </c>
      <c r="AK352" s="4">
        <v>12</v>
      </c>
      <c r="AL352" s="4">
        <v>2</v>
      </c>
      <c r="AM352" s="4">
        <v>2</v>
      </c>
      <c r="AN352" s="4">
        <v>0</v>
      </c>
      <c r="AO352" s="4">
        <v>0</v>
      </c>
      <c r="AP352" s="3" t="s">
        <v>59</v>
      </c>
      <c r="AQ352" s="3" t="s">
        <v>59</v>
      </c>
      <c r="AS352" s="6" t="str">
        <f>HYPERLINK("https://creighton-primo.hosted.exlibrisgroup.com/primo-explore/search?tab=default_tab&amp;search_scope=EVERYTHING&amp;vid=01CRU&amp;lang=en_US&amp;offset=0&amp;query=any,contains,991001123679702656","Catalog Record")</f>
        <v>Catalog Record</v>
      </c>
      <c r="AT352" s="6" t="str">
        <f>HYPERLINK("http://www.worldcat.org/oclc/16645338","WorldCat Record")</f>
        <v>WorldCat Record</v>
      </c>
      <c r="AU352" s="3" t="s">
        <v>4596</v>
      </c>
      <c r="AV352" s="3" t="s">
        <v>4597</v>
      </c>
      <c r="AW352" s="3" t="s">
        <v>4598</v>
      </c>
      <c r="AX352" s="3" t="s">
        <v>4598</v>
      </c>
      <c r="AY352" s="3" t="s">
        <v>4599</v>
      </c>
      <c r="AZ352" s="3" t="s">
        <v>76</v>
      </c>
      <c r="BB352" s="3" t="s">
        <v>4600</v>
      </c>
      <c r="BC352" s="3" t="s">
        <v>4601</v>
      </c>
      <c r="BD352" s="3" t="s">
        <v>4602</v>
      </c>
    </row>
    <row r="353" spans="1:56" ht="52.5" customHeight="1" x14ac:dyDescent="0.25">
      <c r="A353" s="7" t="s">
        <v>59</v>
      </c>
      <c r="B353" s="2" t="s">
        <v>4603</v>
      </c>
      <c r="C353" s="2" t="s">
        <v>4604</v>
      </c>
      <c r="D353" s="2" t="s">
        <v>4605</v>
      </c>
      <c r="F353" s="3" t="s">
        <v>59</v>
      </c>
      <c r="G353" s="3" t="s">
        <v>60</v>
      </c>
      <c r="H353" s="3" t="s">
        <v>59</v>
      </c>
      <c r="I353" s="3" t="s">
        <v>59</v>
      </c>
      <c r="J353" s="3" t="s">
        <v>61</v>
      </c>
      <c r="K353" s="2" t="s">
        <v>4606</v>
      </c>
      <c r="L353" s="2" t="s">
        <v>4607</v>
      </c>
      <c r="M353" s="3" t="s">
        <v>148</v>
      </c>
      <c r="O353" s="3" t="s">
        <v>65</v>
      </c>
      <c r="P353" s="3" t="s">
        <v>283</v>
      </c>
      <c r="R353" s="3" t="s">
        <v>68</v>
      </c>
      <c r="S353" s="4">
        <v>4</v>
      </c>
      <c r="T353" s="4">
        <v>4</v>
      </c>
      <c r="U353" s="5" t="s">
        <v>4608</v>
      </c>
      <c r="V353" s="5" t="s">
        <v>4608</v>
      </c>
      <c r="W353" s="5" t="s">
        <v>3522</v>
      </c>
      <c r="X353" s="5" t="s">
        <v>3522</v>
      </c>
      <c r="Y353" s="4">
        <v>937</v>
      </c>
      <c r="Z353" s="4">
        <v>758</v>
      </c>
      <c r="AA353" s="4">
        <v>764</v>
      </c>
      <c r="AB353" s="4">
        <v>4</v>
      </c>
      <c r="AC353" s="4">
        <v>4</v>
      </c>
      <c r="AD353" s="4">
        <v>40</v>
      </c>
      <c r="AE353" s="4">
        <v>40</v>
      </c>
      <c r="AF353" s="4">
        <v>17</v>
      </c>
      <c r="AG353" s="4">
        <v>17</v>
      </c>
      <c r="AH353" s="4">
        <v>11</v>
      </c>
      <c r="AI353" s="4">
        <v>11</v>
      </c>
      <c r="AJ353" s="4">
        <v>19</v>
      </c>
      <c r="AK353" s="4">
        <v>19</v>
      </c>
      <c r="AL353" s="4">
        <v>3</v>
      </c>
      <c r="AM353" s="4">
        <v>3</v>
      </c>
      <c r="AN353" s="4">
        <v>0</v>
      </c>
      <c r="AO353" s="4">
        <v>0</v>
      </c>
      <c r="AP353" s="3" t="s">
        <v>59</v>
      </c>
      <c r="AQ353" s="3" t="s">
        <v>71</v>
      </c>
      <c r="AR353" s="6" t="str">
        <f>HYPERLINK("http://catalog.hathitrust.org/Record/000730882","HathiTrust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HYPERLINK("https://creighton-primo.hosted.exlibrisgroup.com/primo-explore/search?tab=default_tab&amp;search_scope=EVERYTHING&amp;vid=01CRU&amp;lang=en_US&amp;offset=0&amp;query=any,contains,991004077809702656","Catalog Record")</f>
        <v>Catalog Record</v>
      </c>
      <c r="AT353" s="6" t="str">
        <f>HYPERLINK("http://www.worldcat.org/oclc/2318478","WorldCat Record")</f>
        <v>WorldCat Record</v>
      </c>
      <c r="AU353" s="3" t="s">
        <v>4609</v>
      </c>
      <c r="AV353" s="3" t="s">
        <v>4610</v>
      </c>
      <c r="AW353" s="3" t="s">
        <v>4611</v>
      </c>
      <c r="AX353" s="3" t="s">
        <v>4611</v>
      </c>
      <c r="AY353" s="3" t="s">
        <v>4612</v>
      </c>
      <c r="AZ353" s="3" t="s">
        <v>76</v>
      </c>
      <c r="BB353" s="3" t="s">
        <v>4613</v>
      </c>
      <c r="BC353" s="3" t="s">
        <v>4614</v>
      </c>
      <c r="BD353" s="3" t="s">
        <v>4615</v>
      </c>
    </row>
    <row r="354" spans="1:56" ht="52.5" customHeight="1" x14ac:dyDescent="0.25">
      <c r="A354" s="7" t="s">
        <v>59</v>
      </c>
      <c r="B354" s="2" t="s">
        <v>4616</v>
      </c>
      <c r="C354" s="2" t="s">
        <v>4617</v>
      </c>
      <c r="D354" s="2" t="s">
        <v>4618</v>
      </c>
      <c r="F354" s="3" t="s">
        <v>59</v>
      </c>
      <c r="G354" s="3" t="s">
        <v>60</v>
      </c>
      <c r="H354" s="3" t="s">
        <v>59</v>
      </c>
      <c r="I354" s="3" t="s">
        <v>59</v>
      </c>
      <c r="J354" s="3" t="s">
        <v>61</v>
      </c>
      <c r="L354" s="2" t="s">
        <v>4619</v>
      </c>
      <c r="M354" s="3" t="s">
        <v>1217</v>
      </c>
      <c r="O354" s="3" t="s">
        <v>65</v>
      </c>
      <c r="P354" s="3" t="s">
        <v>66</v>
      </c>
      <c r="Q354" s="2" t="s">
        <v>4107</v>
      </c>
      <c r="R354" s="3" t="s">
        <v>68</v>
      </c>
      <c r="S354" s="4">
        <v>1</v>
      </c>
      <c r="T354" s="4">
        <v>1</v>
      </c>
      <c r="U354" s="5" t="s">
        <v>4620</v>
      </c>
      <c r="V354" s="5" t="s">
        <v>4620</v>
      </c>
      <c r="W354" s="5" t="s">
        <v>4567</v>
      </c>
      <c r="X354" s="5" t="s">
        <v>4567</v>
      </c>
      <c r="Y354" s="4">
        <v>475</v>
      </c>
      <c r="Z354" s="4">
        <v>343</v>
      </c>
      <c r="AA354" s="4">
        <v>388</v>
      </c>
      <c r="AB354" s="4">
        <v>4</v>
      </c>
      <c r="AC354" s="4">
        <v>4</v>
      </c>
      <c r="AD354" s="4">
        <v>15</v>
      </c>
      <c r="AE354" s="4">
        <v>18</v>
      </c>
      <c r="AF354" s="4">
        <v>1</v>
      </c>
      <c r="AG354" s="4">
        <v>3</v>
      </c>
      <c r="AH354" s="4">
        <v>6</v>
      </c>
      <c r="AI354" s="4">
        <v>6</v>
      </c>
      <c r="AJ354" s="4">
        <v>8</v>
      </c>
      <c r="AK354" s="4">
        <v>10</v>
      </c>
      <c r="AL354" s="4">
        <v>3</v>
      </c>
      <c r="AM354" s="4">
        <v>3</v>
      </c>
      <c r="AN354" s="4">
        <v>0</v>
      </c>
      <c r="AO354" s="4">
        <v>0</v>
      </c>
      <c r="AP354" s="3" t="s">
        <v>59</v>
      </c>
      <c r="AQ354" s="3" t="s">
        <v>59</v>
      </c>
      <c r="AS354" s="6" t="str">
        <f>HYPERLINK("https://creighton-primo.hosted.exlibrisgroup.com/primo-explore/search?tab=default_tab&amp;search_scope=EVERYTHING&amp;vid=01CRU&amp;lang=en_US&amp;offset=0&amp;query=any,contains,991000378569702656","Catalog Record")</f>
        <v>Catalog Record</v>
      </c>
      <c r="AT354" s="6" t="str">
        <f>HYPERLINK("http://www.worldcat.org/oclc/10483388","WorldCat Record")</f>
        <v>WorldCat Record</v>
      </c>
      <c r="AU354" s="3" t="s">
        <v>4621</v>
      </c>
      <c r="AV354" s="3" t="s">
        <v>4622</v>
      </c>
      <c r="AW354" s="3" t="s">
        <v>4623</v>
      </c>
      <c r="AX354" s="3" t="s">
        <v>4623</v>
      </c>
      <c r="AY354" s="3" t="s">
        <v>4624</v>
      </c>
      <c r="AZ354" s="3" t="s">
        <v>76</v>
      </c>
      <c r="BB354" s="3" t="s">
        <v>4625</v>
      </c>
      <c r="BC354" s="3" t="s">
        <v>4626</v>
      </c>
      <c r="BD354" s="3" t="s">
        <v>4627</v>
      </c>
    </row>
    <row r="355" spans="1:56" ht="52.5" customHeight="1" x14ac:dyDescent="0.25">
      <c r="A355" s="7" t="s">
        <v>59</v>
      </c>
      <c r="B355" s="2" t="s">
        <v>4628</v>
      </c>
      <c r="C355" s="2" t="s">
        <v>4629</v>
      </c>
      <c r="D355" s="2" t="s">
        <v>4630</v>
      </c>
      <c r="F355" s="3" t="s">
        <v>59</v>
      </c>
      <c r="G355" s="3" t="s">
        <v>60</v>
      </c>
      <c r="H355" s="3" t="s">
        <v>59</v>
      </c>
      <c r="I355" s="3" t="s">
        <v>59</v>
      </c>
      <c r="J355" s="3" t="s">
        <v>61</v>
      </c>
      <c r="L355" s="2" t="s">
        <v>4631</v>
      </c>
      <c r="M355" s="3" t="s">
        <v>475</v>
      </c>
      <c r="O355" s="3" t="s">
        <v>65</v>
      </c>
      <c r="P355" s="3" t="s">
        <v>699</v>
      </c>
      <c r="Q355" s="2" t="s">
        <v>4632</v>
      </c>
      <c r="R355" s="3" t="s">
        <v>68</v>
      </c>
      <c r="S355" s="4">
        <v>4</v>
      </c>
      <c r="T355" s="4">
        <v>4</v>
      </c>
      <c r="U355" s="5" t="s">
        <v>4633</v>
      </c>
      <c r="V355" s="5" t="s">
        <v>4633</v>
      </c>
      <c r="W355" s="5" t="s">
        <v>1002</v>
      </c>
      <c r="X355" s="5" t="s">
        <v>1002</v>
      </c>
      <c r="Y355" s="4">
        <v>561</v>
      </c>
      <c r="Z355" s="4">
        <v>377</v>
      </c>
      <c r="AA355" s="4">
        <v>408</v>
      </c>
      <c r="AB355" s="4">
        <v>4</v>
      </c>
      <c r="AC355" s="4">
        <v>4</v>
      </c>
      <c r="AD355" s="4">
        <v>14</v>
      </c>
      <c r="AE355" s="4">
        <v>14</v>
      </c>
      <c r="AF355" s="4">
        <v>5</v>
      </c>
      <c r="AG355" s="4">
        <v>5</v>
      </c>
      <c r="AH355" s="4">
        <v>3</v>
      </c>
      <c r="AI355" s="4">
        <v>3</v>
      </c>
      <c r="AJ355" s="4">
        <v>8</v>
      </c>
      <c r="AK355" s="4">
        <v>8</v>
      </c>
      <c r="AL355" s="4">
        <v>3</v>
      </c>
      <c r="AM355" s="4">
        <v>3</v>
      </c>
      <c r="AN355" s="4">
        <v>0</v>
      </c>
      <c r="AO355" s="4">
        <v>0</v>
      </c>
      <c r="AP355" s="3" t="s">
        <v>59</v>
      </c>
      <c r="AQ355" s="3" t="s">
        <v>59</v>
      </c>
      <c r="AS355" s="6" t="str">
        <f>HYPERLINK("https://creighton-primo.hosted.exlibrisgroup.com/primo-explore/search?tab=default_tab&amp;search_scope=EVERYTHING&amp;vid=01CRU&amp;lang=en_US&amp;offset=0&amp;query=any,contains,991000122999702656","Catalog Record")</f>
        <v>Catalog Record</v>
      </c>
      <c r="AT355" s="6" t="str">
        <f>HYPERLINK("http://www.worldcat.org/oclc/9081085","WorldCat Record")</f>
        <v>WorldCat Record</v>
      </c>
      <c r="AU355" s="3" t="s">
        <v>4634</v>
      </c>
      <c r="AV355" s="3" t="s">
        <v>4635</v>
      </c>
      <c r="AW355" s="3" t="s">
        <v>4636</v>
      </c>
      <c r="AX355" s="3" t="s">
        <v>4636</v>
      </c>
      <c r="AY355" s="3" t="s">
        <v>4637</v>
      </c>
      <c r="AZ355" s="3" t="s">
        <v>76</v>
      </c>
      <c r="BB355" s="3" t="s">
        <v>4638</v>
      </c>
      <c r="BC355" s="3" t="s">
        <v>4639</v>
      </c>
      <c r="BD355" s="3" t="s">
        <v>4640</v>
      </c>
    </row>
    <row r="356" spans="1:56" ht="52.5" customHeight="1" x14ac:dyDescent="0.25">
      <c r="A356" s="7" t="s">
        <v>59</v>
      </c>
      <c r="B356" s="2" t="s">
        <v>4641</v>
      </c>
      <c r="C356" s="2" t="s">
        <v>4642</v>
      </c>
      <c r="D356" s="2" t="s">
        <v>4643</v>
      </c>
      <c r="F356" s="3" t="s">
        <v>59</v>
      </c>
      <c r="G356" s="3" t="s">
        <v>60</v>
      </c>
      <c r="H356" s="3" t="s">
        <v>59</v>
      </c>
      <c r="I356" s="3" t="s">
        <v>59</v>
      </c>
      <c r="J356" s="3" t="s">
        <v>61</v>
      </c>
      <c r="K356" s="2" t="s">
        <v>4644</v>
      </c>
      <c r="L356" s="2" t="s">
        <v>4645</v>
      </c>
      <c r="M356" s="3" t="s">
        <v>1233</v>
      </c>
      <c r="O356" s="3" t="s">
        <v>65</v>
      </c>
      <c r="P356" s="3" t="s">
        <v>66</v>
      </c>
      <c r="R356" s="3" t="s">
        <v>68</v>
      </c>
      <c r="S356" s="4">
        <v>3</v>
      </c>
      <c r="T356" s="4">
        <v>3</v>
      </c>
      <c r="U356" s="5" t="s">
        <v>4646</v>
      </c>
      <c r="V356" s="5" t="s">
        <v>4646</v>
      </c>
      <c r="W356" s="5" t="s">
        <v>4567</v>
      </c>
      <c r="X356" s="5" t="s">
        <v>4567</v>
      </c>
      <c r="Y356" s="4">
        <v>191</v>
      </c>
      <c r="Z356" s="4">
        <v>156</v>
      </c>
      <c r="AA356" s="4">
        <v>178</v>
      </c>
      <c r="AB356" s="4">
        <v>2</v>
      </c>
      <c r="AC356" s="4">
        <v>3</v>
      </c>
      <c r="AD356" s="4">
        <v>6</v>
      </c>
      <c r="AE356" s="4">
        <v>8</v>
      </c>
      <c r="AF356" s="4">
        <v>2</v>
      </c>
      <c r="AG356" s="4">
        <v>2</v>
      </c>
      <c r="AH356" s="4">
        <v>0</v>
      </c>
      <c r="AI356" s="4">
        <v>1</v>
      </c>
      <c r="AJ356" s="4">
        <v>4</v>
      </c>
      <c r="AK356" s="4">
        <v>4</v>
      </c>
      <c r="AL356" s="4">
        <v>1</v>
      </c>
      <c r="AM356" s="4">
        <v>2</v>
      </c>
      <c r="AN356" s="4">
        <v>0</v>
      </c>
      <c r="AO356" s="4">
        <v>0</v>
      </c>
      <c r="AP356" s="3" t="s">
        <v>59</v>
      </c>
      <c r="AQ356" s="3" t="s">
        <v>59</v>
      </c>
      <c r="AS356" s="6" t="str">
        <f>HYPERLINK("https://creighton-primo.hosted.exlibrisgroup.com/primo-explore/search?tab=default_tab&amp;search_scope=EVERYTHING&amp;vid=01CRU&amp;lang=en_US&amp;offset=0&amp;query=any,contains,991003239349702656","Catalog Record")</f>
        <v>Catalog Record</v>
      </c>
      <c r="AT356" s="6" t="str">
        <f>HYPERLINK("http://www.worldcat.org/oclc/762755","WorldCat Record")</f>
        <v>WorldCat Record</v>
      </c>
      <c r="AU356" s="3" t="s">
        <v>4647</v>
      </c>
      <c r="AV356" s="3" t="s">
        <v>4648</v>
      </c>
      <c r="AW356" s="3" t="s">
        <v>4649</v>
      </c>
      <c r="AX356" s="3" t="s">
        <v>4649</v>
      </c>
      <c r="AY356" s="3" t="s">
        <v>4650</v>
      </c>
      <c r="AZ356" s="3" t="s">
        <v>76</v>
      </c>
      <c r="BC356" s="3" t="s">
        <v>4651</v>
      </c>
      <c r="BD356" s="3" t="s">
        <v>4652</v>
      </c>
    </row>
    <row r="357" spans="1:56" ht="52.5" customHeight="1" x14ac:dyDescent="0.25">
      <c r="A357" s="7" t="s">
        <v>59</v>
      </c>
      <c r="B357" s="2" t="s">
        <v>4653</v>
      </c>
      <c r="C357" s="2" t="s">
        <v>4654</v>
      </c>
      <c r="D357" s="2" t="s">
        <v>4655</v>
      </c>
      <c r="F357" s="3" t="s">
        <v>59</v>
      </c>
      <c r="G357" s="3" t="s">
        <v>60</v>
      </c>
      <c r="H357" s="3" t="s">
        <v>59</v>
      </c>
      <c r="I357" s="3" t="s">
        <v>59</v>
      </c>
      <c r="J357" s="3" t="s">
        <v>61</v>
      </c>
      <c r="K357" s="2" t="s">
        <v>4656</v>
      </c>
      <c r="L357" s="2" t="s">
        <v>4657</v>
      </c>
      <c r="M357" s="3" t="s">
        <v>148</v>
      </c>
      <c r="O357" s="3" t="s">
        <v>65</v>
      </c>
      <c r="P357" s="3" t="s">
        <v>420</v>
      </c>
      <c r="R357" s="3" t="s">
        <v>68</v>
      </c>
      <c r="S357" s="4">
        <v>7</v>
      </c>
      <c r="T357" s="4">
        <v>7</v>
      </c>
      <c r="U357" s="5" t="s">
        <v>4658</v>
      </c>
      <c r="V357" s="5" t="s">
        <v>4658</v>
      </c>
      <c r="W357" s="5" t="s">
        <v>4659</v>
      </c>
      <c r="X357" s="5" t="s">
        <v>4659</v>
      </c>
      <c r="Y357" s="4">
        <v>1031</v>
      </c>
      <c r="Z357" s="4">
        <v>780</v>
      </c>
      <c r="AA357" s="4">
        <v>788</v>
      </c>
      <c r="AB357" s="4">
        <v>6</v>
      </c>
      <c r="AC357" s="4">
        <v>6</v>
      </c>
      <c r="AD357" s="4">
        <v>38</v>
      </c>
      <c r="AE357" s="4">
        <v>38</v>
      </c>
      <c r="AF357" s="4">
        <v>18</v>
      </c>
      <c r="AG357" s="4">
        <v>18</v>
      </c>
      <c r="AH357" s="4">
        <v>8</v>
      </c>
      <c r="AI357" s="4">
        <v>8</v>
      </c>
      <c r="AJ357" s="4">
        <v>16</v>
      </c>
      <c r="AK357" s="4">
        <v>16</v>
      </c>
      <c r="AL357" s="4">
        <v>5</v>
      </c>
      <c r="AM357" s="4">
        <v>5</v>
      </c>
      <c r="AN357" s="4">
        <v>0</v>
      </c>
      <c r="AO357" s="4">
        <v>0</v>
      </c>
      <c r="AP357" s="3" t="s">
        <v>59</v>
      </c>
      <c r="AQ357" s="3" t="s">
        <v>59</v>
      </c>
      <c r="AS357" s="6" t="str">
        <f>HYPERLINK("https://creighton-primo.hosted.exlibrisgroup.com/primo-explore/search?tab=default_tab&amp;search_scope=EVERYTHING&amp;vid=01CRU&amp;lang=en_US&amp;offset=0&amp;query=any,contains,991004077789702656","Catalog Record")</f>
        <v>Catalog Record</v>
      </c>
      <c r="AT357" s="6" t="str">
        <f>HYPERLINK("http://www.worldcat.org/oclc/2318476","WorldCat Record")</f>
        <v>WorldCat Record</v>
      </c>
      <c r="AU357" s="3" t="s">
        <v>4660</v>
      </c>
      <c r="AV357" s="3" t="s">
        <v>4661</v>
      </c>
      <c r="AW357" s="3" t="s">
        <v>4662</v>
      </c>
      <c r="AX357" s="3" t="s">
        <v>4662</v>
      </c>
      <c r="AY357" s="3" t="s">
        <v>4663</v>
      </c>
      <c r="AZ357" s="3" t="s">
        <v>76</v>
      </c>
      <c r="BB357" s="3" t="s">
        <v>4664</v>
      </c>
      <c r="BC357" s="3" t="s">
        <v>4665</v>
      </c>
      <c r="BD357" s="3" t="s">
        <v>4666</v>
      </c>
    </row>
    <row r="358" spans="1:56" ht="52.5" customHeight="1" x14ac:dyDescent="0.25">
      <c r="A358" s="7" t="s">
        <v>59</v>
      </c>
      <c r="B358" s="2" t="s">
        <v>4667</v>
      </c>
      <c r="C358" s="2" t="s">
        <v>4668</v>
      </c>
      <c r="D358" s="2" t="s">
        <v>4669</v>
      </c>
      <c r="F358" s="3" t="s">
        <v>59</v>
      </c>
      <c r="G358" s="3" t="s">
        <v>60</v>
      </c>
      <c r="H358" s="3" t="s">
        <v>59</v>
      </c>
      <c r="I358" s="3" t="s">
        <v>59</v>
      </c>
      <c r="J358" s="3" t="s">
        <v>61</v>
      </c>
      <c r="K358" s="2" t="s">
        <v>4670</v>
      </c>
      <c r="L358" s="2" t="s">
        <v>4671</v>
      </c>
      <c r="M358" s="3" t="s">
        <v>1217</v>
      </c>
      <c r="O358" s="3" t="s">
        <v>65</v>
      </c>
      <c r="P358" s="3" t="s">
        <v>66</v>
      </c>
      <c r="R358" s="3" t="s">
        <v>68</v>
      </c>
      <c r="S358" s="4">
        <v>6</v>
      </c>
      <c r="T358" s="4">
        <v>6</v>
      </c>
      <c r="U358" s="5" t="s">
        <v>4672</v>
      </c>
      <c r="V358" s="5" t="s">
        <v>4672</v>
      </c>
      <c r="W358" s="5" t="s">
        <v>1343</v>
      </c>
      <c r="X358" s="5" t="s">
        <v>1343</v>
      </c>
      <c r="Y358" s="4">
        <v>717</v>
      </c>
      <c r="Z358" s="4">
        <v>645</v>
      </c>
      <c r="AA358" s="4">
        <v>668</v>
      </c>
      <c r="AB358" s="4">
        <v>4</v>
      </c>
      <c r="AC358" s="4">
        <v>4</v>
      </c>
      <c r="AD358" s="4">
        <v>30</v>
      </c>
      <c r="AE358" s="4">
        <v>30</v>
      </c>
      <c r="AF358" s="4">
        <v>14</v>
      </c>
      <c r="AG358" s="4">
        <v>14</v>
      </c>
      <c r="AH358" s="4">
        <v>5</v>
      </c>
      <c r="AI358" s="4">
        <v>5</v>
      </c>
      <c r="AJ358" s="4">
        <v>12</v>
      </c>
      <c r="AK358" s="4">
        <v>12</v>
      </c>
      <c r="AL358" s="4">
        <v>3</v>
      </c>
      <c r="AM358" s="4">
        <v>3</v>
      </c>
      <c r="AN358" s="4">
        <v>0</v>
      </c>
      <c r="AO358" s="4">
        <v>0</v>
      </c>
      <c r="AP358" s="3" t="s">
        <v>59</v>
      </c>
      <c r="AQ358" s="3" t="s">
        <v>59</v>
      </c>
      <c r="AS358" s="6" t="str">
        <f>HYPERLINK("https://creighton-primo.hosted.exlibrisgroup.com/primo-explore/search?tab=default_tab&amp;search_scope=EVERYTHING&amp;vid=01CRU&amp;lang=en_US&amp;offset=0&amp;query=any,contains,991000316029702656","Catalog Record")</f>
        <v>Catalog Record</v>
      </c>
      <c r="AT358" s="6" t="str">
        <f>HYPERLINK("http://www.worldcat.org/oclc/10121955","WorldCat Record")</f>
        <v>WorldCat Record</v>
      </c>
      <c r="AU358" s="3" t="s">
        <v>4673</v>
      </c>
      <c r="AV358" s="3" t="s">
        <v>4674</v>
      </c>
      <c r="AW358" s="3" t="s">
        <v>4675</v>
      </c>
      <c r="AX358" s="3" t="s">
        <v>4675</v>
      </c>
      <c r="AY358" s="3" t="s">
        <v>4676</v>
      </c>
      <c r="AZ358" s="3" t="s">
        <v>76</v>
      </c>
      <c r="BB358" s="3" t="s">
        <v>4677</v>
      </c>
      <c r="BC358" s="3" t="s">
        <v>4678</v>
      </c>
      <c r="BD358" s="3" t="s">
        <v>4679</v>
      </c>
    </row>
    <row r="359" spans="1:56" ht="52.5" customHeight="1" x14ac:dyDescent="0.25">
      <c r="A359" s="7" t="s">
        <v>59</v>
      </c>
      <c r="B359" s="2" t="s">
        <v>4680</v>
      </c>
      <c r="C359" s="2" t="s">
        <v>4681</v>
      </c>
      <c r="D359" s="2" t="s">
        <v>4682</v>
      </c>
      <c r="F359" s="3" t="s">
        <v>59</v>
      </c>
      <c r="G359" s="3" t="s">
        <v>60</v>
      </c>
      <c r="H359" s="3" t="s">
        <v>59</v>
      </c>
      <c r="I359" s="3" t="s">
        <v>59</v>
      </c>
      <c r="J359" s="3" t="s">
        <v>61</v>
      </c>
      <c r="K359" s="2" t="s">
        <v>4683</v>
      </c>
      <c r="L359" s="2" t="s">
        <v>4684</v>
      </c>
      <c r="M359" s="3" t="s">
        <v>549</v>
      </c>
      <c r="O359" s="3" t="s">
        <v>65</v>
      </c>
      <c r="P359" s="3" t="s">
        <v>4685</v>
      </c>
      <c r="R359" s="3" t="s">
        <v>68</v>
      </c>
      <c r="S359" s="4">
        <v>2</v>
      </c>
      <c r="T359" s="4">
        <v>2</v>
      </c>
      <c r="U359" s="5" t="s">
        <v>4686</v>
      </c>
      <c r="V359" s="5" t="s">
        <v>4686</v>
      </c>
      <c r="W359" s="5" t="s">
        <v>4567</v>
      </c>
      <c r="X359" s="5" t="s">
        <v>4567</v>
      </c>
      <c r="Y359" s="4">
        <v>349</v>
      </c>
      <c r="Z359" s="4">
        <v>241</v>
      </c>
      <c r="AA359" s="4">
        <v>281</v>
      </c>
      <c r="AB359" s="4">
        <v>3</v>
      </c>
      <c r="AC359" s="4">
        <v>3</v>
      </c>
      <c r="AD359" s="4">
        <v>10</v>
      </c>
      <c r="AE359" s="4">
        <v>12</v>
      </c>
      <c r="AF359" s="4">
        <v>2</v>
      </c>
      <c r="AG359" s="4">
        <v>3</v>
      </c>
      <c r="AH359" s="4">
        <v>3</v>
      </c>
      <c r="AI359" s="4">
        <v>4</v>
      </c>
      <c r="AJ359" s="4">
        <v>7</v>
      </c>
      <c r="AK359" s="4">
        <v>7</v>
      </c>
      <c r="AL359" s="4">
        <v>2</v>
      </c>
      <c r="AM359" s="4">
        <v>2</v>
      </c>
      <c r="AN359" s="4">
        <v>0</v>
      </c>
      <c r="AO359" s="4">
        <v>0</v>
      </c>
      <c r="AP359" s="3" t="s">
        <v>59</v>
      </c>
      <c r="AQ359" s="3" t="s">
        <v>71</v>
      </c>
      <c r="AR359" s="6" t="str">
        <f>HYPERLINK("http://catalog.hathitrust.org/Record/000478880","HathiTrust Record")</f>
        <v>HathiTrust Record</v>
      </c>
      <c r="AS359" s="6" t="str">
        <f>HYPERLINK("https://creighton-primo.hosted.exlibrisgroup.com/primo-explore/search?tab=default_tab&amp;search_scope=EVERYTHING&amp;vid=01CRU&amp;lang=en_US&amp;offset=0&amp;query=any,contains,991000213519702656","Catalog Record")</f>
        <v>Catalog Record</v>
      </c>
      <c r="AT359" s="6" t="str">
        <f>HYPERLINK("http://www.worldcat.org/oclc/9556591","WorldCat Record")</f>
        <v>WorldCat Record</v>
      </c>
      <c r="AU359" s="3" t="s">
        <v>4687</v>
      </c>
      <c r="AV359" s="3" t="s">
        <v>4688</v>
      </c>
      <c r="AW359" s="3" t="s">
        <v>4689</v>
      </c>
      <c r="AX359" s="3" t="s">
        <v>4689</v>
      </c>
      <c r="AY359" s="3" t="s">
        <v>4690</v>
      </c>
      <c r="AZ359" s="3" t="s">
        <v>76</v>
      </c>
      <c r="BB359" s="3" t="s">
        <v>4691</v>
      </c>
      <c r="BC359" s="3" t="s">
        <v>4692</v>
      </c>
      <c r="BD359" s="3" t="s">
        <v>4693</v>
      </c>
    </row>
    <row r="360" spans="1:56" ht="52.5" customHeight="1" x14ac:dyDescent="0.25">
      <c r="A360" s="7" t="s">
        <v>59</v>
      </c>
      <c r="B360" s="2" t="s">
        <v>4694</v>
      </c>
      <c r="C360" s="2" t="s">
        <v>4695</v>
      </c>
      <c r="D360" s="2" t="s">
        <v>4696</v>
      </c>
      <c r="F360" s="3" t="s">
        <v>59</v>
      </c>
      <c r="G360" s="3" t="s">
        <v>60</v>
      </c>
      <c r="H360" s="3" t="s">
        <v>59</v>
      </c>
      <c r="I360" s="3" t="s">
        <v>59</v>
      </c>
      <c r="J360" s="3" t="s">
        <v>61</v>
      </c>
      <c r="K360" s="2" t="s">
        <v>4697</v>
      </c>
      <c r="L360" s="2" t="s">
        <v>698</v>
      </c>
      <c r="M360" s="3" t="s">
        <v>684</v>
      </c>
      <c r="O360" s="3" t="s">
        <v>65</v>
      </c>
      <c r="P360" s="3" t="s">
        <v>699</v>
      </c>
      <c r="R360" s="3" t="s">
        <v>68</v>
      </c>
      <c r="S360" s="4">
        <v>3</v>
      </c>
      <c r="T360" s="4">
        <v>3</v>
      </c>
      <c r="U360" s="5" t="s">
        <v>4698</v>
      </c>
      <c r="V360" s="5" t="s">
        <v>4698</v>
      </c>
      <c r="W360" s="5" t="s">
        <v>4567</v>
      </c>
      <c r="X360" s="5" t="s">
        <v>4567</v>
      </c>
      <c r="Y360" s="4">
        <v>345</v>
      </c>
      <c r="Z360" s="4">
        <v>266</v>
      </c>
      <c r="AA360" s="4">
        <v>285</v>
      </c>
      <c r="AB360" s="4">
        <v>1</v>
      </c>
      <c r="AC360" s="4">
        <v>1</v>
      </c>
      <c r="AD360" s="4">
        <v>10</v>
      </c>
      <c r="AE360" s="4">
        <v>12</v>
      </c>
      <c r="AF360" s="4">
        <v>3</v>
      </c>
      <c r="AG360" s="4">
        <v>3</v>
      </c>
      <c r="AH360" s="4">
        <v>1</v>
      </c>
      <c r="AI360" s="4">
        <v>3</v>
      </c>
      <c r="AJ360" s="4">
        <v>9</v>
      </c>
      <c r="AK360" s="4">
        <v>10</v>
      </c>
      <c r="AL360" s="4">
        <v>0</v>
      </c>
      <c r="AM360" s="4">
        <v>0</v>
      </c>
      <c r="AN360" s="4">
        <v>0</v>
      </c>
      <c r="AO360" s="4">
        <v>0</v>
      </c>
      <c r="AP360" s="3" t="s">
        <v>59</v>
      </c>
      <c r="AQ360" s="3" t="s">
        <v>71</v>
      </c>
      <c r="AR360" s="6" t="str">
        <f>HYPERLINK("http://catalog.hathitrust.org/Record/000130216","HathiTrust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HYPERLINK("https://creighton-primo.hosted.exlibrisgroup.com/primo-explore/search?tab=default_tab&amp;search_scope=EVERYTHING&amp;vid=01CRU&amp;lang=en_US&amp;offset=0&amp;query=any,contains,991005079269702656","Catalog Record")</f>
        <v>Catalog Record</v>
      </c>
      <c r="AT360" s="6" t="str">
        <f>HYPERLINK("http://www.worldcat.org/oclc/7169337","WorldCat Record")</f>
        <v>WorldCat Record</v>
      </c>
      <c r="AU360" s="3" t="s">
        <v>4699</v>
      </c>
      <c r="AV360" s="3" t="s">
        <v>4700</v>
      </c>
      <c r="AW360" s="3" t="s">
        <v>4701</v>
      </c>
      <c r="AX360" s="3" t="s">
        <v>4701</v>
      </c>
      <c r="AY360" s="3" t="s">
        <v>4702</v>
      </c>
      <c r="AZ360" s="3" t="s">
        <v>76</v>
      </c>
      <c r="BB360" s="3" t="s">
        <v>4703</v>
      </c>
      <c r="BC360" s="3" t="s">
        <v>4704</v>
      </c>
      <c r="BD360" s="3" t="s">
        <v>4705</v>
      </c>
    </row>
    <row r="361" spans="1:56" ht="52.5" customHeight="1" x14ac:dyDescent="0.25">
      <c r="A361" s="7" t="s">
        <v>59</v>
      </c>
      <c r="B361" s="2" t="s">
        <v>4706</v>
      </c>
      <c r="C361" s="2" t="s">
        <v>4707</v>
      </c>
      <c r="D361" s="2" t="s">
        <v>4708</v>
      </c>
      <c r="F361" s="3" t="s">
        <v>59</v>
      </c>
      <c r="G361" s="3" t="s">
        <v>60</v>
      </c>
      <c r="H361" s="3" t="s">
        <v>59</v>
      </c>
      <c r="I361" s="3" t="s">
        <v>59</v>
      </c>
      <c r="J361" s="3" t="s">
        <v>61</v>
      </c>
      <c r="K361" s="2" t="s">
        <v>4709</v>
      </c>
      <c r="L361" s="2" t="s">
        <v>4710</v>
      </c>
      <c r="M361" s="3" t="s">
        <v>350</v>
      </c>
      <c r="N361" s="2" t="s">
        <v>1289</v>
      </c>
      <c r="O361" s="3" t="s">
        <v>65</v>
      </c>
      <c r="P361" s="3" t="s">
        <v>66</v>
      </c>
      <c r="R361" s="3" t="s">
        <v>68</v>
      </c>
      <c r="S361" s="4">
        <v>3</v>
      </c>
      <c r="T361" s="4">
        <v>3</v>
      </c>
      <c r="U361" s="5" t="s">
        <v>4711</v>
      </c>
      <c r="V361" s="5" t="s">
        <v>4711</v>
      </c>
      <c r="W361" s="5" t="s">
        <v>4712</v>
      </c>
      <c r="X361" s="5" t="s">
        <v>4712</v>
      </c>
      <c r="Y361" s="4">
        <v>818</v>
      </c>
      <c r="Z361" s="4">
        <v>671</v>
      </c>
      <c r="AA361" s="4">
        <v>1498</v>
      </c>
      <c r="AB361" s="4">
        <v>6</v>
      </c>
      <c r="AC361" s="4">
        <v>8</v>
      </c>
      <c r="AD361" s="4">
        <v>24</v>
      </c>
      <c r="AE361" s="4">
        <v>44</v>
      </c>
      <c r="AF361" s="4">
        <v>11</v>
      </c>
      <c r="AG361" s="4">
        <v>21</v>
      </c>
      <c r="AH361" s="4">
        <v>6</v>
      </c>
      <c r="AI361" s="4">
        <v>10</v>
      </c>
      <c r="AJ361" s="4">
        <v>12</v>
      </c>
      <c r="AK361" s="4">
        <v>22</v>
      </c>
      <c r="AL361" s="4">
        <v>2</v>
      </c>
      <c r="AM361" s="4">
        <v>3</v>
      </c>
      <c r="AN361" s="4">
        <v>0</v>
      </c>
      <c r="AO361" s="4">
        <v>1</v>
      </c>
      <c r="AP361" s="3" t="s">
        <v>59</v>
      </c>
      <c r="AQ361" s="3" t="s">
        <v>71</v>
      </c>
      <c r="AR361" s="6" t="str">
        <f>HYPERLINK("http://catalog.hathitrust.org/Record/006233826","HathiTrust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HYPERLINK("https://creighton-primo.hosted.exlibrisgroup.com/primo-explore/search?tab=default_tab&amp;search_scope=EVERYTHING&amp;vid=01CRU&amp;lang=en_US&amp;offset=0&amp;query=any,contains,991004379639702656","Catalog Record")</f>
        <v>Catalog Record</v>
      </c>
      <c r="AT361" s="6" t="str">
        <f>HYPERLINK("http://www.worldcat.org/oclc/3215061","WorldCat Record")</f>
        <v>WorldCat Record</v>
      </c>
      <c r="AU361" s="3" t="s">
        <v>4713</v>
      </c>
      <c r="AV361" s="3" t="s">
        <v>4714</v>
      </c>
      <c r="AW361" s="3" t="s">
        <v>4715</v>
      </c>
      <c r="AX361" s="3" t="s">
        <v>4715</v>
      </c>
      <c r="AY361" s="3" t="s">
        <v>4716</v>
      </c>
      <c r="AZ361" s="3" t="s">
        <v>76</v>
      </c>
      <c r="BB361" s="3" t="s">
        <v>4717</v>
      </c>
      <c r="BC361" s="3" t="s">
        <v>4718</v>
      </c>
      <c r="BD361" s="3" t="s">
        <v>4719</v>
      </c>
    </row>
    <row r="362" spans="1:56" ht="52.5" customHeight="1" x14ac:dyDescent="0.25">
      <c r="A362" s="7" t="s">
        <v>59</v>
      </c>
      <c r="B362" s="2" t="s">
        <v>4720</v>
      </c>
      <c r="C362" s="2" t="s">
        <v>4721</v>
      </c>
      <c r="D362" s="2" t="s">
        <v>4722</v>
      </c>
      <c r="F362" s="3" t="s">
        <v>59</v>
      </c>
      <c r="G362" s="3" t="s">
        <v>60</v>
      </c>
      <c r="H362" s="3" t="s">
        <v>59</v>
      </c>
      <c r="I362" s="3" t="s">
        <v>59</v>
      </c>
      <c r="J362" s="3" t="s">
        <v>61</v>
      </c>
      <c r="L362" s="2" t="s">
        <v>4723</v>
      </c>
      <c r="M362" s="3" t="s">
        <v>365</v>
      </c>
      <c r="O362" s="3" t="s">
        <v>65</v>
      </c>
      <c r="P362" s="3" t="s">
        <v>1262</v>
      </c>
      <c r="Q362" s="2" t="s">
        <v>4724</v>
      </c>
      <c r="R362" s="3" t="s">
        <v>68</v>
      </c>
      <c r="S362" s="4">
        <v>2</v>
      </c>
      <c r="T362" s="4">
        <v>2</v>
      </c>
      <c r="U362" s="5" t="s">
        <v>1430</v>
      </c>
      <c r="V362" s="5" t="s">
        <v>1430</v>
      </c>
      <c r="W362" s="5" t="s">
        <v>1885</v>
      </c>
      <c r="X362" s="5" t="s">
        <v>1885</v>
      </c>
      <c r="Y362" s="4">
        <v>303</v>
      </c>
      <c r="Z362" s="4">
        <v>199</v>
      </c>
      <c r="AA362" s="4">
        <v>207</v>
      </c>
      <c r="AB362" s="4">
        <v>3</v>
      </c>
      <c r="AC362" s="4">
        <v>3</v>
      </c>
      <c r="AD362" s="4">
        <v>10</v>
      </c>
      <c r="AE362" s="4">
        <v>10</v>
      </c>
      <c r="AF362" s="4">
        <v>1</v>
      </c>
      <c r="AG362" s="4">
        <v>1</v>
      </c>
      <c r="AH362" s="4">
        <v>4</v>
      </c>
      <c r="AI362" s="4">
        <v>4</v>
      </c>
      <c r="AJ362" s="4">
        <v>5</v>
      </c>
      <c r="AK362" s="4">
        <v>5</v>
      </c>
      <c r="AL362" s="4">
        <v>2</v>
      </c>
      <c r="AM362" s="4">
        <v>2</v>
      </c>
      <c r="AN362" s="4">
        <v>0</v>
      </c>
      <c r="AO362" s="4">
        <v>0</v>
      </c>
      <c r="AP362" s="3" t="s">
        <v>59</v>
      </c>
      <c r="AQ362" s="3" t="s">
        <v>71</v>
      </c>
      <c r="AR362" s="6" t="str">
        <f>HYPERLINK("http://catalog.hathitrust.org/Record/001833951","HathiTrust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HYPERLINK("https://creighton-primo.hosted.exlibrisgroup.com/primo-explore/search?tab=default_tab&amp;search_scope=EVERYTHING&amp;vid=01CRU&amp;lang=en_US&amp;offset=0&amp;query=any,contains,991001508439702656","Catalog Record")</f>
        <v>Catalog Record</v>
      </c>
      <c r="AT362" s="6" t="str">
        <f>HYPERLINK("http://www.worldcat.org/oclc/19850358","WorldCat Record")</f>
        <v>WorldCat Record</v>
      </c>
      <c r="AU362" s="3" t="s">
        <v>4725</v>
      </c>
      <c r="AV362" s="3" t="s">
        <v>4726</v>
      </c>
      <c r="AW362" s="3" t="s">
        <v>4727</v>
      </c>
      <c r="AX362" s="3" t="s">
        <v>4727</v>
      </c>
      <c r="AY362" s="3" t="s">
        <v>4728</v>
      </c>
      <c r="AZ362" s="3" t="s">
        <v>76</v>
      </c>
      <c r="BB362" s="3" t="s">
        <v>4729</v>
      </c>
      <c r="BC362" s="3" t="s">
        <v>4730</v>
      </c>
      <c r="BD362" s="3" t="s">
        <v>4731</v>
      </c>
    </row>
    <row r="363" spans="1:56" ht="52.5" customHeight="1" x14ac:dyDescent="0.25">
      <c r="A363" s="7" t="s">
        <v>59</v>
      </c>
      <c r="B363" s="2" t="s">
        <v>4732</v>
      </c>
      <c r="C363" s="2" t="s">
        <v>4733</v>
      </c>
      <c r="D363" s="2" t="s">
        <v>4734</v>
      </c>
      <c r="E363" s="3" t="s">
        <v>781</v>
      </c>
      <c r="F363" s="3" t="s">
        <v>71</v>
      </c>
      <c r="G363" s="3" t="s">
        <v>60</v>
      </c>
      <c r="H363" s="3" t="s">
        <v>59</v>
      </c>
      <c r="I363" s="3" t="s">
        <v>59</v>
      </c>
      <c r="J363" s="3" t="s">
        <v>61</v>
      </c>
      <c r="L363" s="2" t="s">
        <v>4735</v>
      </c>
      <c r="M363" s="3" t="s">
        <v>549</v>
      </c>
      <c r="O363" s="3" t="s">
        <v>65</v>
      </c>
      <c r="P363" s="3" t="s">
        <v>4685</v>
      </c>
      <c r="Q363" s="2" t="s">
        <v>3833</v>
      </c>
      <c r="R363" s="3" t="s">
        <v>68</v>
      </c>
      <c r="S363" s="4">
        <v>0</v>
      </c>
      <c r="T363" s="4">
        <v>2</v>
      </c>
      <c r="V363" s="5" t="s">
        <v>421</v>
      </c>
      <c r="W363" s="5" t="s">
        <v>4567</v>
      </c>
      <c r="X363" s="5" t="s">
        <v>4736</v>
      </c>
      <c r="Y363" s="4">
        <v>405</v>
      </c>
      <c r="Z363" s="4">
        <v>284</v>
      </c>
      <c r="AA363" s="4">
        <v>304</v>
      </c>
      <c r="AB363" s="4">
        <v>3</v>
      </c>
      <c r="AC363" s="4">
        <v>3</v>
      </c>
      <c r="AD363" s="4">
        <v>12</v>
      </c>
      <c r="AE363" s="4">
        <v>14</v>
      </c>
      <c r="AF363" s="4">
        <v>0</v>
      </c>
      <c r="AG363" s="4">
        <v>1</v>
      </c>
      <c r="AH363" s="4">
        <v>5</v>
      </c>
      <c r="AI363" s="4">
        <v>6</v>
      </c>
      <c r="AJ363" s="4">
        <v>8</v>
      </c>
      <c r="AK363" s="4">
        <v>8</v>
      </c>
      <c r="AL363" s="4">
        <v>2</v>
      </c>
      <c r="AM363" s="4">
        <v>2</v>
      </c>
      <c r="AN363" s="4">
        <v>0</v>
      </c>
      <c r="AO363" s="4">
        <v>0</v>
      </c>
      <c r="AP363" s="3" t="s">
        <v>59</v>
      </c>
      <c r="AQ363" s="3" t="s">
        <v>71</v>
      </c>
      <c r="AR363" s="6" t="str">
        <f>HYPERLINK("http://catalog.hathitrust.org/Record/000632032","HathiTrust Record")</f>
        <v>HathiTrust Record</v>
      </c>
      <c r="AS363" s="6" t="str">
        <f>HYPERLINK("https://creighton-primo.hosted.exlibrisgroup.com/primo-explore/search?tab=default_tab&amp;search_scope=EVERYTHING&amp;vid=01CRU&amp;lang=en_US&amp;offset=0&amp;query=any,contains,991000713899702656","Catalog Record")</f>
        <v>Catalog Record</v>
      </c>
      <c r="AT363" s="6" t="str">
        <f>HYPERLINK("http://www.worldcat.org/oclc/12613429","WorldCat Record")</f>
        <v>WorldCat Record</v>
      </c>
      <c r="AU363" s="3" t="s">
        <v>4737</v>
      </c>
      <c r="AV363" s="3" t="s">
        <v>4738</v>
      </c>
      <c r="AW363" s="3" t="s">
        <v>4739</v>
      </c>
      <c r="AX363" s="3" t="s">
        <v>4739</v>
      </c>
      <c r="AY363" s="3" t="s">
        <v>4740</v>
      </c>
      <c r="AZ363" s="3" t="s">
        <v>76</v>
      </c>
      <c r="BB363" s="3" t="s">
        <v>4741</v>
      </c>
      <c r="BC363" s="3" t="s">
        <v>4742</v>
      </c>
      <c r="BD363" s="3" t="s">
        <v>4743</v>
      </c>
    </row>
    <row r="364" spans="1:56" ht="52.5" customHeight="1" x14ac:dyDescent="0.25">
      <c r="A364" s="7" t="s">
        <v>59</v>
      </c>
      <c r="B364" s="2" t="s">
        <v>4732</v>
      </c>
      <c r="C364" s="2" t="s">
        <v>4733</v>
      </c>
      <c r="D364" s="2" t="s">
        <v>4734</v>
      </c>
      <c r="E364" s="3" t="s">
        <v>768</v>
      </c>
      <c r="F364" s="3" t="s">
        <v>71</v>
      </c>
      <c r="G364" s="3" t="s">
        <v>60</v>
      </c>
      <c r="H364" s="3" t="s">
        <v>59</v>
      </c>
      <c r="I364" s="3" t="s">
        <v>59</v>
      </c>
      <c r="J364" s="3" t="s">
        <v>61</v>
      </c>
      <c r="L364" s="2" t="s">
        <v>4735</v>
      </c>
      <c r="M364" s="3" t="s">
        <v>549</v>
      </c>
      <c r="O364" s="3" t="s">
        <v>65</v>
      </c>
      <c r="P364" s="3" t="s">
        <v>4685</v>
      </c>
      <c r="Q364" s="2" t="s">
        <v>3833</v>
      </c>
      <c r="R364" s="3" t="s">
        <v>68</v>
      </c>
      <c r="S364" s="4">
        <v>2</v>
      </c>
      <c r="T364" s="4">
        <v>2</v>
      </c>
      <c r="U364" s="5" t="s">
        <v>421</v>
      </c>
      <c r="V364" s="5" t="s">
        <v>421</v>
      </c>
      <c r="W364" s="5" t="s">
        <v>4736</v>
      </c>
      <c r="X364" s="5" t="s">
        <v>4736</v>
      </c>
      <c r="Y364" s="4">
        <v>405</v>
      </c>
      <c r="Z364" s="4">
        <v>284</v>
      </c>
      <c r="AA364" s="4">
        <v>304</v>
      </c>
      <c r="AB364" s="4">
        <v>3</v>
      </c>
      <c r="AC364" s="4">
        <v>3</v>
      </c>
      <c r="AD364" s="4">
        <v>12</v>
      </c>
      <c r="AE364" s="4">
        <v>14</v>
      </c>
      <c r="AF364" s="4">
        <v>0</v>
      </c>
      <c r="AG364" s="4">
        <v>1</v>
      </c>
      <c r="AH364" s="4">
        <v>5</v>
      </c>
      <c r="AI364" s="4">
        <v>6</v>
      </c>
      <c r="AJ364" s="4">
        <v>8</v>
      </c>
      <c r="AK364" s="4">
        <v>8</v>
      </c>
      <c r="AL364" s="4">
        <v>2</v>
      </c>
      <c r="AM364" s="4">
        <v>2</v>
      </c>
      <c r="AN364" s="4">
        <v>0</v>
      </c>
      <c r="AO364" s="4">
        <v>0</v>
      </c>
      <c r="AP364" s="3" t="s">
        <v>59</v>
      </c>
      <c r="AQ364" s="3" t="s">
        <v>71</v>
      </c>
      <c r="AR364" s="6" t="str">
        <f>HYPERLINK("http://catalog.hathitrust.org/Record/000632032","HathiTrust Record")</f>
        <v>HathiTrust Record</v>
      </c>
      <c r="AS364" s="6" t="str">
        <f>HYPERLINK("https://creighton-primo.hosted.exlibrisgroup.com/primo-explore/search?tab=default_tab&amp;search_scope=EVERYTHING&amp;vid=01CRU&amp;lang=en_US&amp;offset=0&amp;query=any,contains,991000713899702656","Catalog Record")</f>
        <v>Catalog Record</v>
      </c>
      <c r="AT364" s="6" t="str">
        <f>HYPERLINK("http://www.worldcat.org/oclc/12613429","WorldCat Record")</f>
        <v>WorldCat Record</v>
      </c>
      <c r="AU364" s="3" t="s">
        <v>4737</v>
      </c>
      <c r="AV364" s="3" t="s">
        <v>4738</v>
      </c>
      <c r="AW364" s="3" t="s">
        <v>4739</v>
      </c>
      <c r="AX364" s="3" t="s">
        <v>4739</v>
      </c>
      <c r="AY364" s="3" t="s">
        <v>4740</v>
      </c>
      <c r="AZ364" s="3" t="s">
        <v>76</v>
      </c>
      <c r="BB364" s="3" t="s">
        <v>4741</v>
      </c>
      <c r="BC364" s="3" t="s">
        <v>4744</v>
      </c>
      <c r="BD364" s="3" t="s">
        <v>4745</v>
      </c>
    </row>
    <row r="365" spans="1:56" ht="52.5" customHeight="1" x14ac:dyDescent="0.25">
      <c r="A365" s="7" t="s">
        <v>59</v>
      </c>
      <c r="B365" s="2" t="s">
        <v>4746</v>
      </c>
      <c r="C365" s="2" t="s">
        <v>4747</v>
      </c>
      <c r="D365" s="2" t="s">
        <v>4748</v>
      </c>
      <c r="F365" s="3" t="s">
        <v>59</v>
      </c>
      <c r="G365" s="3" t="s">
        <v>60</v>
      </c>
      <c r="H365" s="3" t="s">
        <v>59</v>
      </c>
      <c r="I365" s="3" t="s">
        <v>59</v>
      </c>
      <c r="J365" s="3" t="s">
        <v>61</v>
      </c>
      <c r="K365" s="2" t="s">
        <v>4749</v>
      </c>
      <c r="L365" s="2" t="s">
        <v>4750</v>
      </c>
      <c r="M365" s="3" t="s">
        <v>164</v>
      </c>
      <c r="O365" s="3" t="s">
        <v>65</v>
      </c>
      <c r="P365" s="3" t="s">
        <v>296</v>
      </c>
      <c r="R365" s="3" t="s">
        <v>68</v>
      </c>
      <c r="S365" s="4">
        <v>3</v>
      </c>
      <c r="T365" s="4">
        <v>3</v>
      </c>
      <c r="U365" s="5" t="s">
        <v>4751</v>
      </c>
      <c r="V365" s="5" t="s">
        <v>4751</v>
      </c>
      <c r="W365" s="5" t="s">
        <v>4567</v>
      </c>
      <c r="X365" s="5" t="s">
        <v>4567</v>
      </c>
      <c r="Y365" s="4">
        <v>798</v>
      </c>
      <c r="Z365" s="4">
        <v>683</v>
      </c>
      <c r="AA365" s="4">
        <v>686</v>
      </c>
      <c r="AB365" s="4">
        <v>4</v>
      </c>
      <c r="AC365" s="4">
        <v>4</v>
      </c>
      <c r="AD365" s="4">
        <v>29</v>
      </c>
      <c r="AE365" s="4">
        <v>29</v>
      </c>
      <c r="AF365" s="4">
        <v>13</v>
      </c>
      <c r="AG365" s="4">
        <v>13</v>
      </c>
      <c r="AH365" s="4">
        <v>9</v>
      </c>
      <c r="AI365" s="4">
        <v>9</v>
      </c>
      <c r="AJ365" s="4">
        <v>11</v>
      </c>
      <c r="AK365" s="4">
        <v>11</v>
      </c>
      <c r="AL365" s="4">
        <v>3</v>
      </c>
      <c r="AM365" s="4">
        <v>3</v>
      </c>
      <c r="AN365" s="4">
        <v>0</v>
      </c>
      <c r="AO365" s="4">
        <v>0</v>
      </c>
      <c r="AP365" s="3" t="s">
        <v>59</v>
      </c>
      <c r="AQ365" s="3" t="s">
        <v>59</v>
      </c>
      <c r="AS365" s="6" t="str">
        <f>HYPERLINK("https://creighton-primo.hosted.exlibrisgroup.com/primo-explore/search?tab=default_tab&amp;search_scope=EVERYTHING&amp;vid=01CRU&amp;lang=en_US&amp;offset=0&amp;query=any,contains,991004949039702656","Catalog Record")</f>
        <v>Catalog Record</v>
      </c>
      <c r="AT365" s="6" t="str">
        <f>HYPERLINK("http://www.worldcat.org/oclc/6223597","WorldCat Record")</f>
        <v>WorldCat Record</v>
      </c>
      <c r="AU365" s="3" t="s">
        <v>4752</v>
      </c>
      <c r="AV365" s="3" t="s">
        <v>4753</v>
      </c>
      <c r="AW365" s="3" t="s">
        <v>4754</v>
      </c>
      <c r="AX365" s="3" t="s">
        <v>4754</v>
      </c>
      <c r="AY365" s="3" t="s">
        <v>4755</v>
      </c>
      <c r="AZ365" s="3" t="s">
        <v>76</v>
      </c>
      <c r="BB365" s="3" t="s">
        <v>4756</v>
      </c>
      <c r="BC365" s="3" t="s">
        <v>4757</v>
      </c>
      <c r="BD365" s="3" t="s">
        <v>4758</v>
      </c>
    </row>
    <row r="366" spans="1:56" ht="52.5" customHeight="1" x14ac:dyDescent="0.25">
      <c r="A366" s="7" t="s">
        <v>59</v>
      </c>
      <c r="B366" s="2" t="s">
        <v>4759</v>
      </c>
      <c r="C366" s="2" t="s">
        <v>4760</v>
      </c>
      <c r="D366" s="2" t="s">
        <v>4761</v>
      </c>
      <c r="F366" s="3" t="s">
        <v>59</v>
      </c>
      <c r="G366" s="3" t="s">
        <v>60</v>
      </c>
      <c r="H366" s="3" t="s">
        <v>59</v>
      </c>
      <c r="I366" s="3" t="s">
        <v>59</v>
      </c>
      <c r="J366" s="3" t="s">
        <v>61</v>
      </c>
      <c r="K366" s="2" t="s">
        <v>4749</v>
      </c>
      <c r="L366" s="2" t="s">
        <v>4762</v>
      </c>
      <c r="M366" s="3" t="s">
        <v>309</v>
      </c>
      <c r="O366" s="3" t="s">
        <v>65</v>
      </c>
      <c r="P366" s="3" t="s">
        <v>283</v>
      </c>
      <c r="R366" s="3" t="s">
        <v>68</v>
      </c>
      <c r="S366" s="4">
        <v>6</v>
      </c>
      <c r="T366" s="4">
        <v>6</v>
      </c>
      <c r="U366" s="5" t="s">
        <v>4763</v>
      </c>
      <c r="V366" s="5" t="s">
        <v>4763</v>
      </c>
      <c r="W366" s="5" t="s">
        <v>4567</v>
      </c>
      <c r="X366" s="5" t="s">
        <v>4567</v>
      </c>
      <c r="Y366" s="4">
        <v>1069</v>
      </c>
      <c r="Z366" s="4">
        <v>978</v>
      </c>
      <c r="AA366" s="4">
        <v>1026</v>
      </c>
      <c r="AB366" s="4">
        <v>6</v>
      </c>
      <c r="AC366" s="4">
        <v>6</v>
      </c>
      <c r="AD366" s="4">
        <v>42</v>
      </c>
      <c r="AE366" s="4">
        <v>42</v>
      </c>
      <c r="AF366" s="4">
        <v>17</v>
      </c>
      <c r="AG366" s="4">
        <v>17</v>
      </c>
      <c r="AH366" s="4">
        <v>10</v>
      </c>
      <c r="AI366" s="4">
        <v>10</v>
      </c>
      <c r="AJ366" s="4">
        <v>19</v>
      </c>
      <c r="AK366" s="4">
        <v>19</v>
      </c>
      <c r="AL366" s="4">
        <v>5</v>
      </c>
      <c r="AM366" s="4">
        <v>5</v>
      </c>
      <c r="AN366" s="4">
        <v>0</v>
      </c>
      <c r="AO366" s="4">
        <v>0</v>
      </c>
      <c r="AP366" s="3" t="s">
        <v>59</v>
      </c>
      <c r="AQ366" s="3" t="s">
        <v>71</v>
      </c>
      <c r="AR366" s="6" t="str">
        <f>HYPERLINK("http://catalog.hathitrust.org/Record/000177831","HathiTrust Record")</f>
        <v>HathiTrust Record</v>
      </c>
      <c r="AS366" s="6" t="str">
        <f>HYPERLINK("https://creighton-primo.hosted.exlibrisgroup.com/primo-explore/search?tab=default_tab&amp;search_scope=EVERYTHING&amp;vid=01CRU&amp;lang=en_US&amp;offset=0&amp;query=any,contains,991004573359702656","Catalog Record")</f>
        <v>Catalog Record</v>
      </c>
      <c r="AT366" s="6" t="str">
        <f>HYPERLINK("http://www.worldcat.org/oclc/4036773","WorldCat Record")</f>
        <v>WorldCat Record</v>
      </c>
      <c r="AU366" s="3" t="s">
        <v>4764</v>
      </c>
      <c r="AV366" s="3" t="s">
        <v>4765</v>
      </c>
      <c r="AW366" s="3" t="s">
        <v>4766</v>
      </c>
      <c r="AX366" s="3" t="s">
        <v>4766</v>
      </c>
      <c r="AY366" s="3" t="s">
        <v>4767</v>
      </c>
      <c r="AZ366" s="3" t="s">
        <v>76</v>
      </c>
      <c r="BB366" s="3" t="s">
        <v>4768</v>
      </c>
      <c r="BC366" s="3" t="s">
        <v>4769</v>
      </c>
      <c r="BD366" s="3" t="s">
        <v>4770</v>
      </c>
    </row>
    <row r="367" spans="1:56" ht="52.5" customHeight="1" x14ac:dyDescent="0.25">
      <c r="A367" s="7" t="s">
        <v>59</v>
      </c>
      <c r="B367" s="2" t="s">
        <v>4771</v>
      </c>
      <c r="C367" s="2" t="s">
        <v>4772</v>
      </c>
      <c r="D367" s="2" t="s">
        <v>4773</v>
      </c>
      <c r="F367" s="3" t="s">
        <v>59</v>
      </c>
      <c r="G367" s="3" t="s">
        <v>60</v>
      </c>
      <c r="H367" s="3" t="s">
        <v>59</v>
      </c>
      <c r="I367" s="3" t="s">
        <v>59</v>
      </c>
      <c r="J367" s="3" t="s">
        <v>61</v>
      </c>
      <c r="K367" s="2" t="s">
        <v>4749</v>
      </c>
      <c r="L367" s="2" t="s">
        <v>4774</v>
      </c>
      <c r="M367" s="3" t="s">
        <v>756</v>
      </c>
      <c r="O367" s="3" t="s">
        <v>65</v>
      </c>
      <c r="P367" s="3" t="s">
        <v>66</v>
      </c>
      <c r="R367" s="3" t="s">
        <v>68</v>
      </c>
      <c r="S367" s="4">
        <v>1</v>
      </c>
      <c r="T367" s="4">
        <v>1</v>
      </c>
      <c r="U367" s="5" t="s">
        <v>4751</v>
      </c>
      <c r="V367" s="5" t="s">
        <v>4751</v>
      </c>
      <c r="W367" s="5" t="s">
        <v>4775</v>
      </c>
      <c r="X367" s="5" t="s">
        <v>4775</v>
      </c>
      <c r="Y367" s="4">
        <v>1252</v>
      </c>
      <c r="Z367" s="4">
        <v>1124</v>
      </c>
      <c r="AA367" s="4">
        <v>1461</v>
      </c>
      <c r="AB367" s="4">
        <v>10</v>
      </c>
      <c r="AC367" s="4">
        <v>13</v>
      </c>
      <c r="AD367" s="4">
        <v>47</v>
      </c>
      <c r="AE367" s="4">
        <v>53</v>
      </c>
      <c r="AF367" s="4">
        <v>20</v>
      </c>
      <c r="AG367" s="4">
        <v>21</v>
      </c>
      <c r="AH367" s="4">
        <v>10</v>
      </c>
      <c r="AI367" s="4">
        <v>11</v>
      </c>
      <c r="AJ367" s="4">
        <v>21</v>
      </c>
      <c r="AK367" s="4">
        <v>24</v>
      </c>
      <c r="AL367" s="4">
        <v>8</v>
      </c>
      <c r="AM367" s="4">
        <v>10</v>
      </c>
      <c r="AN367" s="4">
        <v>0</v>
      </c>
      <c r="AO367" s="4">
        <v>0</v>
      </c>
      <c r="AP367" s="3" t="s">
        <v>59</v>
      </c>
      <c r="AQ367" s="3" t="s">
        <v>71</v>
      </c>
      <c r="AR367" s="6" t="str">
        <f>HYPERLINK("http://catalog.hathitrust.org/Record/000356411","HathiTrust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HYPERLINK("https://creighton-primo.hosted.exlibrisgroup.com/primo-explore/search?tab=default_tab&amp;search_scope=EVERYTHING&amp;vid=01CRU&amp;lang=en_US&amp;offset=0&amp;query=any,contains,991001206979702656","Catalog Record")</f>
        <v>Catalog Record</v>
      </c>
      <c r="AT367" s="6" t="str">
        <f>HYPERLINK("http://www.worldcat.org/oclc/192330","WorldCat Record")</f>
        <v>WorldCat Record</v>
      </c>
      <c r="AU367" s="3" t="s">
        <v>4776</v>
      </c>
      <c r="AV367" s="3" t="s">
        <v>4777</v>
      </c>
      <c r="AW367" s="3" t="s">
        <v>4778</v>
      </c>
      <c r="AX367" s="3" t="s">
        <v>4778</v>
      </c>
      <c r="AY367" s="3" t="s">
        <v>4779</v>
      </c>
      <c r="AZ367" s="3" t="s">
        <v>76</v>
      </c>
      <c r="BC367" s="3" t="s">
        <v>4780</v>
      </c>
      <c r="BD367" s="3" t="s">
        <v>4781</v>
      </c>
    </row>
    <row r="368" spans="1:56" ht="52.5" customHeight="1" x14ac:dyDescent="0.25">
      <c r="A368" s="7" t="s">
        <v>59</v>
      </c>
      <c r="B368" s="2" t="s">
        <v>4782</v>
      </c>
      <c r="C368" s="2" t="s">
        <v>4783</v>
      </c>
      <c r="D368" s="2" t="s">
        <v>4784</v>
      </c>
      <c r="F368" s="3" t="s">
        <v>59</v>
      </c>
      <c r="G368" s="3" t="s">
        <v>60</v>
      </c>
      <c r="H368" s="3" t="s">
        <v>59</v>
      </c>
      <c r="I368" s="3" t="s">
        <v>59</v>
      </c>
      <c r="J368" s="3" t="s">
        <v>61</v>
      </c>
      <c r="K368" s="2" t="s">
        <v>4785</v>
      </c>
      <c r="L368" s="2" t="s">
        <v>4786</v>
      </c>
      <c r="M368" s="3" t="s">
        <v>405</v>
      </c>
      <c r="O368" s="3" t="s">
        <v>65</v>
      </c>
      <c r="P368" s="3" t="s">
        <v>66</v>
      </c>
      <c r="R368" s="3" t="s">
        <v>68</v>
      </c>
      <c r="S368" s="4">
        <v>6</v>
      </c>
      <c r="T368" s="4">
        <v>6</v>
      </c>
      <c r="U368" s="5" t="s">
        <v>4431</v>
      </c>
      <c r="V368" s="5" t="s">
        <v>4431</v>
      </c>
      <c r="W368" s="5" t="s">
        <v>4787</v>
      </c>
      <c r="X368" s="5" t="s">
        <v>4787</v>
      </c>
      <c r="Y368" s="4">
        <v>265</v>
      </c>
      <c r="Z368" s="4">
        <v>163</v>
      </c>
      <c r="AA368" s="4">
        <v>170</v>
      </c>
      <c r="AB368" s="4">
        <v>2</v>
      </c>
      <c r="AC368" s="4">
        <v>2</v>
      </c>
      <c r="AD368" s="4">
        <v>8</v>
      </c>
      <c r="AE368" s="4">
        <v>8</v>
      </c>
      <c r="AF368" s="4">
        <v>2</v>
      </c>
      <c r="AG368" s="4">
        <v>2</v>
      </c>
      <c r="AH368" s="4">
        <v>1</v>
      </c>
      <c r="AI368" s="4">
        <v>1</v>
      </c>
      <c r="AJ368" s="4">
        <v>5</v>
      </c>
      <c r="AK368" s="4">
        <v>5</v>
      </c>
      <c r="AL368" s="4">
        <v>1</v>
      </c>
      <c r="AM368" s="4">
        <v>1</v>
      </c>
      <c r="AN368" s="4">
        <v>0</v>
      </c>
      <c r="AO368" s="4">
        <v>0</v>
      </c>
      <c r="AP368" s="3" t="s">
        <v>59</v>
      </c>
      <c r="AQ368" s="3" t="s">
        <v>71</v>
      </c>
      <c r="AR368" s="6" t="str">
        <f>HYPERLINK("http://catalog.hathitrust.org/Record/000910614","HathiTrust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HYPERLINK("https://creighton-primo.hosted.exlibrisgroup.com/primo-explore/search?tab=default_tab&amp;search_scope=EVERYTHING&amp;vid=01CRU&amp;lang=en_US&amp;offset=0&amp;query=any,contains,991000909899702656","Catalog Record")</f>
        <v>Catalog Record</v>
      </c>
      <c r="AT368" s="6" t="str">
        <f>HYPERLINK("http://www.worldcat.org/oclc/14130745","WorldCat Record")</f>
        <v>WorldCat Record</v>
      </c>
      <c r="AU368" s="3" t="s">
        <v>4788</v>
      </c>
      <c r="AV368" s="3" t="s">
        <v>4789</v>
      </c>
      <c r="AW368" s="3" t="s">
        <v>4790</v>
      </c>
      <c r="AX368" s="3" t="s">
        <v>4790</v>
      </c>
      <c r="AY368" s="3" t="s">
        <v>4791</v>
      </c>
      <c r="AZ368" s="3" t="s">
        <v>76</v>
      </c>
      <c r="BB368" s="3" t="s">
        <v>4792</v>
      </c>
      <c r="BC368" s="3" t="s">
        <v>4793</v>
      </c>
      <c r="BD368" s="3" t="s">
        <v>4794</v>
      </c>
    </row>
    <row r="369" spans="1:56" ht="52.5" customHeight="1" x14ac:dyDescent="0.25">
      <c r="A369" s="7" t="s">
        <v>59</v>
      </c>
      <c r="B369" s="2" t="s">
        <v>4795</v>
      </c>
      <c r="C369" s="2" t="s">
        <v>4796</v>
      </c>
      <c r="D369" s="2" t="s">
        <v>4797</v>
      </c>
      <c r="F369" s="3" t="s">
        <v>59</v>
      </c>
      <c r="G369" s="3" t="s">
        <v>60</v>
      </c>
      <c r="H369" s="3" t="s">
        <v>59</v>
      </c>
      <c r="I369" s="3" t="s">
        <v>59</v>
      </c>
      <c r="J369" s="3" t="s">
        <v>61</v>
      </c>
      <c r="K369" s="2" t="s">
        <v>4798</v>
      </c>
      <c r="L369" s="2" t="s">
        <v>4799</v>
      </c>
      <c r="M369" s="3" t="s">
        <v>1015</v>
      </c>
      <c r="O369" s="3" t="s">
        <v>65</v>
      </c>
      <c r="P369" s="3" t="s">
        <v>66</v>
      </c>
      <c r="Q369" s="2" t="s">
        <v>4800</v>
      </c>
      <c r="R369" s="3" t="s">
        <v>68</v>
      </c>
      <c r="S369" s="4">
        <v>3</v>
      </c>
      <c r="T369" s="4">
        <v>3</v>
      </c>
      <c r="U369" s="5" t="s">
        <v>4383</v>
      </c>
      <c r="V369" s="5" t="s">
        <v>4383</v>
      </c>
      <c r="W369" s="5" t="s">
        <v>3522</v>
      </c>
      <c r="X369" s="5" t="s">
        <v>3522</v>
      </c>
      <c r="Y369" s="4">
        <v>466</v>
      </c>
      <c r="Z369" s="4">
        <v>354</v>
      </c>
      <c r="AA369" s="4">
        <v>391</v>
      </c>
      <c r="AB369" s="4">
        <v>4</v>
      </c>
      <c r="AC369" s="4">
        <v>4</v>
      </c>
      <c r="AD369" s="4">
        <v>25</v>
      </c>
      <c r="AE369" s="4">
        <v>26</v>
      </c>
      <c r="AF369" s="4">
        <v>6</v>
      </c>
      <c r="AG369" s="4">
        <v>7</v>
      </c>
      <c r="AH369" s="4">
        <v>7</v>
      </c>
      <c r="AI369" s="4">
        <v>7</v>
      </c>
      <c r="AJ369" s="4">
        <v>14</v>
      </c>
      <c r="AK369" s="4">
        <v>14</v>
      </c>
      <c r="AL369" s="4">
        <v>3</v>
      </c>
      <c r="AM369" s="4">
        <v>3</v>
      </c>
      <c r="AN369" s="4">
        <v>0</v>
      </c>
      <c r="AO369" s="4">
        <v>0</v>
      </c>
      <c r="AP369" s="3" t="s">
        <v>59</v>
      </c>
      <c r="AQ369" s="3" t="s">
        <v>71</v>
      </c>
      <c r="AR369" s="6" t="str">
        <f>HYPERLINK("http://catalog.hathitrust.org/Record/000354631","HathiTrust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HYPERLINK("https://creighton-primo.hosted.exlibrisgroup.com/primo-explore/search?tab=default_tab&amp;search_scope=EVERYTHING&amp;vid=01CRU&amp;lang=en_US&amp;offset=0&amp;query=any,contains,991001376479702656","Catalog Record")</f>
        <v>Catalog Record</v>
      </c>
      <c r="AT369" s="6" t="str">
        <f>HYPERLINK("http://www.worldcat.org/oclc/224965","WorldCat Record")</f>
        <v>WorldCat Record</v>
      </c>
      <c r="AU369" s="3" t="s">
        <v>4801</v>
      </c>
      <c r="AV369" s="3" t="s">
        <v>4802</v>
      </c>
      <c r="AW369" s="3" t="s">
        <v>4803</v>
      </c>
      <c r="AX369" s="3" t="s">
        <v>4803</v>
      </c>
      <c r="AY369" s="3" t="s">
        <v>4804</v>
      </c>
      <c r="AZ369" s="3" t="s">
        <v>76</v>
      </c>
      <c r="BC369" s="3" t="s">
        <v>4805</v>
      </c>
      <c r="BD369" s="3" t="s">
        <v>4806</v>
      </c>
    </row>
    <row r="370" spans="1:56" ht="52.5" customHeight="1" x14ac:dyDescent="0.25">
      <c r="A370" s="7" t="s">
        <v>59</v>
      </c>
      <c r="B370" s="2" t="s">
        <v>4807</v>
      </c>
      <c r="C370" s="2" t="s">
        <v>4808</v>
      </c>
      <c r="D370" s="2" t="s">
        <v>4809</v>
      </c>
      <c r="F370" s="3" t="s">
        <v>59</v>
      </c>
      <c r="G370" s="3" t="s">
        <v>60</v>
      </c>
      <c r="H370" s="3" t="s">
        <v>59</v>
      </c>
      <c r="I370" s="3" t="s">
        <v>59</v>
      </c>
      <c r="J370" s="3" t="s">
        <v>61</v>
      </c>
      <c r="K370" s="2" t="s">
        <v>4810</v>
      </c>
      <c r="L370" s="2" t="s">
        <v>4811</v>
      </c>
      <c r="M370" s="3" t="s">
        <v>115</v>
      </c>
      <c r="O370" s="3" t="s">
        <v>65</v>
      </c>
      <c r="P370" s="3" t="s">
        <v>1262</v>
      </c>
      <c r="R370" s="3" t="s">
        <v>68</v>
      </c>
      <c r="S370" s="4">
        <v>2</v>
      </c>
      <c r="T370" s="4">
        <v>2</v>
      </c>
      <c r="U370" s="5" t="s">
        <v>421</v>
      </c>
      <c r="V370" s="5" t="s">
        <v>421</v>
      </c>
      <c r="W370" s="5" t="s">
        <v>3522</v>
      </c>
      <c r="X370" s="5" t="s">
        <v>3522</v>
      </c>
      <c r="Y370" s="4">
        <v>496</v>
      </c>
      <c r="Z370" s="4">
        <v>336</v>
      </c>
      <c r="AA370" s="4">
        <v>343</v>
      </c>
      <c r="AB370" s="4">
        <v>3</v>
      </c>
      <c r="AC370" s="4">
        <v>3</v>
      </c>
      <c r="AD370" s="4">
        <v>17</v>
      </c>
      <c r="AE370" s="4">
        <v>17</v>
      </c>
      <c r="AF370" s="4">
        <v>4</v>
      </c>
      <c r="AG370" s="4">
        <v>4</v>
      </c>
      <c r="AH370" s="4">
        <v>3</v>
      </c>
      <c r="AI370" s="4">
        <v>3</v>
      </c>
      <c r="AJ370" s="4">
        <v>12</v>
      </c>
      <c r="AK370" s="4">
        <v>12</v>
      </c>
      <c r="AL370" s="4">
        <v>2</v>
      </c>
      <c r="AM370" s="4">
        <v>2</v>
      </c>
      <c r="AN370" s="4">
        <v>0</v>
      </c>
      <c r="AO370" s="4">
        <v>0</v>
      </c>
      <c r="AP370" s="3" t="s">
        <v>59</v>
      </c>
      <c r="AQ370" s="3" t="s">
        <v>71</v>
      </c>
      <c r="AR370" s="6" t="str">
        <f>HYPERLINK("http://catalog.hathitrust.org/Record/000356423","HathiTrust Record")</f>
        <v>HathiTrust Record</v>
      </c>
      <c r="AS370" s="6" t="str">
        <f>HYPERLINK("https://creighton-primo.hosted.exlibrisgroup.com/primo-explore/search?tab=default_tab&amp;search_scope=EVERYTHING&amp;vid=01CRU&amp;lang=en_US&amp;offset=0&amp;query=any,contains,991002894389702656","Catalog Record")</f>
        <v>Catalog Record</v>
      </c>
      <c r="AT370" s="6" t="str">
        <f>HYPERLINK("http://www.worldcat.org/oclc/513265","WorldCat Record")</f>
        <v>WorldCat Record</v>
      </c>
      <c r="AU370" s="3" t="s">
        <v>4812</v>
      </c>
      <c r="AV370" s="3" t="s">
        <v>4813</v>
      </c>
      <c r="AW370" s="3" t="s">
        <v>4814</v>
      </c>
      <c r="AX370" s="3" t="s">
        <v>4814</v>
      </c>
      <c r="AY370" s="3" t="s">
        <v>4815</v>
      </c>
      <c r="AZ370" s="3" t="s">
        <v>76</v>
      </c>
      <c r="BB370" s="3" t="s">
        <v>4816</v>
      </c>
      <c r="BC370" s="3" t="s">
        <v>4817</v>
      </c>
      <c r="BD370" s="3" t="s">
        <v>4818</v>
      </c>
    </row>
    <row r="371" spans="1:56" ht="52.5" customHeight="1" x14ac:dyDescent="0.25">
      <c r="A371" s="7" t="s">
        <v>59</v>
      </c>
      <c r="B371" s="2" t="s">
        <v>4819</v>
      </c>
      <c r="C371" s="2" t="s">
        <v>4820</v>
      </c>
      <c r="D371" s="2" t="s">
        <v>4821</v>
      </c>
      <c r="F371" s="3" t="s">
        <v>59</v>
      </c>
      <c r="G371" s="3" t="s">
        <v>60</v>
      </c>
      <c r="H371" s="3" t="s">
        <v>59</v>
      </c>
      <c r="I371" s="3" t="s">
        <v>59</v>
      </c>
      <c r="J371" s="3" t="s">
        <v>61</v>
      </c>
      <c r="K371" s="2" t="s">
        <v>4822</v>
      </c>
      <c r="L371" s="2" t="s">
        <v>4823</v>
      </c>
      <c r="M371" s="3" t="s">
        <v>3780</v>
      </c>
      <c r="O371" s="3" t="s">
        <v>65</v>
      </c>
      <c r="P371" s="3" t="s">
        <v>66</v>
      </c>
      <c r="R371" s="3" t="s">
        <v>68</v>
      </c>
      <c r="S371" s="4">
        <v>3</v>
      </c>
      <c r="T371" s="4">
        <v>3</v>
      </c>
      <c r="U371" s="5" t="s">
        <v>4658</v>
      </c>
      <c r="V371" s="5" t="s">
        <v>4658</v>
      </c>
      <c r="W371" s="5" t="s">
        <v>3522</v>
      </c>
      <c r="X371" s="5" t="s">
        <v>3522</v>
      </c>
      <c r="Y371" s="4">
        <v>115</v>
      </c>
      <c r="Z371" s="4">
        <v>105</v>
      </c>
      <c r="AA371" s="4">
        <v>302</v>
      </c>
      <c r="AB371" s="4">
        <v>4</v>
      </c>
      <c r="AC371" s="4">
        <v>4</v>
      </c>
      <c r="AD371" s="4">
        <v>5</v>
      </c>
      <c r="AE371" s="4">
        <v>13</v>
      </c>
      <c r="AF371" s="4">
        <v>0</v>
      </c>
      <c r="AG371" s="4">
        <v>3</v>
      </c>
      <c r="AH371" s="4">
        <v>1</v>
      </c>
      <c r="AI371" s="4">
        <v>3</v>
      </c>
      <c r="AJ371" s="4">
        <v>2</v>
      </c>
      <c r="AK371" s="4">
        <v>8</v>
      </c>
      <c r="AL371" s="4">
        <v>3</v>
      </c>
      <c r="AM371" s="4">
        <v>3</v>
      </c>
      <c r="AN371" s="4">
        <v>0</v>
      </c>
      <c r="AO371" s="4">
        <v>0</v>
      </c>
      <c r="AP371" s="3" t="s">
        <v>59</v>
      </c>
      <c r="AQ371" s="3" t="s">
        <v>71</v>
      </c>
      <c r="AR371" s="6" t="str">
        <f>HYPERLINK("http://catalog.hathitrust.org/Record/006246745","HathiTrust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HYPERLINK("https://creighton-primo.hosted.exlibrisgroup.com/primo-explore/search?tab=default_tab&amp;search_scope=EVERYTHING&amp;vid=01CRU&amp;lang=en_US&amp;offset=0&amp;query=any,contains,991000250169702656","Catalog Record")</f>
        <v>Catalog Record</v>
      </c>
      <c r="AT371" s="6" t="str">
        <f>HYPERLINK("http://www.worldcat.org/oclc/9751695","WorldCat Record")</f>
        <v>WorldCat Record</v>
      </c>
      <c r="AU371" s="3" t="s">
        <v>4824</v>
      </c>
      <c r="AV371" s="3" t="s">
        <v>4825</v>
      </c>
      <c r="AW371" s="3" t="s">
        <v>4826</v>
      </c>
      <c r="AX371" s="3" t="s">
        <v>4826</v>
      </c>
      <c r="AY371" s="3" t="s">
        <v>4827</v>
      </c>
      <c r="AZ371" s="3" t="s">
        <v>76</v>
      </c>
      <c r="BC371" s="3" t="s">
        <v>4828</v>
      </c>
      <c r="BD371" s="3" t="s">
        <v>4829</v>
      </c>
    </row>
    <row r="372" spans="1:56" ht="52.5" customHeight="1" x14ac:dyDescent="0.25">
      <c r="A372" s="7" t="s">
        <v>59</v>
      </c>
      <c r="B372" s="2" t="s">
        <v>4830</v>
      </c>
      <c r="C372" s="2" t="s">
        <v>4831</v>
      </c>
      <c r="D372" s="2" t="s">
        <v>4832</v>
      </c>
      <c r="F372" s="3" t="s">
        <v>59</v>
      </c>
      <c r="G372" s="3" t="s">
        <v>60</v>
      </c>
      <c r="H372" s="3" t="s">
        <v>59</v>
      </c>
      <c r="I372" s="3" t="s">
        <v>59</v>
      </c>
      <c r="J372" s="3" t="s">
        <v>61</v>
      </c>
      <c r="L372" s="2" t="s">
        <v>4833</v>
      </c>
      <c r="M372" s="3" t="s">
        <v>1000</v>
      </c>
      <c r="O372" s="3" t="s">
        <v>65</v>
      </c>
      <c r="P372" s="3" t="s">
        <v>66</v>
      </c>
      <c r="Q372" s="2" t="s">
        <v>3833</v>
      </c>
      <c r="R372" s="3" t="s">
        <v>68</v>
      </c>
      <c r="S372" s="4">
        <v>1</v>
      </c>
      <c r="T372" s="4">
        <v>1</v>
      </c>
      <c r="U372" s="5" t="s">
        <v>476</v>
      </c>
      <c r="V372" s="5" t="s">
        <v>476</v>
      </c>
      <c r="W372" s="5" t="s">
        <v>4567</v>
      </c>
      <c r="X372" s="5" t="s">
        <v>4567</v>
      </c>
      <c r="Y372" s="4">
        <v>688</v>
      </c>
      <c r="Z372" s="4">
        <v>520</v>
      </c>
      <c r="AA372" s="4">
        <v>527</v>
      </c>
      <c r="AB372" s="4">
        <v>5</v>
      </c>
      <c r="AC372" s="4">
        <v>5</v>
      </c>
      <c r="AD372" s="4">
        <v>27</v>
      </c>
      <c r="AE372" s="4">
        <v>27</v>
      </c>
      <c r="AF372" s="4">
        <v>7</v>
      </c>
      <c r="AG372" s="4">
        <v>7</v>
      </c>
      <c r="AH372" s="4">
        <v>6</v>
      </c>
      <c r="AI372" s="4">
        <v>6</v>
      </c>
      <c r="AJ372" s="4">
        <v>17</v>
      </c>
      <c r="AK372" s="4">
        <v>17</v>
      </c>
      <c r="AL372" s="4">
        <v>3</v>
      </c>
      <c r="AM372" s="4">
        <v>3</v>
      </c>
      <c r="AN372" s="4">
        <v>0</v>
      </c>
      <c r="AO372" s="4">
        <v>0</v>
      </c>
      <c r="AP372" s="3" t="s">
        <v>59</v>
      </c>
      <c r="AQ372" s="3" t="s">
        <v>71</v>
      </c>
      <c r="AR372" s="6" t="str">
        <f>HYPERLINK("http://catalog.hathitrust.org/Record/000297635","HathiTrust Record")</f>
        <v>HathiTrust Record</v>
      </c>
      <c r="AS372" s="6" t="str">
        <f>HYPERLINK("https://creighton-primo.hosted.exlibrisgroup.com/primo-explore/search?tab=default_tab&amp;search_scope=EVERYTHING&amp;vid=01CRU&amp;lang=en_US&amp;offset=0&amp;query=any,contains,991004715249702656","Catalog Record")</f>
        <v>Catalog Record</v>
      </c>
      <c r="AT372" s="6" t="str">
        <f>HYPERLINK("http://www.worldcat.org/oclc/4775767","WorldCat Record")</f>
        <v>WorldCat Record</v>
      </c>
      <c r="AU372" s="3" t="s">
        <v>4834</v>
      </c>
      <c r="AV372" s="3" t="s">
        <v>4835</v>
      </c>
      <c r="AW372" s="3" t="s">
        <v>4836</v>
      </c>
      <c r="AX372" s="3" t="s">
        <v>4836</v>
      </c>
      <c r="AY372" s="3" t="s">
        <v>4837</v>
      </c>
      <c r="AZ372" s="3" t="s">
        <v>76</v>
      </c>
      <c r="BB372" s="3" t="s">
        <v>4838</v>
      </c>
      <c r="BC372" s="3" t="s">
        <v>4839</v>
      </c>
      <c r="BD372" s="3" t="s">
        <v>4840</v>
      </c>
    </row>
    <row r="373" spans="1:56" ht="52.5" customHeight="1" x14ac:dyDescent="0.25">
      <c r="A373" s="7" t="s">
        <v>59</v>
      </c>
      <c r="B373" s="2" t="s">
        <v>4841</v>
      </c>
      <c r="C373" s="2" t="s">
        <v>4842</v>
      </c>
      <c r="D373" s="2" t="s">
        <v>4843</v>
      </c>
      <c r="F373" s="3" t="s">
        <v>59</v>
      </c>
      <c r="G373" s="3" t="s">
        <v>60</v>
      </c>
      <c r="H373" s="3" t="s">
        <v>59</v>
      </c>
      <c r="I373" s="3" t="s">
        <v>59</v>
      </c>
      <c r="J373" s="3" t="s">
        <v>61</v>
      </c>
      <c r="K373" s="2" t="s">
        <v>4844</v>
      </c>
      <c r="L373" s="2" t="s">
        <v>4845</v>
      </c>
      <c r="M373" s="3" t="s">
        <v>1000</v>
      </c>
      <c r="O373" s="3" t="s">
        <v>65</v>
      </c>
      <c r="P373" s="3" t="s">
        <v>66</v>
      </c>
      <c r="R373" s="3" t="s">
        <v>68</v>
      </c>
      <c r="S373" s="4">
        <v>9</v>
      </c>
      <c r="T373" s="4">
        <v>9</v>
      </c>
      <c r="U373" s="5" t="s">
        <v>4846</v>
      </c>
      <c r="V373" s="5" t="s">
        <v>4846</v>
      </c>
      <c r="W373" s="5" t="s">
        <v>4567</v>
      </c>
      <c r="X373" s="5" t="s">
        <v>4567</v>
      </c>
      <c r="Y373" s="4">
        <v>256</v>
      </c>
      <c r="Z373" s="4">
        <v>139</v>
      </c>
      <c r="AA373" s="4">
        <v>380</v>
      </c>
      <c r="AB373" s="4">
        <v>2</v>
      </c>
      <c r="AC373" s="4">
        <v>3</v>
      </c>
      <c r="AD373" s="4">
        <v>6</v>
      </c>
      <c r="AE373" s="4">
        <v>14</v>
      </c>
      <c r="AF373" s="4">
        <v>0</v>
      </c>
      <c r="AG373" s="4">
        <v>3</v>
      </c>
      <c r="AH373" s="4">
        <v>2</v>
      </c>
      <c r="AI373" s="4">
        <v>4</v>
      </c>
      <c r="AJ373" s="4">
        <v>4</v>
      </c>
      <c r="AK373" s="4">
        <v>10</v>
      </c>
      <c r="AL373" s="4">
        <v>1</v>
      </c>
      <c r="AM373" s="4">
        <v>2</v>
      </c>
      <c r="AN373" s="4">
        <v>0</v>
      </c>
      <c r="AO373" s="4">
        <v>0</v>
      </c>
      <c r="AP373" s="3" t="s">
        <v>59</v>
      </c>
      <c r="AQ373" s="3" t="s">
        <v>71</v>
      </c>
      <c r="AR373" s="6" t="str">
        <f>HYPERLINK("http://catalog.hathitrust.org/Record/000085254","HathiTrust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HYPERLINK("https://creighton-primo.hosted.exlibrisgroup.com/primo-explore/search?tab=default_tab&amp;search_scope=EVERYTHING&amp;vid=01CRU&amp;lang=en_US&amp;offset=0&amp;query=any,contains,991004828829702656","Catalog Record")</f>
        <v>Catalog Record</v>
      </c>
      <c r="AT373" s="6" t="str">
        <f>HYPERLINK("http://www.worldcat.org/oclc/5384592","WorldCat Record")</f>
        <v>WorldCat Record</v>
      </c>
      <c r="AU373" s="3" t="s">
        <v>4847</v>
      </c>
      <c r="AV373" s="3" t="s">
        <v>4848</v>
      </c>
      <c r="AW373" s="3" t="s">
        <v>4849</v>
      </c>
      <c r="AX373" s="3" t="s">
        <v>4849</v>
      </c>
      <c r="AY373" s="3" t="s">
        <v>4850</v>
      </c>
      <c r="AZ373" s="3" t="s">
        <v>76</v>
      </c>
      <c r="BB373" s="3" t="s">
        <v>4851</v>
      </c>
      <c r="BC373" s="3" t="s">
        <v>4852</v>
      </c>
      <c r="BD373" s="3" t="s">
        <v>4853</v>
      </c>
    </row>
    <row r="374" spans="1:56" ht="52.5" customHeight="1" x14ac:dyDescent="0.25">
      <c r="A374" s="7" t="s">
        <v>59</v>
      </c>
      <c r="B374" s="2" t="s">
        <v>4854</v>
      </c>
      <c r="C374" s="2" t="s">
        <v>4855</v>
      </c>
      <c r="D374" s="2" t="s">
        <v>4856</v>
      </c>
      <c r="F374" s="3" t="s">
        <v>59</v>
      </c>
      <c r="G374" s="3" t="s">
        <v>60</v>
      </c>
      <c r="H374" s="3" t="s">
        <v>59</v>
      </c>
      <c r="I374" s="3" t="s">
        <v>59</v>
      </c>
      <c r="J374" s="3" t="s">
        <v>61</v>
      </c>
      <c r="K374" s="2" t="s">
        <v>4857</v>
      </c>
      <c r="L374" s="2" t="s">
        <v>4858</v>
      </c>
      <c r="M374" s="3" t="s">
        <v>4859</v>
      </c>
      <c r="O374" s="3" t="s">
        <v>65</v>
      </c>
      <c r="P374" s="3" t="s">
        <v>1262</v>
      </c>
      <c r="R374" s="3" t="s">
        <v>68</v>
      </c>
      <c r="S374" s="4">
        <v>1</v>
      </c>
      <c r="T374" s="4">
        <v>1</v>
      </c>
      <c r="U374" s="5" t="s">
        <v>4620</v>
      </c>
      <c r="V374" s="5" t="s">
        <v>4620</v>
      </c>
      <c r="W374" s="5" t="s">
        <v>4860</v>
      </c>
      <c r="X374" s="5" t="s">
        <v>4860</v>
      </c>
      <c r="Y374" s="4">
        <v>1093</v>
      </c>
      <c r="Z374" s="4">
        <v>907</v>
      </c>
      <c r="AA374" s="4">
        <v>1014</v>
      </c>
      <c r="AB374" s="4">
        <v>9</v>
      </c>
      <c r="AC374" s="4">
        <v>10</v>
      </c>
      <c r="AD374" s="4">
        <v>46</v>
      </c>
      <c r="AE374" s="4">
        <v>48</v>
      </c>
      <c r="AF374" s="4">
        <v>19</v>
      </c>
      <c r="AG374" s="4">
        <v>20</v>
      </c>
      <c r="AH374" s="4">
        <v>9</v>
      </c>
      <c r="AI374" s="4">
        <v>9</v>
      </c>
      <c r="AJ374" s="4">
        <v>22</v>
      </c>
      <c r="AK374" s="4">
        <v>22</v>
      </c>
      <c r="AL374" s="4">
        <v>7</v>
      </c>
      <c r="AM374" s="4">
        <v>8</v>
      </c>
      <c r="AN374" s="4">
        <v>1</v>
      </c>
      <c r="AO374" s="4">
        <v>1</v>
      </c>
      <c r="AP374" s="3" t="s">
        <v>59</v>
      </c>
      <c r="AQ374" s="3" t="s">
        <v>59</v>
      </c>
      <c r="AS374" s="6" t="str">
        <f>HYPERLINK("https://creighton-primo.hosted.exlibrisgroup.com/primo-explore/search?tab=default_tab&amp;search_scope=EVERYTHING&amp;vid=01CRU&amp;lang=en_US&amp;offset=0&amp;query=any,contains,991002767309702656","Catalog Record")</f>
        <v>Catalog Record</v>
      </c>
      <c r="AT374" s="6" t="str">
        <f>HYPERLINK("http://www.worldcat.org/oclc/36315844","WorldCat Record")</f>
        <v>WorldCat Record</v>
      </c>
      <c r="AU374" s="3" t="s">
        <v>4861</v>
      </c>
      <c r="AV374" s="3" t="s">
        <v>4862</v>
      </c>
      <c r="AW374" s="3" t="s">
        <v>4863</v>
      </c>
      <c r="AX374" s="3" t="s">
        <v>4863</v>
      </c>
      <c r="AY374" s="3" t="s">
        <v>4864</v>
      </c>
      <c r="AZ374" s="3" t="s">
        <v>76</v>
      </c>
      <c r="BB374" s="3" t="s">
        <v>4865</v>
      </c>
      <c r="BC374" s="3" t="s">
        <v>4866</v>
      </c>
      <c r="BD374" s="3" t="s">
        <v>4867</v>
      </c>
    </row>
    <row r="375" spans="1:56" ht="52.5" customHeight="1" x14ac:dyDescent="0.25">
      <c r="A375" s="7" t="s">
        <v>59</v>
      </c>
      <c r="B375" s="2" t="s">
        <v>4868</v>
      </c>
      <c r="C375" s="2" t="s">
        <v>4869</v>
      </c>
      <c r="D375" s="2" t="s">
        <v>4870</v>
      </c>
      <c r="F375" s="3" t="s">
        <v>59</v>
      </c>
      <c r="G375" s="3" t="s">
        <v>60</v>
      </c>
      <c r="H375" s="3" t="s">
        <v>59</v>
      </c>
      <c r="I375" s="3" t="s">
        <v>59</v>
      </c>
      <c r="J375" s="3" t="s">
        <v>61</v>
      </c>
      <c r="L375" s="2" t="s">
        <v>4871</v>
      </c>
      <c r="M375" s="3" t="s">
        <v>309</v>
      </c>
      <c r="O375" s="3" t="s">
        <v>65</v>
      </c>
      <c r="P375" s="3" t="s">
        <v>4872</v>
      </c>
      <c r="R375" s="3" t="s">
        <v>68</v>
      </c>
      <c r="S375" s="4">
        <v>11</v>
      </c>
      <c r="T375" s="4">
        <v>11</v>
      </c>
      <c r="U375" s="5" t="s">
        <v>3912</v>
      </c>
      <c r="V375" s="5" t="s">
        <v>3912</v>
      </c>
      <c r="W375" s="5" t="s">
        <v>3522</v>
      </c>
      <c r="X375" s="5" t="s">
        <v>3522</v>
      </c>
      <c r="Y375" s="4">
        <v>496</v>
      </c>
      <c r="Z375" s="4">
        <v>402</v>
      </c>
      <c r="AA375" s="4">
        <v>414</v>
      </c>
      <c r="AB375" s="4">
        <v>2</v>
      </c>
      <c r="AC375" s="4">
        <v>2</v>
      </c>
      <c r="AD375" s="4">
        <v>21</v>
      </c>
      <c r="AE375" s="4">
        <v>23</v>
      </c>
      <c r="AF375" s="4">
        <v>5</v>
      </c>
      <c r="AG375" s="4">
        <v>6</v>
      </c>
      <c r="AH375" s="4">
        <v>6</v>
      </c>
      <c r="AI375" s="4">
        <v>7</v>
      </c>
      <c r="AJ375" s="4">
        <v>14</v>
      </c>
      <c r="AK375" s="4">
        <v>15</v>
      </c>
      <c r="AL375" s="4">
        <v>1</v>
      </c>
      <c r="AM375" s="4">
        <v>1</v>
      </c>
      <c r="AN375" s="4">
        <v>0</v>
      </c>
      <c r="AO375" s="4">
        <v>0</v>
      </c>
      <c r="AP375" s="3" t="s">
        <v>59</v>
      </c>
      <c r="AQ375" s="3" t="s">
        <v>71</v>
      </c>
      <c r="AR375" s="6" t="str">
        <f>HYPERLINK("http://catalog.hathitrust.org/Record/000294767","HathiTrust Record")</f>
        <v>HathiTrust Record</v>
      </c>
      <c r="AS375" s="6" t="str">
        <f>HYPERLINK("https://creighton-primo.hosted.exlibrisgroup.com/primo-explore/search?tab=default_tab&amp;search_scope=EVERYTHING&amp;vid=01CRU&amp;lang=en_US&amp;offset=0&amp;query=any,contains,991004374419702656","Catalog Record")</f>
        <v>Catalog Record</v>
      </c>
      <c r="AT375" s="6" t="str">
        <f>HYPERLINK("http://www.worldcat.org/oclc/3203713","WorldCat Record")</f>
        <v>WorldCat Record</v>
      </c>
      <c r="AU375" s="3" t="s">
        <v>4873</v>
      </c>
      <c r="AV375" s="3" t="s">
        <v>4874</v>
      </c>
      <c r="AW375" s="3" t="s">
        <v>4875</v>
      </c>
      <c r="AX375" s="3" t="s">
        <v>4875</v>
      </c>
      <c r="AY375" s="3" t="s">
        <v>4876</v>
      </c>
      <c r="AZ375" s="3" t="s">
        <v>76</v>
      </c>
      <c r="BB375" s="3" t="s">
        <v>4877</v>
      </c>
      <c r="BC375" s="3" t="s">
        <v>4878</v>
      </c>
      <c r="BD375" s="3" t="s">
        <v>4879</v>
      </c>
    </row>
    <row r="376" spans="1:56" ht="52.5" customHeight="1" x14ac:dyDescent="0.25">
      <c r="A376" s="7" t="s">
        <v>59</v>
      </c>
      <c r="B376" s="2" t="s">
        <v>4880</v>
      </c>
      <c r="C376" s="2" t="s">
        <v>4881</v>
      </c>
      <c r="D376" s="2" t="s">
        <v>4882</v>
      </c>
      <c r="F376" s="3" t="s">
        <v>59</v>
      </c>
      <c r="G376" s="3" t="s">
        <v>60</v>
      </c>
      <c r="H376" s="3" t="s">
        <v>59</v>
      </c>
      <c r="I376" s="3" t="s">
        <v>59</v>
      </c>
      <c r="J376" s="3" t="s">
        <v>61</v>
      </c>
      <c r="K376" s="2" t="s">
        <v>4883</v>
      </c>
      <c r="L376" s="2" t="s">
        <v>4884</v>
      </c>
      <c r="M376" s="3" t="s">
        <v>115</v>
      </c>
      <c r="O376" s="3" t="s">
        <v>65</v>
      </c>
      <c r="P376" s="3" t="s">
        <v>66</v>
      </c>
      <c r="R376" s="3" t="s">
        <v>68</v>
      </c>
      <c r="S376" s="4">
        <v>1</v>
      </c>
      <c r="T376" s="4">
        <v>1</v>
      </c>
      <c r="U376" s="5" t="s">
        <v>3345</v>
      </c>
      <c r="V376" s="5" t="s">
        <v>3345</v>
      </c>
      <c r="W376" s="5" t="s">
        <v>3522</v>
      </c>
      <c r="X376" s="5" t="s">
        <v>3522</v>
      </c>
      <c r="Y376" s="4">
        <v>441</v>
      </c>
      <c r="Z376" s="4">
        <v>335</v>
      </c>
      <c r="AA376" s="4">
        <v>347</v>
      </c>
      <c r="AB376" s="4">
        <v>3</v>
      </c>
      <c r="AC376" s="4">
        <v>3</v>
      </c>
      <c r="AD376" s="4">
        <v>13</v>
      </c>
      <c r="AE376" s="4">
        <v>13</v>
      </c>
      <c r="AF376" s="4">
        <v>2</v>
      </c>
      <c r="AG376" s="4">
        <v>2</v>
      </c>
      <c r="AH376" s="4">
        <v>3</v>
      </c>
      <c r="AI376" s="4">
        <v>3</v>
      </c>
      <c r="AJ376" s="4">
        <v>8</v>
      </c>
      <c r="AK376" s="4">
        <v>8</v>
      </c>
      <c r="AL376" s="4">
        <v>2</v>
      </c>
      <c r="AM376" s="4">
        <v>2</v>
      </c>
      <c r="AN376" s="4">
        <v>0</v>
      </c>
      <c r="AO376" s="4">
        <v>0</v>
      </c>
      <c r="AP376" s="3" t="s">
        <v>59</v>
      </c>
      <c r="AQ376" s="3" t="s">
        <v>71</v>
      </c>
      <c r="AR376" s="6" t="str">
        <f>HYPERLINK("http://catalog.hathitrust.org/Record/000354935","HathiTrust Record")</f>
        <v>HathiTrust Record</v>
      </c>
      <c r="AS376" s="6" t="str">
        <f>HYPERLINK("https://creighton-primo.hosted.exlibrisgroup.com/primo-explore/search?tab=default_tab&amp;search_scope=EVERYTHING&amp;vid=01CRU&amp;lang=en_US&amp;offset=0&amp;query=any,contains,991002615119702656","Catalog Record")</f>
        <v>Catalog Record</v>
      </c>
      <c r="AT376" s="6" t="str">
        <f>HYPERLINK("http://www.worldcat.org/oclc/379301","WorldCat Record")</f>
        <v>WorldCat Record</v>
      </c>
      <c r="AU376" s="3" t="s">
        <v>4885</v>
      </c>
      <c r="AV376" s="3" t="s">
        <v>4886</v>
      </c>
      <c r="AW376" s="3" t="s">
        <v>4887</v>
      </c>
      <c r="AX376" s="3" t="s">
        <v>4887</v>
      </c>
      <c r="AY376" s="3" t="s">
        <v>4888</v>
      </c>
      <c r="AZ376" s="3" t="s">
        <v>76</v>
      </c>
      <c r="BB376" s="3" t="s">
        <v>4889</v>
      </c>
      <c r="BC376" s="3" t="s">
        <v>4890</v>
      </c>
      <c r="BD376" s="3" t="s">
        <v>4891</v>
      </c>
    </row>
    <row r="377" spans="1:56" ht="52.5" customHeight="1" x14ac:dyDescent="0.25">
      <c r="A377" s="7" t="s">
        <v>59</v>
      </c>
      <c r="B377" s="2" t="s">
        <v>4892</v>
      </c>
      <c r="C377" s="2" t="s">
        <v>4893</v>
      </c>
      <c r="D377" s="2" t="s">
        <v>4894</v>
      </c>
      <c r="F377" s="3" t="s">
        <v>59</v>
      </c>
      <c r="G377" s="3" t="s">
        <v>60</v>
      </c>
      <c r="H377" s="3" t="s">
        <v>59</v>
      </c>
      <c r="I377" s="3" t="s">
        <v>59</v>
      </c>
      <c r="J377" s="3" t="s">
        <v>61</v>
      </c>
      <c r="K377" s="2" t="s">
        <v>4895</v>
      </c>
      <c r="L377" s="2" t="s">
        <v>4538</v>
      </c>
      <c r="M377" s="3" t="s">
        <v>195</v>
      </c>
      <c r="O377" s="3" t="s">
        <v>65</v>
      </c>
      <c r="P377" s="3" t="s">
        <v>66</v>
      </c>
      <c r="R377" s="3" t="s">
        <v>68</v>
      </c>
      <c r="S377" s="4">
        <v>2</v>
      </c>
      <c r="T377" s="4">
        <v>2</v>
      </c>
      <c r="U377" s="5" t="s">
        <v>4658</v>
      </c>
      <c r="V377" s="5" t="s">
        <v>4658</v>
      </c>
      <c r="W377" s="5" t="s">
        <v>4567</v>
      </c>
      <c r="X377" s="5" t="s">
        <v>4567</v>
      </c>
      <c r="Y377" s="4">
        <v>418</v>
      </c>
      <c r="Z377" s="4">
        <v>382</v>
      </c>
      <c r="AA377" s="4">
        <v>391</v>
      </c>
      <c r="AB377" s="4">
        <v>2</v>
      </c>
      <c r="AC377" s="4">
        <v>2</v>
      </c>
      <c r="AD377" s="4">
        <v>9</v>
      </c>
      <c r="AE377" s="4">
        <v>9</v>
      </c>
      <c r="AF377" s="4">
        <v>3</v>
      </c>
      <c r="AG377" s="4">
        <v>3</v>
      </c>
      <c r="AH377" s="4">
        <v>2</v>
      </c>
      <c r="AI377" s="4">
        <v>2</v>
      </c>
      <c r="AJ377" s="4">
        <v>6</v>
      </c>
      <c r="AK377" s="4">
        <v>6</v>
      </c>
      <c r="AL377" s="4">
        <v>1</v>
      </c>
      <c r="AM377" s="4">
        <v>1</v>
      </c>
      <c r="AN377" s="4">
        <v>0</v>
      </c>
      <c r="AO377" s="4">
        <v>0</v>
      </c>
      <c r="AP377" s="3" t="s">
        <v>59</v>
      </c>
      <c r="AQ377" s="3" t="s">
        <v>71</v>
      </c>
      <c r="AR377" s="6" t="str">
        <f>HYPERLINK("http://catalog.hathitrust.org/Record/000145079","HathiTrust Record")</f>
        <v>HathiTrust Record</v>
      </c>
      <c r="AS377" s="6" t="str">
        <f>HYPERLINK("https://creighton-primo.hosted.exlibrisgroup.com/primo-explore/search?tab=default_tab&amp;search_scope=EVERYTHING&amp;vid=01CRU&amp;lang=en_US&amp;offset=0&amp;query=any,contains,991005188119702656","Catalog Record")</f>
        <v>Catalog Record</v>
      </c>
      <c r="AT377" s="6" t="str">
        <f>HYPERLINK("http://www.worldcat.org/oclc/7978089","WorldCat Record")</f>
        <v>WorldCat Record</v>
      </c>
      <c r="AU377" s="3" t="s">
        <v>4896</v>
      </c>
      <c r="AV377" s="3" t="s">
        <v>4897</v>
      </c>
      <c r="AW377" s="3" t="s">
        <v>4898</v>
      </c>
      <c r="AX377" s="3" t="s">
        <v>4898</v>
      </c>
      <c r="AY377" s="3" t="s">
        <v>4899</v>
      </c>
      <c r="AZ377" s="3" t="s">
        <v>76</v>
      </c>
      <c r="BB377" s="3" t="s">
        <v>4900</v>
      </c>
      <c r="BC377" s="3" t="s">
        <v>4901</v>
      </c>
      <c r="BD377" s="3" t="s">
        <v>4902</v>
      </c>
    </row>
    <row r="378" spans="1:56" ht="52.5" customHeight="1" x14ac:dyDescent="0.25">
      <c r="A378" s="7" t="s">
        <v>59</v>
      </c>
      <c r="B378" s="2" t="s">
        <v>4903</v>
      </c>
      <c r="C378" s="2" t="s">
        <v>4904</v>
      </c>
      <c r="D378" s="2" t="s">
        <v>4905</v>
      </c>
      <c r="F378" s="3" t="s">
        <v>59</v>
      </c>
      <c r="G378" s="3" t="s">
        <v>60</v>
      </c>
      <c r="H378" s="3" t="s">
        <v>59</v>
      </c>
      <c r="I378" s="3" t="s">
        <v>59</v>
      </c>
      <c r="J378" s="3" t="s">
        <v>61</v>
      </c>
      <c r="L378" s="2" t="s">
        <v>4906</v>
      </c>
      <c r="M378" s="3" t="s">
        <v>131</v>
      </c>
      <c r="O378" s="3" t="s">
        <v>65</v>
      </c>
      <c r="P378" s="3" t="s">
        <v>829</v>
      </c>
      <c r="R378" s="3" t="s">
        <v>68</v>
      </c>
      <c r="S378" s="4">
        <v>1</v>
      </c>
      <c r="T378" s="4">
        <v>1</v>
      </c>
      <c r="U378" s="5" t="s">
        <v>4907</v>
      </c>
      <c r="V378" s="5" t="s">
        <v>4907</v>
      </c>
      <c r="W378" s="5" t="s">
        <v>3522</v>
      </c>
      <c r="X378" s="5" t="s">
        <v>3522</v>
      </c>
      <c r="Y378" s="4">
        <v>519</v>
      </c>
      <c r="Z378" s="4">
        <v>385</v>
      </c>
      <c r="AA378" s="4">
        <v>391</v>
      </c>
      <c r="AB378" s="4">
        <v>2</v>
      </c>
      <c r="AC378" s="4">
        <v>2</v>
      </c>
      <c r="AD378" s="4">
        <v>17</v>
      </c>
      <c r="AE378" s="4">
        <v>17</v>
      </c>
      <c r="AF378" s="4">
        <v>4</v>
      </c>
      <c r="AG378" s="4">
        <v>4</v>
      </c>
      <c r="AH378" s="4">
        <v>7</v>
      </c>
      <c r="AI378" s="4">
        <v>7</v>
      </c>
      <c r="AJ378" s="4">
        <v>11</v>
      </c>
      <c r="AK378" s="4">
        <v>11</v>
      </c>
      <c r="AL378" s="4">
        <v>1</v>
      </c>
      <c r="AM378" s="4">
        <v>1</v>
      </c>
      <c r="AN378" s="4">
        <v>0</v>
      </c>
      <c r="AO378" s="4">
        <v>0</v>
      </c>
      <c r="AP378" s="3" t="s">
        <v>59</v>
      </c>
      <c r="AQ378" s="3" t="s">
        <v>71</v>
      </c>
      <c r="AR378" s="6" t="str">
        <f>HYPERLINK("http://catalog.hathitrust.org/Record/000355048","HathiTrust Record")</f>
        <v>HathiTrust Record</v>
      </c>
      <c r="AS378" s="6" t="str">
        <f>HYPERLINK("https://creighton-primo.hosted.exlibrisgroup.com/primo-explore/search?tab=default_tab&amp;search_scope=EVERYTHING&amp;vid=01CRU&amp;lang=en_US&amp;offset=0&amp;query=any,contains,991003305679702656","Catalog Record")</f>
        <v>Catalog Record</v>
      </c>
      <c r="AT378" s="6" t="str">
        <f>HYPERLINK("http://www.worldcat.org/oclc/828413","WorldCat Record")</f>
        <v>WorldCat Record</v>
      </c>
      <c r="AU378" s="3" t="s">
        <v>4908</v>
      </c>
      <c r="AV378" s="3" t="s">
        <v>4909</v>
      </c>
      <c r="AW378" s="3" t="s">
        <v>4910</v>
      </c>
      <c r="AX378" s="3" t="s">
        <v>4910</v>
      </c>
      <c r="AY378" s="3" t="s">
        <v>4911</v>
      </c>
      <c r="AZ378" s="3" t="s">
        <v>76</v>
      </c>
      <c r="BB378" s="3" t="s">
        <v>4912</v>
      </c>
      <c r="BC378" s="3" t="s">
        <v>4913</v>
      </c>
      <c r="BD378" s="3" t="s">
        <v>4914</v>
      </c>
    </row>
    <row r="379" spans="1:56" ht="52.5" customHeight="1" x14ac:dyDescent="0.25">
      <c r="A379" s="7" t="s">
        <v>59</v>
      </c>
      <c r="B379" s="2" t="s">
        <v>4915</v>
      </c>
      <c r="C379" s="2" t="s">
        <v>4916</v>
      </c>
      <c r="D379" s="2" t="s">
        <v>4917</v>
      </c>
      <c r="F379" s="3" t="s">
        <v>59</v>
      </c>
      <c r="G379" s="3" t="s">
        <v>60</v>
      </c>
      <c r="H379" s="3" t="s">
        <v>59</v>
      </c>
      <c r="I379" s="3" t="s">
        <v>59</v>
      </c>
      <c r="J379" s="3" t="s">
        <v>61</v>
      </c>
      <c r="K379" s="2" t="s">
        <v>4918</v>
      </c>
      <c r="L379" s="2" t="s">
        <v>4919</v>
      </c>
      <c r="M379" s="3" t="s">
        <v>2389</v>
      </c>
      <c r="O379" s="3" t="s">
        <v>65</v>
      </c>
      <c r="P379" s="3" t="s">
        <v>491</v>
      </c>
      <c r="Q379" s="2" t="s">
        <v>4920</v>
      </c>
      <c r="R379" s="3" t="s">
        <v>68</v>
      </c>
      <c r="S379" s="4">
        <v>3</v>
      </c>
      <c r="T379" s="4">
        <v>3</v>
      </c>
      <c r="U379" s="5" t="s">
        <v>4921</v>
      </c>
      <c r="V379" s="5" t="s">
        <v>4921</v>
      </c>
      <c r="W379" s="5" t="s">
        <v>3522</v>
      </c>
      <c r="X379" s="5" t="s">
        <v>3522</v>
      </c>
      <c r="Y379" s="4">
        <v>346</v>
      </c>
      <c r="Z379" s="4">
        <v>215</v>
      </c>
      <c r="AA379" s="4">
        <v>383</v>
      </c>
      <c r="AB379" s="4">
        <v>1</v>
      </c>
      <c r="AC379" s="4">
        <v>3</v>
      </c>
      <c r="AD379" s="4">
        <v>10</v>
      </c>
      <c r="AE379" s="4">
        <v>14</v>
      </c>
      <c r="AF379" s="4">
        <v>3</v>
      </c>
      <c r="AG379" s="4">
        <v>4</v>
      </c>
      <c r="AH379" s="4">
        <v>2</v>
      </c>
      <c r="AI379" s="4">
        <v>3</v>
      </c>
      <c r="AJ379" s="4">
        <v>6</v>
      </c>
      <c r="AK379" s="4">
        <v>6</v>
      </c>
      <c r="AL379" s="4">
        <v>0</v>
      </c>
      <c r="AM379" s="4">
        <v>2</v>
      </c>
      <c r="AN379" s="4">
        <v>0</v>
      </c>
      <c r="AO379" s="4">
        <v>0</v>
      </c>
      <c r="AP379" s="3" t="s">
        <v>59</v>
      </c>
      <c r="AQ379" s="3" t="s">
        <v>71</v>
      </c>
      <c r="AR379" s="6" t="str">
        <f>HYPERLINK("http://catalog.hathitrust.org/Record/000354518","HathiTrust Record")</f>
        <v>HathiTrust Record</v>
      </c>
      <c r="AS379" s="6" t="str">
        <f>HYPERLINK("https://creighton-primo.hosted.exlibrisgroup.com/primo-explore/search?tab=default_tab&amp;search_scope=EVERYTHING&amp;vid=01CRU&amp;lang=en_US&amp;offset=0&amp;query=any,contains,991005254789702656","Catalog Record")</f>
        <v>Catalog Record</v>
      </c>
      <c r="AT379" s="6" t="str">
        <f>HYPERLINK("http://www.worldcat.org/oclc/1063543","WorldCat Record")</f>
        <v>WorldCat Record</v>
      </c>
      <c r="AU379" s="3" t="s">
        <v>4922</v>
      </c>
      <c r="AV379" s="3" t="s">
        <v>4923</v>
      </c>
      <c r="AW379" s="3" t="s">
        <v>4924</v>
      </c>
      <c r="AX379" s="3" t="s">
        <v>4924</v>
      </c>
      <c r="AY379" s="3" t="s">
        <v>4925</v>
      </c>
      <c r="AZ379" s="3" t="s">
        <v>76</v>
      </c>
      <c r="BC379" s="3" t="s">
        <v>4926</v>
      </c>
      <c r="BD379" s="3" t="s">
        <v>4927</v>
      </c>
    </row>
    <row r="380" spans="1:56" ht="52.5" customHeight="1" x14ac:dyDescent="0.25">
      <c r="A380" s="7" t="s">
        <v>59</v>
      </c>
      <c r="B380" s="2" t="s">
        <v>4928</v>
      </c>
      <c r="C380" s="2" t="s">
        <v>4929</v>
      </c>
      <c r="D380" s="2" t="s">
        <v>4930</v>
      </c>
      <c r="F380" s="3" t="s">
        <v>59</v>
      </c>
      <c r="G380" s="3" t="s">
        <v>60</v>
      </c>
      <c r="H380" s="3" t="s">
        <v>59</v>
      </c>
      <c r="I380" s="3" t="s">
        <v>59</v>
      </c>
      <c r="J380" s="3" t="s">
        <v>61</v>
      </c>
      <c r="K380" s="2" t="s">
        <v>4931</v>
      </c>
      <c r="L380" s="2" t="s">
        <v>4932</v>
      </c>
      <c r="M380" s="3" t="s">
        <v>1467</v>
      </c>
      <c r="O380" s="3" t="s">
        <v>65</v>
      </c>
      <c r="P380" s="3" t="s">
        <v>829</v>
      </c>
      <c r="Q380" s="2" t="s">
        <v>4933</v>
      </c>
      <c r="R380" s="3" t="s">
        <v>68</v>
      </c>
      <c r="S380" s="4">
        <v>3</v>
      </c>
      <c r="T380" s="4">
        <v>3</v>
      </c>
      <c r="U380" s="5" t="s">
        <v>421</v>
      </c>
      <c r="V380" s="5" t="s">
        <v>421</v>
      </c>
      <c r="W380" s="5" t="s">
        <v>3522</v>
      </c>
      <c r="X380" s="5" t="s">
        <v>3522</v>
      </c>
      <c r="Y380" s="4">
        <v>39</v>
      </c>
      <c r="Z380" s="4">
        <v>28</v>
      </c>
      <c r="AA380" s="4">
        <v>475</v>
      </c>
      <c r="AB380" s="4">
        <v>1</v>
      </c>
      <c r="AC380" s="4">
        <v>2</v>
      </c>
      <c r="AD380" s="4">
        <v>0</v>
      </c>
      <c r="AE380" s="4">
        <v>22</v>
      </c>
      <c r="AF380" s="4">
        <v>0</v>
      </c>
      <c r="AG380" s="4">
        <v>9</v>
      </c>
      <c r="AH380" s="4">
        <v>0</v>
      </c>
      <c r="AI380" s="4">
        <v>6</v>
      </c>
      <c r="AJ380" s="4">
        <v>0</v>
      </c>
      <c r="AK380" s="4">
        <v>12</v>
      </c>
      <c r="AL380" s="4">
        <v>0</v>
      </c>
      <c r="AM380" s="4">
        <v>1</v>
      </c>
      <c r="AN380" s="4">
        <v>0</v>
      </c>
      <c r="AO380" s="4">
        <v>0</v>
      </c>
      <c r="AP380" s="3" t="s">
        <v>59</v>
      </c>
      <c r="AQ380" s="3" t="s">
        <v>59</v>
      </c>
      <c r="AS380" s="6" t="str">
        <f>HYPERLINK("https://creighton-primo.hosted.exlibrisgroup.com/primo-explore/search?tab=default_tab&amp;search_scope=EVERYTHING&amp;vid=01CRU&amp;lang=en_US&amp;offset=0&amp;query=any,contains,991005188589702656","Catalog Record")</f>
        <v>Catalog Record</v>
      </c>
      <c r="AT380" s="6" t="str">
        <f>HYPERLINK("http://www.worldcat.org/oclc/7981518","WorldCat Record")</f>
        <v>WorldCat Record</v>
      </c>
      <c r="AU380" s="3" t="s">
        <v>4934</v>
      </c>
      <c r="AV380" s="3" t="s">
        <v>4935</v>
      </c>
      <c r="AW380" s="3" t="s">
        <v>4936</v>
      </c>
      <c r="AX380" s="3" t="s">
        <v>4936</v>
      </c>
      <c r="AY380" s="3" t="s">
        <v>4937</v>
      </c>
      <c r="AZ380" s="3" t="s">
        <v>76</v>
      </c>
      <c r="BC380" s="3" t="s">
        <v>4938</v>
      </c>
      <c r="BD380" s="3" t="s">
        <v>4939</v>
      </c>
    </row>
    <row r="381" spans="1:56" ht="52.5" customHeight="1" x14ac:dyDescent="0.25">
      <c r="A381" s="7" t="s">
        <v>59</v>
      </c>
      <c r="B381" s="2" t="s">
        <v>4940</v>
      </c>
      <c r="C381" s="2" t="s">
        <v>4941</v>
      </c>
      <c r="D381" s="2" t="s">
        <v>4942</v>
      </c>
      <c r="F381" s="3" t="s">
        <v>59</v>
      </c>
      <c r="G381" s="3" t="s">
        <v>60</v>
      </c>
      <c r="H381" s="3" t="s">
        <v>59</v>
      </c>
      <c r="I381" s="3" t="s">
        <v>59</v>
      </c>
      <c r="J381" s="3" t="s">
        <v>61</v>
      </c>
      <c r="K381" s="2" t="s">
        <v>4943</v>
      </c>
      <c r="L381" s="2" t="s">
        <v>4944</v>
      </c>
      <c r="M381" s="3" t="s">
        <v>1015</v>
      </c>
      <c r="O381" s="3" t="s">
        <v>65</v>
      </c>
      <c r="P381" s="3" t="s">
        <v>66</v>
      </c>
      <c r="R381" s="3" t="s">
        <v>68</v>
      </c>
      <c r="S381" s="4">
        <v>3</v>
      </c>
      <c r="T381" s="4">
        <v>3</v>
      </c>
      <c r="U381" s="5" t="s">
        <v>4945</v>
      </c>
      <c r="V381" s="5" t="s">
        <v>4945</v>
      </c>
      <c r="W381" s="5" t="s">
        <v>1110</v>
      </c>
      <c r="X381" s="5" t="s">
        <v>1110</v>
      </c>
      <c r="Y381" s="4">
        <v>489</v>
      </c>
      <c r="Z381" s="4">
        <v>380</v>
      </c>
      <c r="AA381" s="4">
        <v>387</v>
      </c>
      <c r="AB381" s="4">
        <v>3</v>
      </c>
      <c r="AC381" s="4">
        <v>3</v>
      </c>
      <c r="AD381" s="4">
        <v>17</v>
      </c>
      <c r="AE381" s="4">
        <v>17</v>
      </c>
      <c r="AF381" s="4">
        <v>6</v>
      </c>
      <c r="AG381" s="4">
        <v>6</v>
      </c>
      <c r="AH381" s="4">
        <v>6</v>
      </c>
      <c r="AI381" s="4">
        <v>6</v>
      </c>
      <c r="AJ381" s="4">
        <v>8</v>
      </c>
      <c r="AK381" s="4">
        <v>8</v>
      </c>
      <c r="AL381" s="4">
        <v>2</v>
      </c>
      <c r="AM381" s="4">
        <v>2</v>
      </c>
      <c r="AN381" s="4">
        <v>0</v>
      </c>
      <c r="AO381" s="4">
        <v>0</v>
      </c>
      <c r="AP381" s="3" t="s">
        <v>59</v>
      </c>
      <c r="AQ381" s="3" t="s">
        <v>71</v>
      </c>
      <c r="AR381" s="6" t="str">
        <f>HYPERLINK("http://catalog.hathitrust.org/Record/000006072","HathiTrust Record")</f>
        <v>HathiTrust Record</v>
      </c>
      <c r="AS381" s="6" t="str">
        <f>HYPERLINK("https://creighton-primo.hosted.exlibrisgroup.com/primo-explore/search?tab=default_tab&amp;search_scope=EVERYTHING&amp;vid=01CRU&amp;lang=en_US&amp;offset=0&amp;query=any,contains,991002778429702656","Catalog Record")</f>
        <v>Catalog Record</v>
      </c>
      <c r="AT381" s="6" t="str">
        <f>HYPERLINK("http://www.worldcat.org/oclc/439455","WorldCat Record")</f>
        <v>WorldCat Record</v>
      </c>
      <c r="AU381" s="3" t="s">
        <v>4946</v>
      </c>
      <c r="AV381" s="3" t="s">
        <v>4947</v>
      </c>
      <c r="AW381" s="3" t="s">
        <v>4948</v>
      </c>
      <c r="AX381" s="3" t="s">
        <v>4948</v>
      </c>
      <c r="AY381" s="3" t="s">
        <v>4949</v>
      </c>
      <c r="AZ381" s="3" t="s">
        <v>76</v>
      </c>
      <c r="BC381" s="3" t="s">
        <v>4950</v>
      </c>
      <c r="BD381" s="3" t="s">
        <v>4951</v>
      </c>
    </row>
    <row r="382" spans="1:56" ht="52.5" customHeight="1" x14ac:dyDescent="0.25">
      <c r="A382" s="7" t="s">
        <v>59</v>
      </c>
      <c r="B382" s="2" t="s">
        <v>4952</v>
      </c>
      <c r="C382" s="2" t="s">
        <v>4953</v>
      </c>
      <c r="D382" s="2" t="s">
        <v>4954</v>
      </c>
      <c r="F382" s="3" t="s">
        <v>59</v>
      </c>
      <c r="G382" s="3" t="s">
        <v>60</v>
      </c>
      <c r="H382" s="3" t="s">
        <v>59</v>
      </c>
      <c r="I382" s="3" t="s">
        <v>59</v>
      </c>
      <c r="J382" s="3" t="s">
        <v>61</v>
      </c>
      <c r="K382" s="2" t="s">
        <v>4955</v>
      </c>
      <c r="L382" s="2" t="s">
        <v>4956</v>
      </c>
      <c r="M382" s="3" t="s">
        <v>164</v>
      </c>
      <c r="O382" s="3" t="s">
        <v>65</v>
      </c>
      <c r="P382" s="3" t="s">
        <v>66</v>
      </c>
      <c r="Q382" s="2" t="s">
        <v>4957</v>
      </c>
      <c r="R382" s="3" t="s">
        <v>68</v>
      </c>
      <c r="S382" s="4">
        <v>5</v>
      </c>
      <c r="T382" s="4">
        <v>5</v>
      </c>
      <c r="U382" s="5" t="s">
        <v>4958</v>
      </c>
      <c r="V382" s="5" t="s">
        <v>4958</v>
      </c>
      <c r="W382" s="5" t="s">
        <v>2176</v>
      </c>
      <c r="X382" s="5" t="s">
        <v>2176</v>
      </c>
      <c r="Y382" s="4">
        <v>1149</v>
      </c>
      <c r="Z382" s="4">
        <v>1075</v>
      </c>
      <c r="AA382" s="4">
        <v>1158</v>
      </c>
      <c r="AB382" s="4">
        <v>5</v>
      </c>
      <c r="AC382" s="4">
        <v>6</v>
      </c>
      <c r="AD382" s="4">
        <v>38</v>
      </c>
      <c r="AE382" s="4">
        <v>40</v>
      </c>
      <c r="AF382" s="4">
        <v>15</v>
      </c>
      <c r="AG382" s="4">
        <v>16</v>
      </c>
      <c r="AH382" s="4">
        <v>9</v>
      </c>
      <c r="AI382" s="4">
        <v>9</v>
      </c>
      <c r="AJ382" s="4">
        <v>19</v>
      </c>
      <c r="AK382" s="4">
        <v>19</v>
      </c>
      <c r="AL382" s="4">
        <v>4</v>
      </c>
      <c r="AM382" s="4">
        <v>5</v>
      </c>
      <c r="AN382" s="4">
        <v>0</v>
      </c>
      <c r="AO382" s="4">
        <v>0</v>
      </c>
      <c r="AP382" s="3" t="s">
        <v>59</v>
      </c>
      <c r="AQ382" s="3" t="s">
        <v>71</v>
      </c>
      <c r="AR382" s="6" t="str">
        <f>HYPERLINK("http://catalog.hathitrust.org/Record/000686008","HathiTrust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HYPERLINK("https://creighton-primo.hosted.exlibrisgroup.com/primo-explore/search?tab=default_tab&amp;search_scope=EVERYTHING&amp;vid=01CRU&amp;lang=en_US&amp;offset=0&amp;query=any,contains,991004861669702656","Catalog Record")</f>
        <v>Catalog Record</v>
      </c>
      <c r="AT382" s="6" t="str">
        <f>HYPERLINK("http://www.worldcat.org/oclc/5706751","WorldCat Record")</f>
        <v>WorldCat Record</v>
      </c>
      <c r="AU382" s="3" t="s">
        <v>4959</v>
      </c>
      <c r="AV382" s="3" t="s">
        <v>4960</v>
      </c>
      <c r="AW382" s="3" t="s">
        <v>4961</v>
      </c>
      <c r="AX382" s="3" t="s">
        <v>4961</v>
      </c>
      <c r="AY382" s="3" t="s">
        <v>4962</v>
      </c>
      <c r="AZ382" s="3" t="s">
        <v>76</v>
      </c>
      <c r="BB382" s="3" t="s">
        <v>4963</v>
      </c>
      <c r="BC382" s="3" t="s">
        <v>4964</v>
      </c>
      <c r="BD382" s="3" t="s">
        <v>4965</v>
      </c>
    </row>
    <row r="383" spans="1:56" ht="52.5" customHeight="1" x14ac:dyDescent="0.25">
      <c r="A383" s="7" t="s">
        <v>59</v>
      </c>
      <c r="B383" s="2" t="s">
        <v>4966</v>
      </c>
      <c r="C383" s="2" t="s">
        <v>4967</v>
      </c>
      <c r="D383" s="2" t="s">
        <v>4968</v>
      </c>
      <c r="E383" s="3" t="s">
        <v>781</v>
      </c>
      <c r="F383" s="3" t="s">
        <v>71</v>
      </c>
      <c r="G383" s="3" t="s">
        <v>60</v>
      </c>
      <c r="H383" s="3" t="s">
        <v>59</v>
      </c>
      <c r="I383" s="3" t="s">
        <v>59</v>
      </c>
      <c r="J383" s="3" t="s">
        <v>61</v>
      </c>
      <c r="K383" s="2" t="s">
        <v>4969</v>
      </c>
      <c r="L383" s="2" t="s">
        <v>4970</v>
      </c>
      <c r="M383" s="3" t="s">
        <v>684</v>
      </c>
      <c r="O383" s="3" t="s">
        <v>65</v>
      </c>
      <c r="P383" s="3" t="s">
        <v>1262</v>
      </c>
      <c r="R383" s="3" t="s">
        <v>68</v>
      </c>
      <c r="S383" s="4">
        <v>2</v>
      </c>
      <c r="T383" s="4">
        <v>6</v>
      </c>
      <c r="V383" s="5" t="s">
        <v>4658</v>
      </c>
      <c r="W383" s="5" t="s">
        <v>4567</v>
      </c>
      <c r="X383" s="5" t="s">
        <v>4567</v>
      </c>
      <c r="Y383" s="4">
        <v>380</v>
      </c>
      <c r="Z383" s="4">
        <v>263</v>
      </c>
      <c r="AA383" s="4">
        <v>266</v>
      </c>
      <c r="AB383" s="4">
        <v>3</v>
      </c>
      <c r="AC383" s="4">
        <v>3</v>
      </c>
      <c r="AD383" s="4">
        <v>13</v>
      </c>
      <c r="AE383" s="4">
        <v>13</v>
      </c>
      <c r="AF383" s="4">
        <v>4</v>
      </c>
      <c r="AG383" s="4">
        <v>4</v>
      </c>
      <c r="AH383" s="4">
        <v>5</v>
      </c>
      <c r="AI383" s="4">
        <v>5</v>
      </c>
      <c r="AJ383" s="4">
        <v>6</v>
      </c>
      <c r="AK383" s="4">
        <v>6</v>
      </c>
      <c r="AL383" s="4">
        <v>2</v>
      </c>
      <c r="AM383" s="4">
        <v>2</v>
      </c>
      <c r="AN383" s="4">
        <v>0</v>
      </c>
      <c r="AO383" s="4">
        <v>0</v>
      </c>
      <c r="AP383" s="3" t="s">
        <v>59</v>
      </c>
      <c r="AQ383" s="3" t="s">
        <v>71</v>
      </c>
      <c r="AR383" s="6" t="str">
        <f>HYPERLINK("http://catalog.hathitrust.org/Record/000226187","HathiTrust Record")</f>
        <v>HathiTrust Record</v>
      </c>
      <c r="AS383" s="6" t="str">
        <f>HYPERLINK("https://creighton-primo.hosted.exlibrisgroup.com/primo-explore/search?tab=default_tab&amp;search_scope=EVERYTHING&amp;vid=01CRU&amp;lang=en_US&amp;offset=0&amp;query=any,contains,991005087149702656","Catalog Record")</f>
        <v>Catalog Record</v>
      </c>
      <c r="AT383" s="6" t="str">
        <f>HYPERLINK("http://www.worldcat.org/oclc/7197234","WorldCat Record")</f>
        <v>WorldCat Record</v>
      </c>
      <c r="AU383" s="3" t="s">
        <v>4971</v>
      </c>
      <c r="AV383" s="3" t="s">
        <v>4972</v>
      </c>
      <c r="AW383" s="3" t="s">
        <v>4973</v>
      </c>
      <c r="AX383" s="3" t="s">
        <v>4973</v>
      </c>
      <c r="AY383" s="3" t="s">
        <v>4974</v>
      </c>
      <c r="AZ383" s="3" t="s">
        <v>76</v>
      </c>
      <c r="BB383" s="3" t="s">
        <v>4975</v>
      </c>
      <c r="BC383" s="3" t="s">
        <v>4976</v>
      </c>
      <c r="BD383" s="3" t="s">
        <v>4977</v>
      </c>
    </row>
    <row r="384" spans="1:56" ht="52.5" customHeight="1" x14ac:dyDescent="0.25">
      <c r="A384" s="7" t="s">
        <v>59</v>
      </c>
      <c r="B384" s="2" t="s">
        <v>4966</v>
      </c>
      <c r="C384" s="2" t="s">
        <v>4967</v>
      </c>
      <c r="D384" s="2" t="s">
        <v>4968</v>
      </c>
      <c r="E384" s="3" t="s">
        <v>768</v>
      </c>
      <c r="F384" s="3" t="s">
        <v>71</v>
      </c>
      <c r="G384" s="3" t="s">
        <v>60</v>
      </c>
      <c r="H384" s="3" t="s">
        <v>59</v>
      </c>
      <c r="I384" s="3" t="s">
        <v>59</v>
      </c>
      <c r="J384" s="3" t="s">
        <v>61</v>
      </c>
      <c r="K384" s="2" t="s">
        <v>4969</v>
      </c>
      <c r="L384" s="2" t="s">
        <v>4970</v>
      </c>
      <c r="M384" s="3" t="s">
        <v>684</v>
      </c>
      <c r="O384" s="3" t="s">
        <v>65</v>
      </c>
      <c r="P384" s="3" t="s">
        <v>1262</v>
      </c>
      <c r="R384" s="3" t="s">
        <v>68</v>
      </c>
      <c r="S384" s="4">
        <v>4</v>
      </c>
      <c r="T384" s="4">
        <v>6</v>
      </c>
      <c r="U384" s="5" t="s">
        <v>4658</v>
      </c>
      <c r="V384" s="5" t="s">
        <v>4658</v>
      </c>
      <c r="W384" s="5" t="s">
        <v>4567</v>
      </c>
      <c r="X384" s="5" t="s">
        <v>4567</v>
      </c>
      <c r="Y384" s="4">
        <v>380</v>
      </c>
      <c r="Z384" s="4">
        <v>263</v>
      </c>
      <c r="AA384" s="4">
        <v>266</v>
      </c>
      <c r="AB384" s="4">
        <v>3</v>
      </c>
      <c r="AC384" s="4">
        <v>3</v>
      </c>
      <c r="AD384" s="4">
        <v>13</v>
      </c>
      <c r="AE384" s="4">
        <v>13</v>
      </c>
      <c r="AF384" s="4">
        <v>4</v>
      </c>
      <c r="AG384" s="4">
        <v>4</v>
      </c>
      <c r="AH384" s="4">
        <v>5</v>
      </c>
      <c r="AI384" s="4">
        <v>5</v>
      </c>
      <c r="AJ384" s="4">
        <v>6</v>
      </c>
      <c r="AK384" s="4">
        <v>6</v>
      </c>
      <c r="AL384" s="4">
        <v>2</v>
      </c>
      <c r="AM384" s="4">
        <v>2</v>
      </c>
      <c r="AN384" s="4">
        <v>0</v>
      </c>
      <c r="AO384" s="4">
        <v>0</v>
      </c>
      <c r="AP384" s="3" t="s">
        <v>59</v>
      </c>
      <c r="AQ384" s="3" t="s">
        <v>71</v>
      </c>
      <c r="AR384" s="6" t="str">
        <f>HYPERLINK("http://catalog.hathitrust.org/Record/000226187","HathiTrust Record")</f>
        <v>HathiTrust Record</v>
      </c>
      <c r="AS384" s="6" t="str">
        <f>HYPERLINK("https://creighton-primo.hosted.exlibrisgroup.com/primo-explore/search?tab=default_tab&amp;search_scope=EVERYTHING&amp;vid=01CRU&amp;lang=en_US&amp;offset=0&amp;query=any,contains,991005087149702656","Catalog Record")</f>
        <v>Catalog Record</v>
      </c>
      <c r="AT384" s="6" t="str">
        <f>HYPERLINK("http://www.worldcat.org/oclc/7197234","WorldCat Record")</f>
        <v>WorldCat Record</v>
      </c>
      <c r="AU384" s="3" t="s">
        <v>4971</v>
      </c>
      <c r="AV384" s="3" t="s">
        <v>4972</v>
      </c>
      <c r="AW384" s="3" t="s">
        <v>4973</v>
      </c>
      <c r="AX384" s="3" t="s">
        <v>4973</v>
      </c>
      <c r="AY384" s="3" t="s">
        <v>4974</v>
      </c>
      <c r="AZ384" s="3" t="s">
        <v>76</v>
      </c>
      <c r="BB384" s="3" t="s">
        <v>4975</v>
      </c>
      <c r="BC384" s="3" t="s">
        <v>4978</v>
      </c>
      <c r="BD384" s="3" t="s">
        <v>4979</v>
      </c>
    </row>
    <row r="385" spans="1:56" ht="52.5" customHeight="1" x14ac:dyDescent="0.25">
      <c r="A385" s="7" t="s">
        <v>59</v>
      </c>
      <c r="B385" s="2" t="s">
        <v>4980</v>
      </c>
      <c r="C385" s="2" t="s">
        <v>4981</v>
      </c>
      <c r="D385" s="2" t="s">
        <v>4982</v>
      </c>
      <c r="F385" s="3" t="s">
        <v>59</v>
      </c>
      <c r="G385" s="3" t="s">
        <v>60</v>
      </c>
      <c r="H385" s="3" t="s">
        <v>59</v>
      </c>
      <c r="I385" s="3" t="s">
        <v>59</v>
      </c>
      <c r="J385" s="3" t="s">
        <v>61</v>
      </c>
      <c r="K385" s="2" t="s">
        <v>4983</v>
      </c>
      <c r="L385" s="2" t="s">
        <v>4984</v>
      </c>
      <c r="M385" s="3" t="s">
        <v>1217</v>
      </c>
      <c r="O385" s="3" t="s">
        <v>65</v>
      </c>
      <c r="P385" s="3" t="s">
        <v>296</v>
      </c>
      <c r="Q385" s="2" t="s">
        <v>4985</v>
      </c>
      <c r="R385" s="3" t="s">
        <v>68</v>
      </c>
      <c r="S385" s="4">
        <v>5</v>
      </c>
      <c r="T385" s="4">
        <v>5</v>
      </c>
      <c r="U385" s="5" t="s">
        <v>4986</v>
      </c>
      <c r="V385" s="5" t="s">
        <v>4986</v>
      </c>
      <c r="W385" s="5" t="s">
        <v>4987</v>
      </c>
      <c r="X385" s="5" t="s">
        <v>4987</v>
      </c>
      <c r="Y385" s="4">
        <v>249</v>
      </c>
      <c r="Z385" s="4">
        <v>214</v>
      </c>
      <c r="AA385" s="4">
        <v>230</v>
      </c>
      <c r="AB385" s="4">
        <v>2</v>
      </c>
      <c r="AC385" s="4">
        <v>3</v>
      </c>
      <c r="AD385" s="4">
        <v>14</v>
      </c>
      <c r="AE385" s="4">
        <v>15</v>
      </c>
      <c r="AF385" s="4">
        <v>5</v>
      </c>
      <c r="AG385" s="4">
        <v>5</v>
      </c>
      <c r="AH385" s="4">
        <v>4</v>
      </c>
      <c r="AI385" s="4">
        <v>4</v>
      </c>
      <c r="AJ385" s="4">
        <v>10</v>
      </c>
      <c r="AK385" s="4">
        <v>10</v>
      </c>
      <c r="AL385" s="4">
        <v>1</v>
      </c>
      <c r="AM385" s="4">
        <v>2</v>
      </c>
      <c r="AN385" s="4">
        <v>0</v>
      </c>
      <c r="AO385" s="4">
        <v>0</v>
      </c>
      <c r="AP385" s="3" t="s">
        <v>59</v>
      </c>
      <c r="AQ385" s="3" t="s">
        <v>71</v>
      </c>
      <c r="AR385" s="6" t="str">
        <f>HYPERLINK("http://catalog.hathitrust.org/Record/000461564","HathiTrust Record")</f>
        <v>HathiTrust Record</v>
      </c>
      <c r="AS385" s="6" t="str">
        <f>HYPERLINK("https://creighton-primo.hosted.exlibrisgroup.com/primo-explore/search?tab=default_tab&amp;search_scope=EVERYTHING&amp;vid=01CRU&amp;lang=en_US&amp;offset=0&amp;query=any,contains,991000445569702656","Catalog Record")</f>
        <v>Catalog Record</v>
      </c>
      <c r="AT385" s="6" t="str">
        <f>HYPERLINK("http://www.worldcat.org/oclc/10850386","WorldCat Record")</f>
        <v>WorldCat Record</v>
      </c>
      <c r="AU385" s="3" t="s">
        <v>4988</v>
      </c>
      <c r="AV385" s="3" t="s">
        <v>4989</v>
      </c>
      <c r="AW385" s="3" t="s">
        <v>4990</v>
      </c>
      <c r="AX385" s="3" t="s">
        <v>4990</v>
      </c>
      <c r="AY385" s="3" t="s">
        <v>4991</v>
      </c>
      <c r="AZ385" s="3" t="s">
        <v>76</v>
      </c>
      <c r="BB385" s="3" t="s">
        <v>4992</v>
      </c>
      <c r="BC385" s="3" t="s">
        <v>4993</v>
      </c>
      <c r="BD385" s="3" t="s">
        <v>4994</v>
      </c>
    </row>
    <row r="386" spans="1:56" ht="52.5" customHeight="1" x14ac:dyDescent="0.25">
      <c r="A386" s="7" t="s">
        <v>59</v>
      </c>
      <c r="B386" s="2" t="s">
        <v>4995</v>
      </c>
      <c r="C386" s="2" t="s">
        <v>4996</v>
      </c>
      <c r="D386" s="2" t="s">
        <v>4997</v>
      </c>
      <c r="F386" s="3" t="s">
        <v>59</v>
      </c>
      <c r="G386" s="3" t="s">
        <v>60</v>
      </c>
      <c r="H386" s="3" t="s">
        <v>59</v>
      </c>
      <c r="I386" s="3" t="s">
        <v>59</v>
      </c>
      <c r="J386" s="3" t="s">
        <v>61</v>
      </c>
      <c r="K386" s="2" t="s">
        <v>4998</v>
      </c>
      <c r="L386" s="2" t="s">
        <v>4999</v>
      </c>
      <c r="M386" s="3" t="s">
        <v>1217</v>
      </c>
      <c r="O386" s="3" t="s">
        <v>65</v>
      </c>
      <c r="P386" s="3" t="s">
        <v>5000</v>
      </c>
      <c r="R386" s="3" t="s">
        <v>68</v>
      </c>
      <c r="S386" s="4">
        <v>4</v>
      </c>
      <c r="T386" s="4">
        <v>4</v>
      </c>
      <c r="U386" s="5" t="s">
        <v>5001</v>
      </c>
      <c r="V386" s="5" t="s">
        <v>5001</v>
      </c>
      <c r="W386" s="5" t="s">
        <v>4567</v>
      </c>
      <c r="X386" s="5" t="s">
        <v>4567</v>
      </c>
      <c r="Y386" s="4">
        <v>247</v>
      </c>
      <c r="Z386" s="4">
        <v>215</v>
      </c>
      <c r="AA386" s="4">
        <v>220</v>
      </c>
      <c r="AB386" s="4">
        <v>2</v>
      </c>
      <c r="AC386" s="4">
        <v>2</v>
      </c>
      <c r="AD386" s="4">
        <v>16</v>
      </c>
      <c r="AE386" s="4">
        <v>16</v>
      </c>
      <c r="AF386" s="4">
        <v>8</v>
      </c>
      <c r="AG386" s="4">
        <v>8</v>
      </c>
      <c r="AH386" s="4">
        <v>2</v>
      </c>
      <c r="AI386" s="4">
        <v>2</v>
      </c>
      <c r="AJ386" s="4">
        <v>11</v>
      </c>
      <c r="AK386" s="4">
        <v>11</v>
      </c>
      <c r="AL386" s="4">
        <v>0</v>
      </c>
      <c r="AM386" s="4">
        <v>0</v>
      </c>
      <c r="AN386" s="4">
        <v>0</v>
      </c>
      <c r="AO386" s="4">
        <v>0</v>
      </c>
      <c r="AP386" s="3" t="s">
        <v>59</v>
      </c>
      <c r="AQ386" s="3" t="s">
        <v>59</v>
      </c>
      <c r="AS386" s="6" t="str">
        <f>HYPERLINK("https://creighton-primo.hosted.exlibrisgroup.com/primo-explore/search?tab=default_tab&amp;search_scope=EVERYTHING&amp;vid=01CRU&amp;lang=en_US&amp;offset=0&amp;query=any,contains,991000336409702656","Catalog Record")</f>
        <v>Catalog Record</v>
      </c>
      <c r="AT386" s="6" t="str">
        <f>HYPERLINK("http://www.worldcat.org/oclc/10229993","WorldCat Record")</f>
        <v>WorldCat Record</v>
      </c>
      <c r="AU386" s="3" t="s">
        <v>5002</v>
      </c>
      <c r="AV386" s="3" t="s">
        <v>5003</v>
      </c>
      <c r="AW386" s="3" t="s">
        <v>5004</v>
      </c>
      <c r="AX386" s="3" t="s">
        <v>5004</v>
      </c>
      <c r="AY386" s="3" t="s">
        <v>5005</v>
      </c>
      <c r="AZ386" s="3" t="s">
        <v>76</v>
      </c>
      <c r="BB386" s="3" t="s">
        <v>5006</v>
      </c>
      <c r="BC386" s="3" t="s">
        <v>5007</v>
      </c>
      <c r="BD386" s="3" t="s">
        <v>5008</v>
      </c>
    </row>
    <row r="387" spans="1:56" ht="52.5" customHeight="1" x14ac:dyDescent="0.25">
      <c r="A387" s="7" t="s">
        <v>59</v>
      </c>
      <c r="B387" s="2" t="s">
        <v>5009</v>
      </c>
      <c r="C387" s="2" t="s">
        <v>5010</v>
      </c>
      <c r="D387" s="2" t="s">
        <v>5011</v>
      </c>
      <c r="F387" s="3" t="s">
        <v>59</v>
      </c>
      <c r="G387" s="3" t="s">
        <v>60</v>
      </c>
      <c r="H387" s="3" t="s">
        <v>59</v>
      </c>
      <c r="I387" s="3" t="s">
        <v>71</v>
      </c>
      <c r="J387" s="3" t="s">
        <v>61</v>
      </c>
      <c r="K387" s="2" t="s">
        <v>5012</v>
      </c>
      <c r="L387" s="2" t="s">
        <v>5013</v>
      </c>
      <c r="M387" s="3" t="s">
        <v>148</v>
      </c>
      <c r="O387" s="3" t="s">
        <v>65</v>
      </c>
      <c r="P387" s="3" t="s">
        <v>1262</v>
      </c>
      <c r="Q387" s="2" t="s">
        <v>5014</v>
      </c>
      <c r="R387" s="3" t="s">
        <v>68</v>
      </c>
      <c r="S387" s="4">
        <v>4</v>
      </c>
      <c r="T387" s="4">
        <v>4</v>
      </c>
      <c r="U387" s="5" t="s">
        <v>5015</v>
      </c>
      <c r="V387" s="5" t="s">
        <v>5015</v>
      </c>
      <c r="W387" s="5" t="s">
        <v>1220</v>
      </c>
      <c r="X387" s="5" t="s">
        <v>1220</v>
      </c>
      <c r="Y387" s="4">
        <v>83</v>
      </c>
      <c r="Z387" s="4">
        <v>41</v>
      </c>
      <c r="AA387" s="4">
        <v>1288</v>
      </c>
      <c r="AB387" s="4">
        <v>1</v>
      </c>
      <c r="AC387" s="4">
        <v>14</v>
      </c>
      <c r="AD387" s="4">
        <v>2</v>
      </c>
      <c r="AE387" s="4">
        <v>58</v>
      </c>
      <c r="AF387" s="4">
        <v>1</v>
      </c>
      <c r="AG387" s="4">
        <v>21</v>
      </c>
      <c r="AH387" s="4">
        <v>1</v>
      </c>
      <c r="AI387" s="4">
        <v>11</v>
      </c>
      <c r="AJ387" s="4">
        <v>1</v>
      </c>
      <c r="AK387" s="4">
        <v>23</v>
      </c>
      <c r="AL387" s="4">
        <v>0</v>
      </c>
      <c r="AM387" s="4">
        <v>12</v>
      </c>
      <c r="AN387" s="4">
        <v>0</v>
      </c>
      <c r="AO387" s="4">
        <v>2</v>
      </c>
      <c r="AP387" s="3" t="s">
        <v>59</v>
      </c>
      <c r="AQ387" s="3" t="s">
        <v>59</v>
      </c>
      <c r="AS387" s="6" t="str">
        <f>HYPERLINK("https://creighton-primo.hosted.exlibrisgroup.com/primo-explore/search?tab=default_tab&amp;search_scope=EVERYTHING&amp;vid=01CRU&amp;lang=en_US&amp;offset=0&amp;query=any,contains,991004488329702656","Catalog Record")</f>
        <v>Catalog Record</v>
      </c>
      <c r="AT387" s="6" t="str">
        <f>HYPERLINK("http://www.worldcat.org/oclc/3650170","WorldCat Record")</f>
        <v>WorldCat Record</v>
      </c>
      <c r="AU387" s="3" t="s">
        <v>5016</v>
      </c>
      <c r="AV387" s="3" t="s">
        <v>5017</v>
      </c>
      <c r="AW387" s="3" t="s">
        <v>5018</v>
      </c>
      <c r="AX387" s="3" t="s">
        <v>5018</v>
      </c>
      <c r="AY387" s="3" t="s">
        <v>5019</v>
      </c>
      <c r="AZ387" s="3" t="s">
        <v>76</v>
      </c>
      <c r="BB387" s="3" t="s">
        <v>5020</v>
      </c>
      <c r="BC387" s="3" t="s">
        <v>5021</v>
      </c>
      <c r="BD387" s="3" t="s">
        <v>5022</v>
      </c>
    </row>
    <row r="388" spans="1:56" ht="52.5" customHeight="1" x14ac:dyDescent="0.25">
      <c r="A388" s="7" t="s">
        <v>59</v>
      </c>
      <c r="B388" s="2" t="s">
        <v>5023</v>
      </c>
      <c r="C388" s="2" t="s">
        <v>5024</v>
      </c>
      <c r="D388" s="2" t="s">
        <v>5025</v>
      </c>
      <c r="F388" s="3" t="s">
        <v>59</v>
      </c>
      <c r="G388" s="3" t="s">
        <v>60</v>
      </c>
      <c r="H388" s="3" t="s">
        <v>59</v>
      </c>
      <c r="I388" s="3" t="s">
        <v>59</v>
      </c>
      <c r="J388" s="3" t="s">
        <v>61</v>
      </c>
      <c r="K388" s="2" t="s">
        <v>5026</v>
      </c>
      <c r="L388" s="2" t="s">
        <v>5027</v>
      </c>
      <c r="M388" s="3" t="s">
        <v>2428</v>
      </c>
      <c r="O388" s="3" t="s">
        <v>65</v>
      </c>
      <c r="P388" s="3" t="s">
        <v>1262</v>
      </c>
      <c r="R388" s="3" t="s">
        <v>68</v>
      </c>
      <c r="S388" s="4">
        <v>2</v>
      </c>
      <c r="T388" s="4">
        <v>2</v>
      </c>
      <c r="U388" s="5" t="s">
        <v>2351</v>
      </c>
      <c r="V388" s="5" t="s">
        <v>2351</v>
      </c>
      <c r="W388" s="5" t="s">
        <v>3522</v>
      </c>
      <c r="X388" s="5" t="s">
        <v>3522</v>
      </c>
      <c r="Y388" s="4">
        <v>379</v>
      </c>
      <c r="Z388" s="4">
        <v>300</v>
      </c>
      <c r="AA388" s="4">
        <v>585</v>
      </c>
      <c r="AB388" s="4">
        <v>2</v>
      </c>
      <c r="AC388" s="4">
        <v>3</v>
      </c>
      <c r="AD388" s="4">
        <v>11</v>
      </c>
      <c r="AE388" s="4">
        <v>22</v>
      </c>
      <c r="AF388" s="4">
        <v>5</v>
      </c>
      <c r="AG388" s="4">
        <v>7</v>
      </c>
      <c r="AH388" s="4">
        <v>2</v>
      </c>
      <c r="AI388" s="4">
        <v>6</v>
      </c>
      <c r="AJ388" s="4">
        <v>5</v>
      </c>
      <c r="AK388" s="4">
        <v>14</v>
      </c>
      <c r="AL388" s="4">
        <v>1</v>
      </c>
      <c r="AM388" s="4">
        <v>1</v>
      </c>
      <c r="AN388" s="4">
        <v>0</v>
      </c>
      <c r="AO388" s="4">
        <v>0</v>
      </c>
      <c r="AP388" s="3" t="s">
        <v>59</v>
      </c>
      <c r="AQ388" s="3" t="s">
        <v>71</v>
      </c>
      <c r="AR388" s="6" t="str">
        <f>HYPERLINK("http://catalog.hathitrust.org/Record/000355227","HathiTrust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HYPERLINK("https://creighton-primo.hosted.exlibrisgroup.com/primo-explore/search?tab=default_tab&amp;search_scope=EVERYTHING&amp;vid=01CRU&amp;lang=en_US&amp;offset=0&amp;query=any,contains,991001997689702656","Catalog Record")</f>
        <v>Catalog Record</v>
      </c>
      <c r="AT388" s="6" t="str">
        <f>HYPERLINK("http://www.worldcat.org/oclc/25398036","WorldCat Record")</f>
        <v>WorldCat Record</v>
      </c>
      <c r="AU388" s="3" t="s">
        <v>5028</v>
      </c>
      <c r="AV388" s="3" t="s">
        <v>5029</v>
      </c>
      <c r="AW388" s="3" t="s">
        <v>5030</v>
      </c>
      <c r="AX388" s="3" t="s">
        <v>5030</v>
      </c>
      <c r="AY388" s="3" t="s">
        <v>5031</v>
      </c>
      <c r="AZ388" s="3" t="s">
        <v>76</v>
      </c>
      <c r="BC388" s="3" t="s">
        <v>5032</v>
      </c>
      <c r="BD388" s="3" t="s">
        <v>5033</v>
      </c>
    </row>
    <row r="389" spans="1:56" ht="52.5" customHeight="1" x14ac:dyDescent="0.25">
      <c r="A389" s="7" t="s">
        <v>59</v>
      </c>
      <c r="B389" s="2" t="s">
        <v>5034</v>
      </c>
      <c r="C389" s="2" t="s">
        <v>5035</v>
      </c>
      <c r="D389" s="2" t="s">
        <v>5036</v>
      </c>
      <c r="F389" s="3" t="s">
        <v>59</v>
      </c>
      <c r="G389" s="3" t="s">
        <v>60</v>
      </c>
      <c r="H389" s="3" t="s">
        <v>59</v>
      </c>
      <c r="I389" s="3" t="s">
        <v>59</v>
      </c>
      <c r="J389" s="3" t="s">
        <v>61</v>
      </c>
      <c r="L389" s="2" t="s">
        <v>5037</v>
      </c>
      <c r="M389" s="3" t="s">
        <v>164</v>
      </c>
      <c r="O389" s="3" t="s">
        <v>65</v>
      </c>
      <c r="P389" s="3" t="s">
        <v>1262</v>
      </c>
      <c r="R389" s="3" t="s">
        <v>68</v>
      </c>
      <c r="S389" s="4">
        <v>6</v>
      </c>
      <c r="T389" s="4">
        <v>6</v>
      </c>
      <c r="U389" s="5" t="s">
        <v>5038</v>
      </c>
      <c r="V389" s="5" t="s">
        <v>5038</v>
      </c>
      <c r="W389" s="5" t="s">
        <v>4567</v>
      </c>
      <c r="X389" s="5" t="s">
        <v>4567</v>
      </c>
      <c r="Y389" s="4">
        <v>334</v>
      </c>
      <c r="Z389" s="4">
        <v>210</v>
      </c>
      <c r="AA389" s="4">
        <v>213</v>
      </c>
      <c r="AB389" s="4">
        <v>2</v>
      </c>
      <c r="AC389" s="4">
        <v>2</v>
      </c>
      <c r="AD389" s="4">
        <v>7</v>
      </c>
      <c r="AE389" s="4">
        <v>7</v>
      </c>
      <c r="AF389" s="4">
        <v>2</v>
      </c>
      <c r="AG389" s="4">
        <v>2</v>
      </c>
      <c r="AH389" s="4">
        <v>3</v>
      </c>
      <c r="AI389" s="4">
        <v>3</v>
      </c>
      <c r="AJ389" s="4">
        <v>4</v>
      </c>
      <c r="AK389" s="4">
        <v>4</v>
      </c>
      <c r="AL389" s="4">
        <v>1</v>
      </c>
      <c r="AM389" s="4">
        <v>1</v>
      </c>
      <c r="AN389" s="4">
        <v>0</v>
      </c>
      <c r="AO389" s="4">
        <v>0</v>
      </c>
      <c r="AP389" s="3" t="s">
        <v>59</v>
      </c>
      <c r="AQ389" s="3" t="s">
        <v>71</v>
      </c>
      <c r="AR389" s="6" t="str">
        <f>HYPERLINK("http://catalog.hathitrust.org/Record/000323941","HathiTrust Record")</f>
        <v>HathiTrust Record</v>
      </c>
      <c r="AS389" s="6" t="str">
        <f>HYPERLINK("https://creighton-primo.hosted.exlibrisgroup.com/primo-explore/search?tab=default_tab&amp;search_scope=EVERYTHING&amp;vid=01CRU&amp;lang=en_US&amp;offset=0&amp;query=any,contains,991005030149702656","Catalog Record")</f>
        <v>Catalog Record</v>
      </c>
      <c r="AT389" s="6" t="str">
        <f>HYPERLINK("http://www.worldcat.org/oclc/6709138","WorldCat Record")</f>
        <v>WorldCat Record</v>
      </c>
      <c r="AU389" s="3" t="s">
        <v>5039</v>
      </c>
      <c r="AV389" s="3" t="s">
        <v>5040</v>
      </c>
      <c r="AW389" s="3" t="s">
        <v>5041</v>
      </c>
      <c r="AX389" s="3" t="s">
        <v>5041</v>
      </c>
      <c r="AY389" s="3" t="s">
        <v>5042</v>
      </c>
      <c r="AZ389" s="3" t="s">
        <v>76</v>
      </c>
      <c r="BB389" s="3" t="s">
        <v>5043</v>
      </c>
      <c r="BC389" s="3" t="s">
        <v>5044</v>
      </c>
      <c r="BD389" s="3" t="s">
        <v>5045</v>
      </c>
    </row>
    <row r="390" spans="1:56" ht="52.5" customHeight="1" x14ac:dyDescent="0.25">
      <c r="A390" s="7" t="s">
        <v>59</v>
      </c>
      <c r="B390" s="2" t="s">
        <v>5046</v>
      </c>
      <c r="C390" s="2" t="s">
        <v>5047</v>
      </c>
      <c r="D390" s="2" t="s">
        <v>5048</v>
      </c>
      <c r="F390" s="3" t="s">
        <v>59</v>
      </c>
      <c r="G390" s="3" t="s">
        <v>60</v>
      </c>
      <c r="H390" s="3" t="s">
        <v>59</v>
      </c>
      <c r="I390" s="3" t="s">
        <v>59</v>
      </c>
      <c r="J390" s="3" t="s">
        <v>61</v>
      </c>
      <c r="K390" s="2" t="s">
        <v>5049</v>
      </c>
      <c r="L390" s="2" t="s">
        <v>5050</v>
      </c>
      <c r="M390" s="3" t="s">
        <v>616</v>
      </c>
      <c r="O390" s="3" t="s">
        <v>65</v>
      </c>
      <c r="P390" s="3" t="s">
        <v>699</v>
      </c>
      <c r="Q390" s="2" t="s">
        <v>5051</v>
      </c>
      <c r="R390" s="3" t="s">
        <v>68</v>
      </c>
      <c r="S390" s="4">
        <v>7</v>
      </c>
      <c r="T390" s="4">
        <v>7</v>
      </c>
      <c r="U390" s="5" t="s">
        <v>5052</v>
      </c>
      <c r="V390" s="5" t="s">
        <v>5052</v>
      </c>
      <c r="W390" s="5" t="s">
        <v>686</v>
      </c>
      <c r="X390" s="5" t="s">
        <v>686</v>
      </c>
      <c r="Y390" s="4">
        <v>426</v>
      </c>
      <c r="Z390" s="4">
        <v>340</v>
      </c>
      <c r="AA390" s="4">
        <v>347</v>
      </c>
      <c r="AB390" s="4">
        <v>5</v>
      </c>
      <c r="AC390" s="4">
        <v>5</v>
      </c>
      <c r="AD390" s="4">
        <v>19</v>
      </c>
      <c r="AE390" s="4">
        <v>19</v>
      </c>
      <c r="AF390" s="4">
        <v>3</v>
      </c>
      <c r="AG390" s="4">
        <v>3</v>
      </c>
      <c r="AH390" s="4">
        <v>6</v>
      </c>
      <c r="AI390" s="4">
        <v>6</v>
      </c>
      <c r="AJ390" s="4">
        <v>11</v>
      </c>
      <c r="AK390" s="4">
        <v>11</v>
      </c>
      <c r="AL390" s="4">
        <v>4</v>
      </c>
      <c r="AM390" s="4">
        <v>4</v>
      </c>
      <c r="AN390" s="4">
        <v>0</v>
      </c>
      <c r="AO390" s="4">
        <v>0</v>
      </c>
      <c r="AP390" s="3" t="s">
        <v>59</v>
      </c>
      <c r="AQ390" s="3" t="s">
        <v>71</v>
      </c>
      <c r="AR390" s="6" t="str">
        <f>HYPERLINK("http://catalog.hathitrust.org/Record/001098917","HathiTrust Record")</f>
        <v>HathiTrust Record</v>
      </c>
      <c r="AS390" s="6" t="str">
        <f>HYPERLINK("https://creighton-primo.hosted.exlibrisgroup.com/primo-explore/search?tab=default_tab&amp;search_scope=EVERYTHING&amp;vid=01CRU&amp;lang=en_US&amp;offset=0&amp;query=any,contains,991001280909702656","Catalog Record")</f>
        <v>Catalog Record</v>
      </c>
      <c r="AT390" s="6" t="str">
        <f>HYPERLINK("http://www.worldcat.org/oclc/17917400","WorldCat Record")</f>
        <v>WorldCat Record</v>
      </c>
      <c r="AU390" s="3" t="s">
        <v>5053</v>
      </c>
      <c r="AV390" s="3" t="s">
        <v>5054</v>
      </c>
      <c r="AW390" s="3" t="s">
        <v>5055</v>
      </c>
      <c r="AX390" s="3" t="s">
        <v>5055</v>
      </c>
      <c r="AY390" s="3" t="s">
        <v>5056</v>
      </c>
      <c r="AZ390" s="3" t="s">
        <v>76</v>
      </c>
      <c r="BB390" s="3" t="s">
        <v>5057</v>
      </c>
      <c r="BC390" s="3" t="s">
        <v>5058</v>
      </c>
      <c r="BD390" s="3" t="s">
        <v>5059</v>
      </c>
    </row>
    <row r="391" spans="1:56" ht="52.5" customHeight="1" x14ac:dyDescent="0.25">
      <c r="A391" s="7" t="s">
        <v>59</v>
      </c>
      <c r="B391" s="2" t="s">
        <v>5060</v>
      </c>
      <c r="C391" s="2" t="s">
        <v>5061</v>
      </c>
      <c r="D391" s="2" t="s">
        <v>5062</v>
      </c>
      <c r="F391" s="3" t="s">
        <v>59</v>
      </c>
      <c r="G391" s="3" t="s">
        <v>60</v>
      </c>
      <c r="H391" s="3" t="s">
        <v>59</v>
      </c>
      <c r="I391" s="3" t="s">
        <v>59</v>
      </c>
      <c r="J391" s="3" t="s">
        <v>61</v>
      </c>
      <c r="K391" s="2" t="s">
        <v>5063</v>
      </c>
      <c r="L391" s="2" t="s">
        <v>5064</v>
      </c>
      <c r="M391" s="3" t="s">
        <v>365</v>
      </c>
      <c r="O391" s="3" t="s">
        <v>65</v>
      </c>
      <c r="P391" s="3" t="s">
        <v>66</v>
      </c>
      <c r="Q391" s="2" t="s">
        <v>4107</v>
      </c>
      <c r="R391" s="3" t="s">
        <v>68</v>
      </c>
      <c r="S391" s="4">
        <v>4</v>
      </c>
      <c r="T391" s="4">
        <v>4</v>
      </c>
      <c r="U391" s="5" t="s">
        <v>5065</v>
      </c>
      <c r="V391" s="5" t="s">
        <v>5065</v>
      </c>
      <c r="W391" s="5" t="s">
        <v>5066</v>
      </c>
      <c r="X391" s="5" t="s">
        <v>5066</v>
      </c>
      <c r="Y391" s="4">
        <v>822</v>
      </c>
      <c r="Z391" s="4">
        <v>668</v>
      </c>
      <c r="AA391" s="4">
        <v>668</v>
      </c>
      <c r="AB391" s="4">
        <v>7</v>
      </c>
      <c r="AC391" s="4">
        <v>7</v>
      </c>
      <c r="AD391" s="4">
        <v>33</v>
      </c>
      <c r="AE391" s="4">
        <v>33</v>
      </c>
      <c r="AF391" s="4">
        <v>13</v>
      </c>
      <c r="AG391" s="4">
        <v>13</v>
      </c>
      <c r="AH391" s="4">
        <v>6</v>
      </c>
      <c r="AI391" s="4">
        <v>6</v>
      </c>
      <c r="AJ391" s="4">
        <v>17</v>
      </c>
      <c r="AK391" s="4">
        <v>17</v>
      </c>
      <c r="AL391" s="4">
        <v>6</v>
      </c>
      <c r="AM391" s="4">
        <v>6</v>
      </c>
      <c r="AN391" s="4">
        <v>0</v>
      </c>
      <c r="AO391" s="4">
        <v>0</v>
      </c>
      <c r="AP391" s="3" t="s">
        <v>59</v>
      </c>
      <c r="AQ391" s="3" t="s">
        <v>59</v>
      </c>
      <c r="AS391" s="6" t="str">
        <f>HYPERLINK("https://creighton-primo.hosted.exlibrisgroup.com/primo-explore/search?tab=default_tab&amp;search_scope=EVERYTHING&amp;vid=01CRU&amp;lang=en_US&amp;offset=0&amp;query=any,contains,991001386159702656","Catalog Record")</f>
        <v>Catalog Record</v>
      </c>
      <c r="AT391" s="6" t="str">
        <f>HYPERLINK("http://www.worldcat.org/oclc/18716026","WorldCat Record")</f>
        <v>WorldCat Record</v>
      </c>
      <c r="AU391" s="3" t="s">
        <v>5067</v>
      </c>
      <c r="AV391" s="3" t="s">
        <v>5068</v>
      </c>
      <c r="AW391" s="3" t="s">
        <v>5069</v>
      </c>
      <c r="AX391" s="3" t="s">
        <v>5069</v>
      </c>
      <c r="AY391" s="3" t="s">
        <v>5070</v>
      </c>
      <c r="AZ391" s="3" t="s">
        <v>76</v>
      </c>
      <c r="BB391" s="3" t="s">
        <v>5071</v>
      </c>
      <c r="BC391" s="3" t="s">
        <v>5072</v>
      </c>
      <c r="BD391" s="3" t="s">
        <v>5073</v>
      </c>
    </row>
    <row r="392" spans="1:56" ht="52.5" customHeight="1" x14ac:dyDescent="0.25">
      <c r="A392" s="7" t="s">
        <v>59</v>
      </c>
      <c r="B392" s="2" t="s">
        <v>5074</v>
      </c>
      <c r="C392" s="2" t="s">
        <v>5075</v>
      </c>
      <c r="D392" s="2" t="s">
        <v>5076</v>
      </c>
      <c r="F392" s="3" t="s">
        <v>59</v>
      </c>
      <c r="G392" s="3" t="s">
        <v>60</v>
      </c>
      <c r="H392" s="3" t="s">
        <v>59</v>
      </c>
      <c r="I392" s="3" t="s">
        <v>59</v>
      </c>
      <c r="J392" s="3" t="s">
        <v>61</v>
      </c>
      <c r="K392" s="2" t="s">
        <v>5077</v>
      </c>
      <c r="L392" s="2" t="s">
        <v>5078</v>
      </c>
      <c r="M392" s="3" t="s">
        <v>684</v>
      </c>
      <c r="O392" s="3" t="s">
        <v>65</v>
      </c>
      <c r="P392" s="3" t="s">
        <v>420</v>
      </c>
      <c r="R392" s="3" t="s">
        <v>68</v>
      </c>
      <c r="S392" s="4">
        <v>5</v>
      </c>
      <c r="T392" s="4">
        <v>5</v>
      </c>
      <c r="U392" s="5" t="s">
        <v>4095</v>
      </c>
      <c r="V392" s="5" t="s">
        <v>4095</v>
      </c>
      <c r="W392" s="5" t="s">
        <v>5079</v>
      </c>
      <c r="X392" s="5" t="s">
        <v>5079</v>
      </c>
      <c r="Y392" s="4">
        <v>463</v>
      </c>
      <c r="Z392" s="4">
        <v>385</v>
      </c>
      <c r="AA392" s="4">
        <v>505</v>
      </c>
      <c r="AB392" s="4">
        <v>3</v>
      </c>
      <c r="AC392" s="4">
        <v>3</v>
      </c>
      <c r="AD392" s="4">
        <v>20</v>
      </c>
      <c r="AE392" s="4">
        <v>22</v>
      </c>
      <c r="AF392" s="4">
        <v>9</v>
      </c>
      <c r="AG392" s="4">
        <v>11</v>
      </c>
      <c r="AH392" s="4">
        <v>4</v>
      </c>
      <c r="AI392" s="4">
        <v>4</v>
      </c>
      <c r="AJ392" s="4">
        <v>9</v>
      </c>
      <c r="AK392" s="4">
        <v>9</v>
      </c>
      <c r="AL392" s="4">
        <v>2</v>
      </c>
      <c r="AM392" s="4">
        <v>2</v>
      </c>
      <c r="AN392" s="4">
        <v>0</v>
      </c>
      <c r="AO392" s="4">
        <v>0</v>
      </c>
      <c r="AP392" s="3" t="s">
        <v>59</v>
      </c>
      <c r="AQ392" s="3" t="s">
        <v>71</v>
      </c>
      <c r="AR392" s="6" t="str">
        <f>HYPERLINK("http://catalog.hathitrust.org/Record/000099360","HathiTrust Record")</f>
        <v>HathiTrust Record</v>
      </c>
      <c r="AS392" s="6" t="str">
        <f>HYPERLINK("https://creighton-primo.hosted.exlibrisgroup.com/primo-explore/search?tab=default_tab&amp;search_scope=EVERYTHING&amp;vid=01CRU&amp;lang=en_US&amp;offset=0&amp;query=any,contains,991005043039702656","Catalog Record")</f>
        <v>Catalog Record</v>
      </c>
      <c r="AT392" s="6" t="str">
        <f>HYPERLINK("http://www.worldcat.org/oclc/6813090","WorldCat Record")</f>
        <v>WorldCat Record</v>
      </c>
      <c r="AU392" s="3" t="s">
        <v>5080</v>
      </c>
      <c r="AV392" s="3" t="s">
        <v>5081</v>
      </c>
      <c r="AW392" s="3" t="s">
        <v>5082</v>
      </c>
      <c r="AX392" s="3" t="s">
        <v>5082</v>
      </c>
      <c r="AY392" s="3" t="s">
        <v>5083</v>
      </c>
      <c r="AZ392" s="3" t="s">
        <v>76</v>
      </c>
      <c r="BB392" s="3" t="s">
        <v>5084</v>
      </c>
      <c r="BC392" s="3" t="s">
        <v>5085</v>
      </c>
      <c r="BD392" s="3" t="s">
        <v>5086</v>
      </c>
    </row>
    <row r="393" spans="1:56" ht="52.5" customHeight="1" x14ac:dyDescent="0.25">
      <c r="A393" s="7" t="s">
        <v>59</v>
      </c>
      <c r="B393" s="2" t="s">
        <v>5087</v>
      </c>
      <c r="C393" s="2" t="s">
        <v>5088</v>
      </c>
      <c r="D393" s="2" t="s">
        <v>5089</v>
      </c>
      <c r="F393" s="3" t="s">
        <v>59</v>
      </c>
      <c r="G393" s="3" t="s">
        <v>60</v>
      </c>
      <c r="H393" s="3" t="s">
        <v>59</v>
      </c>
      <c r="I393" s="3" t="s">
        <v>59</v>
      </c>
      <c r="J393" s="3" t="s">
        <v>61</v>
      </c>
      <c r="K393" s="2" t="s">
        <v>5090</v>
      </c>
      <c r="L393" s="2" t="s">
        <v>5091</v>
      </c>
      <c r="M393" s="3" t="s">
        <v>309</v>
      </c>
      <c r="O393" s="3" t="s">
        <v>65</v>
      </c>
      <c r="P393" s="3" t="s">
        <v>420</v>
      </c>
      <c r="Q393" s="2" t="s">
        <v>4107</v>
      </c>
      <c r="R393" s="3" t="s">
        <v>68</v>
      </c>
      <c r="S393" s="4">
        <v>4</v>
      </c>
      <c r="T393" s="4">
        <v>4</v>
      </c>
      <c r="U393" s="5" t="s">
        <v>5092</v>
      </c>
      <c r="V393" s="5" t="s">
        <v>5092</v>
      </c>
      <c r="W393" s="5" t="s">
        <v>5093</v>
      </c>
      <c r="X393" s="5" t="s">
        <v>5093</v>
      </c>
      <c r="Y393" s="4">
        <v>669</v>
      </c>
      <c r="Z393" s="4">
        <v>513</v>
      </c>
      <c r="AA393" s="4">
        <v>520</v>
      </c>
      <c r="AB393" s="4">
        <v>3</v>
      </c>
      <c r="AC393" s="4">
        <v>3</v>
      </c>
      <c r="AD393" s="4">
        <v>21</v>
      </c>
      <c r="AE393" s="4">
        <v>21</v>
      </c>
      <c r="AF393" s="4">
        <v>10</v>
      </c>
      <c r="AG393" s="4">
        <v>10</v>
      </c>
      <c r="AH393" s="4">
        <v>5</v>
      </c>
      <c r="AI393" s="4">
        <v>5</v>
      </c>
      <c r="AJ393" s="4">
        <v>10</v>
      </c>
      <c r="AK393" s="4">
        <v>10</v>
      </c>
      <c r="AL393" s="4">
        <v>1</v>
      </c>
      <c r="AM393" s="4">
        <v>1</v>
      </c>
      <c r="AN393" s="4">
        <v>0</v>
      </c>
      <c r="AO393" s="4">
        <v>0</v>
      </c>
      <c r="AP393" s="3" t="s">
        <v>59</v>
      </c>
      <c r="AQ393" s="3" t="s">
        <v>59</v>
      </c>
      <c r="AS393" s="6" t="str">
        <f>HYPERLINK("https://creighton-primo.hosted.exlibrisgroup.com/primo-explore/search?tab=default_tab&amp;search_scope=EVERYTHING&amp;vid=01CRU&amp;lang=en_US&amp;offset=0&amp;query=any,contains,991004420439702656","Catalog Record")</f>
        <v>Catalog Record</v>
      </c>
      <c r="AT393" s="6" t="str">
        <f>HYPERLINK("http://www.worldcat.org/oclc/3380344","WorldCat Record")</f>
        <v>WorldCat Record</v>
      </c>
      <c r="AU393" s="3" t="s">
        <v>5094</v>
      </c>
      <c r="AV393" s="3" t="s">
        <v>5095</v>
      </c>
      <c r="AW393" s="3" t="s">
        <v>5096</v>
      </c>
      <c r="AX393" s="3" t="s">
        <v>5096</v>
      </c>
      <c r="AY393" s="3" t="s">
        <v>5097</v>
      </c>
      <c r="AZ393" s="3" t="s">
        <v>76</v>
      </c>
      <c r="BB393" s="3" t="s">
        <v>5098</v>
      </c>
      <c r="BC393" s="3" t="s">
        <v>5099</v>
      </c>
      <c r="BD393" s="3" t="s">
        <v>5100</v>
      </c>
    </row>
    <row r="394" spans="1:56" ht="52.5" customHeight="1" x14ac:dyDescent="0.25">
      <c r="A394" s="7" t="s">
        <v>59</v>
      </c>
      <c r="B394" s="2" t="s">
        <v>5101</v>
      </c>
      <c r="C394" s="2" t="s">
        <v>5102</v>
      </c>
      <c r="D394" s="2" t="s">
        <v>5103</v>
      </c>
      <c r="F394" s="3" t="s">
        <v>59</v>
      </c>
      <c r="G394" s="3" t="s">
        <v>60</v>
      </c>
      <c r="H394" s="3" t="s">
        <v>59</v>
      </c>
      <c r="I394" s="3" t="s">
        <v>59</v>
      </c>
      <c r="J394" s="3" t="s">
        <v>61</v>
      </c>
      <c r="K394" s="2" t="s">
        <v>5104</v>
      </c>
      <c r="L394" s="2" t="s">
        <v>5105</v>
      </c>
      <c r="M394" s="3" t="s">
        <v>164</v>
      </c>
      <c r="N394" s="2" t="s">
        <v>5106</v>
      </c>
      <c r="O394" s="3" t="s">
        <v>65</v>
      </c>
      <c r="P394" s="3" t="s">
        <v>66</v>
      </c>
      <c r="Q394" s="2" t="s">
        <v>3470</v>
      </c>
      <c r="R394" s="3" t="s">
        <v>68</v>
      </c>
      <c r="S394" s="4">
        <v>7</v>
      </c>
      <c r="T394" s="4">
        <v>7</v>
      </c>
      <c r="U394" s="5" t="s">
        <v>5107</v>
      </c>
      <c r="V394" s="5" t="s">
        <v>5107</v>
      </c>
      <c r="W394" s="5" t="s">
        <v>4567</v>
      </c>
      <c r="X394" s="5" t="s">
        <v>4567</v>
      </c>
      <c r="Y394" s="4">
        <v>389</v>
      </c>
      <c r="Z394" s="4">
        <v>227</v>
      </c>
      <c r="AA394" s="4">
        <v>899</v>
      </c>
      <c r="AB394" s="4">
        <v>3</v>
      </c>
      <c r="AC394" s="4">
        <v>9</v>
      </c>
      <c r="AD394" s="4">
        <v>13</v>
      </c>
      <c r="AE394" s="4">
        <v>40</v>
      </c>
      <c r="AF394" s="4">
        <v>7</v>
      </c>
      <c r="AG394" s="4">
        <v>19</v>
      </c>
      <c r="AH394" s="4">
        <v>1</v>
      </c>
      <c r="AI394" s="4">
        <v>6</v>
      </c>
      <c r="AJ394" s="4">
        <v>6</v>
      </c>
      <c r="AK394" s="4">
        <v>17</v>
      </c>
      <c r="AL394" s="4">
        <v>2</v>
      </c>
      <c r="AM394" s="4">
        <v>6</v>
      </c>
      <c r="AN394" s="4">
        <v>0</v>
      </c>
      <c r="AO394" s="4">
        <v>0</v>
      </c>
      <c r="AP394" s="3" t="s">
        <v>59</v>
      </c>
      <c r="AQ394" s="3" t="s">
        <v>59</v>
      </c>
      <c r="AS394" s="6" t="str">
        <f>HYPERLINK("https://creighton-primo.hosted.exlibrisgroup.com/primo-explore/search?tab=default_tab&amp;search_scope=EVERYTHING&amp;vid=01CRU&amp;lang=en_US&amp;offset=0&amp;query=any,contains,991005214719702656","Catalog Record")</f>
        <v>Catalog Record</v>
      </c>
      <c r="AT394" s="6" t="str">
        <f>HYPERLINK("http://www.worldcat.org/oclc/5447694","WorldCat Record")</f>
        <v>WorldCat Record</v>
      </c>
      <c r="AU394" s="3" t="s">
        <v>5108</v>
      </c>
      <c r="AV394" s="3" t="s">
        <v>5109</v>
      </c>
      <c r="AW394" s="3" t="s">
        <v>5110</v>
      </c>
      <c r="AX394" s="3" t="s">
        <v>5110</v>
      </c>
      <c r="AY394" s="3" t="s">
        <v>5111</v>
      </c>
      <c r="AZ394" s="3" t="s">
        <v>76</v>
      </c>
      <c r="BB394" s="3" t="s">
        <v>5112</v>
      </c>
      <c r="BC394" s="3" t="s">
        <v>5113</v>
      </c>
      <c r="BD394" s="3" t="s">
        <v>5114</v>
      </c>
    </row>
    <row r="395" spans="1:56" ht="52.5" customHeight="1" x14ac:dyDescent="0.25">
      <c r="A395" s="7" t="s">
        <v>59</v>
      </c>
      <c r="B395" s="2" t="s">
        <v>5115</v>
      </c>
      <c r="C395" s="2" t="s">
        <v>5116</v>
      </c>
      <c r="D395" s="2" t="s">
        <v>5117</v>
      </c>
      <c r="F395" s="3" t="s">
        <v>59</v>
      </c>
      <c r="G395" s="3" t="s">
        <v>60</v>
      </c>
      <c r="H395" s="3" t="s">
        <v>59</v>
      </c>
      <c r="I395" s="3" t="s">
        <v>59</v>
      </c>
      <c r="J395" s="3" t="s">
        <v>61</v>
      </c>
      <c r="K395" s="2" t="s">
        <v>5118</v>
      </c>
      <c r="L395" s="2" t="s">
        <v>5119</v>
      </c>
      <c r="M395" s="3" t="s">
        <v>309</v>
      </c>
      <c r="O395" s="3" t="s">
        <v>65</v>
      </c>
      <c r="P395" s="3" t="s">
        <v>66</v>
      </c>
      <c r="R395" s="3" t="s">
        <v>68</v>
      </c>
      <c r="S395" s="4">
        <v>7</v>
      </c>
      <c r="T395" s="4">
        <v>7</v>
      </c>
      <c r="U395" s="5" t="s">
        <v>5120</v>
      </c>
      <c r="V395" s="5" t="s">
        <v>5120</v>
      </c>
      <c r="W395" s="5" t="s">
        <v>5121</v>
      </c>
      <c r="X395" s="5" t="s">
        <v>5121</v>
      </c>
      <c r="Y395" s="4">
        <v>693</v>
      </c>
      <c r="Z395" s="4">
        <v>497</v>
      </c>
      <c r="AA395" s="4">
        <v>529</v>
      </c>
      <c r="AB395" s="4">
        <v>5</v>
      </c>
      <c r="AC395" s="4">
        <v>5</v>
      </c>
      <c r="AD395" s="4">
        <v>28</v>
      </c>
      <c r="AE395" s="4">
        <v>29</v>
      </c>
      <c r="AF395" s="4">
        <v>10</v>
      </c>
      <c r="AG395" s="4">
        <v>11</v>
      </c>
      <c r="AH395" s="4">
        <v>8</v>
      </c>
      <c r="AI395" s="4">
        <v>8</v>
      </c>
      <c r="AJ395" s="4">
        <v>14</v>
      </c>
      <c r="AK395" s="4">
        <v>14</v>
      </c>
      <c r="AL395" s="4">
        <v>3</v>
      </c>
      <c r="AM395" s="4">
        <v>3</v>
      </c>
      <c r="AN395" s="4">
        <v>0</v>
      </c>
      <c r="AO395" s="4">
        <v>0</v>
      </c>
      <c r="AP395" s="3" t="s">
        <v>59</v>
      </c>
      <c r="AQ395" s="3" t="s">
        <v>71</v>
      </c>
      <c r="AR395" s="6" t="str">
        <f>HYPERLINK("http://catalog.hathitrust.org/Record/000132675","HathiTrust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HYPERLINK("https://creighton-primo.hosted.exlibrisgroup.com/primo-explore/search?tab=default_tab&amp;search_scope=EVERYTHING&amp;vid=01CRU&amp;lang=en_US&amp;offset=0&amp;query=any,contains,991004507879702656","Catalog Record")</f>
        <v>Catalog Record</v>
      </c>
      <c r="AT395" s="6" t="str">
        <f>HYPERLINK("http://www.worldcat.org/oclc/3748361","WorldCat Record")</f>
        <v>WorldCat Record</v>
      </c>
      <c r="AU395" s="3" t="s">
        <v>5122</v>
      </c>
      <c r="AV395" s="3" t="s">
        <v>5123</v>
      </c>
      <c r="AW395" s="3" t="s">
        <v>5124</v>
      </c>
      <c r="AX395" s="3" t="s">
        <v>5124</v>
      </c>
      <c r="AY395" s="3" t="s">
        <v>5125</v>
      </c>
      <c r="AZ395" s="3" t="s">
        <v>76</v>
      </c>
      <c r="BB395" s="3" t="s">
        <v>5126</v>
      </c>
      <c r="BC395" s="3" t="s">
        <v>5127</v>
      </c>
      <c r="BD395" s="3" t="s">
        <v>5128</v>
      </c>
    </row>
    <row r="396" spans="1:56" ht="52.5" customHeight="1" x14ac:dyDescent="0.25">
      <c r="A396" s="7" t="s">
        <v>59</v>
      </c>
      <c r="B396" s="2" t="s">
        <v>5129</v>
      </c>
      <c r="C396" s="2" t="s">
        <v>5130</v>
      </c>
      <c r="D396" s="2" t="s">
        <v>5131</v>
      </c>
      <c r="F396" s="3" t="s">
        <v>59</v>
      </c>
      <c r="G396" s="3" t="s">
        <v>60</v>
      </c>
      <c r="H396" s="3" t="s">
        <v>59</v>
      </c>
      <c r="I396" s="3" t="s">
        <v>59</v>
      </c>
      <c r="J396" s="3" t="s">
        <v>61</v>
      </c>
      <c r="K396" s="2" t="s">
        <v>5132</v>
      </c>
      <c r="L396" s="2" t="s">
        <v>5133</v>
      </c>
      <c r="M396" s="3" t="s">
        <v>164</v>
      </c>
      <c r="O396" s="3" t="s">
        <v>65</v>
      </c>
      <c r="P396" s="3" t="s">
        <v>420</v>
      </c>
      <c r="R396" s="3" t="s">
        <v>68</v>
      </c>
      <c r="S396" s="4">
        <v>7</v>
      </c>
      <c r="T396" s="4">
        <v>7</v>
      </c>
      <c r="U396" s="5" t="s">
        <v>5134</v>
      </c>
      <c r="V396" s="5" t="s">
        <v>5134</v>
      </c>
      <c r="W396" s="5" t="s">
        <v>4567</v>
      </c>
      <c r="X396" s="5" t="s">
        <v>4567</v>
      </c>
      <c r="Y396" s="4">
        <v>387</v>
      </c>
      <c r="Z396" s="4">
        <v>324</v>
      </c>
      <c r="AA396" s="4">
        <v>330</v>
      </c>
      <c r="AB396" s="4">
        <v>2</v>
      </c>
      <c r="AC396" s="4">
        <v>2</v>
      </c>
      <c r="AD396" s="4">
        <v>13</v>
      </c>
      <c r="AE396" s="4">
        <v>13</v>
      </c>
      <c r="AF396" s="4">
        <v>6</v>
      </c>
      <c r="AG396" s="4">
        <v>6</v>
      </c>
      <c r="AH396" s="4">
        <v>2</v>
      </c>
      <c r="AI396" s="4">
        <v>2</v>
      </c>
      <c r="AJ396" s="4">
        <v>8</v>
      </c>
      <c r="AK396" s="4">
        <v>8</v>
      </c>
      <c r="AL396" s="4">
        <v>1</v>
      </c>
      <c r="AM396" s="4">
        <v>1</v>
      </c>
      <c r="AN396" s="4">
        <v>0</v>
      </c>
      <c r="AO396" s="4">
        <v>0</v>
      </c>
      <c r="AP396" s="3" t="s">
        <v>59</v>
      </c>
      <c r="AQ396" s="3" t="s">
        <v>71</v>
      </c>
      <c r="AR396" s="6" t="str">
        <f>HYPERLINK("http://catalog.hathitrust.org/Record/000690187","HathiTrust Record")</f>
        <v>HathiTrust Record</v>
      </c>
      <c r="AS396" s="6" t="str">
        <f>HYPERLINK("https://creighton-primo.hosted.exlibrisgroup.com/primo-explore/search?tab=default_tab&amp;search_scope=EVERYTHING&amp;vid=01CRU&amp;lang=en_US&amp;offset=0&amp;query=any,contains,991004777759702656","Catalog Record")</f>
        <v>Catalog Record</v>
      </c>
      <c r="AT396" s="6" t="str">
        <f>HYPERLINK("http://www.worldcat.org/oclc/5101685","WorldCat Record")</f>
        <v>WorldCat Record</v>
      </c>
      <c r="AU396" s="3" t="s">
        <v>5135</v>
      </c>
      <c r="AV396" s="3" t="s">
        <v>5136</v>
      </c>
      <c r="AW396" s="3" t="s">
        <v>5137</v>
      </c>
      <c r="AX396" s="3" t="s">
        <v>5137</v>
      </c>
      <c r="AY396" s="3" t="s">
        <v>5138</v>
      </c>
      <c r="AZ396" s="3" t="s">
        <v>76</v>
      </c>
      <c r="BB396" s="3" t="s">
        <v>5139</v>
      </c>
      <c r="BC396" s="3" t="s">
        <v>5140</v>
      </c>
      <c r="BD396" s="3" t="s">
        <v>5141</v>
      </c>
    </row>
    <row r="397" spans="1:56" ht="52.5" customHeight="1" x14ac:dyDescent="0.25">
      <c r="A397" s="7" t="s">
        <v>59</v>
      </c>
      <c r="B397" s="2" t="s">
        <v>5142</v>
      </c>
      <c r="C397" s="2" t="s">
        <v>5143</v>
      </c>
      <c r="D397" s="2" t="s">
        <v>5144</v>
      </c>
      <c r="F397" s="3" t="s">
        <v>59</v>
      </c>
      <c r="G397" s="3" t="s">
        <v>60</v>
      </c>
      <c r="H397" s="3" t="s">
        <v>59</v>
      </c>
      <c r="I397" s="3" t="s">
        <v>59</v>
      </c>
      <c r="J397" s="3" t="s">
        <v>61</v>
      </c>
      <c r="K397" s="2" t="s">
        <v>5145</v>
      </c>
      <c r="L397" s="2" t="s">
        <v>5146</v>
      </c>
      <c r="M397" s="3" t="s">
        <v>309</v>
      </c>
      <c r="O397" s="3" t="s">
        <v>65</v>
      </c>
      <c r="P397" s="3" t="s">
        <v>296</v>
      </c>
      <c r="R397" s="3" t="s">
        <v>68</v>
      </c>
      <c r="S397" s="4">
        <v>1</v>
      </c>
      <c r="T397" s="4">
        <v>1</v>
      </c>
      <c r="U397" s="5" t="s">
        <v>5147</v>
      </c>
      <c r="V397" s="5" t="s">
        <v>5147</v>
      </c>
      <c r="W397" s="5" t="s">
        <v>5148</v>
      </c>
      <c r="X397" s="5" t="s">
        <v>5148</v>
      </c>
      <c r="Y397" s="4">
        <v>299</v>
      </c>
      <c r="Z397" s="4">
        <v>197</v>
      </c>
      <c r="AA397" s="4">
        <v>199</v>
      </c>
      <c r="AB397" s="4">
        <v>2</v>
      </c>
      <c r="AC397" s="4">
        <v>2</v>
      </c>
      <c r="AD397" s="4">
        <v>14</v>
      </c>
      <c r="AE397" s="4">
        <v>14</v>
      </c>
      <c r="AF397" s="4">
        <v>5</v>
      </c>
      <c r="AG397" s="4">
        <v>5</v>
      </c>
      <c r="AH397" s="4">
        <v>2</v>
      </c>
      <c r="AI397" s="4">
        <v>2</v>
      </c>
      <c r="AJ397" s="4">
        <v>9</v>
      </c>
      <c r="AK397" s="4">
        <v>9</v>
      </c>
      <c r="AL397" s="4">
        <v>1</v>
      </c>
      <c r="AM397" s="4">
        <v>1</v>
      </c>
      <c r="AN397" s="4">
        <v>0</v>
      </c>
      <c r="AO397" s="4">
        <v>0</v>
      </c>
      <c r="AP397" s="3" t="s">
        <v>59</v>
      </c>
      <c r="AQ397" s="3" t="s">
        <v>71</v>
      </c>
      <c r="AR397" s="6" t="str">
        <f>HYPERLINK("http://catalog.hathitrust.org/Record/000751318","HathiTrust Record")</f>
        <v>HathiTrust Record</v>
      </c>
      <c r="AS397" s="6" t="str">
        <f>HYPERLINK("https://creighton-primo.hosted.exlibrisgroup.com/primo-explore/search?tab=default_tab&amp;search_scope=EVERYTHING&amp;vid=01CRU&amp;lang=en_US&amp;offset=0&amp;query=any,contains,991004425159702656","Catalog Record")</f>
        <v>Catalog Record</v>
      </c>
      <c r="AT397" s="6" t="str">
        <f>HYPERLINK("http://www.worldcat.org/oclc/3397029","WorldCat Record")</f>
        <v>WorldCat Record</v>
      </c>
      <c r="AU397" s="3" t="s">
        <v>5149</v>
      </c>
      <c r="AV397" s="3" t="s">
        <v>5150</v>
      </c>
      <c r="AW397" s="3" t="s">
        <v>5151</v>
      </c>
      <c r="AX397" s="3" t="s">
        <v>5151</v>
      </c>
      <c r="AY397" s="3" t="s">
        <v>5152</v>
      </c>
      <c r="AZ397" s="3" t="s">
        <v>76</v>
      </c>
      <c r="BB397" s="3" t="s">
        <v>5153</v>
      </c>
      <c r="BC397" s="3" t="s">
        <v>5154</v>
      </c>
      <c r="BD397" s="3" t="s">
        <v>5155</v>
      </c>
    </row>
    <row r="398" spans="1:56" ht="52.5" customHeight="1" x14ac:dyDescent="0.25">
      <c r="A398" s="7" t="s">
        <v>59</v>
      </c>
      <c r="B398" s="2" t="s">
        <v>5156</v>
      </c>
      <c r="C398" s="2" t="s">
        <v>5157</v>
      </c>
      <c r="D398" s="2" t="s">
        <v>5158</v>
      </c>
      <c r="F398" s="3" t="s">
        <v>59</v>
      </c>
      <c r="G398" s="3" t="s">
        <v>60</v>
      </c>
      <c r="H398" s="3" t="s">
        <v>59</v>
      </c>
      <c r="I398" s="3" t="s">
        <v>59</v>
      </c>
      <c r="J398" s="3" t="s">
        <v>61</v>
      </c>
      <c r="K398" s="2" t="s">
        <v>5159</v>
      </c>
      <c r="L398" s="2" t="s">
        <v>5160</v>
      </c>
      <c r="M398" s="3" t="s">
        <v>195</v>
      </c>
      <c r="O398" s="3" t="s">
        <v>65</v>
      </c>
      <c r="P398" s="3" t="s">
        <v>66</v>
      </c>
      <c r="R398" s="3" t="s">
        <v>68</v>
      </c>
      <c r="S398" s="4">
        <v>3</v>
      </c>
      <c r="T398" s="4">
        <v>3</v>
      </c>
      <c r="U398" s="5" t="s">
        <v>5161</v>
      </c>
      <c r="V398" s="5" t="s">
        <v>5161</v>
      </c>
      <c r="W398" s="5" t="s">
        <v>4567</v>
      </c>
      <c r="X398" s="5" t="s">
        <v>4567</v>
      </c>
      <c r="Y398" s="4">
        <v>334</v>
      </c>
      <c r="Z398" s="4">
        <v>229</v>
      </c>
      <c r="AA398" s="4">
        <v>232</v>
      </c>
      <c r="AB398" s="4">
        <v>1</v>
      </c>
      <c r="AC398" s="4">
        <v>1</v>
      </c>
      <c r="AD398" s="4">
        <v>10</v>
      </c>
      <c r="AE398" s="4">
        <v>10</v>
      </c>
      <c r="AF398" s="4">
        <v>4</v>
      </c>
      <c r="AG398" s="4">
        <v>4</v>
      </c>
      <c r="AH398" s="4">
        <v>4</v>
      </c>
      <c r="AI398" s="4">
        <v>4</v>
      </c>
      <c r="AJ398" s="4">
        <v>6</v>
      </c>
      <c r="AK398" s="4">
        <v>6</v>
      </c>
      <c r="AL398" s="4">
        <v>0</v>
      </c>
      <c r="AM398" s="4">
        <v>0</v>
      </c>
      <c r="AN398" s="4">
        <v>0</v>
      </c>
      <c r="AO398" s="4">
        <v>0</v>
      </c>
      <c r="AP398" s="3" t="s">
        <v>59</v>
      </c>
      <c r="AQ398" s="3" t="s">
        <v>71</v>
      </c>
      <c r="AR398" s="6" t="str">
        <f>HYPERLINK("http://catalog.hathitrust.org/Record/000187521","HathiTrust Record")</f>
        <v>HathiTrust Record</v>
      </c>
      <c r="AS398" s="6" t="str">
        <f>HYPERLINK("https://creighton-primo.hosted.exlibrisgroup.com/primo-explore/search?tab=default_tab&amp;search_scope=EVERYTHING&amp;vid=01CRU&amp;lang=en_US&amp;offset=0&amp;query=any,contains,991005144369702656","Catalog Record")</f>
        <v>Catalog Record</v>
      </c>
      <c r="AT398" s="6" t="str">
        <f>HYPERLINK("http://www.worldcat.org/oclc/7653255","WorldCat Record")</f>
        <v>WorldCat Record</v>
      </c>
      <c r="AU398" s="3" t="s">
        <v>5162</v>
      </c>
      <c r="AV398" s="3" t="s">
        <v>5163</v>
      </c>
      <c r="AW398" s="3" t="s">
        <v>5164</v>
      </c>
      <c r="AX398" s="3" t="s">
        <v>5164</v>
      </c>
      <c r="AY398" s="3" t="s">
        <v>5165</v>
      </c>
      <c r="AZ398" s="3" t="s">
        <v>76</v>
      </c>
      <c r="BB398" s="3" t="s">
        <v>5166</v>
      </c>
      <c r="BC398" s="3" t="s">
        <v>5167</v>
      </c>
      <c r="BD398" s="3" t="s">
        <v>5168</v>
      </c>
    </row>
    <row r="399" spans="1:56" ht="52.5" customHeight="1" x14ac:dyDescent="0.25">
      <c r="A399" s="7" t="s">
        <v>59</v>
      </c>
      <c r="B399" s="2" t="s">
        <v>5169</v>
      </c>
      <c r="C399" s="2" t="s">
        <v>5170</v>
      </c>
      <c r="D399" s="2" t="s">
        <v>5171</v>
      </c>
      <c r="F399" s="3" t="s">
        <v>59</v>
      </c>
      <c r="G399" s="3" t="s">
        <v>60</v>
      </c>
      <c r="H399" s="3" t="s">
        <v>59</v>
      </c>
      <c r="I399" s="3" t="s">
        <v>59</v>
      </c>
      <c r="J399" s="3" t="s">
        <v>61</v>
      </c>
      <c r="K399" s="2" t="s">
        <v>5172</v>
      </c>
      <c r="L399" s="2" t="s">
        <v>5173</v>
      </c>
      <c r="M399" s="3" t="s">
        <v>1217</v>
      </c>
      <c r="O399" s="3" t="s">
        <v>65</v>
      </c>
      <c r="P399" s="3" t="s">
        <v>283</v>
      </c>
      <c r="R399" s="3" t="s">
        <v>68</v>
      </c>
      <c r="S399" s="4">
        <v>3</v>
      </c>
      <c r="T399" s="4">
        <v>3</v>
      </c>
      <c r="U399" s="5" t="s">
        <v>5174</v>
      </c>
      <c r="V399" s="5" t="s">
        <v>5174</v>
      </c>
      <c r="W399" s="5" t="s">
        <v>5093</v>
      </c>
      <c r="X399" s="5" t="s">
        <v>5093</v>
      </c>
      <c r="Y399" s="4">
        <v>596</v>
      </c>
      <c r="Z399" s="4">
        <v>526</v>
      </c>
      <c r="AA399" s="4">
        <v>636</v>
      </c>
      <c r="AB399" s="4">
        <v>5</v>
      </c>
      <c r="AC399" s="4">
        <v>5</v>
      </c>
      <c r="AD399" s="4">
        <v>23</v>
      </c>
      <c r="AE399" s="4">
        <v>25</v>
      </c>
      <c r="AF399" s="4">
        <v>9</v>
      </c>
      <c r="AG399" s="4">
        <v>10</v>
      </c>
      <c r="AH399" s="4">
        <v>3</v>
      </c>
      <c r="AI399" s="4">
        <v>3</v>
      </c>
      <c r="AJ399" s="4">
        <v>12</v>
      </c>
      <c r="AK399" s="4">
        <v>13</v>
      </c>
      <c r="AL399" s="4">
        <v>4</v>
      </c>
      <c r="AM399" s="4">
        <v>4</v>
      </c>
      <c r="AN399" s="4">
        <v>0</v>
      </c>
      <c r="AO399" s="4">
        <v>0</v>
      </c>
      <c r="AP399" s="3" t="s">
        <v>59</v>
      </c>
      <c r="AQ399" s="3" t="s">
        <v>71</v>
      </c>
      <c r="AR399" s="6" t="str">
        <f>HYPERLINK("http://catalog.hathitrust.org/Record/000564167","HathiTrust Record")</f>
        <v>HathiTrust Record</v>
      </c>
      <c r="AS399" s="6" t="str">
        <f>HYPERLINK("https://creighton-primo.hosted.exlibrisgroup.com/primo-explore/search?tab=default_tab&amp;search_scope=EVERYTHING&amp;vid=01CRU&amp;lang=en_US&amp;offset=0&amp;query=any,contains,991000493079702656","Catalog Record")</f>
        <v>Catalog Record</v>
      </c>
      <c r="AT399" s="6" t="str">
        <f>HYPERLINK("http://www.worldcat.org/oclc/11114218","WorldCat Record")</f>
        <v>WorldCat Record</v>
      </c>
      <c r="AU399" s="3" t="s">
        <v>5175</v>
      </c>
      <c r="AV399" s="3" t="s">
        <v>5176</v>
      </c>
      <c r="AW399" s="3" t="s">
        <v>5177</v>
      </c>
      <c r="AX399" s="3" t="s">
        <v>5177</v>
      </c>
      <c r="AY399" s="3" t="s">
        <v>5178</v>
      </c>
      <c r="AZ399" s="3" t="s">
        <v>76</v>
      </c>
      <c r="BB399" s="3" t="s">
        <v>5179</v>
      </c>
      <c r="BC399" s="3" t="s">
        <v>5180</v>
      </c>
      <c r="BD399" s="3" t="s">
        <v>5181</v>
      </c>
    </row>
    <row r="400" spans="1:56" ht="52.5" customHeight="1" x14ac:dyDescent="0.25">
      <c r="A400" s="7" t="s">
        <v>59</v>
      </c>
      <c r="B400" s="2" t="s">
        <v>5182</v>
      </c>
      <c r="C400" s="2" t="s">
        <v>5183</v>
      </c>
      <c r="D400" s="2" t="s">
        <v>5184</v>
      </c>
      <c r="F400" s="3" t="s">
        <v>59</v>
      </c>
      <c r="G400" s="3" t="s">
        <v>60</v>
      </c>
      <c r="H400" s="3" t="s">
        <v>59</v>
      </c>
      <c r="I400" s="3" t="s">
        <v>59</v>
      </c>
      <c r="J400" s="3" t="s">
        <v>61</v>
      </c>
      <c r="K400" s="2" t="s">
        <v>5185</v>
      </c>
      <c r="L400" s="2" t="s">
        <v>5186</v>
      </c>
      <c r="M400" s="3" t="s">
        <v>756</v>
      </c>
      <c r="O400" s="3" t="s">
        <v>65</v>
      </c>
      <c r="P400" s="3" t="s">
        <v>66</v>
      </c>
      <c r="R400" s="3" t="s">
        <v>68</v>
      </c>
      <c r="S400" s="4">
        <v>1</v>
      </c>
      <c r="T400" s="4">
        <v>1</v>
      </c>
      <c r="U400" s="5" t="s">
        <v>5187</v>
      </c>
      <c r="V400" s="5" t="s">
        <v>5187</v>
      </c>
      <c r="W400" s="5" t="s">
        <v>5188</v>
      </c>
      <c r="X400" s="5" t="s">
        <v>5188</v>
      </c>
      <c r="Y400" s="4">
        <v>416</v>
      </c>
      <c r="Z400" s="4">
        <v>367</v>
      </c>
      <c r="AA400" s="4">
        <v>373</v>
      </c>
      <c r="AB400" s="4">
        <v>4</v>
      </c>
      <c r="AC400" s="4">
        <v>4</v>
      </c>
      <c r="AD400" s="4">
        <v>20</v>
      </c>
      <c r="AE400" s="4">
        <v>20</v>
      </c>
      <c r="AF400" s="4">
        <v>6</v>
      </c>
      <c r="AG400" s="4">
        <v>6</v>
      </c>
      <c r="AH400" s="4">
        <v>6</v>
      </c>
      <c r="AI400" s="4">
        <v>6</v>
      </c>
      <c r="AJ400" s="4">
        <v>8</v>
      </c>
      <c r="AK400" s="4">
        <v>8</v>
      </c>
      <c r="AL400" s="4">
        <v>3</v>
      </c>
      <c r="AM400" s="4">
        <v>3</v>
      </c>
      <c r="AN400" s="4">
        <v>0</v>
      </c>
      <c r="AO400" s="4">
        <v>0</v>
      </c>
      <c r="AP400" s="3" t="s">
        <v>59</v>
      </c>
      <c r="AQ400" s="3" t="s">
        <v>71</v>
      </c>
      <c r="AR400" s="6" t="str">
        <f>HYPERLINK("http://catalog.hathitrust.org/Record/000356528","HathiTrust Record")</f>
        <v>HathiTrust Record</v>
      </c>
      <c r="AS400" s="6" t="str">
        <f>HYPERLINK("https://creighton-primo.hosted.exlibrisgroup.com/primo-explore/search?tab=default_tab&amp;search_scope=EVERYTHING&amp;vid=01CRU&amp;lang=en_US&amp;offset=0&amp;query=any,contains,991001374489702656","Catalog Record")</f>
        <v>Catalog Record</v>
      </c>
      <c r="AT400" s="6" t="str">
        <f>HYPERLINK("http://www.worldcat.org/oclc/224516","WorldCat Record")</f>
        <v>WorldCat Record</v>
      </c>
      <c r="AU400" s="3" t="s">
        <v>5189</v>
      </c>
      <c r="AV400" s="3" t="s">
        <v>5190</v>
      </c>
      <c r="AW400" s="3" t="s">
        <v>5191</v>
      </c>
      <c r="AX400" s="3" t="s">
        <v>5191</v>
      </c>
      <c r="AY400" s="3" t="s">
        <v>5192</v>
      </c>
      <c r="AZ400" s="3" t="s">
        <v>76</v>
      </c>
      <c r="BC400" s="3" t="s">
        <v>5193</v>
      </c>
      <c r="BD400" s="3" t="s">
        <v>5194</v>
      </c>
    </row>
    <row r="401" spans="1:56" ht="52.5" customHeight="1" x14ac:dyDescent="0.25">
      <c r="A401" s="7" t="s">
        <v>59</v>
      </c>
      <c r="B401" s="2" t="s">
        <v>5195</v>
      </c>
      <c r="C401" s="2" t="s">
        <v>5196</v>
      </c>
      <c r="D401" s="2" t="s">
        <v>5197</v>
      </c>
      <c r="F401" s="3" t="s">
        <v>59</v>
      </c>
      <c r="G401" s="3" t="s">
        <v>60</v>
      </c>
      <c r="H401" s="3" t="s">
        <v>59</v>
      </c>
      <c r="I401" s="3" t="s">
        <v>59</v>
      </c>
      <c r="J401" s="3" t="s">
        <v>61</v>
      </c>
      <c r="K401" s="2" t="s">
        <v>5198</v>
      </c>
      <c r="L401" s="2" t="s">
        <v>5199</v>
      </c>
      <c r="M401" s="3" t="s">
        <v>1015</v>
      </c>
      <c r="O401" s="3" t="s">
        <v>65</v>
      </c>
      <c r="P401" s="3" t="s">
        <v>66</v>
      </c>
      <c r="R401" s="3" t="s">
        <v>68</v>
      </c>
      <c r="S401" s="4">
        <v>3</v>
      </c>
      <c r="T401" s="4">
        <v>3</v>
      </c>
      <c r="U401" s="5" t="s">
        <v>5200</v>
      </c>
      <c r="V401" s="5" t="s">
        <v>5200</v>
      </c>
      <c r="W401" s="5" t="s">
        <v>5201</v>
      </c>
      <c r="X401" s="5" t="s">
        <v>5201</v>
      </c>
      <c r="Y401" s="4">
        <v>422</v>
      </c>
      <c r="Z401" s="4">
        <v>349</v>
      </c>
      <c r="AA401" s="4">
        <v>631</v>
      </c>
      <c r="AB401" s="4">
        <v>6</v>
      </c>
      <c r="AC401" s="4">
        <v>8</v>
      </c>
      <c r="AD401" s="4">
        <v>19</v>
      </c>
      <c r="AE401" s="4">
        <v>35</v>
      </c>
      <c r="AF401" s="4">
        <v>10</v>
      </c>
      <c r="AG401" s="4">
        <v>17</v>
      </c>
      <c r="AH401" s="4">
        <v>4</v>
      </c>
      <c r="AI401" s="4">
        <v>7</v>
      </c>
      <c r="AJ401" s="4">
        <v>5</v>
      </c>
      <c r="AK401" s="4">
        <v>13</v>
      </c>
      <c r="AL401" s="4">
        <v>5</v>
      </c>
      <c r="AM401" s="4">
        <v>7</v>
      </c>
      <c r="AN401" s="4">
        <v>0</v>
      </c>
      <c r="AO401" s="4">
        <v>0</v>
      </c>
      <c r="AP401" s="3" t="s">
        <v>59</v>
      </c>
      <c r="AQ401" s="3" t="s">
        <v>71</v>
      </c>
      <c r="AR401" s="6" t="str">
        <f>HYPERLINK("http://catalog.hathitrust.org/Record/000354195","HathiTrust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HYPERLINK("https://creighton-primo.hosted.exlibrisgroup.com/primo-explore/search?tab=default_tab&amp;search_scope=EVERYTHING&amp;vid=01CRU&amp;lang=en_US&amp;offset=0&amp;query=any,contains,991001374389702656","Catalog Record")</f>
        <v>Catalog Record</v>
      </c>
      <c r="AT401" s="6" t="str">
        <f>HYPERLINK("http://www.worldcat.org/oclc/224498","WorldCat Record")</f>
        <v>WorldCat Record</v>
      </c>
      <c r="AU401" s="3" t="s">
        <v>5202</v>
      </c>
      <c r="AV401" s="3" t="s">
        <v>5203</v>
      </c>
      <c r="AW401" s="3" t="s">
        <v>5204</v>
      </c>
      <c r="AX401" s="3" t="s">
        <v>5204</v>
      </c>
      <c r="AY401" s="3" t="s">
        <v>5205</v>
      </c>
      <c r="AZ401" s="3" t="s">
        <v>76</v>
      </c>
      <c r="BC401" s="3" t="s">
        <v>5206</v>
      </c>
      <c r="BD401" s="3" t="s">
        <v>5207</v>
      </c>
    </row>
    <row r="402" spans="1:56" ht="52.5" customHeight="1" x14ac:dyDescent="0.25">
      <c r="A402" s="7" t="s">
        <v>59</v>
      </c>
      <c r="B402" s="2" t="s">
        <v>5208</v>
      </c>
      <c r="C402" s="2" t="s">
        <v>5209</v>
      </c>
      <c r="D402" s="2" t="s">
        <v>5210</v>
      </c>
      <c r="F402" s="3" t="s">
        <v>59</v>
      </c>
      <c r="G402" s="3" t="s">
        <v>60</v>
      </c>
      <c r="H402" s="3" t="s">
        <v>59</v>
      </c>
      <c r="I402" s="3" t="s">
        <v>59</v>
      </c>
      <c r="J402" s="3" t="s">
        <v>61</v>
      </c>
      <c r="K402" s="2" t="s">
        <v>5211</v>
      </c>
      <c r="L402" s="2" t="s">
        <v>5212</v>
      </c>
      <c r="M402" s="3" t="s">
        <v>64</v>
      </c>
      <c r="O402" s="3" t="s">
        <v>65</v>
      </c>
      <c r="P402" s="3" t="s">
        <v>66</v>
      </c>
      <c r="R402" s="3" t="s">
        <v>68</v>
      </c>
      <c r="S402" s="4">
        <v>3</v>
      </c>
      <c r="T402" s="4">
        <v>3</v>
      </c>
      <c r="U402" s="5" t="s">
        <v>1803</v>
      </c>
      <c r="V402" s="5" t="s">
        <v>1803</v>
      </c>
      <c r="W402" s="5" t="s">
        <v>4775</v>
      </c>
      <c r="X402" s="5" t="s">
        <v>4775</v>
      </c>
      <c r="Y402" s="4">
        <v>411</v>
      </c>
      <c r="Z402" s="4">
        <v>359</v>
      </c>
      <c r="AA402" s="4">
        <v>382</v>
      </c>
      <c r="AB402" s="4">
        <v>3</v>
      </c>
      <c r="AC402" s="4">
        <v>3</v>
      </c>
      <c r="AD402" s="4">
        <v>21</v>
      </c>
      <c r="AE402" s="4">
        <v>23</v>
      </c>
      <c r="AF402" s="4">
        <v>7</v>
      </c>
      <c r="AG402" s="4">
        <v>9</v>
      </c>
      <c r="AH402" s="4">
        <v>5</v>
      </c>
      <c r="AI402" s="4">
        <v>5</v>
      </c>
      <c r="AJ402" s="4">
        <v>11</v>
      </c>
      <c r="AK402" s="4">
        <v>12</v>
      </c>
      <c r="AL402" s="4">
        <v>2</v>
      </c>
      <c r="AM402" s="4">
        <v>2</v>
      </c>
      <c r="AN402" s="4">
        <v>0</v>
      </c>
      <c r="AO402" s="4">
        <v>0</v>
      </c>
      <c r="AP402" s="3" t="s">
        <v>59</v>
      </c>
      <c r="AQ402" s="3" t="s">
        <v>71</v>
      </c>
      <c r="AR402" s="6" t="str">
        <f>HYPERLINK("http://catalog.hathitrust.org/Record/000356537","HathiTrust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HYPERLINK("https://creighton-primo.hosted.exlibrisgroup.com/primo-explore/search?tab=default_tab&amp;search_scope=EVERYTHING&amp;vid=01CRU&amp;lang=en_US&amp;offset=0&amp;query=any,contains,991002022869702656","Catalog Record")</f>
        <v>Catalog Record</v>
      </c>
      <c r="AT402" s="6" t="str">
        <f>HYPERLINK("http://www.worldcat.org/oclc/259473","WorldCat Record")</f>
        <v>WorldCat Record</v>
      </c>
      <c r="AU402" s="3" t="s">
        <v>5213</v>
      </c>
      <c r="AV402" s="3" t="s">
        <v>5214</v>
      </c>
      <c r="AW402" s="3" t="s">
        <v>5215</v>
      </c>
      <c r="AX402" s="3" t="s">
        <v>5215</v>
      </c>
      <c r="AY402" s="3" t="s">
        <v>5216</v>
      </c>
      <c r="AZ402" s="3" t="s">
        <v>76</v>
      </c>
      <c r="BC402" s="3" t="s">
        <v>5217</v>
      </c>
      <c r="BD402" s="3" t="s">
        <v>5218</v>
      </c>
    </row>
    <row r="403" spans="1:56" ht="52.5" customHeight="1" x14ac:dyDescent="0.25">
      <c r="A403" s="7" t="s">
        <v>59</v>
      </c>
      <c r="B403" s="2" t="s">
        <v>5219</v>
      </c>
      <c r="C403" s="2" t="s">
        <v>5220</v>
      </c>
      <c r="D403" s="2" t="s">
        <v>5221</v>
      </c>
      <c r="F403" s="3" t="s">
        <v>59</v>
      </c>
      <c r="G403" s="3" t="s">
        <v>60</v>
      </c>
      <c r="H403" s="3" t="s">
        <v>59</v>
      </c>
      <c r="I403" s="3" t="s">
        <v>59</v>
      </c>
      <c r="J403" s="3" t="s">
        <v>61</v>
      </c>
      <c r="L403" s="2" t="s">
        <v>698</v>
      </c>
      <c r="M403" s="3" t="s">
        <v>684</v>
      </c>
      <c r="O403" s="3" t="s">
        <v>65</v>
      </c>
      <c r="P403" s="3" t="s">
        <v>699</v>
      </c>
      <c r="R403" s="3" t="s">
        <v>68</v>
      </c>
      <c r="S403" s="4">
        <v>2</v>
      </c>
      <c r="T403" s="4">
        <v>2</v>
      </c>
      <c r="U403" s="5" t="s">
        <v>5222</v>
      </c>
      <c r="V403" s="5" t="s">
        <v>5222</v>
      </c>
      <c r="W403" s="5" t="s">
        <v>5223</v>
      </c>
      <c r="X403" s="5" t="s">
        <v>5223</v>
      </c>
      <c r="Y403" s="4">
        <v>386</v>
      </c>
      <c r="Z403" s="4">
        <v>306</v>
      </c>
      <c r="AA403" s="4">
        <v>334</v>
      </c>
      <c r="AB403" s="4">
        <v>3</v>
      </c>
      <c r="AC403" s="4">
        <v>3</v>
      </c>
      <c r="AD403" s="4">
        <v>14</v>
      </c>
      <c r="AE403" s="4">
        <v>14</v>
      </c>
      <c r="AF403" s="4">
        <v>4</v>
      </c>
      <c r="AG403" s="4">
        <v>4</v>
      </c>
      <c r="AH403" s="4">
        <v>4</v>
      </c>
      <c r="AI403" s="4">
        <v>4</v>
      </c>
      <c r="AJ403" s="4">
        <v>9</v>
      </c>
      <c r="AK403" s="4">
        <v>9</v>
      </c>
      <c r="AL403" s="4">
        <v>2</v>
      </c>
      <c r="AM403" s="4">
        <v>2</v>
      </c>
      <c r="AN403" s="4">
        <v>0</v>
      </c>
      <c r="AO403" s="4">
        <v>0</v>
      </c>
      <c r="AP403" s="3" t="s">
        <v>59</v>
      </c>
      <c r="AQ403" s="3" t="s">
        <v>59</v>
      </c>
      <c r="AS403" s="6" t="str">
        <f>HYPERLINK("https://creighton-primo.hosted.exlibrisgroup.com/primo-explore/search?tab=default_tab&amp;search_scope=EVERYTHING&amp;vid=01CRU&amp;lang=en_US&amp;offset=0&amp;query=any,contains,991005168709702656","Catalog Record")</f>
        <v>Catalog Record</v>
      </c>
      <c r="AT403" s="6" t="str">
        <f>HYPERLINK("http://www.worldcat.org/oclc/7837609","WorldCat Record")</f>
        <v>WorldCat Record</v>
      </c>
      <c r="AU403" s="3" t="s">
        <v>5224</v>
      </c>
      <c r="AV403" s="3" t="s">
        <v>5225</v>
      </c>
      <c r="AW403" s="3" t="s">
        <v>5226</v>
      </c>
      <c r="AX403" s="3" t="s">
        <v>5226</v>
      </c>
      <c r="AY403" s="3" t="s">
        <v>5227</v>
      </c>
      <c r="AZ403" s="3" t="s">
        <v>76</v>
      </c>
      <c r="BB403" s="3" t="s">
        <v>5228</v>
      </c>
      <c r="BC403" s="3" t="s">
        <v>5229</v>
      </c>
      <c r="BD403" s="3" t="s">
        <v>5230</v>
      </c>
    </row>
    <row r="404" spans="1:56" ht="52.5" customHeight="1" x14ac:dyDescent="0.25">
      <c r="A404" s="7" t="s">
        <v>59</v>
      </c>
      <c r="B404" s="2" t="s">
        <v>5231</v>
      </c>
      <c r="C404" s="2" t="s">
        <v>5232</v>
      </c>
      <c r="D404" s="2" t="s">
        <v>5233</v>
      </c>
      <c r="F404" s="3" t="s">
        <v>59</v>
      </c>
      <c r="G404" s="3" t="s">
        <v>60</v>
      </c>
      <c r="H404" s="3" t="s">
        <v>59</v>
      </c>
      <c r="I404" s="3" t="s">
        <v>59</v>
      </c>
      <c r="J404" s="3" t="s">
        <v>61</v>
      </c>
      <c r="K404" s="2" t="s">
        <v>5234</v>
      </c>
      <c r="L404" s="2" t="s">
        <v>4657</v>
      </c>
      <c r="M404" s="3" t="s">
        <v>148</v>
      </c>
      <c r="O404" s="3" t="s">
        <v>65</v>
      </c>
      <c r="P404" s="3" t="s">
        <v>420</v>
      </c>
      <c r="R404" s="3" t="s">
        <v>68</v>
      </c>
      <c r="S404" s="4">
        <v>7</v>
      </c>
      <c r="T404" s="4">
        <v>7</v>
      </c>
      <c r="U404" s="5" t="s">
        <v>5235</v>
      </c>
      <c r="V404" s="5" t="s">
        <v>5235</v>
      </c>
      <c r="W404" s="5" t="s">
        <v>5223</v>
      </c>
      <c r="X404" s="5" t="s">
        <v>5223</v>
      </c>
      <c r="Y404" s="4">
        <v>513</v>
      </c>
      <c r="Z404" s="4">
        <v>391</v>
      </c>
      <c r="AA404" s="4">
        <v>391</v>
      </c>
      <c r="AB404" s="4">
        <v>3</v>
      </c>
      <c r="AC404" s="4">
        <v>3</v>
      </c>
      <c r="AD404" s="4">
        <v>15</v>
      </c>
      <c r="AE404" s="4">
        <v>15</v>
      </c>
      <c r="AF404" s="4">
        <v>6</v>
      </c>
      <c r="AG404" s="4">
        <v>6</v>
      </c>
      <c r="AH404" s="4">
        <v>2</v>
      </c>
      <c r="AI404" s="4">
        <v>2</v>
      </c>
      <c r="AJ404" s="4">
        <v>10</v>
      </c>
      <c r="AK404" s="4">
        <v>10</v>
      </c>
      <c r="AL404" s="4">
        <v>2</v>
      </c>
      <c r="AM404" s="4">
        <v>2</v>
      </c>
      <c r="AN404" s="4">
        <v>0</v>
      </c>
      <c r="AO404" s="4">
        <v>0</v>
      </c>
      <c r="AP404" s="3" t="s">
        <v>59</v>
      </c>
      <c r="AQ404" s="3" t="s">
        <v>59</v>
      </c>
      <c r="AS404" s="6" t="str">
        <f>HYPERLINK("https://creighton-primo.hosted.exlibrisgroup.com/primo-explore/search?tab=default_tab&amp;search_scope=EVERYTHING&amp;vid=01CRU&amp;lang=en_US&amp;offset=0&amp;query=any,contains,991003982069702656","Catalog Record")</f>
        <v>Catalog Record</v>
      </c>
      <c r="AT404" s="6" t="str">
        <f>HYPERLINK("http://www.worldcat.org/oclc/2020606","WorldCat Record")</f>
        <v>WorldCat Record</v>
      </c>
      <c r="AU404" s="3" t="s">
        <v>5236</v>
      </c>
      <c r="AV404" s="3" t="s">
        <v>5237</v>
      </c>
      <c r="AW404" s="3" t="s">
        <v>5238</v>
      </c>
      <c r="AX404" s="3" t="s">
        <v>5238</v>
      </c>
      <c r="AY404" s="3" t="s">
        <v>5239</v>
      </c>
      <c r="AZ404" s="3" t="s">
        <v>76</v>
      </c>
      <c r="BB404" s="3" t="s">
        <v>5240</v>
      </c>
      <c r="BC404" s="3" t="s">
        <v>5241</v>
      </c>
      <c r="BD404" s="3" t="s">
        <v>5242</v>
      </c>
    </row>
    <row r="405" spans="1:56" ht="52.5" customHeight="1" x14ac:dyDescent="0.25">
      <c r="A405" s="7" t="s">
        <v>59</v>
      </c>
      <c r="B405" s="2" t="s">
        <v>5243</v>
      </c>
      <c r="C405" s="2" t="s">
        <v>5244</v>
      </c>
      <c r="D405" s="2" t="s">
        <v>5245</v>
      </c>
      <c r="F405" s="3" t="s">
        <v>59</v>
      </c>
      <c r="G405" s="3" t="s">
        <v>60</v>
      </c>
      <c r="H405" s="3" t="s">
        <v>59</v>
      </c>
      <c r="I405" s="3" t="s">
        <v>59</v>
      </c>
      <c r="J405" s="3" t="s">
        <v>61</v>
      </c>
      <c r="K405" s="2" t="s">
        <v>5234</v>
      </c>
      <c r="L405" s="2" t="s">
        <v>4657</v>
      </c>
      <c r="M405" s="3" t="s">
        <v>148</v>
      </c>
      <c r="N405" s="2" t="s">
        <v>1289</v>
      </c>
      <c r="O405" s="3" t="s">
        <v>65</v>
      </c>
      <c r="P405" s="3" t="s">
        <v>420</v>
      </c>
      <c r="R405" s="3" t="s">
        <v>68</v>
      </c>
      <c r="S405" s="4">
        <v>7</v>
      </c>
      <c r="T405" s="4">
        <v>7</v>
      </c>
      <c r="U405" s="5" t="s">
        <v>5246</v>
      </c>
      <c r="V405" s="5" t="s">
        <v>5246</v>
      </c>
      <c r="W405" s="5" t="s">
        <v>5188</v>
      </c>
      <c r="X405" s="5" t="s">
        <v>5188</v>
      </c>
      <c r="Y405" s="4">
        <v>440</v>
      </c>
      <c r="Z405" s="4">
        <v>314</v>
      </c>
      <c r="AA405" s="4">
        <v>788</v>
      </c>
      <c r="AB405" s="4">
        <v>5</v>
      </c>
      <c r="AC405" s="4">
        <v>7</v>
      </c>
      <c r="AD405" s="4">
        <v>14</v>
      </c>
      <c r="AE405" s="4">
        <v>38</v>
      </c>
      <c r="AF405" s="4">
        <v>6</v>
      </c>
      <c r="AG405" s="4">
        <v>18</v>
      </c>
      <c r="AH405" s="4">
        <v>2</v>
      </c>
      <c r="AI405" s="4">
        <v>6</v>
      </c>
      <c r="AJ405" s="4">
        <v>7</v>
      </c>
      <c r="AK405" s="4">
        <v>18</v>
      </c>
      <c r="AL405" s="4">
        <v>4</v>
      </c>
      <c r="AM405" s="4">
        <v>6</v>
      </c>
      <c r="AN405" s="4">
        <v>0</v>
      </c>
      <c r="AO405" s="4">
        <v>0</v>
      </c>
      <c r="AP405" s="3" t="s">
        <v>59</v>
      </c>
      <c r="AQ405" s="3" t="s">
        <v>59</v>
      </c>
      <c r="AS405" s="6" t="str">
        <f>HYPERLINK("https://creighton-primo.hosted.exlibrisgroup.com/primo-explore/search?tab=default_tab&amp;search_scope=EVERYTHING&amp;vid=01CRU&amp;lang=en_US&amp;offset=0&amp;query=any,contains,991003981649702656","Catalog Record")</f>
        <v>Catalog Record</v>
      </c>
      <c r="AT405" s="6" t="str">
        <f>HYPERLINK("http://www.worldcat.org/oclc/2020488","WorldCat Record")</f>
        <v>WorldCat Record</v>
      </c>
      <c r="AU405" s="3" t="s">
        <v>5247</v>
      </c>
      <c r="AV405" s="3" t="s">
        <v>5248</v>
      </c>
      <c r="AW405" s="3" t="s">
        <v>5249</v>
      </c>
      <c r="AX405" s="3" t="s">
        <v>5249</v>
      </c>
      <c r="AY405" s="3" t="s">
        <v>5250</v>
      </c>
      <c r="AZ405" s="3" t="s">
        <v>76</v>
      </c>
      <c r="BB405" s="3" t="s">
        <v>5251</v>
      </c>
      <c r="BC405" s="3" t="s">
        <v>5252</v>
      </c>
      <c r="BD405" s="3" t="s">
        <v>5253</v>
      </c>
    </row>
    <row r="406" spans="1:56" ht="52.5" customHeight="1" x14ac:dyDescent="0.25">
      <c r="A406" s="7" t="s">
        <v>59</v>
      </c>
      <c r="B406" s="2" t="s">
        <v>5254</v>
      </c>
      <c r="C406" s="2" t="s">
        <v>5255</v>
      </c>
      <c r="D406" s="2" t="s">
        <v>5256</v>
      </c>
      <c r="F406" s="3" t="s">
        <v>59</v>
      </c>
      <c r="G406" s="3" t="s">
        <v>60</v>
      </c>
      <c r="H406" s="3" t="s">
        <v>59</v>
      </c>
      <c r="I406" s="3" t="s">
        <v>59</v>
      </c>
      <c r="J406" s="3" t="s">
        <v>61</v>
      </c>
      <c r="K406" s="2" t="s">
        <v>5257</v>
      </c>
      <c r="L406" s="2" t="s">
        <v>5258</v>
      </c>
      <c r="M406" s="3" t="s">
        <v>1868</v>
      </c>
      <c r="O406" s="3" t="s">
        <v>65</v>
      </c>
      <c r="P406" s="3" t="s">
        <v>771</v>
      </c>
      <c r="Q406" s="2" t="s">
        <v>5259</v>
      </c>
      <c r="R406" s="3" t="s">
        <v>68</v>
      </c>
      <c r="S406" s="4">
        <v>5</v>
      </c>
      <c r="T406" s="4">
        <v>5</v>
      </c>
      <c r="U406" s="5" t="s">
        <v>1803</v>
      </c>
      <c r="V406" s="5" t="s">
        <v>1803</v>
      </c>
      <c r="W406" s="5" t="s">
        <v>5260</v>
      </c>
      <c r="X406" s="5" t="s">
        <v>5260</v>
      </c>
      <c r="Y406" s="4">
        <v>764</v>
      </c>
      <c r="Z406" s="4">
        <v>631</v>
      </c>
      <c r="AA406" s="4">
        <v>742</v>
      </c>
      <c r="AB406" s="4">
        <v>4</v>
      </c>
      <c r="AC406" s="4">
        <v>5</v>
      </c>
      <c r="AD406" s="4">
        <v>27</v>
      </c>
      <c r="AE406" s="4">
        <v>35</v>
      </c>
      <c r="AF406" s="4">
        <v>13</v>
      </c>
      <c r="AG406" s="4">
        <v>17</v>
      </c>
      <c r="AH406" s="4">
        <v>6</v>
      </c>
      <c r="AI406" s="4">
        <v>6</v>
      </c>
      <c r="AJ406" s="4">
        <v>11</v>
      </c>
      <c r="AK406" s="4">
        <v>15</v>
      </c>
      <c r="AL406" s="4">
        <v>3</v>
      </c>
      <c r="AM406" s="4">
        <v>4</v>
      </c>
      <c r="AN406" s="4">
        <v>0</v>
      </c>
      <c r="AO406" s="4">
        <v>0</v>
      </c>
      <c r="AP406" s="3" t="s">
        <v>59</v>
      </c>
      <c r="AQ406" s="3" t="s">
        <v>59</v>
      </c>
      <c r="AR406" s="6" t="str">
        <f>HYPERLINK("http://catalog.hathitrust.org/Record/000355368","HathiTrust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HYPERLINK("https://creighton-primo.hosted.exlibrisgroup.com/primo-explore/search?tab=default_tab&amp;search_scope=EVERYTHING&amp;vid=01CRU&amp;lang=en_US&amp;offset=0&amp;query=any,contains,991002159699702656","Catalog Record")</f>
        <v>Catalog Record</v>
      </c>
      <c r="AT406" s="6" t="str">
        <f>HYPERLINK("http://www.worldcat.org/oclc/273629","WorldCat Record")</f>
        <v>WorldCat Record</v>
      </c>
      <c r="AU406" s="3" t="s">
        <v>5261</v>
      </c>
      <c r="AV406" s="3" t="s">
        <v>5262</v>
      </c>
      <c r="AW406" s="3" t="s">
        <v>5263</v>
      </c>
      <c r="AX406" s="3" t="s">
        <v>5263</v>
      </c>
      <c r="AY406" s="3" t="s">
        <v>5264</v>
      </c>
      <c r="AZ406" s="3" t="s">
        <v>76</v>
      </c>
      <c r="BC406" s="3" t="s">
        <v>5265</v>
      </c>
      <c r="BD406" s="3" t="s">
        <v>5266</v>
      </c>
    </row>
    <row r="407" spans="1:56" ht="52.5" customHeight="1" x14ac:dyDescent="0.25">
      <c r="A407" s="7" t="s">
        <v>59</v>
      </c>
      <c r="B407" s="2" t="s">
        <v>5267</v>
      </c>
      <c r="C407" s="2" t="s">
        <v>5268</v>
      </c>
      <c r="D407" s="2" t="s">
        <v>5269</v>
      </c>
      <c r="F407" s="3" t="s">
        <v>59</v>
      </c>
      <c r="G407" s="3" t="s">
        <v>60</v>
      </c>
      <c r="H407" s="3" t="s">
        <v>59</v>
      </c>
      <c r="I407" s="3" t="s">
        <v>59</v>
      </c>
      <c r="J407" s="3" t="s">
        <v>61</v>
      </c>
      <c r="L407" s="2" t="s">
        <v>5270</v>
      </c>
      <c r="M407" s="3" t="s">
        <v>100</v>
      </c>
      <c r="O407" s="3" t="s">
        <v>65</v>
      </c>
      <c r="P407" s="3" t="s">
        <v>66</v>
      </c>
      <c r="R407" s="3" t="s">
        <v>68</v>
      </c>
      <c r="S407" s="4">
        <v>2</v>
      </c>
      <c r="T407" s="4">
        <v>2</v>
      </c>
      <c r="U407" s="5" t="s">
        <v>2313</v>
      </c>
      <c r="V407" s="5" t="s">
        <v>2313</v>
      </c>
      <c r="W407" s="5" t="s">
        <v>3522</v>
      </c>
      <c r="X407" s="5" t="s">
        <v>3522</v>
      </c>
      <c r="Y407" s="4">
        <v>541</v>
      </c>
      <c r="Z407" s="4">
        <v>416</v>
      </c>
      <c r="AA407" s="4">
        <v>451</v>
      </c>
      <c r="AB407" s="4">
        <v>3</v>
      </c>
      <c r="AC407" s="4">
        <v>3</v>
      </c>
      <c r="AD407" s="4">
        <v>21</v>
      </c>
      <c r="AE407" s="4">
        <v>23</v>
      </c>
      <c r="AF407" s="4">
        <v>6</v>
      </c>
      <c r="AG407" s="4">
        <v>7</v>
      </c>
      <c r="AH407" s="4">
        <v>7</v>
      </c>
      <c r="AI407" s="4">
        <v>8</v>
      </c>
      <c r="AJ407" s="4">
        <v>12</v>
      </c>
      <c r="AK407" s="4">
        <v>12</v>
      </c>
      <c r="AL407" s="4">
        <v>2</v>
      </c>
      <c r="AM407" s="4">
        <v>2</v>
      </c>
      <c r="AN407" s="4">
        <v>0</v>
      </c>
      <c r="AO407" s="4">
        <v>0</v>
      </c>
      <c r="AP407" s="3" t="s">
        <v>59</v>
      </c>
      <c r="AQ407" s="3" t="s">
        <v>71</v>
      </c>
      <c r="AR407" s="6" t="str">
        <f>HYPERLINK("http://catalog.hathitrust.org/Record/000356690","HathiTrust Record")</f>
        <v>HathiTrust Record</v>
      </c>
      <c r="AS407" s="6" t="str">
        <f>HYPERLINK("https://creighton-primo.hosted.exlibrisgroup.com/primo-explore/search?tab=default_tab&amp;search_scope=EVERYTHING&amp;vid=01CRU&amp;lang=en_US&amp;offset=0&amp;query=any,contains,991000881009702656","Catalog Record")</f>
        <v>Catalog Record</v>
      </c>
      <c r="AT407" s="6" t="str">
        <f>HYPERLINK("http://www.worldcat.org/oclc/152315","WorldCat Record")</f>
        <v>WorldCat Record</v>
      </c>
      <c r="AU407" s="3" t="s">
        <v>5271</v>
      </c>
      <c r="AV407" s="3" t="s">
        <v>5272</v>
      </c>
      <c r="AW407" s="3" t="s">
        <v>5273</v>
      </c>
      <c r="AX407" s="3" t="s">
        <v>5273</v>
      </c>
      <c r="AY407" s="3" t="s">
        <v>5274</v>
      </c>
      <c r="AZ407" s="3" t="s">
        <v>76</v>
      </c>
      <c r="BB407" s="3" t="s">
        <v>5275</v>
      </c>
      <c r="BC407" s="3" t="s">
        <v>5276</v>
      </c>
      <c r="BD407" s="3" t="s">
        <v>5277</v>
      </c>
    </row>
    <row r="408" spans="1:56" ht="52.5" customHeight="1" x14ac:dyDescent="0.25">
      <c r="A408" s="7" t="s">
        <v>59</v>
      </c>
      <c r="B408" s="2" t="s">
        <v>5278</v>
      </c>
      <c r="C408" s="2" t="s">
        <v>5279</v>
      </c>
      <c r="D408" s="2" t="s">
        <v>5280</v>
      </c>
      <c r="F408" s="3" t="s">
        <v>59</v>
      </c>
      <c r="G408" s="3" t="s">
        <v>60</v>
      </c>
      <c r="H408" s="3" t="s">
        <v>59</v>
      </c>
      <c r="I408" s="3" t="s">
        <v>59</v>
      </c>
      <c r="J408" s="3" t="s">
        <v>61</v>
      </c>
      <c r="K408" s="2" t="s">
        <v>5281</v>
      </c>
      <c r="L408" s="2" t="s">
        <v>5282</v>
      </c>
      <c r="M408" s="3" t="s">
        <v>309</v>
      </c>
      <c r="O408" s="3" t="s">
        <v>65</v>
      </c>
      <c r="P408" s="3" t="s">
        <v>283</v>
      </c>
      <c r="Q408" s="2" t="s">
        <v>5283</v>
      </c>
      <c r="R408" s="3" t="s">
        <v>68</v>
      </c>
      <c r="S408" s="4">
        <v>4</v>
      </c>
      <c r="T408" s="4">
        <v>4</v>
      </c>
      <c r="U408" s="5" t="s">
        <v>5284</v>
      </c>
      <c r="V408" s="5" t="s">
        <v>5284</v>
      </c>
      <c r="W408" s="5" t="s">
        <v>773</v>
      </c>
      <c r="X408" s="5" t="s">
        <v>773</v>
      </c>
      <c r="Y408" s="4">
        <v>325</v>
      </c>
      <c r="Z408" s="4">
        <v>260</v>
      </c>
      <c r="AA408" s="4">
        <v>260</v>
      </c>
      <c r="AB408" s="4">
        <v>2</v>
      </c>
      <c r="AC408" s="4">
        <v>2</v>
      </c>
      <c r="AD408" s="4">
        <v>8</v>
      </c>
      <c r="AE408" s="4">
        <v>8</v>
      </c>
      <c r="AF408" s="4">
        <v>3</v>
      </c>
      <c r="AG408" s="4">
        <v>3</v>
      </c>
      <c r="AH408" s="4">
        <v>1</v>
      </c>
      <c r="AI408" s="4">
        <v>1</v>
      </c>
      <c r="AJ408" s="4">
        <v>4</v>
      </c>
      <c r="AK408" s="4">
        <v>4</v>
      </c>
      <c r="AL408" s="4">
        <v>1</v>
      </c>
      <c r="AM408" s="4">
        <v>1</v>
      </c>
      <c r="AN408" s="4">
        <v>0</v>
      </c>
      <c r="AO408" s="4">
        <v>0</v>
      </c>
      <c r="AP408" s="3" t="s">
        <v>59</v>
      </c>
      <c r="AQ408" s="3" t="s">
        <v>59</v>
      </c>
      <c r="AS408" s="6" t="str">
        <f>HYPERLINK("https://creighton-primo.hosted.exlibrisgroup.com/primo-explore/search?tab=default_tab&amp;search_scope=EVERYTHING&amp;vid=01CRU&amp;lang=en_US&amp;offset=0&amp;query=any,contains,991004517579702656","Catalog Record")</f>
        <v>Catalog Record</v>
      </c>
      <c r="AT408" s="6" t="str">
        <f>HYPERLINK("http://www.worldcat.org/oclc/3794403","WorldCat Record")</f>
        <v>WorldCat Record</v>
      </c>
      <c r="AU408" s="3" t="s">
        <v>5285</v>
      </c>
      <c r="AV408" s="3" t="s">
        <v>5286</v>
      </c>
      <c r="AW408" s="3" t="s">
        <v>5287</v>
      </c>
      <c r="AX408" s="3" t="s">
        <v>5287</v>
      </c>
      <c r="AY408" s="3" t="s">
        <v>5288</v>
      </c>
      <c r="AZ408" s="3" t="s">
        <v>76</v>
      </c>
      <c r="BB408" s="3" t="s">
        <v>5289</v>
      </c>
      <c r="BC408" s="3" t="s">
        <v>5290</v>
      </c>
      <c r="BD408" s="3" t="s">
        <v>5291</v>
      </c>
    </row>
    <row r="409" spans="1:56" ht="52.5" customHeight="1" x14ac:dyDescent="0.25">
      <c r="A409" s="7" t="s">
        <v>59</v>
      </c>
      <c r="B409" s="2" t="s">
        <v>5292</v>
      </c>
      <c r="C409" s="2" t="s">
        <v>5293</v>
      </c>
      <c r="D409" s="2" t="s">
        <v>5294</v>
      </c>
      <c r="F409" s="3" t="s">
        <v>59</v>
      </c>
      <c r="G409" s="3" t="s">
        <v>60</v>
      </c>
      <c r="H409" s="3" t="s">
        <v>59</v>
      </c>
      <c r="I409" s="3" t="s">
        <v>59</v>
      </c>
      <c r="J409" s="3" t="s">
        <v>61</v>
      </c>
      <c r="K409" s="2" t="s">
        <v>5295</v>
      </c>
      <c r="L409" s="2" t="s">
        <v>5296</v>
      </c>
      <c r="M409" s="3" t="s">
        <v>1000</v>
      </c>
      <c r="O409" s="3" t="s">
        <v>65</v>
      </c>
      <c r="P409" s="3" t="s">
        <v>66</v>
      </c>
      <c r="R409" s="3" t="s">
        <v>68</v>
      </c>
      <c r="S409" s="4">
        <v>3</v>
      </c>
      <c r="T409" s="4">
        <v>3</v>
      </c>
      <c r="U409" s="5" t="s">
        <v>5297</v>
      </c>
      <c r="V409" s="5" t="s">
        <v>5297</v>
      </c>
      <c r="W409" s="5" t="s">
        <v>3874</v>
      </c>
      <c r="X409" s="5" t="s">
        <v>3874</v>
      </c>
      <c r="Y409" s="4">
        <v>389</v>
      </c>
      <c r="Z409" s="4">
        <v>352</v>
      </c>
      <c r="AA409" s="4">
        <v>394</v>
      </c>
      <c r="AB409" s="4">
        <v>4</v>
      </c>
      <c r="AC409" s="4">
        <v>4</v>
      </c>
      <c r="AD409" s="4">
        <v>9</v>
      </c>
      <c r="AE409" s="4">
        <v>9</v>
      </c>
      <c r="AF409" s="4">
        <v>5</v>
      </c>
      <c r="AG409" s="4">
        <v>5</v>
      </c>
      <c r="AH409" s="4">
        <v>1</v>
      </c>
      <c r="AI409" s="4">
        <v>1</v>
      </c>
      <c r="AJ409" s="4">
        <v>4</v>
      </c>
      <c r="AK409" s="4">
        <v>4</v>
      </c>
      <c r="AL409" s="4">
        <v>2</v>
      </c>
      <c r="AM409" s="4">
        <v>2</v>
      </c>
      <c r="AN409" s="4">
        <v>0</v>
      </c>
      <c r="AO409" s="4">
        <v>0</v>
      </c>
      <c r="AP409" s="3" t="s">
        <v>59</v>
      </c>
      <c r="AQ409" s="3" t="s">
        <v>59</v>
      </c>
      <c r="AS409" s="6" t="str">
        <f>HYPERLINK("https://creighton-primo.hosted.exlibrisgroup.com/primo-explore/search?tab=default_tab&amp;search_scope=EVERYTHING&amp;vid=01CRU&amp;lang=en_US&amp;offset=0&amp;query=any,contains,991004605529702656","Catalog Record")</f>
        <v>Catalog Record</v>
      </c>
      <c r="AT409" s="6" t="str">
        <f>HYPERLINK("http://www.worldcat.org/oclc/4194330","WorldCat Record")</f>
        <v>WorldCat Record</v>
      </c>
      <c r="AU409" s="3" t="s">
        <v>5298</v>
      </c>
      <c r="AV409" s="3" t="s">
        <v>5299</v>
      </c>
      <c r="AW409" s="3" t="s">
        <v>5300</v>
      </c>
      <c r="AX409" s="3" t="s">
        <v>5300</v>
      </c>
      <c r="AY409" s="3" t="s">
        <v>5301</v>
      </c>
      <c r="AZ409" s="3" t="s">
        <v>76</v>
      </c>
      <c r="BB409" s="3" t="s">
        <v>5302</v>
      </c>
      <c r="BC409" s="3" t="s">
        <v>5303</v>
      </c>
      <c r="BD409" s="3" t="s">
        <v>5304</v>
      </c>
    </row>
    <row r="410" spans="1:56" ht="52.5" customHeight="1" x14ac:dyDescent="0.25">
      <c r="A410" s="7" t="s">
        <v>59</v>
      </c>
      <c r="B410" s="2" t="s">
        <v>5305</v>
      </c>
      <c r="C410" s="2" t="s">
        <v>5306</v>
      </c>
      <c r="D410" s="2" t="s">
        <v>5307</v>
      </c>
      <c r="F410" s="3" t="s">
        <v>59</v>
      </c>
      <c r="G410" s="3" t="s">
        <v>60</v>
      </c>
      <c r="H410" s="3" t="s">
        <v>59</v>
      </c>
      <c r="I410" s="3" t="s">
        <v>59</v>
      </c>
      <c r="J410" s="3" t="s">
        <v>61</v>
      </c>
      <c r="K410" s="2" t="s">
        <v>5308</v>
      </c>
      <c r="L410" s="2" t="s">
        <v>5309</v>
      </c>
      <c r="M410" s="3" t="s">
        <v>350</v>
      </c>
      <c r="O410" s="3" t="s">
        <v>65</v>
      </c>
      <c r="P410" s="3" t="s">
        <v>296</v>
      </c>
      <c r="R410" s="3" t="s">
        <v>68</v>
      </c>
      <c r="S410" s="4">
        <v>4</v>
      </c>
      <c r="T410" s="4">
        <v>4</v>
      </c>
      <c r="U410" s="5" t="s">
        <v>5297</v>
      </c>
      <c r="V410" s="5" t="s">
        <v>5297</v>
      </c>
      <c r="W410" s="5" t="s">
        <v>5079</v>
      </c>
      <c r="X410" s="5" t="s">
        <v>5079</v>
      </c>
      <c r="Y410" s="4">
        <v>272</v>
      </c>
      <c r="Z410" s="4">
        <v>245</v>
      </c>
      <c r="AA410" s="4">
        <v>250</v>
      </c>
      <c r="AB410" s="4">
        <v>3</v>
      </c>
      <c r="AC410" s="4">
        <v>3</v>
      </c>
      <c r="AD410" s="4">
        <v>6</v>
      </c>
      <c r="AE410" s="4">
        <v>6</v>
      </c>
      <c r="AF410" s="4">
        <v>3</v>
      </c>
      <c r="AG410" s="4">
        <v>3</v>
      </c>
      <c r="AH410" s="4">
        <v>1</v>
      </c>
      <c r="AI410" s="4">
        <v>1</v>
      </c>
      <c r="AJ410" s="4">
        <v>3</v>
      </c>
      <c r="AK410" s="4">
        <v>3</v>
      </c>
      <c r="AL410" s="4">
        <v>2</v>
      </c>
      <c r="AM410" s="4">
        <v>2</v>
      </c>
      <c r="AN410" s="4">
        <v>0</v>
      </c>
      <c r="AO410" s="4">
        <v>0</v>
      </c>
      <c r="AP410" s="3" t="s">
        <v>59</v>
      </c>
      <c r="AQ410" s="3" t="s">
        <v>59</v>
      </c>
      <c r="AS410" s="6" t="str">
        <f>HYPERLINK("https://creighton-primo.hosted.exlibrisgroup.com/primo-explore/search?tab=default_tab&amp;search_scope=EVERYTHING&amp;vid=01CRU&amp;lang=en_US&amp;offset=0&amp;query=any,contains,991004369909702656","Catalog Record")</f>
        <v>Catalog Record</v>
      </c>
      <c r="AT410" s="6" t="str">
        <f>HYPERLINK("http://www.worldcat.org/oclc/3186534","WorldCat Record")</f>
        <v>WorldCat Record</v>
      </c>
      <c r="AU410" s="3" t="s">
        <v>5310</v>
      </c>
      <c r="AV410" s="3" t="s">
        <v>5311</v>
      </c>
      <c r="AW410" s="3" t="s">
        <v>5312</v>
      </c>
      <c r="AX410" s="3" t="s">
        <v>5312</v>
      </c>
      <c r="AY410" s="3" t="s">
        <v>5313</v>
      </c>
      <c r="AZ410" s="3" t="s">
        <v>76</v>
      </c>
      <c r="BB410" s="3" t="s">
        <v>5314</v>
      </c>
      <c r="BC410" s="3" t="s">
        <v>5315</v>
      </c>
      <c r="BD410" s="3" t="s">
        <v>5316</v>
      </c>
    </row>
    <row r="411" spans="1:56" ht="52.5" customHeight="1" x14ac:dyDescent="0.25">
      <c r="A411" s="7" t="s">
        <v>59</v>
      </c>
      <c r="B411" s="2" t="s">
        <v>5317</v>
      </c>
      <c r="C411" s="2" t="s">
        <v>5318</v>
      </c>
      <c r="D411" s="2" t="s">
        <v>5319</v>
      </c>
      <c r="F411" s="3" t="s">
        <v>59</v>
      </c>
      <c r="G411" s="3" t="s">
        <v>60</v>
      </c>
      <c r="H411" s="3" t="s">
        <v>59</v>
      </c>
      <c r="I411" s="3" t="s">
        <v>59</v>
      </c>
      <c r="J411" s="3" t="s">
        <v>61</v>
      </c>
      <c r="K411" s="2" t="s">
        <v>5320</v>
      </c>
      <c r="L411" s="2" t="s">
        <v>5321</v>
      </c>
      <c r="M411" s="3" t="s">
        <v>350</v>
      </c>
      <c r="O411" s="3" t="s">
        <v>65</v>
      </c>
      <c r="P411" s="3" t="s">
        <v>296</v>
      </c>
      <c r="R411" s="3" t="s">
        <v>68</v>
      </c>
      <c r="S411" s="4">
        <v>4</v>
      </c>
      <c r="T411" s="4">
        <v>4</v>
      </c>
      <c r="U411" s="5" t="s">
        <v>5322</v>
      </c>
      <c r="V411" s="5" t="s">
        <v>5322</v>
      </c>
      <c r="W411" s="5" t="s">
        <v>5223</v>
      </c>
      <c r="X411" s="5" t="s">
        <v>5223</v>
      </c>
      <c r="Y411" s="4">
        <v>226</v>
      </c>
      <c r="Z411" s="4">
        <v>204</v>
      </c>
      <c r="AA411" s="4">
        <v>204</v>
      </c>
      <c r="AB411" s="4">
        <v>2</v>
      </c>
      <c r="AC411" s="4">
        <v>2</v>
      </c>
      <c r="AD411" s="4">
        <v>6</v>
      </c>
      <c r="AE411" s="4">
        <v>6</v>
      </c>
      <c r="AF411" s="4">
        <v>2</v>
      </c>
      <c r="AG411" s="4">
        <v>2</v>
      </c>
      <c r="AH411" s="4">
        <v>0</v>
      </c>
      <c r="AI411" s="4">
        <v>0</v>
      </c>
      <c r="AJ411" s="4">
        <v>5</v>
      </c>
      <c r="AK411" s="4">
        <v>5</v>
      </c>
      <c r="AL411" s="4">
        <v>1</v>
      </c>
      <c r="AM411" s="4">
        <v>1</v>
      </c>
      <c r="AN411" s="4">
        <v>0</v>
      </c>
      <c r="AO411" s="4">
        <v>0</v>
      </c>
      <c r="AP411" s="3" t="s">
        <v>59</v>
      </c>
      <c r="AQ411" s="3" t="s">
        <v>59</v>
      </c>
      <c r="AS411" s="6" t="str">
        <f>HYPERLINK("https://creighton-primo.hosted.exlibrisgroup.com/primo-explore/search?tab=default_tab&amp;search_scope=EVERYTHING&amp;vid=01CRU&amp;lang=en_US&amp;offset=0&amp;query=any,contains,991004348859702656","Catalog Record")</f>
        <v>Catalog Record</v>
      </c>
      <c r="AT411" s="6" t="str">
        <f>HYPERLINK("http://www.worldcat.org/oclc/3110452","WorldCat Record")</f>
        <v>WorldCat Record</v>
      </c>
      <c r="AU411" s="3" t="s">
        <v>5323</v>
      </c>
      <c r="AV411" s="3" t="s">
        <v>5324</v>
      </c>
      <c r="AW411" s="3" t="s">
        <v>5325</v>
      </c>
      <c r="AX411" s="3" t="s">
        <v>5325</v>
      </c>
      <c r="AY411" s="3" t="s">
        <v>5326</v>
      </c>
      <c r="AZ411" s="3" t="s">
        <v>76</v>
      </c>
      <c r="BB411" s="3" t="s">
        <v>5327</v>
      </c>
      <c r="BC411" s="3" t="s">
        <v>5328</v>
      </c>
      <c r="BD411" s="3" t="s">
        <v>5329</v>
      </c>
    </row>
    <row r="412" spans="1:56" ht="52.5" customHeight="1" x14ac:dyDescent="0.25">
      <c r="A412" s="7" t="s">
        <v>59</v>
      </c>
      <c r="B412" s="2" t="s">
        <v>5330</v>
      </c>
      <c r="C412" s="2" t="s">
        <v>5331</v>
      </c>
      <c r="D412" s="2" t="s">
        <v>5332</v>
      </c>
      <c r="F412" s="3" t="s">
        <v>59</v>
      </c>
      <c r="G412" s="3" t="s">
        <v>60</v>
      </c>
      <c r="H412" s="3" t="s">
        <v>59</v>
      </c>
      <c r="I412" s="3" t="s">
        <v>59</v>
      </c>
      <c r="J412" s="3" t="s">
        <v>61</v>
      </c>
      <c r="K412" s="2" t="s">
        <v>5333</v>
      </c>
      <c r="L412" s="2" t="s">
        <v>5334</v>
      </c>
      <c r="M412" s="3" t="s">
        <v>254</v>
      </c>
      <c r="O412" s="3" t="s">
        <v>65</v>
      </c>
      <c r="P412" s="3" t="s">
        <v>829</v>
      </c>
      <c r="Q412" s="2" t="s">
        <v>5335</v>
      </c>
      <c r="R412" s="3" t="s">
        <v>68</v>
      </c>
      <c r="S412" s="4">
        <v>5</v>
      </c>
      <c r="T412" s="4">
        <v>5</v>
      </c>
      <c r="U412" s="5" t="s">
        <v>5336</v>
      </c>
      <c r="V412" s="5" t="s">
        <v>5336</v>
      </c>
      <c r="W412" s="5" t="s">
        <v>3522</v>
      </c>
      <c r="X412" s="5" t="s">
        <v>3522</v>
      </c>
      <c r="Y412" s="4">
        <v>205</v>
      </c>
      <c r="Z412" s="4">
        <v>159</v>
      </c>
      <c r="AA412" s="4">
        <v>219</v>
      </c>
      <c r="AB412" s="4">
        <v>5</v>
      </c>
      <c r="AC412" s="4">
        <v>5</v>
      </c>
      <c r="AD412" s="4">
        <v>12</v>
      </c>
      <c r="AE412" s="4">
        <v>12</v>
      </c>
      <c r="AF412" s="4">
        <v>3</v>
      </c>
      <c r="AG412" s="4">
        <v>3</v>
      </c>
      <c r="AH412" s="4">
        <v>2</v>
      </c>
      <c r="AI412" s="4">
        <v>2</v>
      </c>
      <c r="AJ412" s="4">
        <v>3</v>
      </c>
      <c r="AK412" s="4">
        <v>3</v>
      </c>
      <c r="AL412" s="4">
        <v>4</v>
      </c>
      <c r="AM412" s="4">
        <v>4</v>
      </c>
      <c r="AN412" s="4">
        <v>0</v>
      </c>
      <c r="AO412" s="4">
        <v>0</v>
      </c>
      <c r="AP412" s="3" t="s">
        <v>59</v>
      </c>
      <c r="AQ412" s="3" t="s">
        <v>59</v>
      </c>
      <c r="AS412" s="6" t="str">
        <f>HYPERLINK("https://creighton-primo.hosted.exlibrisgroup.com/primo-explore/search?tab=default_tab&amp;search_scope=EVERYTHING&amp;vid=01CRU&amp;lang=en_US&amp;offset=0&amp;query=any,contains,991000127699702656","Catalog Record")</f>
        <v>Catalog Record</v>
      </c>
      <c r="AT412" s="6" t="str">
        <f>HYPERLINK("http://www.worldcat.org/oclc/52668","WorldCat Record")</f>
        <v>WorldCat Record</v>
      </c>
      <c r="AU412" s="3" t="s">
        <v>5337</v>
      </c>
      <c r="AV412" s="3" t="s">
        <v>5338</v>
      </c>
      <c r="AW412" s="3" t="s">
        <v>5339</v>
      </c>
      <c r="AX412" s="3" t="s">
        <v>5339</v>
      </c>
      <c r="AY412" s="3" t="s">
        <v>5340</v>
      </c>
      <c r="AZ412" s="3" t="s">
        <v>76</v>
      </c>
      <c r="BC412" s="3" t="s">
        <v>5341</v>
      </c>
      <c r="BD412" s="3" t="s">
        <v>5342</v>
      </c>
    </row>
    <row r="413" spans="1:56" ht="52.5" customHeight="1" x14ac:dyDescent="0.25">
      <c r="A413" s="7" t="s">
        <v>59</v>
      </c>
      <c r="B413" s="2" t="s">
        <v>5343</v>
      </c>
      <c r="C413" s="2" t="s">
        <v>5344</v>
      </c>
      <c r="D413" s="2" t="s">
        <v>5345</v>
      </c>
      <c r="F413" s="3" t="s">
        <v>59</v>
      </c>
      <c r="G413" s="3" t="s">
        <v>60</v>
      </c>
      <c r="H413" s="3" t="s">
        <v>59</v>
      </c>
      <c r="I413" s="3" t="s">
        <v>59</v>
      </c>
      <c r="J413" s="3" t="s">
        <v>61</v>
      </c>
      <c r="K413" s="2" t="s">
        <v>5346</v>
      </c>
      <c r="L413" s="2" t="s">
        <v>5347</v>
      </c>
      <c r="M413" s="3" t="s">
        <v>148</v>
      </c>
      <c r="O413" s="3" t="s">
        <v>65</v>
      </c>
      <c r="P413" s="3" t="s">
        <v>283</v>
      </c>
      <c r="R413" s="3" t="s">
        <v>68</v>
      </c>
      <c r="S413" s="4">
        <v>6</v>
      </c>
      <c r="T413" s="4">
        <v>6</v>
      </c>
      <c r="U413" s="5" t="s">
        <v>5348</v>
      </c>
      <c r="V413" s="5" t="s">
        <v>5348</v>
      </c>
      <c r="W413" s="5" t="s">
        <v>5223</v>
      </c>
      <c r="X413" s="5" t="s">
        <v>5223</v>
      </c>
      <c r="Y413" s="4">
        <v>550</v>
      </c>
      <c r="Z413" s="4">
        <v>479</v>
      </c>
      <c r="AA413" s="4">
        <v>480</v>
      </c>
      <c r="AB413" s="4">
        <v>6</v>
      </c>
      <c r="AC413" s="4">
        <v>6</v>
      </c>
      <c r="AD413" s="4">
        <v>19</v>
      </c>
      <c r="AE413" s="4">
        <v>19</v>
      </c>
      <c r="AF413" s="4">
        <v>8</v>
      </c>
      <c r="AG413" s="4">
        <v>8</v>
      </c>
      <c r="AH413" s="4">
        <v>2</v>
      </c>
      <c r="AI413" s="4">
        <v>2</v>
      </c>
      <c r="AJ413" s="4">
        <v>9</v>
      </c>
      <c r="AK413" s="4">
        <v>9</v>
      </c>
      <c r="AL413" s="4">
        <v>4</v>
      </c>
      <c r="AM413" s="4">
        <v>4</v>
      </c>
      <c r="AN413" s="4">
        <v>0</v>
      </c>
      <c r="AO413" s="4">
        <v>0</v>
      </c>
      <c r="AP413" s="3" t="s">
        <v>59</v>
      </c>
      <c r="AQ413" s="3" t="s">
        <v>71</v>
      </c>
      <c r="AR413" s="6" t="str">
        <f>HYPERLINK("http://catalog.hathitrust.org/Record/000716885","HathiTrust Record")</f>
        <v>HathiTrust Record</v>
      </c>
      <c r="AS413" s="6" t="str">
        <f>HYPERLINK("https://creighton-primo.hosted.exlibrisgroup.com/primo-explore/search?tab=default_tab&amp;search_scope=EVERYTHING&amp;vid=01CRU&amp;lang=en_US&amp;offset=0&amp;query=any,contains,991003960819702656","Catalog Record")</f>
        <v>Catalog Record</v>
      </c>
      <c r="AT413" s="6" t="str">
        <f>HYPERLINK("http://www.worldcat.org/oclc/1975092","WorldCat Record")</f>
        <v>WorldCat Record</v>
      </c>
      <c r="AU413" s="3" t="s">
        <v>5349</v>
      </c>
      <c r="AV413" s="3" t="s">
        <v>5350</v>
      </c>
      <c r="AW413" s="3" t="s">
        <v>5351</v>
      </c>
      <c r="AX413" s="3" t="s">
        <v>5351</v>
      </c>
      <c r="AY413" s="3" t="s">
        <v>5352</v>
      </c>
      <c r="AZ413" s="3" t="s">
        <v>76</v>
      </c>
      <c r="BB413" s="3" t="s">
        <v>5353</v>
      </c>
      <c r="BC413" s="3" t="s">
        <v>5354</v>
      </c>
      <c r="BD413" s="3" t="s">
        <v>5355</v>
      </c>
    </row>
    <row r="414" spans="1:56" ht="52.5" customHeight="1" x14ac:dyDescent="0.25">
      <c r="A414" s="7" t="s">
        <v>59</v>
      </c>
      <c r="B414" s="2" t="s">
        <v>5356</v>
      </c>
      <c r="C414" s="2" t="s">
        <v>5357</v>
      </c>
      <c r="D414" s="2" t="s">
        <v>5358</v>
      </c>
      <c r="F414" s="3" t="s">
        <v>59</v>
      </c>
      <c r="G414" s="3" t="s">
        <v>60</v>
      </c>
      <c r="H414" s="3" t="s">
        <v>59</v>
      </c>
      <c r="I414" s="3" t="s">
        <v>59</v>
      </c>
      <c r="J414" s="3" t="s">
        <v>61</v>
      </c>
      <c r="K414" s="2" t="s">
        <v>5359</v>
      </c>
      <c r="L414" s="2" t="s">
        <v>5360</v>
      </c>
      <c r="M414" s="3" t="s">
        <v>1233</v>
      </c>
      <c r="O414" s="3" t="s">
        <v>65</v>
      </c>
      <c r="P414" s="3" t="s">
        <v>420</v>
      </c>
      <c r="R414" s="3" t="s">
        <v>68</v>
      </c>
      <c r="S414" s="4">
        <v>3</v>
      </c>
      <c r="T414" s="4">
        <v>3</v>
      </c>
      <c r="U414" s="5" t="s">
        <v>5361</v>
      </c>
      <c r="V414" s="5" t="s">
        <v>5361</v>
      </c>
      <c r="W414" s="5" t="s">
        <v>3522</v>
      </c>
      <c r="X414" s="5" t="s">
        <v>3522</v>
      </c>
      <c r="Y414" s="4">
        <v>1008</v>
      </c>
      <c r="Z414" s="4">
        <v>895</v>
      </c>
      <c r="AA414" s="4">
        <v>904</v>
      </c>
      <c r="AB414" s="4">
        <v>7</v>
      </c>
      <c r="AC414" s="4">
        <v>7</v>
      </c>
      <c r="AD414" s="4">
        <v>46</v>
      </c>
      <c r="AE414" s="4">
        <v>46</v>
      </c>
      <c r="AF414" s="4">
        <v>17</v>
      </c>
      <c r="AG414" s="4">
        <v>17</v>
      </c>
      <c r="AH414" s="4">
        <v>9</v>
      </c>
      <c r="AI414" s="4">
        <v>9</v>
      </c>
      <c r="AJ414" s="4">
        <v>17</v>
      </c>
      <c r="AK414" s="4">
        <v>17</v>
      </c>
      <c r="AL414" s="4">
        <v>6</v>
      </c>
      <c r="AM414" s="4">
        <v>6</v>
      </c>
      <c r="AN414" s="4">
        <v>5</v>
      </c>
      <c r="AO414" s="4">
        <v>5</v>
      </c>
      <c r="AP414" s="3" t="s">
        <v>59</v>
      </c>
      <c r="AQ414" s="3" t="s">
        <v>59</v>
      </c>
      <c r="AS414" s="6" t="str">
        <f>HYPERLINK("https://creighton-primo.hosted.exlibrisgroup.com/primo-explore/search?tab=default_tab&amp;search_scope=EVERYTHING&amp;vid=01CRU&amp;lang=en_US&amp;offset=0&amp;query=any,contains,991003005769702656","Catalog Record")</f>
        <v>Catalog Record</v>
      </c>
      <c r="AT414" s="6" t="str">
        <f>HYPERLINK("http://www.worldcat.org/oclc/572872","WorldCat Record")</f>
        <v>WorldCat Record</v>
      </c>
      <c r="AU414" s="3" t="s">
        <v>5362</v>
      </c>
      <c r="AV414" s="3" t="s">
        <v>5363</v>
      </c>
      <c r="AW414" s="3" t="s">
        <v>5364</v>
      </c>
      <c r="AX414" s="3" t="s">
        <v>5364</v>
      </c>
      <c r="AY414" s="3" t="s">
        <v>5365</v>
      </c>
      <c r="AZ414" s="3" t="s">
        <v>76</v>
      </c>
      <c r="BB414" s="3" t="s">
        <v>5366</v>
      </c>
      <c r="BC414" s="3" t="s">
        <v>5367</v>
      </c>
      <c r="BD414" s="3" t="s">
        <v>5368</v>
      </c>
    </row>
    <row r="415" spans="1:56" ht="52.5" customHeight="1" x14ac:dyDescent="0.25">
      <c r="A415" s="7" t="s">
        <v>59</v>
      </c>
      <c r="B415" s="2" t="s">
        <v>5369</v>
      </c>
      <c r="C415" s="2" t="s">
        <v>5370</v>
      </c>
      <c r="D415" s="2" t="s">
        <v>5371</v>
      </c>
      <c r="F415" s="3" t="s">
        <v>59</v>
      </c>
      <c r="G415" s="3" t="s">
        <v>60</v>
      </c>
      <c r="H415" s="3" t="s">
        <v>59</v>
      </c>
      <c r="I415" s="3" t="s">
        <v>59</v>
      </c>
      <c r="J415" s="3" t="s">
        <v>61</v>
      </c>
      <c r="K415" s="2" t="s">
        <v>5372</v>
      </c>
      <c r="L415" s="2" t="s">
        <v>5373</v>
      </c>
      <c r="M415" s="3" t="s">
        <v>254</v>
      </c>
      <c r="O415" s="3" t="s">
        <v>65</v>
      </c>
      <c r="P415" s="3" t="s">
        <v>66</v>
      </c>
      <c r="Q415" s="2" t="s">
        <v>1602</v>
      </c>
      <c r="R415" s="3" t="s">
        <v>68</v>
      </c>
      <c r="S415" s="4">
        <v>3</v>
      </c>
      <c r="T415" s="4">
        <v>3</v>
      </c>
      <c r="U415" s="5" t="s">
        <v>5374</v>
      </c>
      <c r="V415" s="5" t="s">
        <v>5374</v>
      </c>
      <c r="W415" s="5" t="s">
        <v>5375</v>
      </c>
      <c r="X415" s="5" t="s">
        <v>5375</v>
      </c>
      <c r="Y415" s="4">
        <v>754</v>
      </c>
      <c r="Z415" s="4">
        <v>624</v>
      </c>
      <c r="AA415" s="4">
        <v>627</v>
      </c>
      <c r="AB415" s="4">
        <v>7</v>
      </c>
      <c r="AC415" s="4">
        <v>7</v>
      </c>
      <c r="AD415" s="4">
        <v>32</v>
      </c>
      <c r="AE415" s="4">
        <v>32</v>
      </c>
      <c r="AF415" s="4">
        <v>13</v>
      </c>
      <c r="AG415" s="4">
        <v>13</v>
      </c>
      <c r="AH415" s="4">
        <v>6</v>
      </c>
      <c r="AI415" s="4">
        <v>6</v>
      </c>
      <c r="AJ415" s="4">
        <v>14</v>
      </c>
      <c r="AK415" s="4">
        <v>14</v>
      </c>
      <c r="AL415" s="4">
        <v>5</v>
      </c>
      <c r="AM415" s="4">
        <v>5</v>
      </c>
      <c r="AN415" s="4">
        <v>3</v>
      </c>
      <c r="AO415" s="4">
        <v>3</v>
      </c>
      <c r="AP415" s="3" t="s">
        <v>59</v>
      </c>
      <c r="AQ415" s="3" t="s">
        <v>71</v>
      </c>
      <c r="AR415" s="6" t="str">
        <f>HYPERLINK("http://catalog.hathitrust.org/Record/000355096","HathiTrust Record")</f>
        <v>HathiTrust Record</v>
      </c>
      <c r="AS415" s="6" t="str">
        <f>HYPERLINK("https://creighton-primo.hosted.exlibrisgroup.com/primo-explore/search?tab=default_tab&amp;search_scope=EVERYTHING&amp;vid=01CRU&amp;lang=en_US&amp;offset=0&amp;query=any,contains,991000127029702656","Catalog Record")</f>
        <v>Catalog Record</v>
      </c>
      <c r="AT415" s="6" t="str">
        <f>HYPERLINK("http://www.worldcat.org/oclc/52376","WorldCat Record")</f>
        <v>WorldCat Record</v>
      </c>
      <c r="AU415" s="3" t="s">
        <v>5376</v>
      </c>
      <c r="AV415" s="3" t="s">
        <v>5377</v>
      </c>
      <c r="AW415" s="3" t="s">
        <v>5378</v>
      </c>
      <c r="AX415" s="3" t="s">
        <v>5378</v>
      </c>
      <c r="AY415" s="3" t="s">
        <v>5379</v>
      </c>
      <c r="AZ415" s="3" t="s">
        <v>76</v>
      </c>
      <c r="BB415" s="3" t="s">
        <v>5380</v>
      </c>
      <c r="BC415" s="3" t="s">
        <v>5381</v>
      </c>
      <c r="BD415" s="3" t="s">
        <v>5382</v>
      </c>
    </row>
    <row r="416" spans="1:56" ht="52.5" customHeight="1" x14ac:dyDescent="0.25">
      <c r="A416" s="7" t="s">
        <v>59</v>
      </c>
      <c r="B416" s="2" t="s">
        <v>5383</v>
      </c>
      <c r="C416" s="2" t="s">
        <v>5384</v>
      </c>
      <c r="D416" s="2" t="s">
        <v>5385</v>
      </c>
      <c r="F416" s="3" t="s">
        <v>59</v>
      </c>
      <c r="G416" s="3" t="s">
        <v>60</v>
      </c>
      <c r="H416" s="3" t="s">
        <v>59</v>
      </c>
      <c r="I416" s="3" t="s">
        <v>59</v>
      </c>
      <c r="J416" s="3" t="s">
        <v>61</v>
      </c>
      <c r="L416" s="2" t="s">
        <v>5386</v>
      </c>
      <c r="M416" s="3" t="s">
        <v>475</v>
      </c>
      <c r="O416" s="3" t="s">
        <v>65</v>
      </c>
      <c r="P416" s="3" t="s">
        <v>66</v>
      </c>
      <c r="R416" s="3" t="s">
        <v>68</v>
      </c>
      <c r="S416" s="4">
        <v>11</v>
      </c>
      <c r="T416" s="4">
        <v>11</v>
      </c>
      <c r="U416" s="5" t="s">
        <v>5387</v>
      </c>
      <c r="V416" s="5" t="s">
        <v>5387</v>
      </c>
      <c r="W416" s="5" t="s">
        <v>5223</v>
      </c>
      <c r="X416" s="5" t="s">
        <v>5223</v>
      </c>
      <c r="Y416" s="4">
        <v>837</v>
      </c>
      <c r="Z416" s="4">
        <v>669</v>
      </c>
      <c r="AA416" s="4">
        <v>706</v>
      </c>
      <c r="AB416" s="4">
        <v>6</v>
      </c>
      <c r="AC416" s="4">
        <v>6</v>
      </c>
      <c r="AD416" s="4">
        <v>37</v>
      </c>
      <c r="AE416" s="4">
        <v>39</v>
      </c>
      <c r="AF416" s="4">
        <v>15</v>
      </c>
      <c r="AG416" s="4">
        <v>16</v>
      </c>
      <c r="AH416" s="4">
        <v>7</v>
      </c>
      <c r="AI416" s="4">
        <v>8</v>
      </c>
      <c r="AJ416" s="4">
        <v>16</v>
      </c>
      <c r="AK416" s="4">
        <v>16</v>
      </c>
      <c r="AL416" s="4">
        <v>4</v>
      </c>
      <c r="AM416" s="4">
        <v>4</v>
      </c>
      <c r="AN416" s="4">
        <v>4</v>
      </c>
      <c r="AO416" s="4">
        <v>4</v>
      </c>
      <c r="AP416" s="3" t="s">
        <v>59</v>
      </c>
      <c r="AQ416" s="3" t="s">
        <v>71</v>
      </c>
      <c r="AR416" s="6" t="str">
        <f>HYPERLINK("http://catalog.hathitrust.org/Record/000110934","HathiTrust Record")</f>
        <v>HathiTrust Record</v>
      </c>
      <c r="AS416" s="6" t="str">
        <f>HYPERLINK("https://creighton-primo.hosted.exlibrisgroup.com/primo-explore/search?tab=default_tab&amp;search_scope=EVERYTHING&amp;vid=01CRU&amp;lang=en_US&amp;offset=0&amp;query=any,contains,991000055829702656","Catalog Record")</f>
        <v>Catalog Record</v>
      </c>
      <c r="AT416" s="6" t="str">
        <f>HYPERLINK("http://www.worldcat.org/oclc/8708928","WorldCat Record")</f>
        <v>WorldCat Record</v>
      </c>
      <c r="AU416" s="3" t="s">
        <v>5388</v>
      </c>
      <c r="AV416" s="3" t="s">
        <v>5389</v>
      </c>
      <c r="AW416" s="3" t="s">
        <v>5390</v>
      </c>
      <c r="AX416" s="3" t="s">
        <v>5390</v>
      </c>
      <c r="AY416" s="3" t="s">
        <v>5391</v>
      </c>
      <c r="AZ416" s="3" t="s">
        <v>76</v>
      </c>
      <c r="BB416" s="3" t="s">
        <v>5392</v>
      </c>
      <c r="BC416" s="3" t="s">
        <v>5393</v>
      </c>
      <c r="BD416" s="3" t="s">
        <v>5394</v>
      </c>
    </row>
    <row r="417" spans="1:56" ht="52.5" customHeight="1" x14ac:dyDescent="0.25">
      <c r="A417" s="7" t="s">
        <v>59</v>
      </c>
      <c r="B417" s="2" t="s">
        <v>5395</v>
      </c>
      <c r="C417" s="2" t="s">
        <v>5396</v>
      </c>
      <c r="D417" s="2" t="s">
        <v>5397</v>
      </c>
      <c r="F417" s="3" t="s">
        <v>59</v>
      </c>
      <c r="G417" s="3" t="s">
        <v>60</v>
      </c>
      <c r="H417" s="3" t="s">
        <v>59</v>
      </c>
      <c r="I417" s="3" t="s">
        <v>59</v>
      </c>
      <c r="J417" s="3" t="s">
        <v>61</v>
      </c>
      <c r="L417" s="2" t="s">
        <v>5398</v>
      </c>
      <c r="M417" s="3" t="s">
        <v>254</v>
      </c>
      <c r="O417" s="3" t="s">
        <v>65</v>
      </c>
      <c r="P417" s="3" t="s">
        <v>296</v>
      </c>
      <c r="Q417" s="2" t="s">
        <v>4524</v>
      </c>
      <c r="R417" s="3" t="s">
        <v>68</v>
      </c>
      <c r="S417" s="4">
        <v>6</v>
      </c>
      <c r="T417" s="4">
        <v>6</v>
      </c>
      <c r="U417" s="5" t="s">
        <v>5399</v>
      </c>
      <c r="V417" s="5" t="s">
        <v>5399</v>
      </c>
      <c r="W417" s="5" t="s">
        <v>5400</v>
      </c>
      <c r="X417" s="5" t="s">
        <v>5400</v>
      </c>
      <c r="Y417" s="4">
        <v>460</v>
      </c>
      <c r="Z417" s="4">
        <v>369</v>
      </c>
      <c r="AA417" s="4">
        <v>377</v>
      </c>
      <c r="AB417" s="4">
        <v>3</v>
      </c>
      <c r="AC417" s="4">
        <v>3</v>
      </c>
      <c r="AD417" s="4">
        <v>17</v>
      </c>
      <c r="AE417" s="4">
        <v>17</v>
      </c>
      <c r="AF417" s="4">
        <v>8</v>
      </c>
      <c r="AG417" s="4">
        <v>8</v>
      </c>
      <c r="AH417" s="4">
        <v>2</v>
      </c>
      <c r="AI417" s="4">
        <v>2</v>
      </c>
      <c r="AJ417" s="4">
        <v>11</v>
      </c>
      <c r="AK417" s="4">
        <v>11</v>
      </c>
      <c r="AL417" s="4">
        <v>2</v>
      </c>
      <c r="AM417" s="4">
        <v>2</v>
      </c>
      <c r="AN417" s="4">
        <v>0</v>
      </c>
      <c r="AO417" s="4">
        <v>0</v>
      </c>
      <c r="AP417" s="3" t="s">
        <v>59</v>
      </c>
      <c r="AQ417" s="3" t="s">
        <v>71</v>
      </c>
      <c r="AR417" s="6" t="str">
        <f>HYPERLINK("http://catalog.hathitrust.org/Record/000355318","HathiTrust Record")</f>
        <v>HathiTrust Record</v>
      </c>
      <c r="AS417" s="6" t="str">
        <f>HYPERLINK("https://creighton-primo.hosted.exlibrisgroup.com/primo-explore/search?tab=default_tab&amp;search_scope=EVERYTHING&amp;vid=01CRU&amp;lang=en_US&amp;offset=0&amp;query=any,contains,991000088689702656","Catalog Record")</f>
        <v>Catalog Record</v>
      </c>
      <c r="AT417" s="6" t="str">
        <f>HYPERLINK("http://www.worldcat.org/oclc/34644","WorldCat Record")</f>
        <v>WorldCat Record</v>
      </c>
      <c r="AU417" s="3" t="s">
        <v>5401</v>
      </c>
      <c r="AV417" s="3" t="s">
        <v>5402</v>
      </c>
      <c r="AW417" s="3" t="s">
        <v>5403</v>
      </c>
      <c r="AX417" s="3" t="s">
        <v>5403</v>
      </c>
      <c r="AY417" s="3" t="s">
        <v>5404</v>
      </c>
      <c r="AZ417" s="3" t="s">
        <v>76</v>
      </c>
      <c r="BC417" s="3" t="s">
        <v>5405</v>
      </c>
      <c r="BD417" s="3" t="s">
        <v>5406</v>
      </c>
    </row>
    <row r="418" spans="1:56" ht="52.5" customHeight="1" x14ac:dyDescent="0.25">
      <c r="A418" s="7" t="s">
        <v>59</v>
      </c>
      <c r="B418" s="2" t="s">
        <v>5407</v>
      </c>
      <c r="C418" s="2" t="s">
        <v>5408</v>
      </c>
      <c r="D418" s="2" t="s">
        <v>5409</v>
      </c>
      <c r="F418" s="3" t="s">
        <v>59</v>
      </c>
      <c r="G418" s="3" t="s">
        <v>60</v>
      </c>
      <c r="H418" s="3" t="s">
        <v>59</v>
      </c>
      <c r="I418" s="3" t="s">
        <v>59</v>
      </c>
      <c r="J418" s="3" t="s">
        <v>61</v>
      </c>
      <c r="L418" s="2" t="s">
        <v>5410</v>
      </c>
      <c r="M418" s="3" t="s">
        <v>309</v>
      </c>
      <c r="O418" s="3" t="s">
        <v>65</v>
      </c>
      <c r="P418" s="3" t="s">
        <v>699</v>
      </c>
      <c r="R418" s="3" t="s">
        <v>68</v>
      </c>
      <c r="S418" s="4">
        <v>8</v>
      </c>
      <c r="T418" s="4">
        <v>8</v>
      </c>
      <c r="U418" s="5" t="s">
        <v>5411</v>
      </c>
      <c r="V418" s="5" t="s">
        <v>5411</v>
      </c>
      <c r="W418" s="5" t="s">
        <v>5223</v>
      </c>
      <c r="X418" s="5" t="s">
        <v>5223</v>
      </c>
      <c r="Y418" s="4">
        <v>651</v>
      </c>
      <c r="Z418" s="4">
        <v>513</v>
      </c>
      <c r="AA418" s="4">
        <v>556</v>
      </c>
      <c r="AB418" s="4">
        <v>5</v>
      </c>
      <c r="AC418" s="4">
        <v>5</v>
      </c>
      <c r="AD418" s="4">
        <v>27</v>
      </c>
      <c r="AE418" s="4">
        <v>27</v>
      </c>
      <c r="AF418" s="4">
        <v>11</v>
      </c>
      <c r="AG418" s="4">
        <v>11</v>
      </c>
      <c r="AH418" s="4">
        <v>7</v>
      </c>
      <c r="AI418" s="4">
        <v>7</v>
      </c>
      <c r="AJ418" s="4">
        <v>14</v>
      </c>
      <c r="AK418" s="4">
        <v>14</v>
      </c>
      <c r="AL418" s="4">
        <v>3</v>
      </c>
      <c r="AM418" s="4">
        <v>3</v>
      </c>
      <c r="AN418" s="4">
        <v>0</v>
      </c>
      <c r="AO418" s="4">
        <v>0</v>
      </c>
      <c r="AP418" s="3" t="s">
        <v>59</v>
      </c>
      <c r="AQ418" s="3" t="s">
        <v>71</v>
      </c>
      <c r="AR418" s="6" t="str">
        <f>HYPERLINK("http://catalog.hathitrust.org/Record/000179614","HathiTrust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HYPERLINK("https://creighton-primo.hosted.exlibrisgroup.com/primo-explore/search?tab=default_tab&amp;search_scope=EVERYTHING&amp;vid=01CRU&amp;lang=en_US&amp;offset=0&amp;query=any,contains,991004589609702656","Catalog Record")</f>
        <v>Catalog Record</v>
      </c>
      <c r="AT418" s="6" t="str">
        <f>HYPERLINK("http://www.worldcat.org/oclc/4114382","WorldCat Record")</f>
        <v>WorldCat Record</v>
      </c>
      <c r="AU418" s="3" t="s">
        <v>5412</v>
      </c>
      <c r="AV418" s="3" t="s">
        <v>5413</v>
      </c>
      <c r="AW418" s="3" t="s">
        <v>5414</v>
      </c>
      <c r="AX418" s="3" t="s">
        <v>5414</v>
      </c>
      <c r="AY418" s="3" t="s">
        <v>5415</v>
      </c>
      <c r="AZ418" s="3" t="s">
        <v>76</v>
      </c>
      <c r="BB418" s="3" t="s">
        <v>5416</v>
      </c>
      <c r="BC418" s="3" t="s">
        <v>5417</v>
      </c>
      <c r="BD418" s="3" t="s">
        <v>5418</v>
      </c>
    </row>
    <row r="419" spans="1:56" ht="52.5" customHeight="1" x14ac:dyDescent="0.25">
      <c r="A419" s="7" t="s">
        <v>59</v>
      </c>
      <c r="B419" s="2" t="s">
        <v>5419</v>
      </c>
      <c r="C419" s="2" t="s">
        <v>5420</v>
      </c>
      <c r="D419" s="2" t="s">
        <v>5421</v>
      </c>
      <c r="F419" s="3" t="s">
        <v>59</v>
      </c>
      <c r="G419" s="3" t="s">
        <v>60</v>
      </c>
      <c r="H419" s="3" t="s">
        <v>59</v>
      </c>
      <c r="I419" s="3" t="s">
        <v>59</v>
      </c>
      <c r="J419" s="3" t="s">
        <v>61</v>
      </c>
      <c r="L419" s="2" t="s">
        <v>5422</v>
      </c>
      <c r="M419" s="3" t="s">
        <v>115</v>
      </c>
      <c r="O419" s="3" t="s">
        <v>65</v>
      </c>
      <c r="P419" s="3" t="s">
        <v>420</v>
      </c>
      <c r="R419" s="3" t="s">
        <v>68</v>
      </c>
      <c r="S419" s="4">
        <v>5</v>
      </c>
      <c r="T419" s="4">
        <v>5</v>
      </c>
      <c r="U419" s="5" t="s">
        <v>5423</v>
      </c>
      <c r="V419" s="5" t="s">
        <v>5423</v>
      </c>
      <c r="W419" s="5" t="s">
        <v>3522</v>
      </c>
      <c r="X419" s="5" t="s">
        <v>3522</v>
      </c>
      <c r="Y419" s="4">
        <v>773</v>
      </c>
      <c r="Z419" s="4">
        <v>653</v>
      </c>
      <c r="AA419" s="4">
        <v>653</v>
      </c>
      <c r="AB419" s="4">
        <v>4</v>
      </c>
      <c r="AC419" s="4">
        <v>4</v>
      </c>
      <c r="AD419" s="4">
        <v>23</v>
      </c>
      <c r="AE419" s="4">
        <v>23</v>
      </c>
      <c r="AF419" s="4">
        <v>8</v>
      </c>
      <c r="AG419" s="4">
        <v>8</v>
      </c>
      <c r="AH419" s="4">
        <v>4</v>
      </c>
      <c r="AI419" s="4">
        <v>4</v>
      </c>
      <c r="AJ419" s="4">
        <v>13</v>
      </c>
      <c r="AK419" s="4">
        <v>13</v>
      </c>
      <c r="AL419" s="4">
        <v>3</v>
      </c>
      <c r="AM419" s="4">
        <v>3</v>
      </c>
      <c r="AN419" s="4">
        <v>0</v>
      </c>
      <c r="AO419" s="4">
        <v>0</v>
      </c>
      <c r="AP419" s="3" t="s">
        <v>59</v>
      </c>
      <c r="AQ419" s="3" t="s">
        <v>59</v>
      </c>
      <c r="AS419" s="6" t="str">
        <f>HYPERLINK("https://creighton-primo.hosted.exlibrisgroup.com/primo-explore/search?tab=default_tab&amp;search_scope=EVERYTHING&amp;vid=01CRU&amp;lang=en_US&amp;offset=0&amp;query=any,contains,991002434209702656","Catalog Record")</f>
        <v>Catalog Record</v>
      </c>
      <c r="AT419" s="6" t="str">
        <f>HYPERLINK("http://www.worldcat.org/oclc/348330","WorldCat Record")</f>
        <v>WorldCat Record</v>
      </c>
      <c r="AU419" s="3" t="s">
        <v>5424</v>
      </c>
      <c r="AV419" s="3" t="s">
        <v>5425</v>
      </c>
      <c r="AW419" s="3" t="s">
        <v>5426</v>
      </c>
      <c r="AX419" s="3" t="s">
        <v>5426</v>
      </c>
      <c r="AY419" s="3" t="s">
        <v>5427</v>
      </c>
      <c r="AZ419" s="3" t="s">
        <v>76</v>
      </c>
      <c r="BB419" s="3" t="s">
        <v>5428</v>
      </c>
      <c r="BC419" s="3" t="s">
        <v>5429</v>
      </c>
      <c r="BD419" s="3" t="s">
        <v>5430</v>
      </c>
    </row>
    <row r="420" spans="1:56" ht="52.5" customHeight="1" x14ac:dyDescent="0.25">
      <c r="A420" s="7" t="s">
        <v>59</v>
      </c>
      <c r="B420" s="2" t="s">
        <v>5431</v>
      </c>
      <c r="C420" s="2" t="s">
        <v>5432</v>
      </c>
      <c r="D420" s="2" t="s">
        <v>5433</v>
      </c>
      <c r="F420" s="3" t="s">
        <v>59</v>
      </c>
      <c r="G420" s="3" t="s">
        <v>60</v>
      </c>
      <c r="H420" s="3" t="s">
        <v>59</v>
      </c>
      <c r="I420" s="3" t="s">
        <v>59</v>
      </c>
      <c r="J420" s="3" t="s">
        <v>61</v>
      </c>
      <c r="K420" s="2" t="s">
        <v>5434</v>
      </c>
      <c r="L420" s="2" t="s">
        <v>5435</v>
      </c>
      <c r="M420" s="3" t="s">
        <v>3482</v>
      </c>
      <c r="O420" s="3" t="s">
        <v>65</v>
      </c>
      <c r="P420" s="3" t="s">
        <v>296</v>
      </c>
      <c r="R420" s="3" t="s">
        <v>68</v>
      </c>
      <c r="S420" s="4">
        <v>3</v>
      </c>
      <c r="T420" s="4">
        <v>3</v>
      </c>
      <c r="U420" s="5" t="s">
        <v>5436</v>
      </c>
      <c r="V420" s="5" t="s">
        <v>5436</v>
      </c>
      <c r="W420" s="5" t="s">
        <v>5437</v>
      </c>
      <c r="X420" s="5" t="s">
        <v>5437</v>
      </c>
      <c r="Y420" s="4">
        <v>589</v>
      </c>
      <c r="Z420" s="4">
        <v>549</v>
      </c>
      <c r="AA420" s="4">
        <v>581</v>
      </c>
      <c r="AB420" s="4">
        <v>4</v>
      </c>
      <c r="AC420" s="4">
        <v>4</v>
      </c>
      <c r="AD420" s="4">
        <v>17</v>
      </c>
      <c r="AE420" s="4">
        <v>18</v>
      </c>
      <c r="AF420" s="4">
        <v>8</v>
      </c>
      <c r="AG420" s="4">
        <v>9</v>
      </c>
      <c r="AH420" s="4">
        <v>2</v>
      </c>
      <c r="AI420" s="4">
        <v>2</v>
      </c>
      <c r="AJ420" s="4">
        <v>9</v>
      </c>
      <c r="AK420" s="4">
        <v>10</v>
      </c>
      <c r="AL420" s="4">
        <v>3</v>
      </c>
      <c r="AM420" s="4">
        <v>3</v>
      </c>
      <c r="AN420" s="4">
        <v>0</v>
      </c>
      <c r="AO420" s="4">
        <v>0</v>
      </c>
      <c r="AP420" s="3" t="s">
        <v>59</v>
      </c>
      <c r="AQ420" s="3" t="s">
        <v>59</v>
      </c>
      <c r="AS420" s="6" t="str">
        <f>HYPERLINK("https://creighton-primo.hosted.exlibrisgroup.com/primo-explore/search?tab=default_tab&amp;search_scope=EVERYTHING&amp;vid=01CRU&amp;lang=en_US&amp;offset=0&amp;query=any,contains,991001231289702656","Catalog Record")</f>
        <v>Catalog Record</v>
      </c>
      <c r="AT420" s="6" t="str">
        <f>HYPERLINK("http://www.worldcat.org/oclc/203682","WorldCat Record")</f>
        <v>WorldCat Record</v>
      </c>
      <c r="AU420" s="3" t="s">
        <v>5438</v>
      </c>
      <c r="AV420" s="3" t="s">
        <v>5439</v>
      </c>
      <c r="AW420" s="3" t="s">
        <v>5440</v>
      </c>
      <c r="AX420" s="3" t="s">
        <v>5440</v>
      </c>
      <c r="AY420" s="3" t="s">
        <v>5441</v>
      </c>
      <c r="AZ420" s="3" t="s">
        <v>76</v>
      </c>
      <c r="BC420" s="3" t="s">
        <v>5442</v>
      </c>
      <c r="BD420" s="3" t="s">
        <v>5443</v>
      </c>
    </row>
    <row r="421" spans="1:56" ht="52.5" customHeight="1" x14ac:dyDescent="0.25">
      <c r="A421" s="7" t="s">
        <v>59</v>
      </c>
      <c r="B421" s="2" t="s">
        <v>5444</v>
      </c>
      <c r="C421" s="2" t="s">
        <v>5445</v>
      </c>
      <c r="D421" s="2" t="s">
        <v>5446</v>
      </c>
      <c r="F421" s="3" t="s">
        <v>59</v>
      </c>
      <c r="G421" s="3" t="s">
        <v>60</v>
      </c>
      <c r="H421" s="3" t="s">
        <v>71</v>
      </c>
      <c r="I421" s="3" t="s">
        <v>59</v>
      </c>
      <c r="J421" s="3" t="s">
        <v>61</v>
      </c>
      <c r="K421" s="2" t="s">
        <v>5447</v>
      </c>
      <c r="L421" s="2" t="s">
        <v>5448</v>
      </c>
      <c r="M421" s="3" t="s">
        <v>538</v>
      </c>
      <c r="O421" s="3" t="s">
        <v>65</v>
      </c>
      <c r="P421" s="3" t="s">
        <v>66</v>
      </c>
      <c r="R421" s="3" t="s">
        <v>68</v>
      </c>
      <c r="S421" s="4">
        <v>8</v>
      </c>
      <c r="T421" s="4">
        <v>12</v>
      </c>
      <c r="U421" s="5" t="s">
        <v>5449</v>
      </c>
      <c r="V421" s="5" t="s">
        <v>5449</v>
      </c>
      <c r="W421" s="5" t="s">
        <v>5437</v>
      </c>
      <c r="X421" s="5" t="s">
        <v>5437</v>
      </c>
      <c r="Y421" s="4">
        <v>869</v>
      </c>
      <c r="Z421" s="4">
        <v>779</v>
      </c>
      <c r="AA421" s="4">
        <v>787</v>
      </c>
      <c r="AB421" s="4">
        <v>10</v>
      </c>
      <c r="AC421" s="4">
        <v>10</v>
      </c>
      <c r="AD421" s="4">
        <v>32</v>
      </c>
      <c r="AE421" s="4">
        <v>32</v>
      </c>
      <c r="AF421" s="4">
        <v>12</v>
      </c>
      <c r="AG421" s="4">
        <v>12</v>
      </c>
      <c r="AH421" s="4">
        <v>4</v>
      </c>
      <c r="AI421" s="4">
        <v>4</v>
      </c>
      <c r="AJ421" s="4">
        <v>14</v>
      </c>
      <c r="AK421" s="4">
        <v>14</v>
      </c>
      <c r="AL421" s="4">
        <v>7</v>
      </c>
      <c r="AM421" s="4">
        <v>7</v>
      </c>
      <c r="AN421" s="4">
        <v>0</v>
      </c>
      <c r="AO421" s="4">
        <v>0</v>
      </c>
      <c r="AP421" s="3" t="s">
        <v>59</v>
      </c>
      <c r="AQ421" s="3" t="s">
        <v>71</v>
      </c>
      <c r="AR421" s="6" t="str">
        <f>HYPERLINK("http://catalog.hathitrust.org/Record/000355014","HathiTrust Record")</f>
        <v>HathiTrust Record</v>
      </c>
      <c r="AS421" s="6" t="str">
        <f>HYPERLINK("https://creighton-primo.hosted.exlibrisgroup.com/primo-explore/search?tab=default_tab&amp;search_scope=EVERYTHING&amp;vid=01CRU&amp;lang=en_US&amp;offset=0&amp;query=any,contains,991001762039702656","Catalog Record")</f>
        <v>Catalog Record</v>
      </c>
      <c r="AT421" s="6" t="str">
        <f>HYPERLINK("http://www.worldcat.org/oclc/224491","WorldCat Record")</f>
        <v>WorldCat Record</v>
      </c>
      <c r="AU421" s="3" t="s">
        <v>5450</v>
      </c>
      <c r="AV421" s="3" t="s">
        <v>5451</v>
      </c>
      <c r="AW421" s="3" t="s">
        <v>5452</v>
      </c>
      <c r="AX421" s="3" t="s">
        <v>5452</v>
      </c>
      <c r="AY421" s="3" t="s">
        <v>5453</v>
      </c>
      <c r="AZ421" s="3" t="s">
        <v>76</v>
      </c>
      <c r="BC421" s="3" t="s">
        <v>5454</v>
      </c>
      <c r="BD421" s="3" t="s">
        <v>5455</v>
      </c>
    </row>
    <row r="422" spans="1:56" ht="52.5" customHeight="1" x14ac:dyDescent="0.25">
      <c r="A422" s="7" t="s">
        <v>59</v>
      </c>
      <c r="B422" s="2" t="s">
        <v>5456</v>
      </c>
      <c r="C422" s="2" t="s">
        <v>5457</v>
      </c>
      <c r="D422" s="2" t="s">
        <v>5458</v>
      </c>
      <c r="F422" s="3" t="s">
        <v>59</v>
      </c>
      <c r="G422" s="3" t="s">
        <v>60</v>
      </c>
      <c r="H422" s="3" t="s">
        <v>59</v>
      </c>
      <c r="I422" s="3" t="s">
        <v>59</v>
      </c>
      <c r="J422" s="3" t="s">
        <v>61</v>
      </c>
      <c r="L422" s="2" t="s">
        <v>698</v>
      </c>
      <c r="M422" s="3" t="s">
        <v>684</v>
      </c>
      <c r="O422" s="3" t="s">
        <v>65</v>
      </c>
      <c r="P422" s="3" t="s">
        <v>699</v>
      </c>
      <c r="R422" s="3" t="s">
        <v>68</v>
      </c>
      <c r="S422" s="4">
        <v>4</v>
      </c>
      <c r="T422" s="4">
        <v>4</v>
      </c>
      <c r="U422" s="5" t="s">
        <v>5459</v>
      </c>
      <c r="V422" s="5" t="s">
        <v>5459</v>
      </c>
      <c r="W422" s="5" t="s">
        <v>5460</v>
      </c>
      <c r="X422" s="5" t="s">
        <v>5460</v>
      </c>
      <c r="Y422" s="4">
        <v>436</v>
      </c>
      <c r="Z422" s="4">
        <v>343</v>
      </c>
      <c r="AA422" s="4">
        <v>372</v>
      </c>
      <c r="AB422" s="4">
        <v>2</v>
      </c>
      <c r="AC422" s="4">
        <v>2</v>
      </c>
      <c r="AD422" s="4">
        <v>20</v>
      </c>
      <c r="AE422" s="4">
        <v>20</v>
      </c>
      <c r="AF422" s="4">
        <v>7</v>
      </c>
      <c r="AG422" s="4">
        <v>7</v>
      </c>
      <c r="AH422" s="4">
        <v>5</v>
      </c>
      <c r="AI422" s="4">
        <v>5</v>
      </c>
      <c r="AJ422" s="4">
        <v>14</v>
      </c>
      <c r="AK422" s="4">
        <v>14</v>
      </c>
      <c r="AL422" s="4">
        <v>1</v>
      </c>
      <c r="AM422" s="4">
        <v>1</v>
      </c>
      <c r="AN422" s="4">
        <v>1</v>
      </c>
      <c r="AO422" s="4">
        <v>1</v>
      </c>
      <c r="AP422" s="3" t="s">
        <v>59</v>
      </c>
      <c r="AQ422" s="3" t="s">
        <v>71</v>
      </c>
      <c r="AR422" s="6" t="str">
        <f>HYPERLINK("http://catalog.hathitrust.org/Record/000127912","HathiTrust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HYPERLINK("https://creighton-primo.hosted.exlibrisgroup.com/primo-explore/search?tab=default_tab&amp;search_scope=EVERYTHING&amp;vid=01CRU&amp;lang=en_US&amp;offset=0&amp;query=any,contains,991005386019702656","Catalog Record")</f>
        <v>Catalog Record</v>
      </c>
      <c r="AT422" s="6" t="str">
        <f>HYPERLINK("http://www.worldcat.org/oclc/6917697","WorldCat Record")</f>
        <v>WorldCat Record</v>
      </c>
      <c r="AU422" s="3" t="s">
        <v>5461</v>
      </c>
      <c r="AV422" s="3" t="s">
        <v>5462</v>
      </c>
      <c r="AW422" s="3" t="s">
        <v>5463</v>
      </c>
      <c r="AX422" s="3" t="s">
        <v>5463</v>
      </c>
      <c r="AY422" s="3" t="s">
        <v>5464</v>
      </c>
      <c r="AZ422" s="3" t="s">
        <v>76</v>
      </c>
      <c r="BB422" s="3" t="s">
        <v>5465</v>
      </c>
      <c r="BC422" s="3" t="s">
        <v>5466</v>
      </c>
      <c r="BD422" s="3" t="s">
        <v>5467</v>
      </c>
    </row>
    <row r="423" spans="1:56" ht="52.5" customHeight="1" x14ac:dyDescent="0.25">
      <c r="A423" s="7" t="s">
        <v>59</v>
      </c>
      <c r="B423" s="2" t="s">
        <v>5468</v>
      </c>
      <c r="C423" s="2" t="s">
        <v>5469</v>
      </c>
      <c r="D423" s="2" t="s">
        <v>5470</v>
      </c>
      <c r="F423" s="3" t="s">
        <v>59</v>
      </c>
      <c r="G423" s="3" t="s">
        <v>60</v>
      </c>
      <c r="H423" s="3" t="s">
        <v>59</v>
      </c>
      <c r="I423" s="3" t="s">
        <v>59</v>
      </c>
      <c r="J423" s="3" t="s">
        <v>61</v>
      </c>
      <c r="K423" s="2" t="s">
        <v>5471</v>
      </c>
      <c r="L423" s="2" t="s">
        <v>755</v>
      </c>
      <c r="M423" s="3" t="s">
        <v>756</v>
      </c>
      <c r="O423" s="3" t="s">
        <v>65</v>
      </c>
      <c r="P423" s="3" t="s">
        <v>66</v>
      </c>
      <c r="R423" s="3" t="s">
        <v>68</v>
      </c>
      <c r="S423" s="4">
        <v>8</v>
      </c>
      <c r="T423" s="4">
        <v>8</v>
      </c>
      <c r="U423" s="5" t="s">
        <v>5472</v>
      </c>
      <c r="V423" s="5" t="s">
        <v>5472</v>
      </c>
      <c r="W423" s="5" t="s">
        <v>4150</v>
      </c>
      <c r="X423" s="5" t="s">
        <v>4150</v>
      </c>
      <c r="Y423" s="4">
        <v>871</v>
      </c>
      <c r="Z423" s="4">
        <v>647</v>
      </c>
      <c r="AA423" s="4">
        <v>657</v>
      </c>
      <c r="AB423" s="4">
        <v>3</v>
      </c>
      <c r="AC423" s="4">
        <v>3</v>
      </c>
      <c r="AD423" s="4">
        <v>27</v>
      </c>
      <c r="AE423" s="4">
        <v>27</v>
      </c>
      <c r="AF423" s="4">
        <v>12</v>
      </c>
      <c r="AG423" s="4">
        <v>12</v>
      </c>
      <c r="AH423" s="4">
        <v>7</v>
      </c>
      <c r="AI423" s="4">
        <v>7</v>
      </c>
      <c r="AJ423" s="4">
        <v>16</v>
      </c>
      <c r="AK423" s="4">
        <v>16</v>
      </c>
      <c r="AL423" s="4">
        <v>2</v>
      </c>
      <c r="AM423" s="4">
        <v>2</v>
      </c>
      <c r="AN423" s="4">
        <v>0</v>
      </c>
      <c r="AO423" s="4">
        <v>0</v>
      </c>
      <c r="AP423" s="3" t="s">
        <v>59</v>
      </c>
      <c r="AQ423" s="3" t="s">
        <v>71</v>
      </c>
      <c r="AR423" s="6" t="str">
        <f>HYPERLINK("http://catalog.hathitrust.org/Record/000355058","HathiTrust Record")</f>
        <v>HathiTrust Record</v>
      </c>
      <c r="AS423" s="6" t="str">
        <f>HYPERLINK("https://creighton-primo.hosted.exlibrisgroup.com/primo-explore/search?tab=default_tab&amp;search_scope=EVERYTHING&amp;vid=01CRU&amp;lang=en_US&amp;offset=0&amp;query=any,contains,991001215309702656","Catalog Record")</f>
        <v>Catalog Record</v>
      </c>
      <c r="AT423" s="6" t="str">
        <f>HYPERLINK("http://www.worldcat.org/oclc/193771","WorldCat Record")</f>
        <v>WorldCat Record</v>
      </c>
      <c r="AU423" s="3" t="s">
        <v>5473</v>
      </c>
      <c r="AV423" s="3" t="s">
        <v>5474</v>
      </c>
      <c r="AW423" s="3" t="s">
        <v>5475</v>
      </c>
      <c r="AX423" s="3" t="s">
        <v>5475</v>
      </c>
      <c r="AY423" s="3" t="s">
        <v>5476</v>
      </c>
      <c r="AZ423" s="3" t="s">
        <v>76</v>
      </c>
      <c r="BC423" s="3" t="s">
        <v>5477</v>
      </c>
      <c r="BD423" s="3" t="s">
        <v>5478</v>
      </c>
    </row>
    <row r="424" spans="1:56" ht="52.5" customHeight="1" x14ac:dyDescent="0.25">
      <c r="A424" s="7" t="s">
        <v>59</v>
      </c>
      <c r="B424" s="2" t="s">
        <v>5479</v>
      </c>
      <c r="C424" s="2" t="s">
        <v>5480</v>
      </c>
      <c r="D424" s="2" t="s">
        <v>5481</v>
      </c>
      <c r="F424" s="3" t="s">
        <v>59</v>
      </c>
      <c r="G424" s="3" t="s">
        <v>60</v>
      </c>
      <c r="H424" s="3" t="s">
        <v>59</v>
      </c>
      <c r="I424" s="3" t="s">
        <v>59</v>
      </c>
      <c r="J424" s="3" t="s">
        <v>61</v>
      </c>
      <c r="K424" s="2" t="s">
        <v>5482</v>
      </c>
      <c r="L424" s="2" t="s">
        <v>4799</v>
      </c>
      <c r="M424" s="3" t="s">
        <v>1015</v>
      </c>
      <c r="O424" s="3" t="s">
        <v>65</v>
      </c>
      <c r="P424" s="3" t="s">
        <v>66</v>
      </c>
      <c r="Q424" s="2" t="s">
        <v>3690</v>
      </c>
      <c r="R424" s="3" t="s">
        <v>68</v>
      </c>
      <c r="S424" s="4">
        <v>2</v>
      </c>
      <c r="T424" s="4">
        <v>2</v>
      </c>
      <c r="U424" s="5" t="s">
        <v>5483</v>
      </c>
      <c r="V424" s="5" t="s">
        <v>5483</v>
      </c>
      <c r="W424" s="5" t="s">
        <v>3522</v>
      </c>
      <c r="X424" s="5" t="s">
        <v>3522</v>
      </c>
      <c r="Y424" s="4">
        <v>705</v>
      </c>
      <c r="Z424" s="4">
        <v>536</v>
      </c>
      <c r="AA424" s="4">
        <v>572</v>
      </c>
      <c r="AB424" s="4">
        <v>2</v>
      </c>
      <c r="AC424" s="4">
        <v>2</v>
      </c>
      <c r="AD424" s="4">
        <v>32</v>
      </c>
      <c r="AE424" s="4">
        <v>33</v>
      </c>
      <c r="AF424" s="4">
        <v>13</v>
      </c>
      <c r="AG424" s="4">
        <v>14</v>
      </c>
      <c r="AH424" s="4">
        <v>8</v>
      </c>
      <c r="AI424" s="4">
        <v>8</v>
      </c>
      <c r="AJ424" s="4">
        <v>19</v>
      </c>
      <c r="AK424" s="4">
        <v>19</v>
      </c>
      <c r="AL424" s="4">
        <v>1</v>
      </c>
      <c r="AM424" s="4">
        <v>1</v>
      </c>
      <c r="AN424" s="4">
        <v>0</v>
      </c>
      <c r="AO424" s="4">
        <v>0</v>
      </c>
      <c r="AP424" s="3" t="s">
        <v>59</v>
      </c>
      <c r="AQ424" s="3" t="s">
        <v>71</v>
      </c>
      <c r="AR424" s="6" t="str">
        <f>HYPERLINK("http://catalog.hathitrust.org/Record/000384039","HathiTrust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HYPERLINK("https://creighton-primo.hosted.exlibrisgroup.com/primo-explore/search?tab=default_tab&amp;search_scope=EVERYTHING&amp;vid=01CRU&amp;lang=en_US&amp;offset=0&amp;query=any,contains,991000941499702656","Catalog Record")</f>
        <v>Catalog Record</v>
      </c>
      <c r="AT424" s="6" t="str">
        <f>HYPERLINK("http://www.worldcat.org/oclc/166263","WorldCat Record")</f>
        <v>WorldCat Record</v>
      </c>
      <c r="AU424" s="3" t="s">
        <v>5484</v>
      </c>
      <c r="AV424" s="3" t="s">
        <v>5485</v>
      </c>
      <c r="AW424" s="3" t="s">
        <v>5486</v>
      </c>
      <c r="AX424" s="3" t="s">
        <v>5486</v>
      </c>
      <c r="AY424" s="3" t="s">
        <v>5487</v>
      </c>
      <c r="AZ424" s="3" t="s">
        <v>76</v>
      </c>
      <c r="BC424" s="3" t="s">
        <v>5488</v>
      </c>
      <c r="BD424" s="3" t="s">
        <v>5489</v>
      </c>
    </row>
    <row r="425" spans="1:56" ht="52.5" customHeight="1" x14ac:dyDescent="0.25">
      <c r="A425" s="7" t="s">
        <v>59</v>
      </c>
      <c r="B425" s="2" t="s">
        <v>5490</v>
      </c>
      <c r="C425" s="2" t="s">
        <v>5491</v>
      </c>
      <c r="D425" s="2" t="s">
        <v>5492</v>
      </c>
      <c r="F425" s="3" t="s">
        <v>59</v>
      </c>
      <c r="G425" s="3" t="s">
        <v>60</v>
      </c>
      <c r="H425" s="3" t="s">
        <v>59</v>
      </c>
      <c r="I425" s="3" t="s">
        <v>59</v>
      </c>
      <c r="J425" s="3" t="s">
        <v>61</v>
      </c>
      <c r="K425" s="2" t="s">
        <v>5493</v>
      </c>
      <c r="L425" s="2" t="s">
        <v>5494</v>
      </c>
      <c r="M425" s="3" t="s">
        <v>148</v>
      </c>
      <c r="O425" s="3" t="s">
        <v>65</v>
      </c>
      <c r="P425" s="3" t="s">
        <v>771</v>
      </c>
      <c r="R425" s="3" t="s">
        <v>68</v>
      </c>
      <c r="S425" s="4">
        <v>2</v>
      </c>
      <c r="T425" s="4">
        <v>2</v>
      </c>
      <c r="U425" s="5" t="s">
        <v>5483</v>
      </c>
      <c r="V425" s="5" t="s">
        <v>5483</v>
      </c>
      <c r="W425" s="5" t="s">
        <v>3522</v>
      </c>
      <c r="X425" s="5" t="s">
        <v>3522</v>
      </c>
      <c r="Y425" s="4">
        <v>128</v>
      </c>
      <c r="Z425" s="4">
        <v>113</v>
      </c>
      <c r="AA425" s="4">
        <v>319</v>
      </c>
      <c r="AB425" s="4">
        <v>1</v>
      </c>
      <c r="AC425" s="4">
        <v>3</v>
      </c>
      <c r="AD425" s="4">
        <v>3</v>
      </c>
      <c r="AE425" s="4">
        <v>13</v>
      </c>
      <c r="AF425" s="4">
        <v>2</v>
      </c>
      <c r="AG425" s="4">
        <v>3</v>
      </c>
      <c r="AH425" s="4">
        <v>1</v>
      </c>
      <c r="AI425" s="4">
        <v>3</v>
      </c>
      <c r="AJ425" s="4">
        <v>2</v>
      </c>
      <c r="AK425" s="4">
        <v>9</v>
      </c>
      <c r="AL425" s="4">
        <v>0</v>
      </c>
      <c r="AM425" s="4">
        <v>2</v>
      </c>
      <c r="AN425" s="4">
        <v>0</v>
      </c>
      <c r="AO425" s="4">
        <v>0</v>
      </c>
      <c r="AP425" s="3" t="s">
        <v>59</v>
      </c>
      <c r="AQ425" s="3" t="s">
        <v>71</v>
      </c>
      <c r="AR425" s="6" t="str">
        <f>HYPERLINK("http://catalog.hathitrust.org/Record/102018347","HathiTrust Record")</f>
        <v>HathiTrust Record</v>
      </c>
      <c r="AS425" s="6" t="str">
        <f>HYPERLINK("https://creighton-primo.hosted.exlibrisgroup.com/primo-explore/search?tab=default_tab&amp;search_scope=EVERYTHING&amp;vid=01CRU&amp;lang=en_US&amp;offset=0&amp;query=any,contains,991004029689702656","Catalog Record")</f>
        <v>Catalog Record</v>
      </c>
      <c r="AT425" s="6" t="str">
        <f>HYPERLINK("http://www.worldcat.org/oclc/2149905","WorldCat Record")</f>
        <v>WorldCat Record</v>
      </c>
      <c r="AU425" s="3" t="s">
        <v>5495</v>
      </c>
      <c r="AV425" s="3" t="s">
        <v>5496</v>
      </c>
      <c r="AW425" s="3" t="s">
        <v>5497</v>
      </c>
      <c r="AX425" s="3" t="s">
        <v>5497</v>
      </c>
      <c r="AY425" s="3" t="s">
        <v>5498</v>
      </c>
      <c r="AZ425" s="3" t="s">
        <v>76</v>
      </c>
      <c r="BB425" s="3" t="s">
        <v>5499</v>
      </c>
      <c r="BC425" s="3" t="s">
        <v>5500</v>
      </c>
      <c r="BD425" s="3" t="s">
        <v>5501</v>
      </c>
    </row>
    <row r="426" spans="1:56" ht="52.5" customHeight="1" x14ac:dyDescent="0.25">
      <c r="A426" s="7" t="s">
        <v>59</v>
      </c>
      <c r="B426" s="2" t="s">
        <v>5502</v>
      </c>
      <c r="C426" s="2" t="s">
        <v>5503</v>
      </c>
      <c r="D426" s="2" t="s">
        <v>5504</v>
      </c>
      <c r="F426" s="3" t="s">
        <v>59</v>
      </c>
      <c r="G426" s="3" t="s">
        <v>60</v>
      </c>
      <c r="H426" s="3" t="s">
        <v>59</v>
      </c>
      <c r="I426" s="3" t="s">
        <v>59</v>
      </c>
      <c r="J426" s="3" t="s">
        <v>61</v>
      </c>
      <c r="K426" s="2" t="s">
        <v>5505</v>
      </c>
      <c r="L426" s="2" t="s">
        <v>5506</v>
      </c>
      <c r="M426" s="3" t="s">
        <v>756</v>
      </c>
      <c r="O426" s="3" t="s">
        <v>65</v>
      </c>
      <c r="P426" s="3" t="s">
        <v>66</v>
      </c>
      <c r="Q426" s="2" t="s">
        <v>1602</v>
      </c>
      <c r="R426" s="3" t="s">
        <v>68</v>
      </c>
      <c r="S426" s="4">
        <v>2</v>
      </c>
      <c r="T426" s="4">
        <v>2</v>
      </c>
      <c r="U426" s="5" t="s">
        <v>5472</v>
      </c>
      <c r="V426" s="5" t="s">
        <v>5472</v>
      </c>
      <c r="W426" s="5" t="s">
        <v>5507</v>
      </c>
      <c r="X426" s="5" t="s">
        <v>5507</v>
      </c>
      <c r="Y426" s="4">
        <v>736</v>
      </c>
      <c r="Z426" s="4">
        <v>562</v>
      </c>
      <c r="AA426" s="4">
        <v>595</v>
      </c>
      <c r="AB426" s="4">
        <v>5</v>
      </c>
      <c r="AC426" s="4">
        <v>5</v>
      </c>
      <c r="AD426" s="4">
        <v>24</v>
      </c>
      <c r="AE426" s="4">
        <v>25</v>
      </c>
      <c r="AF426" s="4">
        <v>10</v>
      </c>
      <c r="AG426" s="4">
        <v>11</v>
      </c>
      <c r="AH426" s="4">
        <v>7</v>
      </c>
      <c r="AI426" s="4">
        <v>7</v>
      </c>
      <c r="AJ426" s="4">
        <v>12</v>
      </c>
      <c r="AK426" s="4">
        <v>12</v>
      </c>
      <c r="AL426" s="4">
        <v>4</v>
      </c>
      <c r="AM426" s="4">
        <v>4</v>
      </c>
      <c r="AN426" s="4">
        <v>0</v>
      </c>
      <c r="AO426" s="4">
        <v>0</v>
      </c>
      <c r="AP426" s="3" t="s">
        <v>59</v>
      </c>
      <c r="AQ426" s="3" t="s">
        <v>71</v>
      </c>
      <c r="AR426" s="6" t="str">
        <f>HYPERLINK("http://catalog.hathitrust.org/Record/000355213","HathiTrust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HYPERLINK("https://creighton-primo.hosted.exlibrisgroup.com/primo-explore/search?tab=default_tab&amp;search_scope=EVERYTHING&amp;vid=01CRU&amp;lang=en_US&amp;offset=0&amp;query=any,contains,991001216289702656","Catalog Record")</f>
        <v>Catalog Record</v>
      </c>
      <c r="AT426" s="6" t="str">
        <f>HYPERLINK("http://www.worldcat.org/oclc/194210","WorldCat Record")</f>
        <v>WorldCat Record</v>
      </c>
      <c r="AU426" s="3" t="s">
        <v>5508</v>
      </c>
      <c r="AV426" s="3" t="s">
        <v>5509</v>
      </c>
      <c r="AW426" s="3" t="s">
        <v>5510</v>
      </c>
      <c r="AX426" s="3" t="s">
        <v>5510</v>
      </c>
      <c r="AY426" s="3" t="s">
        <v>5511</v>
      </c>
      <c r="AZ426" s="3" t="s">
        <v>76</v>
      </c>
      <c r="BC426" s="3" t="s">
        <v>5512</v>
      </c>
      <c r="BD426" s="3" t="s">
        <v>5513</v>
      </c>
    </row>
    <row r="427" spans="1:56" ht="52.5" customHeight="1" x14ac:dyDescent="0.25">
      <c r="A427" s="7" t="s">
        <v>59</v>
      </c>
      <c r="B427" s="2" t="s">
        <v>5514</v>
      </c>
      <c r="C427" s="2" t="s">
        <v>5515</v>
      </c>
      <c r="D427" s="2" t="s">
        <v>5516</v>
      </c>
      <c r="F427" s="3" t="s">
        <v>59</v>
      </c>
      <c r="G427" s="3" t="s">
        <v>60</v>
      </c>
      <c r="H427" s="3" t="s">
        <v>59</v>
      </c>
      <c r="I427" s="3" t="s">
        <v>59</v>
      </c>
      <c r="J427" s="3" t="s">
        <v>61</v>
      </c>
      <c r="K427" s="2" t="s">
        <v>5517</v>
      </c>
      <c r="L427" s="2" t="s">
        <v>5518</v>
      </c>
      <c r="M427" s="3" t="s">
        <v>254</v>
      </c>
      <c r="O427" s="3" t="s">
        <v>65</v>
      </c>
      <c r="P427" s="3" t="s">
        <v>66</v>
      </c>
      <c r="Q427" s="2" t="s">
        <v>5519</v>
      </c>
      <c r="R427" s="3" t="s">
        <v>68</v>
      </c>
      <c r="S427" s="4">
        <v>5</v>
      </c>
      <c r="T427" s="4">
        <v>5</v>
      </c>
      <c r="U427" s="5" t="s">
        <v>5520</v>
      </c>
      <c r="V427" s="5" t="s">
        <v>5520</v>
      </c>
      <c r="W427" s="5" t="s">
        <v>1666</v>
      </c>
      <c r="X427" s="5" t="s">
        <v>1666</v>
      </c>
      <c r="Y427" s="4">
        <v>897</v>
      </c>
      <c r="Z427" s="4">
        <v>696</v>
      </c>
      <c r="AA427" s="4">
        <v>741</v>
      </c>
      <c r="AB427" s="4">
        <v>5</v>
      </c>
      <c r="AC427" s="4">
        <v>5</v>
      </c>
      <c r="AD427" s="4">
        <v>32</v>
      </c>
      <c r="AE427" s="4">
        <v>36</v>
      </c>
      <c r="AF427" s="4">
        <v>12</v>
      </c>
      <c r="AG427" s="4">
        <v>15</v>
      </c>
      <c r="AH427" s="4">
        <v>7</v>
      </c>
      <c r="AI427" s="4">
        <v>7</v>
      </c>
      <c r="AJ427" s="4">
        <v>16</v>
      </c>
      <c r="AK427" s="4">
        <v>18</v>
      </c>
      <c r="AL427" s="4">
        <v>4</v>
      </c>
      <c r="AM427" s="4">
        <v>4</v>
      </c>
      <c r="AN427" s="4">
        <v>0</v>
      </c>
      <c r="AO427" s="4">
        <v>0</v>
      </c>
      <c r="AP427" s="3" t="s">
        <v>59</v>
      </c>
      <c r="AQ427" s="3" t="s">
        <v>59</v>
      </c>
      <c r="AS427" s="6" t="str">
        <f>HYPERLINK("https://creighton-primo.hosted.exlibrisgroup.com/primo-explore/search?tab=default_tab&amp;search_scope=EVERYTHING&amp;vid=01CRU&amp;lang=en_US&amp;offset=0&amp;query=any,contains,991005434809702656","Catalog Record")</f>
        <v>Catalog Record</v>
      </c>
      <c r="AT427" s="6" t="str">
        <f>HYPERLINK("http://www.worldcat.org/oclc/2593","WorldCat Record")</f>
        <v>WorldCat Record</v>
      </c>
      <c r="AU427" s="3" t="s">
        <v>5521</v>
      </c>
      <c r="AV427" s="3" t="s">
        <v>5522</v>
      </c>
      <c r="AW427" s="3" t="s">
        <v>5523</v>
      </c>
      <c r="AX427" s="3" t="s">
        <v>5523</v>
      </c>
      <c r="AY427" s="3" t="s">
        <v>5524</v>
      </c>
      <c r="AZ427" s="3" t="s">
        <v>76</v>
      </c>
      <c r="BC427" s="3" t="s">
        <v>5525</v>
      </c>
      <c r="BD427" s="3" t="s">
        <v>5526</v>
      </c>
    </row>
    <row r="428" spans="1:56" ht="52.5" customHeight="1" x14ac:dyDescent="0.25">
      <c r="A428" s="7" t="s">
        <v>59</v>
      </c>
      <c r="B428" s="2" t="s">
        <v>5527</v>
      </c>
      <c r="C428" s="2" t="s">
        <v>5528</v>
      </c>
      <c r="D428" s="2" t="s">
        <v>5529</v>
      </c>
      <c r="F428" s="3" t="s">
        <v>59</v>
      </c>
      <c r="G428" s="3" t="s">
        <v>60</v>
      </c>
      <c r="H428" s="3" t="s">
        <v>59</v>
      </c>
      <c r="I428" s="3" t="s">
        <v>59</v>
      </c>
      <c r="J428" s="3" t="s">
        <v>61</v>
      </c>
      <c r="K428" s="2" t="s">
        <v>5530</v>
      </c>
      <c r="L428" s="2" t="s">
        <v>5531</v>
      </c>
      <c r="M428" s="3" t="s">
        <v>295</v>
      </c>
      <c r="O428" s="3" t="s">
        <v>65</v>
      </c>
      <c r="P428" s="3" t="s">
        <v>323</v>
      </c>
      <c r="R428" s="3" t="s">
        <v>68</v>
      </c>
      <c r="S428" s="4">
        <v>7</v>
      </c>
      <c r="T428" s="4">
        <v>7</v>
      </c>
      <c r="U428" s="5" t="s">
        <v>5532</v>
      </c>
      <c r="V428" s="5" t="s">
        <v>5532</v>
      </c>
      <c r="W428" s="5" t="s">
        <v>3522</v>
      </c>
      <c r="X428" s="5" t="s">
        <v>3522</v>
      </c>
      <c r="Y428" s="4">
        <v>600</v>
      </c>
      <c r="Z428" s="4">
        <v>488</v>
      </c>
      <c r="AA428" s="4">
        <v>558</v>
      </c>
      <c r="AB428" s="4">
        <v>3</v>
      </c>
      <c r="AC428" s="4">
        <v>3</v>
      </c>
      <c r="AD428" s="4">
        <v>23</v>
      </c>
      <c r="AE428" s="4">
        <v>26</v>
      </c>
      <c r="AF428" s="4">
        <v>11</v>
      </c>
      <c r="AG428" s="4">
        <v>12</v>
      </c>
      <c r="AH428" s="4">
        <v>6</v>
      </c>
      <c r="AI428" s="4">
        <v>7</v>
      </c>
      <c r="AJ428" s="4">
        <v>9</v>
      </c>
      <c r="AK428" s="4">
        <v>12</v>
      </c>
      <c r="AL428" s="4">
        <v>2</v>
      </c>
      <c r="AM428" s="4">
        <v>2</v>
      </c>
      <c r="AN428" s="4">
        <v>0</v>
      </c>
      <c r="AO428" s="4">
        <v>0</v>
      </c>
      <c r="AP428" s="3" t="s">
        <v>59</v>
      </c>
      <c r="AQ428" s="3" t="s">
        <v>59</v>
      </c>
      <c r="AS428" s="6" t="str">
        <f>HYPERLINK("https://creighton-primo.hosted.exlibrisgroup.com/primo-explore/search?tab=default_tab&amp;search_scope=EVERYTHING&amp;vid=01CRU&amp;lang=en_US&amp;offset=0&amp;query=any,contains,991003536319702656","Catalog Record")</f>
        <v>Catalog Record</v>
      </c>
      <c r="AT428" s="6" t="str">
        <f>HYPERLINK("http://www.worldcat.org/oclc/1101352","WorldCat Record")</f>
        <v>WorldCat Record</v>
      </c>
      <c r="AU428" s="3" t="s">
        <v>5533</v>
      </c>
      <c r="AV428" s="3" t="s">
        <v>5534</v>
      </c>
      <c r="AW428" s="3" t="s">
        <v>5535</v>
      </c>
      <c r="AX428" s="3" t="s">
        <v>5535</v>
      </c>
      <c r="AY428" s="3" t="s">
        <v>5536</v>
      </c>
      <c r="AZ428" s="3" t="s">
        <v>76</v>
      </c>
      <c r="BC428" s="3" t="s">
        <v>5537</v>
      </c>
      <c r="BD428" s="3" t="s">
        <v>5538</v>
      </c>
    </row>
    <row r="429" spans="1:56" ht="52.5" customHeight="1" x14ac:dyDescent="0.25">
      <c r="A429" s="7" t="s">
        <v>59</v>
      </c>
      <c r="B429" s="2" t="s">
        <v>5539</v>
      </c>
      <c r="C429" s="2" t="s">
        <v>5540</v>
      </c>
      <c r="D429" s="2" t="s">
        <v>5541</v>
      </c>
      <c r="F429" s="3" t="s">
        <v>59</v>
      </c>
      <c r="G429" s="3" t="s">
        <v>60</v>
      </c>
      <c r="H429" s="3" t="s">
        <v>59</v>
      </c>
      <c r="I429" s="3" t="s">
        <v>59</v>
      </c>
      <c r="J429" s="3" t="s">
        <v>61</v>
      </c>
      <c r="K429" s="2" t="s">
        <v>5542</v>
      </c>
      <c r="L429" s="2" t="s">
        <v>5543</v>
      </c>
      <c r="M429" s="3" t="s">
        <v>987</v>
      </c>
      <c r="O429" s="3" t="s">
        <v>65</v>
      </c>
      <c r="P429" s="3" t="s">
        <v>296</v>
      </c>
      <c r="Q429" s="2" t="s">
        <v>5544</v>
      </c>
      <c r="R429" s="3" t="s">
        <v>68</v>
      </c>
      <c r="S429" s="4">
        <v>3</v>
      </c>
      <c r="T429" s="4">
        <v>3</v>
      </c>
      <c r="U429" s="5" t="s">
        <v>1652</v>
      </c>
      <c r="V429" s="5" t="s">
        <v>1652</v>
      </c>
      <c r="W429" s="5" t="s">
        <v>3522</v>
      </c>
      <c r="X429" s="5" t="s">
        <v>3522</v>
      </c>
      <c r="Y429" s="4">
        <v>464</v>
      </c>
      <c r="Z429" s="4">
        <v>358</v>
      </c>
      <c r="AA429" s="4">
        <v>360</v>
      </c>
      <c r="AB429" s="4">
        <v>3</v>
      </c>
      <c r="AC429" s="4">
        <v>3</v>
      </c>
      <c r="AD429" s="4">
        <v>16</v>
      </c>
      <c r="AE429" s="4">
        <v>16</v>
      </c>
      <c r="AF429" s="4">
        <v>7</v>
      </c>
      <c r="AG429" s="4">
        <v>7</v>
      </c>
      <c r="AH429" s="4">
        <v>4</v>
      </c>
      <c r="AI429" s="4">
        <v>4</v>
      </c>
      <c r="AJ429" s="4">
        <v>8</v>
      </c>
      <c r="AK429" s="4">
        <v>8</v>
      </c>
      <c r="AL429" s="4">
        <v>2</v>
      </c>
      <c r="AM429" s="4">
        <v>2</v>
      </c>
      <c r="AN429" s="4">
        <v>0</v>
      </c>
      <c r="AO429" s="4">
        <v>0</v>
      </c>
      <c r="AP429" s="3" t="s">
        <v>59</v>
      </c>
      <c r="AQ429" s="3" t="s">
        <v>71</v>
      </c>
      <c r="AR429" s="6" t="str">
        <f>HYPERLINK("http://catalog.hathitrust.org/Record/000355615","HathiTrust Record")</f>
        <v>HathiTrust Record</v>
      </c>
      <c r="AS429" s="6" t="str">
        <f>HYPERLINK("https://creighton-primo.hosted.exlibrisgroup.com/primo-explore/search?tab=default_tab&amp;search_scope=EVERYTHING&amp;vid=01CRU&amp;lang=en_US&amp;offset=0&amp;query=any,contains,991000424589702656","Catalog Record")</f>
        <v>Catalog Record</v>
      </c>
      <c r="AT429" s="6" t="str">
        <f>HYPERLINK("http://www.worldcat.org/oclc/74601","WorldCat Record")</f>
        <v>WorldCat Record</v>
      </c>
      <c r="AU429" s="3" t="s">
        <v>5545</v>
      </c>
      <c r="AV429" s="3" t="s">
        <v>5546</v>
      </c>
      <c r="AW429" s="3" t="s">
        <v>5547</v>
      </c>
      <c r="AX429" s="3" t="s">
        <v>5547</v>
      </c>
      <c r="AY429" s="3" t="s">
        <v>5548</v>
      </c>
      <c r="AZ429" s="3" t="s">
        <v>76</v>
      </c>
      <c r="BC429" s="3" t="s">
        <v>5549</v>
      </c>
      <c r="BD429" s="3" t="s">
        <v>5550</v>
      </c>
    </row>
    <row r="430" spans="1:56" ht="52.5" customHeight="1" x14ac:dyDescent="0.25">
      <c r="A430" s="7" t="s">
        <v>59</v>
      </c>
      <c r="B430" s="2" t="s">
        <v>5551</v>
      </c>
      <c r="C430" s="2" t="s">
        <v>5552</v>
      </c>
      <c r="D430" s="2" t="s">
        <v>5553</v>
      </c>
      <c r="F430" s="3" t="s">
        <v>59</v>
      </c>
      <c r="G430" s="3" t="s">
        <v>60</v>
      </c>
      <c r="H430" s="3" t="s">
        <v>59</v>
      </c>
      <c r="I430" s="3" t="s">
        <v>59</v>
      </c>
      <c r="J430" s="3" t="s">
        <v>61</v>
      </c>
      <c r="K430" s="2" t="s">
        <v>5554</v>
      </c>
      <c r="L430" s="2" t="s">
        <v>5555</v>
      </c>
      <c r="M430" s="3" t="s">
        <v>100</v>
      </c>
      <c r="O430" s="3" t="s">
        <v>65</v>
      </c>
      <c r="P430" s="3" t="s">
        <v>66</v>
      </c>
      <c r="Q430" s="2" t="s">
        <v>5556</v>
      </c>
      <c r="R430" s="3" t="s">
        <v>68</v>
      </c>
      <c r="S430" s="4">
        <v>6</v>
      </c>
      <c r="T430" s="4">
        <v>6</v>
      </c>
      <c r="U430" s="5" t="s">
        <v>5472</v>
      </c>
      <c r="V430" s="5" t="s">
        <v>5472</v>
      </c>
      <c r="W430" s="5" t="s">
        <v>5557</v>
      </c>
      <c r="X430" s="5" t="s">
        <v>5557</v>
      </c>
      <c r="Y430" s="4">
        <v>672</v>
      </c>
      <c r="Z430" s="4">
        <v>450</v>
      </c>
      <c r="AA430" s="4">
        <v>454</v>
      </c>
      <c r="AB430" s="4">
        <v>4</v>
      </c>
      <c r="AC430" s="4">
        <v>4</v>
      </c>
      <c r="AD430" s="4">
        <v>21</v>
      </c>
      <c r="AE430" s="4">
        <v>21</v>
      </c>
      <c r="AF430" s="4">
        <v>8</v>
      </c>
      <c r="AG430" s="4">
        <v>8</v>
      </c>
      <c r="AH430" s="4">
        <v>5</v>
      </c>
      <c r="AI430" s="4">
        <v>5</v>
      </c>
      <c r="AJ430" s="4">
        <v>12</v>
      </c>
      <c r="AK430" s="4">
        <v>12</v>
      </c>
      <c r="AL430" s="4">
        <v>3</v>
      </c>
      <c r="AM430" s="4">
        <v>3</v>
      </c>
      <c r="AN430" s="4">
        <v>0</v>
      </c>
      <c r="AO430" s="4">
        <v>0</v>
      </c>
      <c r="AP430" s="3" t="s">
        <v>59</v>
      </c>
      <c r="AQ430" s="3" t="s">
        <v>71</v>
      </c>
      <c r="AR430" s="6" t="str">
        <f>HYPERLINK("http://catalog.hathitrust.org/Record/000355187","HathiTrust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HYPERLINK("https://creighton-primo.hosted.exlibrisgroup.com/primo-explore/search?tab=default_tab&amp;search_scope=EVERYTHING&amp;vid=01CRU&amp;lang=en_US&amp;offset=0&amp;query=any,contains,991000741739702656","Catalog Record")</f>
        <v>Catalog Record</v>
      </c>
      <c r="AT430" s="6" t="str">
        <f>HYPERLINK("http://www.worldcat.org/oclc/129468","WorldCat Record")</f>
        <v>WorldCat Record</v>
      </c>
      <c r="AU430" s="3" t="s">
        <v>5558</v>
      </c>
      <c r="AV430" s="3" t="s">
        <v>5559</v>
      </c>
      <c r="AW430" s="3" t="s">
        <v>5560</v>
      </c>
      <c r="AX430" s="3" t="s">
        <v>5560</v>
      </c>
      <c r="AY430" s="3" t="s">
        <v>5561</v>
      </c>
      <c r="AZ430" s="3" t="s">
        <v>76</v>
      </c>
      <c r="BB430" s="3" t="s">
        <v>5562</v>
      </c>
      <c r="BC430" s="3" t="s">
        <v>5563</v>
      </c>
      <c r="BD430" s="3" t="s">
        <v>5564</v>
      </c>
    </row>
    <row r="431" spans="1:56" ht="52.5" customHeight="1" x14ac:dyDescent="0.25">
      <c r="A431" s="7" t="s">
        <v>59</v>
      </c>
      <c r="B431" s="2" t="s">
        <v>5565</v>
      </c>
      <c r="C431" s="2" t="s">
        <v>5566</v>
      </c>
      <c r="D431" s="2" t="s">
        <v>5567</v>
      </c>
      <c r="F431" s="3" t="s">
        <v>59</v>
      </c>
      <c r="G431" s="3" t="s">
        <v>60</v>
      </c>
      <c r="H431" s="3" t="s">
        <v>59</v>
      </c>
      <c r="I431" s="3" t="s">
        <v>59</v>
      </c>
      <c r="J431" s="3" t="s">
        <v>61</v>
      </c>
      <c r="K431" s="2" t="s">
        <v>5568</v>
      </c>
      <c r="L431" s="2" t="s">
        <v>5569</v>
      </c>
      <c r="M431" s="3" t="s">
        <v>350</v>
      </c>
      <c r="N431" s="2" t="s">
        <v>3938</v>
      </c>
      <c r="O431" s="3" t="s">
        <v>65</v>
      </c>
      <c r="P431" s="3" t="s">
        <v>66</v>
      </c>
      <c r="Q431" s="2" t="s">
        <v>5570</v>
      </c>
      <c r="R431" s="3" t="s">
        <v>68</v>
      </c>
      <c r="S431" s="4">
        <v>14</v>
      </c>
      <c r="T431" s="4">
        <v>14</v>
      </c>
      <c r="U431" s="5" t="s">
        <v>5571</v>
      </c>
      <c r="V431" s="5" t="s">
        <v>5571</v>
      </c>
      <c r="W431" s="5" t="s">
        <v>5572</v>
      </c>
      <c r="X431" s="5" t="s">
        <v>5572</v>
      </c>
      <c r="Y431" s="4">
        <v>57</v>
      </c>
      <c r="Z431" s="4">
        <v>44</v>
      </c>
      <c r="AA431" s="4">
        <v>449</v>
      </c>
      <c r="AB431" s="4">
        <v>1</v>
      </c>
      <c r="AC431" s="4">
        <v>3</v>
      </c>
      <c r="AD431" s="4">
        <v>3</v>
      </c>
      <c r="AE431" s="4">
        <v>19</v>
      </c>
      <c r="AF431" s="4">
        <v>2</v>
      </c>
      <c r="AG431" s="4">
        <v>7</v>
      </c>
      <c r="AH431" s="4">
        <v>1</v>
      </c>
      <c r="AI431" s="4">
        <v>3</v>
      </c>
      <c r="AJ431" s="4">
        <v>0</v>
      </c>
      <c r="AK431" s="4">
        <v>11</v>
      </c>
      <c r="AL431" s="4">
        <v>0</v>
      </c>
      <c r="AM431" s="4">
        <v>2</v>
      </c>
      <c r="AN431" s="4">
        <v>0</v>
      </c>
      <c r="AO431" s="4">
        <v>0</v>
      </c>
      <c r="AP431" s="3" t="s">
        <v>59</v>
      </c>
      <c r="AQ431" s="3" t="s">
        <v>59</v>
      </c>
      <c r="AS431" s="6" t="str">
        <f>HYPERLINK("https://creighton-primo.hosted.exlibrisgroup.com/primo-explore/search?tab=default_tab&amp;search_scope=EVERYTHING&amp;vid=01CRU&amp;lang=en_US&amp;offset=0&amp;query=any,contains,991000939389702656","Catalog Record")</f>
        <v>Catalog Record</v>
      </c>
      <c r="AT431" s="6" t="str">
        <f>HYPERLINK("http://www.worldcat.org/oclc/14388252","WorldCat Record")</f>
        <v>WorldCat Record</v>
      </c>
      <c r="AU431" s="3" t="s">
        <v>5573</v>
      </c>
      <c r="AV431" s="3" t="s">
        <v>5574</v>
      </c>
      <c r="AW431" s="3" t="s">
        <v>5575</v>
      </c>
      <c r="AX431" s="3" t="s">
        <v>5575</v>
      </c>
      <c r="AY431" s="3" t="s">
        <v>5576</v>
      </c>
      <c r="AZ431" s="3" t="s">
        <v>76</v>
      </c>
      <c r="BB431" s="3" t="s">
        <v>5577</v>
      </c>
      <c r="BC431" s="3" t="s">
        <v>5578</v>
      </c>
      <c r="BD431" s="3" t="s">
        <v>5579</v>
      </c>
    </row>
    <row r="432" spans="1:56" ht="52.5" customHeight="1" x14ac:dyDescent="0.25">
      <c r="A432" s="7" t="s">
        <v>59</v>
      </c>
      <c r="B432" s="2" t="s">
        <v>5580</v>
      </c>
      <c r="C432" s="2" t="s">
        <v>5581</v>
      </c>
      <c r="D432" s="2" t="s">
        <v>5582</v>
      </c>
      <c r="F432" s="3" t="s">
        <v>59</v>
      </c>
      <c r="G432" s="3" t="s">
        <v>60</v>
      </c>
      <c r="H432" s="3" t="s">
        <v>59</v>
      </c>
      <c r="I432" s="3" t="s">
        <v>59</v>
      </c>
      <c r="J432" s="3" t="s">
        <v>61</v>
      </c>
      <c r="K432" s="2" t="s">
        <v>5583</v>
      </c>
      <c r="L432" s="2" t="s">
        <v>5584</v>
      </c>
      <c r="M432" s="3" t="s">
        <v>350</v>
      </c>
      <c r="O432" s="3" t="s">
        <v>65</v>
      </c>
      <c r="P432" s="3" t="s">
        <v>1262</v>
      </c>
      <c r="Q432" s="2" t="s">
        <v>5585</v>
      </c>
      <c r="R432" s="3" t="s">
        <v>68</v>
      </c>
      <c r="S432" s="4">
        <v>3</v>
      </c>
      <c r="T432" s="4">
        <v>3</v>
      </c>
      <c r="U432" s="5" t="s">
        <v>5092</v>
      </c>
      <c r="V432" s="5" t="s">
        <v>5092</v>
      </c>
      <c r="W432" s="5" t="s">
        <v>5586</v>
      </c>
      <c r="X432" s="5" t="s">
        <v>5586</v>
      </c>
      <c r="Y432" s="4">
        <v>350</v>
      </c>
      <c r="Z432" s="4">
        <v>242</v>
      </c>
      <c r="AA432" s="4">
        <v>276</v>
      </c>
      <c r="AB432" s="4">
        <v>3</v>
      </c>
      <c r="AC432" s="4">
        <v>4</v>
      </c>
      <c r="AD432" s="4">
        <v>10</v>
      </c>
      <c r="AE432" s="4">
        <v>13</v>
      </c>
      <c r="AF432" s="4">
        <v>1</v>
      </c>
      <c r="AG432" s="4">
        <v>2</v>
      </c>
      <c r="AH432" s="4">
        <v>3</v>
      </c>
      <c r="AI432" s="4">
        <v>4</v>
      </c>
      <c r="AJ432" s="4">
        <v>6</v>
      </c>
      <c r="AK432" s="4">
        <v>6</v>
      </c>
      <c r="AL432" s="4">
        <v>2</v>
      </c>
      <c r="AM432" s="4">
        <v>3</v>
      </c>
      <c r="AN432" s="4">
        <v>0</v>
      </c>
      <c r="AO432" s="4">
        <v>0</v>
      </c>
      <c r="AP432" s="3" t="s">
        <v>59</v>
      </c>
      <c r="AQ432" s="3" t="s">
        <v>71</v>
      </c>
      <c r="AR432" s="6" t="str">
        <f>HYPERLINK("http://catalog.hathitrust.org/Record/000726487","HathiTrust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HYPERLINK("https://creighton-primo.hosted.exlibrisgroup.com/primo-explore/search?tab=default_tab&amp;search_scope=EVERYTHING&amp;vid=01CRU&amp;lang=en_US&amp;offset=0&amp;query=any,contains,991004288519702656","Catalog Record")</f>
        <v>Catalog Record</v>
      </c>
      <c r="AT432" s="6" t="str">
        <f>HYPERLINK("http://www.worldcat.org/oclc/2933517","WorldCat Record")</f>
        <v>WorldCat Record</v>
      </c>
      <c r="AU432" s="3" t="s">
        <v>5587</v>
      </c>
      <c r="AV432" s="3" t="s">
        <v>5588</v>
      </c>
      <c r="AW432" s="3" t="s">
        <v>5589</v>
      </c>
      <c r="AX432" s="3" t="s">
        <v>5589</v>
      </c>
      <c r="AY432" s="3" t="s">
        <v>5590</v>
      </c>
      <c r="AZ432" s="3" t="s">
        <v>76</v>
      </c>
      <c r="BB432" s="3" t="s">
        <v>5591</v>
      </c>
      <c r="BC432" s="3" t="s">
        <v>5592</v>
      </c>
      <c r="BD432" s="3" t="s">
        <v>5593</v>
      </c>
    </row>
    <row r="433" spans="1:56" ht="52.5" customHeight="1" x14ac:dyDescent="0.25">
      <c r="A433" s="7" t="s">
        <v>59</v>
      </c>
      <c r="B433" s="2" t="s">
        <v>5594</v>
      </c>
      <c r="C433" s="2" t="s">
        <v>5595</v>
      </c>
      <c r="D433" s="2" t="s">
        <v>5596</v>
      </c>
      <c r="F433" s="3" t="s">
        <v>59</v>
      </c>
      <c r="G433" s="3" t="s">
        <v>60</v>
      </c>
      <c r="H433" s="3" t="s">
        <v>59</v>
      </c>
      <c r="I433" s="3" t="s">
        <v>59</v>
      </c>
      <c r="J433" s="3" t="s">
        <v>61</v>
      </c>
      <c r="K433" s="2" t="s">
        <v>5597</v>
      </c>
      <c r="L433" s="2" t="s">
        <v>5598</v>
      </c>
      <c r="M433" s="3" t="s">
        <v>115</v>
      </c>
      <c r="N433" s="2" t="s">
        <v>435</v>
      </c>
      <c r="O433" s="3" t="s">
        <v>65</v>
      </c>
      <c r="P433" s="3" t="s">
        <v>66</v>
      </c>
      <c r="R433" s="3" t="s">
        <v>68</v>
      </c>
      <c r="S433" s="4">
        <v>1</v>
      </c>
      <c r="T433" s="4">
        <v>1</v>
      </c>
      <c r="U433" s="5" t="s">
        <v>5092</v>
      </c>
      <c r="V433" s="5" t="s">
        <v>5092</v>
      </c>
      <c r="W433" s="5" t="s">
        <v>3522</v>
      </c>
      <c r="X433" s="5" t="s">
        <v>3522</v>
      </c>
      <c r="Y433" s="4">
        <v>426</v>
      </c>
      <c r="Z433" s="4">
        <v>359</v>
      </c>
      <c r="AA433" s="4">
        <v>368</v>
      </c>
      <c r="AB433" s="4">
        <v>2</v>
      </c>
      <c r="AC433" s="4">
        <v>2</v>
      </c>
      <c r="AD433" s="4">
        <v>15</v>
      </c>
      <c r="AE433" s="4">
        <v>15</v>
      </c>
      <c r="AF433" s="4">
        <v>5</v>
      </c>
      <c r="AG433" s="4">
        <v>5</v>
      </c>
      <c r="AH433" s="4">
        <v>5</v>
      </c>
      <c r="AI433" s="4">
        <v>5</v>
      </c>
      <c r="AJ433" s="4">
        <v>9</v>
      </c>
      <c r="AK433" s="4">
        <v>9</v>
      </c>
      <c r="AL433" s="4">
        <v>1</v>
      </c>
      <c r="AM433" s="4">
        <v>1</v>
      </c>
      <c r="AN433" s="4">
        <v>0</v>
      </c>
      <c r="AO433" s="4">
        <v>0</v>
      </c>
      <c r="AP433" s="3" t="s">
        <v>59</v>
      </c>
      <c r="AQ433" s="3" t="s">
        <v>71</v>
      </c>
      <c r="AR433" s="6" t="str">
        <f>HYPERLINK("http://catalog.hathitrust.org/Record/000355059","HathiTrust Record")</f>
        <v>HathiTrust Record</v>
      </c>
      <c r="AS433" s="6" t="str">
        <f>HYPERLINK("https://creighton-primo.hosted.exlibrisgroup.com/primo-explore/search?tab=default_tab&amp;search_scope=EVERYTHING&amp;vid=01CRU&amp;lang=en_US&amp;offset=0&amp;query=any,contains,991002863849702656","Catalog Record")</f>
        <v>Catalog Record</v>
      </c>
      <c r="AT433" s="6" t="str">
        <f>HYPERLINK("http://www.worldcat.org/oclc/494967","WorldCat Record")</f>
        <v>WorldCat Record</v>
      </c>
      <c r="AU433" s="3" t="s">
        <v>5599</v>
      </c>
      <c r="AV433" s="3" t="s">
        <v>5600</v>
      </c>
      <c r="AW433" s="3" t="s">
        <v>5601</v>
      </c>
      <c r="AX433" s="3" t="s">
        <v>5601</v>
      </c>
      <c r="AY433" s="3" t="s">
        <v>5602</v>
      </c>
      <c r="AZ433" s="3" t="s">
        <v>76</v>
      </c>
      <c r="BB433" s="3" t="s">
        <v>5603</v>
      </c>
      <c r="BC433" s="3" t="s">
        <v>5604</v>
      </c>
      <c r="BD433" s="3" t="s">
        <v>5605</v>
      </c>
    </row>
    <row r="434" spans="1:56" ht="52.5" customHeight="1" x14ac:dyDescent="0.25">
      <c r="A434" s="7" t="s">
        <v>59</v>
      </c>
      <c r="B434" s="2" t="s">
        <v>5606</v>
      </c>
      <c r="C434" s="2" t="s">
        <v>5607</v>
      </c>
      <c r="D434" s="2" t="s">
        <v>5608</v>
      </c>
      <c r="F434" s="3" t="s">
        <v>59</v>
      </c>
      <c r="G434" s="3" t="s">
        <v>60</v>
      </c>
      <c r="H434" s="3" t="s">
        <v>59</v>
      </c>
      <c r="I434" s="3" t="s">
        <v>59</v>
      </c>
      <c r="J434" s="3" t="s">
        <v>61</v>
      </c>
      <c r="K434" s="2" t="s">
        <v>5609</v>
      </c>
      <c r="L434" s="2" t="s">
        <v>5610</v>
      </c>
      <c r="M434" s="3" t="s">
        <v>350</v>
      </c>
      <c r="O434" s="3" t="s">
        <v>65</v>
      </c>
      <c r="P434" s="3" t="s">
        <v>699</v>
      </c>
      <c r="R434" s="3" t="s">
        <v>68</v>
      </c>
      <c r="S434" s="4">
        <v>2</v>
      </c>
      <c r="T434" s="4">
        <v>2</v>
      </c>
      <c r="U434" s="5" t="s">
        <v>5611</v>
      </c>
      <c r="V434" s="5" t="s">
        <v>5611</v>
      </c>
      <c r="W434" s="5" t="s">
        <v>5557</v>
      </c>
      <c r="X434" s="5" t="s">
        <v>5557</v>
      </c>
      <c r="Y434" s="4">
        <v>596</v>
      </c>
      <c r="Z434" s="4">
        <v>476</v>
      </c>
      <c r="AA434" s="4">
        <v>476</v>
      </c>
      <c r="AB434" s="4">
        <v>5</v>
      </c>
      <c r="AC434" s="4">
        <v>5</v>
      </c>
      <c r="AD434" s="4">
        <v>22</v>
      </c>
      <c r="AE434" s="4">
        <v>22</v>
      </c>
      <c r="AF434" s="4">
        <v>9</v>
      </c>
      <c r="AG434" s="4">
        <v>9</v>
      </c>
      <c r="AH434" s="4">
        <v>6</v>
      </c>
      <c r="AI434" s="4">
        <v>6</v>
      </c>
      <c r="AJ434" s="4">
        <v>14</v>
      </c>
      <c r="AK434" s="4">
        <v>14</v>
      </c>
      <c r="AL434" s="4">
        <v>3</v>
      </c>
      <c r="AM434" s="4">
        <v>3</v>
      </c>
      <c r="AN434" s="4">
        <v>0</v>
      </c>
      <c r="AO434" s="4">
        <v>0</v>
      </c>
      <c r="AP434" s="3" t="s">
        <v>59</v>
      </c>
      <c r="AQ434" s="3" t="s">
        <v>59</v>
      </c>
      <c r="AS434" s="6" t="str">
        <f>HYPERLINK("https://creighton-primo.hosted.exlibrisgroup.com/primo-explore/search?tab=default_tab&amp;search_scope=EVERYTHING&amp;vid=01CRU&amp;lang=en_US&amp;offset=0&amp;query=any,contains,991004431999702656","Catalog Record")</f>
        <v>Catalog Record</v>
      </c>
      <c r="AT434" s="6" t="str">
        <f>HYPERLINK("http://www.worldcat.org/oclc/3426956","WorldCat Record")</f>
        <v>WorldCat Record</v>
      </c>
      <c r="AU434" s="3" t="s">
        <v>5612</v>
      </c>
      <c r="AV434" s="3" t="s">
        <v>5613</v>
      </c>
      <c r="AW434" s="3" t="s">
        <v>5614</v>
      </c>
      <c r="AX434" s="3" t="s">
        <v>5614</v>
      </c>
      <c r="AY434" s="3" t="s">
        <v>5615</v>
      </c>
      <c r="AZ434" s="3" t="s">
        <v>76</v>
      </c>
      <c r="BB434" s="3" t="s">
        <v>5616</v>
      </c>
      <c r="BC434" s="3" t="s">
        <v>5617</v>
      </c>
      <c r="BD434" s="3" t="s">
        <v>5618</v>
      </c>
    </row>
    <row r="435" spans="1:56" ht="52.5" customHeight="1" x14ac:dyDescent="0.25">
      <c r="A435" s="7" t="s">
        <v>59</v>
      </c>
      <c r="B435" s="2" t="s">
        <v>5619</v>
      </c>
      <c r="C435" s="2" t="s">
        <v>5620</v>
      </c>
      <c r="D435" s="2" t="s">
        <v>5621</v>
      </c>
      <c r="F435" s="3" t="s">
        <v>59</v>
      </c>
      <c r="G435" s="3" t="s">
        <v>60</v>
      </c>
      <c r="H435" s="3" t="s">
        <v>59</v>
      </c>
      <c r="I435" s="3" t="s">
        <v>59</v>
      </c>
      <c r="J435" s="3" t="s">
        <v>61</v>
      </c>
      <c r="K435" s="2" t="s">
        <v>5434</v>
      </c>
      <c r="L435" s="2" t="s">
        <v>5622</v>
      </c>
      <c r="M435" s="3" t="s">
        <v>100</v>
      </c>
      <c r="O435" s="3" t="s">
        <v>65</v>
      </c>
      <c r="P435" s="3" t="s">
        <v>296</v>
      </c>
      <c r="Q435" s="2" t="s">
        <v>5623</v>
      </c>
      <c r="R435" s="3" t="s">
        <v>68</v>
      </c>
      <c r="S435" s="4">
        <v>13</v>
      </c>
      <c r="T435" s="4">
        <v>13</v>
      </c>
      <c r="U435" s="5" t="s">
        <v>5449</v>
      </c>
      <c r="V435" s="5" t="s">
        <v>5449</v>
      </c>
      <c r="W435" s="5" t="s">
        <v>551</v>
      </c>
      <c r="X435" s="5" t="s">
        <v>551</v>
      </c>
      <c r="Y435" s="4">
        <v>223</v>
      </c>
      <c r="Z435" s="4">
        <v>199</v>
      </c>
      <c r="AA435" s="4">
        <v>202</v>
      </c>
      <c r="AB435" s="4">
        <v>3</v>
      </c>
      <c r="AC435" s="4">
        <v>3</v>
      </c>
      <c r="AD435" s="4">
        <v>7</v>
      </c>
      <c r="AE435" s="4">
        <v>7</v>
      </c>
      <c r="AF435" s="4">
        <v>5</v>
      </c>
      <c r="AG435" s="4">
        <v>5</v>
      </c>
      <c r="AH435" s="4">
        <v>0</v>
      </c>
      <c r="AI435" s="4">
        <v>0</v>
      </c>
      <c r="AJ435" s="4">
        <v>2</v>
      </c>
      <c r="AK435" s="4">
        <v>2</v>
      </c>
      <c r="AL435" s="4">
        <v>2</v>
      </c>
      <c r="AM435" s="4">
        <v>2</v>
      </c>
      <c r="AN435" s="4">
        <v>0</v>
      </c>
      <c r="AO435" s="4">
        <v>0</v>
      </c>
      <c r="AP435" s="3" t="s">
        <v>59</v>
      </c>
      <c r="AQ435" s="3" t="s">
        <v>71</v>
      </c>
      <c r="AR435" s="6" t="str">
        <f>HYPERLINK("http://catalog.hathitrust.org/Record/000355399","HathiTrust Record")</f>
        <v>HathiTrust Record</v>
      </c>
      <c r="AS435" s="6" t="str">
        <f>HYPERLINK("https://creighton-primo.hosted.exlibrisgroup.com/primo-explore/search?tab=default_tab&amp;search_scope=EVERYTHING&amp;vid=01CRU&amp;lang=en_US&amp;offset=0&amp;query=any,contains,991001365789702656","Catalog Record")</f>
        <v>Catalog Record</v>
      </c>
      <c r="AT435" s="6" t="str">
        <f>HYPERLINK("http://www.worldcat.org/oclc/222444","WorldCat Record")</f>
        <v>WorldCat Record</v>
      </c>
      <c r="AU435" s="3" t="s">
        <v>5624</v>
      </c>
      <c r="AV435" s="3" t="s">
        <v>5625</v>
      </c>
      <c r="AW435" s="3" t="s">
        <v>5626</v>
      </c>
      <c r="AX435" s="3" t="s">
        <v>5626</v>
      </c>
      <c r="AY435" s="3" t="s">
        <v>5627</v>
      </c>
      <c r="AZ435" s="3" t="s">
        <v>76</v>
      </c>
      <c r="BC435" s="3" t="s">
        <v>5628</v>
      </c>
      <c r="BD435" s="3" t="s">
        <v>5629</v>
      </c>
    </row>
    <row r="436" spans="1:56" ht="52.5" customHeight="1" x14ac:dyDescent="0.25">
      <c r="A436" s="7" t="s">
        <v>59</v>
      </c>
      <c r="B436" s="2" t="s">
        <v>5630</v>
      </c>
      <c r="C436" s="2" t="s">
        <v>5631</v>
      </c>
      <c r="D436" s="2" t="s">
        <v>5632</v>
      </c>
      <c r="F436" s="3" t="s">
        <v>59</v>
      </c>
      <c r="G436" s="3" t="s">
        <v>60</v>
      </c>
      <c r="H436" s="3" t="s">
        <v>59</v>
      </c>
      <c r="I436" s="3" t="s">
        <v>59</v>
      </c>
      <c r="J436" s="3" t="s">
        <v>61</v>
      </c>
      <c r="K436" s="2" t="s">
        <v>5633</v>
      </c>
      <c r="L436" s="2" t="s">
        <v>3207</v>
      </c>
      <c r="M436" s="3" t="s">
        <v>915</v>
      </c>
      <c r="O436" s="3" t="s">
        <v>65</v>
      </c>
      <c r="P436" s="3" t="s">
        <v>1262</v>
      </c>
      <c r="R436" s="3" t="s">
        <v>68</v>
      </c>
      <c r="S436" s="4">
        <v>2</v>
      </c>
      <c r="T436" s="4">
        <v>2</v>
      </c>
      <c r="U436" s="5" t="s">
        <v>5634</v>
      </c>
      <c r="V436" s="5" t="s">
        <v>5634</v>
      </c>
      <c r="W436" s="5" t="s">
        <v>5635</v>
      </c>
      <c r="X436" s="5" t="s">
        <v>5635</v>
      </c>
      <c r="Y436" s="4">
        <v>335</v>
      </c>
      <c r="Z436" s="4">
        <v>163</v>
      </c>
      <c r="AA436" s="4">
        <v>168</v>
      </c>
      <c r="AB436" s="4">
        <v>3</v>
      </c>
      <c r="AC436" s="4">
        <v>3</v>
      </c>
      <c r="AD436" s="4">
        <v>8</v>
      </c>
      <c r="AE436" s="4">
        <v>8</v>
      </c>
      <c r="AF436" s="4">
        <v>1</v>
      </c>
      <c r="AG436" s="4">
        <v>1</v>
      </c>
      <c r="AH436" s="4">
        <v>2</v>
      </c>
      <c r="AI436" s="4">
        <v>2</v>
      </c>
      <c r="AJ436" s="4">
        <v>4</v>
      </c>
      <c r="AK436" s="4">
        <v>4</v>
      </c>
      <c r="AL436" s="4">
        <v>2</v>
      </c>
      <c r="AM436" s="4">
        <v>2</v>
      </c>
      <c r="AN436" s="4">
        <v>0</v>
      </c>
      <c r="AO436" s="4">
        <v>0</v>
      </c>
      <c r="AP436" s="3" t="s">
        <v>59</v>
      </c>
      <c r="AQ436" s="3" t="s">
        <v>59</v>
      </c>
      <c r="AS436" s="6" t="str">
        <f>HYPERLINK("https://creighton-primo.hosted.exlibrisgroup.com/primo-explore/search?tab=default_tab&amp;search_scope=EVERYTHING&amp;vid=01CRU&amp;lang=en_US&amp;offset=0&amp;query=any,contains,991002022799702656","Catalog Record")</f>
        <v>Catalog Record</v>
      </c>
      <c r="AT436" s="6" t="str">
        <f>HYPERLINK("http://www.worldcat.org/oclc/25746324","WorldCat Record")</f>
        <v>WorldCat Record</v>
      </c>
      <c r="AU436" s="3" t="s">
        <v>5636</v>
      </c>
      <c r="AV436" s="3" t="s">
        <v>5637</v>
      </c>
      <c r="AW436" s="3" t="s">
        <v>5638</v>
      </c>
      <c r="AX436" s="3" t="s">
        <v>5638</v>
      </c>
      <c r="AY436" s="3" t="s">
        <v>5639</v>
      </c>
      <c r="AZ436" s="3" t="s">
        <v>76</v>
      </c>
      <c r="BB436" s="3" t="s">
        <v>5640</v>
      </c>
      <c r="BC436" s="3" t="s">
        <v>5641</v>
      </c>
      <c r="BD436" s="3" t="s">
        <v>5642</v>
      </c>
    </row>
    <row r="437" spans="1:56" ht="52.5" customHeight="1" x14ac:dyDescent="0.25">
      <c r="A437" s="7" t="s">
        <v>59</v>
      </c>
      <c r="B437" s="2" t="s">
        <v>5643</v>
      </c>
      <c r="C437" s="2" t="s">
        <v>5644</v>
      </c>
      <c r="D437" s="2" t="s">
        <v>5645</v>
      </c>
      <c r="F437" s="3" t="s">
        <v>59</v>
      </c>
      <c r="G437" s="3" t="s">
        <v>60</v>
      </c>
      <c r="H437" s="3" t="s">
        <v>59</v>
      </c>
      <c r="I437" s="3" t="s">
        <v>59</v>
      </c>
      <c r="J437" s="3" t="s">
        <v>61</v>
      </c>
      <c r="K437" s="2" t="s">
        <v>5646</v>
      </c>
      <c r="L437" s="2" t="s">
        <v>5647</v>
      </c>
      <c r="M437" s="3" t="s">
        <v>5648</v>
      </c>
      <c r="O437" s="3" t="s">
        <v>65</v>
      </c>
      <c r="P437" s="3" t="s">
        <v>66</v>
      </c>
      <c r="Q437" s="2" t="s">
        <v>4107</v>
      </c>
      <c r="R437" s="3" t="s">
        <v>68</v>
      </c>
      <c r="S437" s="4">
        <v>4</v>
      </c>
      <c r="T437" s="4">
        <v>4</v>
      </c>
      <c r="U437" s="5" t="s">
        <v>4150</v>
      </c>
      <c r="V437" s="5" t="s">
        <v>4150</v>
      </c>
      <c r="W437" s="5" t="s">
        <v>5649</v>
      </c>
      <c r="X437" s="5" t="s">
        <v>5649</v>
      </c>
      <c r="Y437" s="4">
        <v>824</v>
      </c>
      <c r="Z437" s="4">
        <v>655</v>
      </c>
      <c r="AA437" s="4">
        <v>655</v>
      </c>
      <c r="AB437" s="4">
        <v>3</v>
      </c>
      <c r="AC437" s="4">
        <v>3</v>
      </c>
      <c r="AD437" s="4">
        <v>32</v>
      </c>
      <c r="AE437" s="4">
        <v>32</v>
      </c>
      <c r="AF437" s="4">
        <v>13</v>
      </c>
      <c r="AG437" s="4">
        <v>13</v>
      </c>
      <c r="AH437" s="4">
        <v>7</v>
      </c>
      <c r="AI437" s="4">
        <v>7</v>
      </c>
      <c r="AJ437" s="4">
        <v>19</v>
      </c>
      <c r="AK437" s="4">
        <v>19</v>
      </c>
      <c r="AL437" s="4">
        <v>2</v>
      </c>
      <c r="AM437" s="4">
        <v>2</v>
      </c>
      <c r="AN437" s="4">
        <v>0</v>
      </c>
      <c r="AO437" s="4">
        <v>0</v>
      </c>
      <c r="AP437" s="3" t="s">
        <v>59</v>
      </c>
      <c r="AQ437" s="3" t="s">
        <v>59</v>
      </c>
      <c r="AS437" s="6" t="str">
        <f>HYPERLINK("https://creighton-primo.hosted.exlibrisgroup.com/primo-explore/search?tab=default_tab&amp;search_scope=EVERYTHING&amp;vid=01CRU&amp;lang=en_US&amp;offset=0&amp;query=any,contains,991001733689702656","Catalog Record")</f>
        <v>Catalog Record</v>
      </c>
      <c r="AT437" s="6" t="str">
        <f>HYPERLINK("http://www.worldcat.org/oclc/21950924","WorldCat Record")</f>
        <v>WorldCat Record</v>
      </c>
      <c r="AU437" s="3" t="s">
        <v>5650</v>
      </c>
      <c r="AV437" s="3" t="s">
        <v>5651</v>
      </c>
      <c r="AW437" s="3" t="s">
        <v>5652</v>
      </c>
      <c r="AX437" s="3" t="s">
        <v>5652</v>
      </c>
      <c r="AY437" s="3" t="s">
        <v>5653</v>
      </c>
      <c r="AZ437" s="3" t="s">
        <v>76</v>
      </c>
      <c r="BB437" s="3" t="s">
        <v>5654</v>
      </c>
      <c r="BC437" s="3" t="s">
        <v>5655</v>
      </c>
      <c r="BD437" s="3" t="s">
        <v>5656</v>
      </c>
    </row>
    <row r="438" spans="1:56" ht="52.5" customHeight="1" x14ac:dyDescent="0.25">
      <c r="A438" s="7" t="s">
        <v>59</v>
      </c>
      <c r="B438" s="2" t="s">
        <v>5657</v>
      </c>
      <c r="C438" s="2" t="s">
        <v>5658</v>
      </c>
      <c r="D438" s="2" t="s">
        <v>5659</v>
      </c>
      <c r="F438" s="3" t="s">
        <v>59</v>
      </c>
      <c r="G438" s="3" t="s">
        <v>60</v>
      </c>
      <c r="H438" s="3" t="s">
        <v>59</v>
      </c>
      <c r="I438" s="3" t="s">
        <v>59</v>
      </c>
      <c r="J438" s="3" t="s">
        <v>61</v>
      </c>
      <c r="L438" s="2" t="s">
        <v>3532</v>
      </c>
      <c r="M438" s="3" t="s">
        <v>943</v>
      </c>
      <c r="N438" s="2" t="s">
        <v>887</v>
      </c>
      <c r="O438" s="3" t="s">
        <v>65</v>
      </c>
      <c r="P438" s="3" t="s">
        <v>5660</v>
      </c>
      <c r="R438" s="3" t="s">
        <v>68</v>
      </c>
      <c r="S438" s="4">
        <v>4</v>
      </c>
      <c r="T438" s="4">
        <v>4</v>
      </c>
      <c r="U438" s="5" t="s">
        <v>5661</v>
      </c>
      <c r="V438" s="5" t="s">
        <v>5661</v>
      </c>
      <c r="W438" s="5" t="s">
        <v>5662</v>
      </c>
      <c r="X438" s="5" t="s">
        <v>5662</v>
      </c>
      <c r="Y438" s="4">
        <v>537</v>
      </c>
      <c r="Z438" s="4">
        <v>385</v>
      </c>
      <c r="AA438" s="4">
        <v>461</v>
      </c>
      <c r="AB438" s="4">
        <v>4</v>
      </c>
      <c r="AC438" s="4">
        <v>5</v>
      </c>
      <c r="AD438" s="4">
        <v>19</v>
      </c>
      <c r="AE438" s="4">
        <v>24</v>
      </c>
      <c r="AF438" s="4">
        <v>5</v>
      </c>
      <c r="AG438" s="4">
        <v>7</v>
      </c>
      <c r="AH438" s="4">
        <v>6</v>
      </c>
      <c r="AI438" s="4">
        <v>6</v>
      </c>
      <c r="AJ438" s="4">
        <v>9</v>
      </c>
      <c r="AK438" s="4">
        <v>11</v>
      </c>
      <c r="AL438" s="4">
        <v>3</v>
      </c>
      <c r="AM438" s="4">
        <v>4</v>
      </c>
      <c r="AN438" s="4">
        <v>0</v>
      </c>
      <c r="AO438" s="4">
        <v>0</v>
      </c>
      <c r="AP438" s="3" t="s">
        <v>59</v>
      </c>
      <c r="AQ438" s="3" t="s">
        <v>59</v>
      </c>
      <c r="AS438" s="6" t="str">
        <f>HYPERLINK("https://creighton-primo.hosted.exlibrisgroup.com/primo-explore/search?tab=default_tab&amp;search_scope=EVERYTHING&amp;vid=01CRU&amp;lang=en_US&amp;offset=0&amp;query=any,contains,991001886959702656","Catalog Record")</f>
        <v>Catalog Record</v>
      </c>
      <c r="AT438" s="6" t="str">
        <f>HYPERLINK("http://www.worldcat.org/oclc/23768180","WorldCat Record")</f>
        <v>WorldCat Record</v>
      </c>
      <c r="AU438" s="3" t="s">
        <v>5663</v>
      </c>
      <c r="AV438" s="3" t="s">
        <v>5664</v>
      </c>
      <c r="AW438" s="3" t="s">
        <v>5665</v>
      </c>
      <c r="AX438" s="3" t="s">
        <v>5665</v>
      </c>
      <c r="AY438" s="3" t="s">
        <v>5666</v>
      </c>
      <c r="AZ438" s="3" t="s">
        <v>76</v>
      </c>
      <c r="BB438" s="3" t="s">
        <v>5667</v>
      </c>
      <c r="BC438" s="3" t="s">
        <v>5668</v>
      </c>
      <c r="BD438" s="3" t="s">
        <v>5669</v>
      </c>
    </row>
    <row r="439" spans="1:56" ht="52.5" customHeight="1" x14ac:dyDescent="0.25">
      <c r="A439" s="7" t="s">
        <v>59</v>
      </c>
      <c r="B439" s="2" t="s">
        <v>5670</v>
      </c>
      <c r="C439" s="2" t="s">
        <v>5671</v>
      </c>
      <c r="D439" s="2" t="s">
        <v>5672</v>
      </c>
      <c r="F439" s="3" t="s">
        <v>59</v>
      </c>
      <c r="G439" s="3" t="s">
        <v>60</v>
      </c>
      <c r="H439" s="3" t="s">
        <v>59</v>
      </c>
      <c r="I439" s="3" t="s">
        <v>59</v>
      </c>
      <c r="J439" s="3" t="s">
        <v>61</v>
      </c>
      <c r="K439" s="2" t="s">
        <v>5673</v>
      </c>
      <c r="L439" s="2" t="s">
        <v>5674</v>
      </c>
      <c r="M439" s="3" t="s">
        <v>350</v>
      </c>
      <c r="O439" s="3" t="s">
        <v>65</v>
      </c>
      <c r="P439" s="3" t="s">
        <v>699</v>
      </c>
      <c r="R439" s="3" t="s">
        <v>68</v>
      </c>
      <c r="S439" s="4">
        <v>1</v>
      </c>
      <c r="T439" s="4">
        <v>1</v>
      </c>
      <c r="U439" s="5" t="s">
        <v>5675</v>
      </c>
      <c r="V439" s="5" t="s">
        <v>5675</v>
      </c>
      <c r="W439" s="5" t="s">
        <v>3522</v>
      </c>
      <c r="X439" s="5" t="s">
        <v>3522</v>
      </c>
      <c r="Y439" s="4">
        <v>528</v>
      </c>
      <c r="Z439" s="4">
        <v>389</v>
      </c>
      <c r="AA439" s="4">
        <v>413</v>
      </c>
      <c r="AB439" s="4">
        <v>3</v>
      </c>
      <c r="AC439" s="4">
        <v>3</v>
      </c>
      <c r="AD439" s="4">
        <v>18</v>
      </c>
      <c r="AE439" s="4">
        <v>18</v>
      </c>
      <c r="AF439" s="4">
        <v>6</v>
      </c>
      <c r="AG439" s="4">
        <v>6</v>
      </c>
      <c r="AH439" s="4">
        <v>5</v>
      </c>
      <c r="AI439" s="4">
        <v>5</v>
      </c>
      <c r="AJ439" s="4">
        <v>8</v>
      </c>
      <c r="AK439" s="4">
        <v>8</v>
      </c>
      <c r="AL439" s="4">
        <v>2</v>
      </c>
      <c r="AM439" s="4">
        <v>2</v>
      </c>
      <c r="AN439" s="4">
        <v>0</v>
      </c>
      <c r="AO439" s="4">
        <v>0</v>
      </c>
      <c r="AP439" s="3" t="s">
        <v>59</v>
      </c>
      <c r="AQ439" s="3" t="s">
        <v>71</v>
      </c>
      <c r="AR439" s="6" t="str">
        <f>HYPERLINK("http://catalog.hathitrust.org/Record/000750134","HathiTrust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HYPERLINK("https://creighton-primo.hosted.exlibrisgroup.com/primo-explore/search?tab=default_tab&amp;search_scope=EVERYTHING&amp;vid=01CRU&amp;lang=en_US&amp;offset=0&amp;query=any,contains,991004415399702656","Catalog Record")</f>
        <v>Catalog Record</v>
      </c>
      <c r="AT439" s="6" t="str">
        <f>HYPERLINK("http://www.worldcat.org/oclc/3361159","WorldCat Record")</f>
        <v>WorldCat Record</v>
      </c>
      <c r="AU439" s="3" t="s">
        <v>5676</v>
      </c>
      <c r="AV439" s="3" t="s">
        <v>5677</v>
      </c>
      <c r="AW439" s="3" t="s">
        <v>5678</v>
      </c>
      <c r="AX439" s="3" t="s">
        <v>5678</v>
      </c>
      <c r="AY439" s="3" t="s">
        <v>5679</v>
      </c>
      <c r="AZ439" s="3" t="s">
        <v>76</v>
      </c>
      <c r="BB439" s="3" t="s">
        <v>5680</v>
      </c>
      <c r="BC439" s="3" t="s">
        <v>5681</v>
      </c>
      <c r="BD439" s="3" t="s">
        <v>5682</v>
      </c>
    </row>
    <row r="440" spans="1:56" ht="52.5" customHeight="1" x14ac:dyDescent="0.25">
      <c r="A440" s="7" t="s">
        <v>59</v>
      </c>
      <c r="B440" s="2" t="s">
        <v>5683</v>
      </c>
      <c r="C440" s="2" t="s">
        <v>5684</v>
      </c>
      <c r="D440" s="2" t="s">
        <v>5685</v>
      </c>
      <c r="F440" s="3" t="s">
        <v>59</v>
      </c>
      <c r="G440" s="3" t="s">
        <v>60</v>
      </c>
      <c r="H440" s="3" t="s">
        <v>59</v>
      </c>
      <c r="I440" s="3" t="s">
        <v>59</v>
      </c>
      <c r="J440" s="3" t="s">
        <v>61</v>
      </c>
      <c r="K440" s="2" t="s">
        <v>5686</v>
      </c>
      <c r="L440" s="2" t="s">
        <v>5687</v>
      </c>
      <c r="M440" s="3" t="s">
        <v>295</v>
      </c>
      <c r="N440" s="2" t="s">
        <v>1587</v>
      </c>
      <c r="O440" s="3" t="s">
        <v>65</v>
      </c>
      <c r="P440" s="3" t="s">
        <v>66</v>
      </c>
      <c r="R440" s="3" t="s">
        <v>68</v>
      </c>
      <c r="S440" s="4">
        <v>2</v>
      </c>
      <c r="T440" s="4">
        <v>2</v>
      </c>
      <c r="U440" s="5" t="s">
        <v>5688</v>
      </c>
      <c r="V440" s="5" t="s">
        <v>5688</v>
      </c>
      <c r="W440" s="5" t="s">
        <v>3522</v>
      </c>
      <c r="X440" s="5" t="s">
        <v>3522</v>
      </c>
      <c r="Y440" s="4">
        <v>331</v>
      </c>
      <c r="Z440" s="4">
        <v>284</v>
      </c>
      <c r="AA440" s="4">
        <v>292</v>
      </c>
      <c r="AB440" s="4">
        <v>2</v>
      </c>
      <c r="AC440" s="4">
        <v>2</v>
      </c>
      <c r="AD440" s="4">
        <v>13</v>
      </c>
      <c r="AE440" s="4">
        <v>13</v>
      </c>
      <c r="AF440" s="4">
        <v>5</v>
      </c>
      <c r="AG440" s="4">
        <v>5</v>
      </c>
      <c r="AH440" s="4">
        <v>1</v>
      </c>
      <c r="AI440" s="4">
        <v>1</v>
      </c>
      <c r="AJ440" s="4">
        <v>10</v>
      </c>
      <c r="AK440" s="4">
        <v>10</v>
      </c>
      <c r="AL440" s="4">
        <v>1</v>
      </c>
      <c r="AM440" s="4">
        <v>1</v>
      </c>
      <c r="AN440" s="4">
        <v>0</v>
      </c>
      <c r="AO440" s="4">
        <v>0</v>
      </c>
      <c r="AP440" s="3" t="s">
        <v>59</v>
      </c>
      <c r="AQ440" s="3" t="s">
        <v>71</v>
      </c>
      <c r="AR440" s="6" t="str">
        <f>HYPERLINK("http://catalog.hathitrust.org/Record/000382503","HathiTrust Record")</f>
        <v>HathiTrust Record</v>
      </c>
      <c r="AS440" s="6" t="str">
        <f>HYPERLINK("https://creighton-primo.hosted.exlibrisgroup.com/primo-explore/search?tab=default_tab&amp;search_scope=EVERYTHING&amp;vid=01CRU&amp;lang=en_US&amp;offset=0&amp;query=any,contains,991001213789702656","Catalog Record")</f>
        <v>Catalog Record</v>
      </c>
      <c r="AT440" s="6" t="str">
        <f>HYPERLINK("http://www.worldcat.org/oclc/193345","WorldCat Record")</f>
        <v>WorldCat Record</v>
      </c>
      <c r="AU440" s="3" t="s">
        <v>5689</v>
      </c>
      <c r="AV440" s="3" t="s">
        <v>5690</v>
      </c>
      <c r="AW440" s="3" t="s">
        <v>5691</v>
      </c>
      <c r="AX440" s="3" t="s">
        <v>5691</v>
      </c>
      <c r="AY440" s="3" t="s">
        <v>5692</v>
      </c>
      <c r="AZ440" s="3" t="s">
        <v>76</v>
      </c>
      <c r="BC440" s="3" t="s">
        <v>5693</v>
      </c>
      <c r="BD440" s="3" t="s">
        <v>5694</v>
      </c>
    </row>
    <row r="441" spans="1:56" ht="52.5" customHeight="1" x14ac:dyDescent="0.25">
      <c r="A441" s="7" t="s">
        <v>59</v>
      </c>
      <c r="B441" s="2" t="s">
        <v>5695</v>
      </c>
      <c r="C441" s="2" t="s">
        <v>5696</v>
      </c>
      <c r="D441" s="2" t="s">
        <v>5697</v>
      </c>
      <c r="F441" s="3" t="s">
        <v>59</v>
      </c>
      <c r="G441" s="3" t="s">
        <v>60</v>
      </c>
      <c r="H441" s="3" t="s">
        <v>59</v>
      </c>
      <c r="I441" s="3" t="s">
        <v>59</v>
      </c>
      <c r="J441" s="3" t="s">
        <v>61</v>
      </c>
      <c r="L441" s="2" t="s">
        <v>5698</v>
      </c>
      <c r="M441" s="3" t="s">
        <v>1000</v>
      </c>
      <c r="O441" s="3" t="s">
        <v>65</v>
      </c>
      <c r="P441" s="3" t="s">
        <v>829</v>
      </c>
      <c r="R441" s="3" t="s">
        <v>68</v>
      </c>
      <c r="S441" s="4">
        <v>5</v>
      </c>
      <c r="T441" s="4">
        <v>5</v>
      </c>
      <c r="U441" s="5" t="s">
        <v>5699</v>
      </c>
      <c r="V441" s="5" t="s">
        <v>5699</v>
      </c>
      <c r="W441" s="5" t="s">
        <v>5460</v>
      </c>
      <c r="X441" s="5" t="s">
        <v>5460</v>
      </c>
      <c r="Y441" s="4">
        <v>327</v>
      </c>
      <c r="Z441" s="4">
        <v>265</v>
      </c>
      <c r="AA441" s="4">
        <v>267</v>
      </c>
      <c r="AB441" s="4">
        <v>2</v>
      </c>
      <c r="AC441" s="4">
        <v>2</v>
      </c>
      <c r="AD441" s="4">
        <v>12</v>
      </c>
      <c r="AE441" s="4">
        <v>12</v>
      </c>
      <c r="AF441" s="4">
        <v>3</v>
      </c>
      <c r="AG441" s="4">
        <v>3</v>
      </c>
      <c r="AH441" s="4">
        <v>5</v>
      </c>
      <c r="AI441" s="4">
        <v>5</v>
      </c>
      <c r="AJ441" s="4">
        <v>6</v>
      </c>
      <c r="AK441" s="4">
        <v>6</v>
      </c>
      <c r="AL441" s="4">
        <v>1</v>
      </c>
      <c r="AM441" s="4">
        <v>1</v>
      </c>
      <c r="AN441" s="4">
        <v>0</v>
      </c>
      <c r="AO441" s="4">
        <v>0</v>
      </c>
      <c r="AP441" s="3" t="s">
        <v>59</v>
      </c>
      <c r="AQ441" s="3" t="s">
        <v>71</v>
      </c>
      <c r="AR441" s="6" t="str">
        <f>HYPERLINK("http://catalog.hathitrust.org/Record/000257554","HathiTrust Record")</f>
        <v>HathiTrust Record</v>
      </c>
      <c r="AS441" s="6" t="str">
        <f>HYPERLINK("https://creighton-primo.hosted.exlibrisgroup.com/primo-explore/search?tab=default_tab&amp;search_scope=EVERYTHING&amp;vid=01CRU&amp;lang=en_US&amp;offset=0&amp;query=any,contains,991004671149702656","Catalog Record")</f>
        <v>Catalog Record</v>
      </c>
      <c r="AT441" s="6" t="str">
        <f>HYPERLINK("http://www.worldcat.org/oclc/4515516","WorldCat Record")</f>
        <v>WorldCat Record</v>
      </c>
      <c r="AU441" s="3" t="s">
        <v>5700</v>
      </c>
      <c r="AV441" s="3" t="s">
        <v>5701</v>
      </c>
      <c r="AW441" s="3" t="s">
        <v>5702</v>
      </c>
      <c r="AX441" s="3" t="s">
        <v>5702</v>
      </c>
      <c r="AY441" s="3" t="s">
        <v>5703</v>
      </c>
      <c r="AZ441" s="3" t="s">
        <v>76</v>
      </c>
      <c r="BB441" s="3" t="s">
        <v>5704</v>
      </c>
      <c r="BC441" s="3" t="s">
        <v>5705</v>
      </c>
      <c r="BD441" s="3" t="s">
        <v>5706</v>
      </c>
    </row>
    <row r="442" spans="1:56" ht="52.5" customHeight="1" x14ac:dyDescent="0.25">
      <c r="A442" s="7" t="s">
        <v>59</v>
      </c>
      <c r="B442" s="2" t="s">
        <v>5707</v>
      </c>
      <c r="C442" s="2" t="s">
        <v>5708</v>
      </c>
      <c r="D442" s="2" t="s">
        <v>5709</v>
      </c>
      <c r="F442" s="3" t="s">
        <v>59</v>
      </c>
      <c r="G442" s="3" t="s">
        <v>60</v>
      </c>
      <c r="H442" s="3" t="s">
        <v>59</v>
      </c>
      <c r="I442" s="3" t="s">
        <v>59</v>
      </c>
      <c r="J442" s="3" t="s">
        <v>61</v>
      </c>
      <c r="K442" s="2" t="s">
        <v>5710</v>
      </c>
      <c r="L442" s="2" t="s">
        <v>5711</v>
      </c>
      <c r="M442" s="3" t="s">
        <v>1015</v>
      </c>
      <c r="O442" s="3" t="s">
        <v>65</v>
      </c>
      <c r="P442" s="3" t="s">
        <v>420</v>
      </c>
      <c r="R442" s="3" t="s">
        <v>68</v>
      </c>
      <c r="S442" s="4">
        <v>2</v>
      </c>
      <c r="T442" s="4">
        <v>2</v>
      </c>
      <c r="U442" s="5" t="s">
        <v>5712</v>
      </c>
      <c r="V442" s="5" t="s">
        <v>5712</v>
      </c>
      <c r="W442" s="5" t="s">
        <v>3522</v>
      </c>
      <c r="X442" s="5" t="s">
        <v>3522</v>
      </c>
      <c r="Y442" s="4">
        <v>967</v>
      </c>
      <c r="Z442" s="4">
        <v>775</v>
      </c>
      <c r="AA442" s="4">
        <v>784</v>
      </c>
      <c r="AB442" s="4">
        <v>6</v>
      </c>
      <c r="AC442" s="4">
        <v>6</v>
      </c>
      <c r="AD442" s="4">
        <v>38</v>
      </c>
      <c r="AE442" s="4">
        <v>38</v>
      </c>
      <c r="AF442" s="4">
        <v>15</v>
      </c>
      <c r="AG442" s="4">
        <v>15</v>
      </c>
      <c r="AH442" s="4">
        <v>8</v>
      </c>
      <c r="AI442" s="4">
        <v>8</v>
      </c>
      <c r="AJ442" s="4">
        <v>17</v>
      </c>
      <c r="AK442" s="4">
        <v>17</v>
      </c>
      <c r="AL442" s="4">
        <v>5</v>
      </c>
      <c r="AM442" s="4">
        <v>5</v>
      </c>
      <c r="AN442" s="4">
        <v>1</v>
      </c>
      <c r="AO442" s="4">
        <v>1</v>
      </c>
      <c r="AP442" s="3" t="s">
        <v>59</v>
      </c>
      <c r="AQ442" s="3" t="s">
        <v>71</v>
      </c>
      <c r="AR442" s="6" t="str">
        <f>HYPERLINK("http://catalog.hathitrust.org/Record/000382532","HathiTrust Record")</f>
        <v>HathiTrust Record</v>
      </c>
      <c r="AS442" s="6" t="str">
        <f>HYPERLINK("https://creighton-primo.hosted.exlibrisgroup.com/primo-explore/search?tab=default_tab&amp;search_scope=EVERYTHING&amp;vid=01CRU&amp;lang=en_US&amp;offset=0&amp;query=any,contains,991001213679702656","Catalog Record")</f>
        <v>Catalog Record</v>
      </c>
      <c r="AT442" s="6" t="str">
        <f>HYPERLINK("http://www.worldcat.org/oclc/193336","WorldCat Record")</f>
        <v>WorldCat Record</v>
      </c>
      <c r="AU442" s="3" t="s">
        <v>5713</v>
      </c>
      <c r="AV442" s="3" t="s">
        <v>5714</v>
      </c>
      <c r="AW442" s="3" t="s">
        <v>5715</v>
      </c>
      <c r="AX442" s="3" t="s">
        <v>5715</v>
      </c>
      <c r="AY442" s="3" t="s">
        <v>5716</v>
      </c>
      <c r="AZ442" s="3" t="s">
        <v>76</v>
      </c>
      <c r="BC442" s="3" t="s">
        <v>5717</v>
      </c>
      <c r="BD442" s="3" t="s">
        <v>5718</v>
      </c>
    </row>
    <row r="443" spans="1:56" ht="52.5" customHeight="1" x14ac:dyDescent="0.25">
      <c r="A443" s="7" t="s">
        <v>59</v>
      </c>
      <c r="B443" s="2" t="s">
        <v>5719</v>
      </c>
      <c r="C443" s="2" t="s">
        <v>5720</v>
      </c>
      <c r="D443" s="2" t="s">
        <v>5721</v>
      </c>
      <c r="F443" s="3" t="s">
        <v>59</v>
      </c>
      <c r="G443" s="3" t="s">
        <v>60</v>
      </c>
      <c r="H443" s="3" t="s">
        <v>59</v>
      </c>
      <c r="I443" s="3" t="s">
        <v>59</v>
      </c>
      <c r="J443" s="3" t="s">
        <v>61</v>
      </c>
      <c r="K443" s="2" t="s">
        <v>5710</v>
      </c>
      <c r="L443" s="2" t="s">
        <v>5722</v>
      </c>
      <c r="M443" s="3" t="s">
        <v>309</v>
      </c>
      <c r="N443" s="2" t="s">
        <v>887</v>
      </c>
      <c r="O443" s="3" t="s">
        <v>65</v>
      </c>
      <c r="P443" s="3" t="s">
        <v>420</v>
      </c>
      <c r="Q443" s="2" t="s">
        <v>5723</v>
      </c>
      <c r="R443" s="3" t="s">
        <v>68</v>
      </c>
      <c r="S443" s="4">
        <v>4</v>
      </c>
      <c r="T443" s="4">
        <v>4</v>
      </c>
      <c r="U443" s="5" t="s">
        <v>5712</v>
      </c>
      <c r="V443" s="5" t="s">
        <v>5712</v>
      </c>
      <c r="W443" s="5" t="s">
        <v>5724</v>
      </c>
      <c r="X443" s="5" t="s">
        <v>5724</v>
      </c>
      <c r="Y443" s="4">
        <v>600</v>
      </c>
      <c r="Z443" s="4">
        <v>496</v>
      </c>
      <c r="AA443" s="4">
        <v>521</v>
      </c>
      <c r="AB443" s="4">
        <v>5</v>
      </c>
      <c r="AC443" s="4">
        <v>5</v>
      </c>
      <c r="AD443" s="4">
        <v>23</v>
      </c>
      <c r="AE443" s="4">
        <v>23</v>
      </c>
      <c r="AF443" s="4">
        <v>6</v>
      </c>
      <c r="AG443" s="4">
        <v>6</v>
      </c>
      <c r="AH443" s="4">
        <v>8</v>
      </c>
      <c r="AI443" s="4">
        <v>8</v>
      </c>
      <c r="AJ443" s="4">
        <v>13</v>
      </c>
      <c r="AK443" s="4">
        <v>13</v>
      </c>
      <c r="AL443" s="4">
        <v>3</v>
      </c>
      <c r="AM443" s="4">
        <v>3</v>
      </c>
      <c r="AN443" s="4">
        <v>0</v>
      </c>
      <c r="AO443" s="4">
        <v>0</v>
      </c>
      <c r="AP443" s="3" t="s">
        <v>59</v>
      </c>
      <c r="AQ443" s="3" t="s">
        <v>71</v>
      </c>
      <c r="AR443" s="6" t="str">
        <f>HYPERLINK("http://catalog.hathitrust.org/Record/000091803","HathiTrust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HYPERLINK("https://creighton-primo.hosted.exlibrisgroup.com/primo-explore/search?tab=default_tab&amp;search_scope=EVERYTHING&amp;vid=01CRU&amp;lang=en_US&amp;offset=0&amp;query=any,contains,991004477979702656","Catalog Record")</f>
        <v>Catalog Record</v>
      </c>
      <c r="AT443" s="6" t="str">
        <f>HYPERLINK("http://www.worldcat.org/oclc/3615007","WorldCat Record")</f>
        <v>WorldCat Record</v>
      </c>
      <c r="AU443" s="3" t="s">
        <v>5725</v>
      </c>
      <c r="AV443" s="3" t="s">
        <v>5726</v>
      </c>
      <c r="AW443" s="3" t="s">
        <v>5727</v>
      </c>
      <c r="AX443" s="3" t="s">
        <v>5727</v>
      </c>
      <c r="AY443" s="3" t="s">
        <v>5728</v>
      </c>
      <c r="AZ443" s="3" t="s">
        <v>76</v>
      </c>
      <c r="BB443" s="3" t="s">
        <v>5729</v>
      </c>
      <c r="BC443" s="3" t="s">
        <v>5730</v>
      </c>
      <c r="BD443" s="3" t="s">
        <v>5731</v>
      </c>
    </row>
    <row r="444" spans="1:56" ht="52.5" customHeight="1" x14ac:dyDescent="0.25">
      <c r="A444" s="7" t="s">
        <v>59</v>
      </c>
      <c r="B444" s="2" t="s">
        <v>5732</v>
      </c>
      <c r="C444" s="2" t="s">
        <v>5733</v>
      </c>
      <c r="D444" s="2" t="s">
        <v>5734</v>
      </c>
      <c r="F444" s="3" t="s">
        <v>59</v>
      </c>
      <c r="G444" s="3" t="s">
        <v>60</v>
      </c>
      <c r="H444" s="3" t="s">
        <v>59</v>
      </c>
      <c r="I444" s="3" t="s">
        <v>59</v>
      </c>
      <c r="J444" s="3" t="s">
        <v>61</v>
      </c>
      <c r="K444" s="2" t="s">
        <v>5735</v>
      </c>
      <c r="L444" s="2" t="s">
        <v>5736</v>
      </c>
      <c r="M444" s="3" t="s">
        <v>309</v>
      </c>
      <c r="O444" s="3" t="s">
        <v>65</v>
      </c>
      <c r="P444" s="3" t="s">
        <v>323</v>
      </c>
      <c r="R444" s="3" t="s">
        <v>68</v>
      </c>
      <c r="S444" s="4">
        <v>3</v>
      </c>
      <c r="T444" s="4">
        <v>3</v>
      </c>
      <c r="U444" s="5" t="s">
        <v>5712</v>
      </c>
      <c r="V444" s="5" t="s">
        <v>5712</v>
      </c>
      <c r="W444" s="5" t="s">
        <v>5737</v>
      </c>
      <c r="X444" s="5" t="s">
        <v>5737</v>
      </c>
      <c r="Y444" s="4">
        <v>251</v>
      </c>
      <c r="Z444" s="4">
        <v>150</v>
      </c>
      <c r="AA444" s="4">
        <v>391</v>
      </c>
      <c r="AB444" s="4">
        <v>2</v>
      </c>
      <c r="AC444" s="4">
        <v>2</v>
      </c>
      <c r="AD444" s="4">
        <v>9</v>
      </c>
      <c r="AE444" s="4">
        <v>17</v>
      </c>
      <c r="AF444" s="4">
        <v>2</v>
      </c>
      <c r="AG444" s="4">
        <v>7</v>
      </c>
      <c r="AH444" s="4">
        <v>2</v>
      </c>
      <c r="AI444" s="4">
        <v>4</v>
      </c>
      <c r="AJ444" s="4">
        <v>6</v>
      </c>
      <c r="AK444" s="4">
        <v>10</v>
      </c>
      <c r="AL444" s="4">
        <v>1</v>
      </c>
      <c r="AM444" s="4">
        <v>1</v>
      </c>
      <c r="AN444" s="4">
        <v>0</v>
      </c>
      <c r="AO444" s="4">
        <v>0</v>
      </c>
      <c r="AP444" s="3" t="s">
        <v>59</v>
      </c>
      <c r="AQ444" s="3" t="s">
        <v>71</v>
      </c>
      <c r="AR444" s="6" t="str">
        <f>HYPERLINK("http://catalog.hathitrust.org/Record/000269486","HathiTrust Record")</f>
        <v>HathiTrust Record</v>
      </c>
      <c r="AS444" s="6" t="str">
        <f>HYPERLINK("https://creighton-primo.hosted.exlibrisgroup.com/primo-explore/search?tab=default_tab&amp;search_scope=EVERYTHING&amp;vid=01CRU&amp;lang=en_US&amp;offset=0&amp;query=any,contains,991004581339702656","Catalog Record")</f>
        <v>Catalog Record</v>
      </c>
      <c r="AT444" s="6" t="str">
        <f>HYPERLINK("http://www.worldcat.org/oclc/4060856","WorldCat Record")</f>
        <v>WorldCat Record</v>
      </c>
      <c r="AU444" s="3" t="s">
        <v>5738</v>
      </c>
      <c r="AV444" s="3" t="s">
        <v>5739</v>
      </c>
      <c r="AW444" s="3" t="s">
        <v>5740</v>
      </c>
      <c r="AX444" s="3" t="s">
        <v>5740</v>
      </c>
      <c r="AY444" s="3" t="s">
        <v>5741</v>
      </c>
      <c r="AZ444" s="3" t="s">
        <v>76</v>
      </c>
      <c r="BB444" s="3" t="s">
        <v>5742</v>
      </c>
      <c r="BC444" s="3" t="s">
        <v>5743</v>
      </c>
      <c r="BD444" s="3" t="s">
        <v>5744</v>
      </c>
    </row>
    <row r="445" spans="1:56" ht="52.5" customHeight="1" x14ac:dyDescent="0.25">
      <c r="A445" s="7" t="s">
        <v>59</v>
      </c>
      <c r="B445" s="2" t="s">
        <v>5745</v>
      </c>
      <c r="C445" s="2" t="s">
        <v>5746</v>
      </c>
      <c r="D445" s="2" t="s">
        <v>5747</v>
      </c>
      <c r="F445" s="3" t="s">
        <v>59</v>
      </c>
      <c r="G445" s="3" t="s">
        <v>60</v>
      </c>
      <c r="H445" s="3" t="s">
        <v>59</v>
      </c>
      <c r="I445" s="3" t="s">
        <v>59</v>
      </c>
      <c r="J445" s="3" t="s">
        <v>61</v>
      </c>
      <c r="K445" s="2" t="s">
        <v>5748</v>
      </c>
      <c r="L445" s="2" t="s">
        <v>5749</v>
      </c>
      <c r="M445" s="3" t="s">
        <v>148</v>
      </c>
      <c r="N445" s="2" t="s">
        <v>5750</v>
      </c>
      <c r="O445" s="3" t="s">
        <v>65</v>
      </c>
      <c r="P445" s="3" t="s">
        <v>66</v>
      </c>
      <c r="R445" s="3" t="s">
        <v>68</v>
      </c>
      <c r="S445" s="4">
        <v>3</v>
      </c>
      <c r="T445" s="4">
        <v>3</v>
      </c>
      <c r="U445" s="5" t="s">
        <v>5751</v>
      </c>
      <c r="V445" s="5" t="s">
        <v>5751</v>
      </c>
      <c r="W445" s="5" t="s">
        <v>3522</v>
      </c>
      <c r="X445" s="5" t="s">
        <v>3522</v>
      </c>
      <c r="Y445" s="4">
        <v>326</v>
      </c>
      <c r="Z445" s="4">
        <v>291</v>
      </c>
      <c r="AA445" s="4">
        <v>333</v>
      </c>
      <c r="AB445" s="4">
        <v>2</v>
      </c>
      <c r="AC445" s="4">
        <v>2</v>
      </c>
      <c r="AD445" s="4">
        <v>11</v>
      </c>
      <c r="AE445" s="4">
        <v>13</v>
      </c>
      <c r="AF445" s="4">
        <v>5</v>
      </c>
      <c r="AG445" s="4">
        <v>5</v>
      </c>
      <c r="AH445" s="4">
        <v>2</v>
      </c>
      <c r="AI445" s="4">
        <v>2</v>
      </c>
      <c r="AJ445" s="4">
        <v>4</v>
      </c>
      <c r="AK445" s="4">
        <v>6</v>
      </c>
      <c r="AL445" s="4">
        <v>1</v>
      </c>
      <c r="AM445" s="4">
        <v>1</v>
      </c>
      <c r="AN445" s="4">
        <v>0</v>
      </c>
      <c r="AO445" s="4">
        <v>0</v>
      </c>
      <c r="AP445" s="3" t="s">
        <v>59</v>
      </c>
      <c r="AQ445" s="3" t="s">
        <v>71</v>
      </c>
      <c r="AR445" s="6" t="str">
        <f>HYPERLINK("http://catalog.hathitrust.org/Record/000741084","HathiTrust Record")</f>
        <v>HathiTrust Record</v>
      </c>
      <c r="AS445" s="6" t="str">
        <f>HYPERLINK("https://creighton-primo.hosted.exlibrisgroup.com/primo-explore/search?tab=default_tab&amp;search_scope=EVERYTHING&amp;vid=01CRU&amp;lang=en_US&amp;offset=0&amp;query=any,contains,991004097349702656","Catalog Record")</f>
        <v>Catalog Record</v>
      </c>
      <c r="AT445" s="6" t="str">
        <f>HYPERLINK("http://www.worldcat.org/oclc/2362305","WorldCat Record")</f>
        <v>WorldCat Record</v>
      </c>
      <c r="AU445" s="3" t="s">
        <v>5752</v>
      </c>
      <c r="AV445" s="3" t="s">
        <v>5753</v>
      </c>
      <c r="AW445" s="3" t="s">
        <v>5754</v>
      </c>
      <c r="AX445" s="3" t="s">
        <v>5754</v>
      </c>
      <c r="AY445" s="3" t="s">
        <v>5755</v>
      </c>
      <c r="AZ445" s="3" t="s">
        <v>76</v>
      </c>
      <c r="BB445" s="3" t="s">
        <v>5756</v>
      </c>
      <c r="BC445" s="3" t="s">
        <v>5757</v>
      </c>
      <c r="BD445" s="3" t="s">
        <v>5758</v>
      </c>
    </row>
    <row r="446" spans="1:56" ht="52.5" customHeight="1" x14ac:dyDescent="0.25">
      <c r="A446" s="7" t="s">
        <v>59</v>
      </c>
      <c r="B446" s="2" t="s">
        <v>5759</v>
      </c>
      <c r="C446" s="2" t="s">
        <v>5760</v>
      </c>
      <c r="D446" s="2" t="s">
        <v>5761</v>
      </c>
      <c r="F446" s="3" t="s">
        <v>59</v>
      </c>
      <c r="G446" s="3" t="s">
        <v>60</v>
      </c>
      <c r="H446" s="3" t="s">
        <v>59</v>
      </c>
      <c r="I446" s="3" t="s">
        <v>59</v>
      </c>
      <c r="J446" s="3" t="s">
        <v>61</v>
      </c>
      <c r="L446" s="2" t="s">
        <v>3532</v>
      </c>
      <c r="M446" s="3" t="s">
        <v>943</v>
      </c>
      <c r="N446" s="2" t="s">
        <v>887</v>
      </c>
      <c r="O446" s="3" t="s">
        <v>65</v>
      </c>
      <c r="P446" s="3" t="s">
        <v>1218</v>
      </c>
      <c r="R446" s="3" t="s">
        <v>68</v>
      </c>
      <c r="S446" s="4">
        <v>4</v>
      </c>
      <c r="T446" s="4">
        <v>4</v>
      </c>
      <c r="U446" s="5" t="s">
        <v>5712</v>
      </c>
      <c r="V446" s="5" t="s">
        <v>5712</v>
      </c>
      <c r="W446" s="5" t="s">
        <v>5762</v>
      </c>
      <c r="X446" s="5" t="s">
        <v>5762</v>
      </c>
      <c r="Y446" s="4">
        <v>297</v>
      </c>
      <c r="Z446" s="4">
        <v>202</v>
      </c>
      <c r="AA446" s="4">
        <v>281</v>
      </c>
      <c r="AB446" s="4">
        <v>3</v>
      </c>
      <c r="AC446" s="4">
        <v>4</v>
      </c>
      <c r="AD446" s="4">
        <v>16</v>
      </c>
      <c r="AE446" s="4">
        <v>19</v>
      </c>
      <c r="AF446" s="4">
        <v>5</v>
      </c>
      <c r="AG446" s="4">
        <v>6</v>
      </c>
      <c r="AH446" s="4">
        <v>4</v>
      </c>
      <c r="AI446" s="4">
        <v>4</v>
      </c>
      <c r="AJ446" s="4">
        <v>10</v>
      </c>
      <c r="AK446" s="4">
        <v>11</v>
      </c>
      <c r="AL446" s="4">
        <v>2</v>
      </c>
      <c r="AM446" s="4">
        <v>3</v>
      </c>
      <c r="AN446" s="4">
        <v>0</v>
      </c>
      <c r="AO446" s="4">
        <v>0</v>
      </c>
      <c r="AP446" s="3" t="s">
        <v>59</v>
      </c>
      <c r="AQ446" s="3" t="s">
        <v>59</v>
      </c>
      <c r="AS446" s="6" t="str">
        <f>HYPERLINK("https://creighton-primo.hosted.exlibrisgroup.com/primo-explore/search?tab=default_tab&amp;search_scope=EVERYTHING&amp;vid=01CRU&amp;lang=en_US&amp;offset=0&amp;query=any,contains,991001887609702656","Catalog Record")</f>
        <v>Catalog Record</v>
      </c>
      <c r="AT446" s="6" t="str">
        <f>HYPERLINK("http://www.worldcat.org/oclc/23768863","WorldCat Record")</f>
        <v>WorldCat Record</v>
      </c>
      <c r="AU446" s="3" t="s">
        <v>5763</v>
      </c>
      <c r="AV446" s="3" t="s">
        <v>5764</v>
      </c>
      <c r="AW446" s="3" t="s">
        <v>5765</v>
      </c>
      <c r="AX446" s="3" t="s">
        <v>5765</v>
      </c>
      <c r="AY446" s="3" t="s">
        <v>5766</v>
      </c>
      <c r="AZ446" s="3" t="s">
        <v>76</v>
      </c>
      <c r="BB446" s="3" t="s">
        <v>5767</v>
      </c>
      <c r="BC446" s="3" t="s">
        <v>5768</v>
      </c>
      <c r="BD446" s="3" t="s">
        <v>5769</v>
      </c>
    </row>
    <row r="447" spans="1:56" ht="52.5" customHeight="1" x14ac:dyDescent="0.25">
      <c r="A447" s="7" t="s">
        <v>59</v>
      </c>
      <c r="B447" s="2" t="s">
        <v>5770</v>
      </c>
      <c r="C447" s="2" t="s">
        <v>5771</v>
      </c>
      <c r="D447" s="2" t="s">
        <v>5772</v>
      </c>
      <c r="F447" s="3" t="s">
        <v>59</v>
      </c>
      <c r="G447" s="3" t="s">
        <v>60</v>
      </c>
      <c r="H447" s="3" t="s">
        <v>59</v>
      </c>
      <c r="I447" s="3" t="s">
        <v>59</v>
      </c>
      <c r="J447" s="3" t="s">
        <v>61</v>
      </c>
      <c r="K447" s="2" t="s">
        <v>5773</v>
      </c>
      <c r="L447" s="2" t="s">
        <v>5774</v>
      </c>
      <c r="M447" s="3" t="s">
        <v>684</v>
      </c>
      <c r="O447" s="3" t="s">
        <v>65</v>
      </c>
      <c r="P447" s="3" t="s">
        <v>66</v>
      </c>
      <c r="R447" s="3" t="s">
        <v>68</v>
      </c>
      <c r="S447" s="4">
        <v>3</v>
      </c>
      <c r="T447" s="4">
        <v>3</v>
      </c>
      <c r="U447" s="5" t="s">
        <v>5775</v>
      </c>
      <c r="V447" s="5" t="s">
        <v>5775</v>
      </c>
      <c r="W447" s="5" t="s">
        <v>5737</v>
      </c>
      <c r="X447" s="5" t="s">
        <v>5737</v>
      </c>
      <c r="Y447" s="4">
        <v>309</v>
      </c>
      <c r="Z447" s="4">
        <v>246</v>
      </c>
      <c r="AA447" s="4">
        <v>248</v>
      </c>
      <c r="AB447" s="4">
        <v>4</v>
      </c>
      <c r="AC447" s="4">
        <v>4</v>
      </c>
      <c r="AD447" s="4">
        <v>10</v>
      </c>
      <c r="AE447" s="4">
        <v>10</v>
      </c>
      <c r="AF447" s="4">
        <v>3</v>
      </c>
      <c r="AG447" s="4">
        <v>3</v>
      </c>
      <c r="AH447" s="4">
        <v>2</v>
      </c>
      <c r="AI447" s="4">
        <v>2</v>
      </c>
      <c r="AJ447" s="4">
        <v>3</v>
      </c>
      <c r="AK447" s="4">
        <v>3</v>
      </c>
      <c r="AL447" s="4">
        <v>3</v>
      </c>
      <c r="AM447" s="4">
        <v>3</v>
      </c>
      <c r="AN447" s="4">
        <v>0</v>
      </c>
      <c r="AO447" s="4">
        <v>0</v>
      </c>
      <c r="AP447" s="3" t="s">
        <v>59</v>
      </c>
      <c r="AQ447" s="3" t="s">
        <v>71</v>
      </c>
      <c r="AR447" s="6" t="str">
        <f>HYPERLINK("http://catalog.hathitrust.org/Record/000098416","HathiTrust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HYPERLINK("https://creighton-primo.hosted.exlibrisgroup.com/primo-explore/search?tab=default_tab&amp;search_scope=EVERYTHING&amp;vid=01CRU&amp;lang=en_US&amp;offset=0&amp;query=any,contains,991005049379702656","Catalog Record")</f>
        <v>Catalog Record</v>
      </c>
      <c r="AT447" s="6" t="str">
        <f>HYPERLINK("http://www.worldcat.org/oclc/6863294","WorldCat Record")</f>
        <v>WorldCat Record</v>
      </c>
      <c r="AU447" s="3" t="s">
        <v>5776</v>
      </c>
      <c r="AV447" s="3" t="s">
        <v>5777</v>
      </c>
      <c r="AW447" s="3" t="s">
        <v>5778</v>
      </c>
      <c r="AX447" s="3" t="s">
        <v>5778</v>
      </c>
      <c r="AY447" s="3" t="s">
        <v>5779</v>
      </c>
      <c r="AZ447" s="3" t="s">
        <v>76</v>
      </c>
      <c r="BB447" s="3" t="s">
        <v>5780</v>
      </c>
      <c r="BC447" s="3" t="s">
        <v>5781</v>
      </c>
      <c r="BD447" s="3" t="s">
        <v>5782</v>
      </c>
    </row>
    <row r="448" spans="1:56" ht="52.5" customHeight="1" x14ac:dyDescent="0.25">
      <c r="A448" s="7" t="s">
        <v>59</v>
      </c>
      <c r="B448" s="2" t="s">
        <v>5783</v>
      </c>
      <c r="C448" s="2" t="s">
        <v>5784</v>
      </c>
      <c r="D448" s="2" t="s">
        <v>5785</v>
      </c>
      <c r="F448" s="3" t="s">
        <v>59</v>
      </c>
      <c r="G448" s="3" t="s">
        <v>60</v>
      </c>
      <c r="H448" s="3" t="s">
        <v>59</v>
      </c>
      <c r="I448" s="3" t="s">
        <v>59</v>
      </c>
      <c r="J448" s="3" t="s">
        <v>61</v>
      </c>
      <c r="K448" s="2" t="s">
        <v>5786</v>
      </c>
      <c r="L448" s="2" t="s">
        <v>5787</v>
      </c>
      <c r="M448" s="3" t="s">
        <v>224</v>
      </c>
      <c r="O448" s="3" t="s">
        <v>65</v>
      </c>
      <c r="P448" s="3" t="s">
        <v>491</v>
      </c>
      <c r="R448" s="3" t="s">
        <v>68</v>
      </c>
      <c r="S448" s="4">
        <v>1</v>
      </c>
      <c r="T448" s="4">
        <v>1</v>
      </c>
      <c r="U448" s="5" t="s">
        <v>5712</v>
      </c>
      <c r="V448" s="5" t="s">
        <v>5712</v>
      </c>
      <c r="W448" s="5" t="s">
        <v>3522</v>
      </c>
      <c r="X448" s="5" t="s">
        <v>3522</v>
      </c>
      <c r="Y448" s="4">
        <v>350</v>
      </c>
      <c r="Z448" s="4">
        <v>256</v>
      </c>
      <c r="AA448" s="4">
        <v>259</v>
      </c>
      <c r="AB448" s="4">
        <v>2</v>
      </c>
      <c r="AC448" s="4">
        <v>2</v>
      </c>
      <c r="AD448" s="4">
        <v>10</v>
      </c>
      <c r="AE448" s="4">
        <v>10</v>
      </c>
      <c r="AF448" s="4">
        <v>4</v>
      </c>
      <c r="AG448" s="4">
        <v>4</v>
      </c>
      <c r="AH448" s="4">
        <v>3</v>
      </c>
      <c r="AI448" s="4">
        <v>3</v>
      </c>
      <c r="AJ448" s="4">
        <v>4</v>
      </c>
      <c r="AK448" s="4">
        <v>4</v>
      </c>
      <c r="AL448" s="4">
        <v>1</v>
      </c>
      <c r="AM448" s="4">
        <v>1</v>
      </c>
      <c r="AN448" s="4">
        <v>0</v>
      </c>
      <c r="AO448" s="4">
        <v>0</v>
      </c>
      <c r="AP448" s="3" t="s">
        <v>59</v>
      </c>
      <c r="AQ448" s="3" t="s">
        <v>71</v>
      </c>
      <c r="AR448" s="6" t="str">
        <f>HYPERLINK("http://catalog.hathitrust.org/Record/000025289","HathiTrust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HYPERLINK("https://creighton-primo.hosted.exlibrisgroup.com/primo-explore/search?tab=default_tab&amp;search_scope=EVERYTHING&amp;vid=01CRU&amp;lang=en_US&amp;offset=0&amp;query=any,contains,991003846369702656","Catalog Record")</f>
        <v>Catalog Record</v>
      </c>
      <c r="AT448" s="6" t="str">
        <f>HYPERLINK("http://www.worldcat.org/oclc/1631424","WorldCat Record")</f>
        <v>WorldCat Record</v>
      </c>
      <c r="AU448" s="3" t="s">
        <v>5788</v>
      </c>
      <c r="AV448" s="3" t="s">
        <v>5789</v>
      </c>
      <c r="AW448" s="3" t="s">
        <v>5790</v>
      </c>
      <c r="AX448" s="3" t="s">
        <v>5790</v>
      </c>
      <c r="AY448" s="3" t="s">
        <v>5791</v>
      </c>
      <c r="AZ448" s="3" t="s">
        <v>76</v>
      </c>
      <c r="BB448" s="3" t="s">
        <v>5792</v>
      </c>
      <c r="BC448" s="3" t="s">
        <v>5793</v>
      </c>
      <c r="BD448" s="3" t="s">
        <v>5794</v>
      </c>
    </row>
    <row r="449" spans="1:56" ht="52.5" customHeight="1" x14ac:dyDescent="0.25">
      <c r="A449" s="7" t="s">
        <v>59</v>
      </c>
      <c r="B449" s="2" t="s">
        <v>5795</v>
      </c>
      <c r="C449" s="2" t="s">
        <v>5796</v>
      </c>
      <c r="D449" s="2" t="s">
        <v>5797</v>
      </c>
      <c r="F449" s="3" t="s">
        <v>59</v>
      </c>
      <c r="G449" s="3" t="s">
        <v>60</v>
      </c>
      <c r="H449" s="3" t="s">
        <v>59</v>
      </c>
      <c r="I449" s="3" t="s">
        <v>59</v>
      </c>
      <c r="J449" s="3" t="s">
        <v>61</v>
      </c>
      <c r="L449" s="2" t="s">
        <v>2819</v>
      </c>
      <c r="M449" s="3" t="s">
        <v>195</v>
      </c>
      <c r="O449" s="3" t="s">
        <v>65</v>
      </c>
      <c r="P449" s="3" t="s">
        <v>1262</v>
      </c>
      <c r="R449" s="3" t="s">
        <v>68</v>
      </c>
      <c r="S449" s="4">
        <v>2</v>
      </c>
      <c r="T449" s="4">
        <v>2</v>
      </c>
      <c r="U449" s="5" t="s">
        <v>5798</v>
      </c>
      <c r="V449" s="5" t="s">
        <v>5798</v>
      </c>
      <c r="W449" s="5" t="s">
        <v>5799</v>
      </c>
      <c r="X449" s="5" t="s">
        <v>5799</v>
      </c>
      <c r="Y449" s="4">
        <v>856</v>
      </c>
      <c r="Z449" s="4">
        <v>676</v>
      </c>
      <c r="AA449" s="4">
        <v>706</v>
      </c>
      <c r="AB449" s="4">
        <v>7</v>
      </c>
      <c r="AC449" s="4">
        <v>7</v>
      </c>
      <c r="AD449" s="4">
        <v>35</v>
      </c>
      <c r="AE449" s="4">
        <v>36</v>
      </c>
      <c r="AF449" s="4">
        <v>15</v>
      </c>
      <c r="AG449" s="4">
        <v>16</v>
      </c>
      <c r="AH449" s="4">
        <v>7</v>
      </c>
      <c r="AI449" s="4">
        <v>7</v>
      </c>
      <c r="AJ449" s="4">
        <v>15</v>
      </c>
      <c r="AK449" s="4">
        <v>15</v>
      </c>
      <c r="AL449" s="4">
        <v>6</v>
      </c>
      <c r="AM449" s="4">
        <v>6</v>
      </c>
      <c r="AN449" s="4">
        <v>0</v>
      </c>
      <c r="AO449" s="4">
        <v>0</v>
      </c>
      <c r="AP449" s="3" t="s">
        <v>59</v>
      </c>
      <c r="AQ449" s="3" t="s">
        <v>59</v>
      </c>
      <c r="AS449" s="6" t="str">
        <f>HYPERLINK("https://creighton-primo.hosted.exlibrisgroup.com/primo-explore/search?tab=default_tab&amp;search_scope=EVERYTHING&amp;vid=01CRU&amp;lang=en_US&amp;offset=0&amp;query=any,contains,991005219709702656","Catalog Record")</f>
        <v>Catalog Record</v>
      </c>
      <c r="AT449" s="6" t="str">
        <f>HYPERLINK("http://www.worldcat.org/oclc/8219908","WorldCat Record")</f>
        <v>WorldCat Record</v>
      </c>
      <c r="AU449" s="3" t="s">
        <v>5800</v>
      </c>
      <c r="AV449" s="3" t="s">
        <v>5801</v>
      </c>
      <c r="AW449" s="3" t="s">
        <v>5802</v>
      </c>
      <c r="AX449" s="3" t="s">
        <v>5802</v>
      </c>
      <c r="AY449" s="3" t="s">
        <v>5803</v>
      </c>
      <c r="AZ449" s="3" t="s">
        <v>76</v>
      </c>
      <c r="BB449" s="3" t="s">
        <v>5804</v>
      </c>
      <c r="BC449" s="3" t="s">
        <v>5805</v>
      </c>
      <c r="BD449" s="3" t="s">
        <v>5806</v>
      </c>
    </row>
    <row r="450" spans="1:56" ht="52.5" customHeight="1" x14ac:dyDescent="0.25">
      <c r="A450" s="7" t="s">
        <v>59</v>
      </c>
      <c r="B450" s="2" t="s">
        <v>5807</v>
      </c>
      <c r="C450" s="2" t="s">
        <v>5808</v>
      </c>
      <c r="D450" s="2" t="s">
        <v>5809</v>
      </c>
      <c r="F450" s="3" t="s">
        <v>59</v>
      </c>
      <c r="G450" s="3" t="s">
        <v>60</v>
      </c>
      <c r="H450" s="3" t="s">
        <v>59</v>
      </c>
      <c r="I450" s="3" t="s">
        <v>59</v>
      </c>
      <c r="J450" s="3" t="s">
        <v>61</v>
      </c>
      <c r="K450" s="2" t="s">
        <v>5810</v>
      </c>
      <c r="L450" s="2" t="s">
        <v>5811</v>
      </c>
      <c r="M450" s="3" t="s">
        <v>224</v>
      </c>
      <c r="O450" s="3" t="s">
        <v>65</v>
      </c>
      <c r="P450" s="3" t="s">
        <v>66</v>
      </c>
      <c r="R450" s="3" t="s">
        <v>68</v>
      </c>
      <c r="S450" s="4">
        <v>3</v>
      </c>
      <c r="T450" s="4">
        <v>3</v>
      </c>
      <c r="U450" s="5" t="s">
        <v>5812</v>
      </c>
      <c r="V450" s="5" t="s">
        <v>5812</v>
      </c>
      <c r="W450" s="5" t="s">
        <v>5813</v>
      </c>
      <c r="X450" s="5" t="s">
        <v>5813</v>
      </c>
      <c r="Y450" s="4">
        <v>974</v>
      </c>
      <c r="Z450" s="4">
        <v>857</v>
      </c>
      <c r="AA450" s="4">
        <v>1198</v>
      </c>
      <c r="AB450" s="4">
        <v>4</v>
      </c>
      <c r="AC450" s="4">
        <v>7</v>
      </c>
      <c r="AD450" s="4">
        <v>27</v>
      </c>
      <c r="AE450" s="4">
        <v>40</v>
      </c>
      <c r="AF450" s="4">
        <v>10</v>
      </c>
      <c r="AG450" s="4">
        <v>17</v>
      </c>
      <c r="AH450" s="4">
        <v>5</v>
      </c>
      <c r="AI450" s="4">
        <v>8</v>
      </c>
      <c r="AJ450" s="4">
        <v>15</v>
      </c>
      <c r="AK450" s="4">
        <v>19</v>
      </c>
      <c r="AL450" s="4">
        <v>3</v>
      </c>
      <c r="AM450" s="4">
        <v>5</v>
      </c>
      <c r="AN450" s="4">
        <v>0</v>
      </c>
      <c r="AO450" s="4">
        <v>0</v>
      </c>
      <c r="AP450" s="3" t="s">
        <v>59</v>
      </c>
      <c r="AQ450" s="3" t="s">
        <v>71</v>
      </c>
      <c r="AR450" s="6" t="str">
        <f>HYPERLINK("http://catalog.hathitrust.org/Record/000035871","HathiTrust Record")</f>
        <v>HathiTrust Record</v>
      </c>
      <c r="AS450" s="6" t="str">
        <f>HYPERLINK("https://creighton-primo.hosted.exlibrisgroup.com/primo-explore/search?tab=default_tab&amp;search_scope=EVERYTHING&amp;vid=01CRU&amp;lang=en_US&amp;offset=0&amp;query=any,contains,991003692669702656","Catalog Record")</f>
        <v>Catalog Record</v>
      </c>
      <c r="AT450" s="6" t="str">
        <f>HYPERLINK("http://www.worldcat.org/oclc/1323646","WorldCat Record")</f>
        <v>WorldCat Record</v>
      </c>
      <c r="AU450" s="3" t="s">
        <v>5814</v>
      </c>
      <c r="AV450" s="3" t="s">
        <v>5815</v>
      </c>
      <c r="AW450" s="3" t="s">
        <v>5816</v>
      </c>
      <c r="AX450" s="3" t="s">
        <v>5816</v>
      </c>
      <c r="AY450" s="3" t="s">
        <v>5817</v>
      </c>
      <c r="AZ450" s="3" t="s">
        <v>76</v>
      </c>
      <c r="BB450" s="3" t="s">
        <v>5818</v>
      </c>
      <c r="BC450" s="3" t="s">
        <v>5819</v>
      </c>
      <c r="BD450" s="3" t="s">
        <v>5820</v>
      </c>
    </row>
    <row r="451" spans="1:56" ht="52.5" customHeight="1" x14ac:dyDescent="0.25">
      <c r="A451" s="7" t="s">
        <v>59</v>
      </c>
      <c r="B451" s="2" t="s">
        <v>5821</v>
      </c>
      <c r="C451" s="2" t="s">
        <v>5822</v>
      </c>
      <c r="D451" s="2" t="s">
        <v>5823</v>
      </c>
      <c r="F451" s="3" t="s">
        <v>59</v>
      </c>
      <c r="G451" s="3" t="s">
        <v>60</v>
      </c>
      <c r="H451" s="3" t="s">
        <v>59</v>
      </c>
      <c r="I451" s="3" t="s">
        <v>59</v>
      </c>
      <c r="J451" s="3" t="s">
        <v>61</v>
      </c>
      <c r="K451" s="2" t="s">
        <v>5824</v>
      </c>
      <c r="L451" s="2" t="s">
        <v>5825</v>
      </c>
      <c r="M451" s="3" t="s">
        <v>309</v>
      </c>
      <c r="N451" s="2" t="s">
        <v>1289</v>
      </c>
      <c r="O451" s="3" t="s">
        <v>65</v>
      </c>
      <c r="P451" s="3" t="s">
        <v>420</v>
      </c>
      <c r="R451" s="3" t="s">
        <v>68</v>
      </c>
      <c r="S451" s="4">
        <v>4</v>
      </c>
      <c r="T451" s="4">
        <v>4</v>
      </c>
      <c r="U451" s="5" t="s">
        <v>5751</v>
      </c>
      <c r="V451" s="5" t="s">
        <v>5751</v>
      </c>
      <c r="W451" s="5" t="s">
        <v>5724</v>
      </c>
      <c r="X451" s="5" t="s">
        <v>5724</v>
      </c>
      <c r="Y451" s="4">
        <v>196</v>
      </c>
      <c r="Z451" s="4">
        <v>135</v>
      </c>
      <c r="AA451" s="4">
        <v>443</v>
      </c>
      <c r="AB451" s="4">
        <v>2</v>
      </c>
      <c r="AC451" s="4">
        <v>4</v>
      </c>
      <c r="AD451" s="4">
        <v>4</v>
      </c>
      <c r="AE451" s="4">
        <v>19</v>
      </c>
      <c r="AF451" s="4">
        <v>1</v>
      </c>
      <c r="AG451" s="4">
        <v>6</v>
      </c>
      <c r="AH451" s="4">
        <v>0</v>
      </c>
      <c r="AI451" s="4">
        <v>4</v>
      </c>
      <c r="AJ451" s="4">
        <v>2</v>
      </c>
      <c r="AK451" s="4">
        <v>10</v>
      </c>
      <c r="AL451" s="4">
        <v>1</v>
      </c>
      <c r="AM451" s="4">
        <v>3</v>
      </c>
      <c r="AN451" s="4">
        <v>0</v>
      </c>
      <c r="AO451" s="4">
        <v>0</v>
      </c>
      <c r="AP451" s="3" t="s">
        <v>59</v>
      </c>
      <c r="AQ451" s="3" t="s">
        <v>71</v>
      </c>
      <c r="AR451" s="6" t="str">
        <f>HYPERLINK("http://catalog.hathitrust.org/Record/007118434","HathiTrust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HYPERLINK("https://creighton-primo.hosted.exlibrisgroup.com/primo-explore/search?tab=default_tab&amp;search_scope=EVERYTHING&amp;vid=01CRU&amp;lang=en_US&amp;offset=0&amp;query=any,contains,991004480569702656","Catalog Record")</f>
        <v>Catalog Record</v>
      </c>
      <c r="AT451" s="6" t="str">
        <f>HYPERLINK("http://www.worldcat.org/oclc/3627298","WorldCat Record")</f>
        <v>WorldCat Record</v>
      </c>
      <c r="AU451" s="3" t="s">
        <v>5826</v>
      </c>
      <c r="AV451" s="3" t="s">
        <v>5827</v>
      </c>
      <c r="AW451" s="3" t="s">
        <v>5828</v>
      </c>
      <c r="AX451" s="3" t="s">
        <v>5828</v>
      </c>
      <c r="AY451" s="3" t="s">
        <v>5829</v>
      </c>
      <c r="AZ451" s="3" t="s">
        <v>76</v>
      </c>
      <c r="BB451" s="3" t="s">
        <v>5830</v>
      </c>
      <c r="BC451" s="3" t="s">
        <v>5831</v>
      </c>
      <c r="BD451" s="3" t="s">
        <v>5832</v>
      </c>
    </row>
    <row r="452" spans="1:56" ht="52.5" customHeight="1" x14ac:dyDescent="0.25">
      <c r="A452" s="7" t="s">
        <v>59</v>
      </c>
      <c r="B452" s="2" t="s">
        <v>5833</v>
      </c>
      <c r="C452" s="2" t="s">
        <v>5834</v>
      </c>
      <c r="D452" s="2" t="s">
        <v>5835</v>
      </c>
      <c r="E452" s="3" t="s">
        <v>5836</v>
      </c>
      <c r="F452" s="3" t="s">
        <v>71</v>
      </c>
      <c r="G452" s="3" t="s">
        <v>60</v>
      </c>
      <c r="H452" s="3" t="s">
        <v>59</v>
      </c>
      <c r="I452" s="3" t="s">
        <v>59</v>
      </c>
      <c r="J452" s="3" t="s">
        <v>61</v>
      </c>
      <c r="L452" s="2" t="s">
        <v>5837</v>
      </c>
      <c r="M452" s="3" t="s">
        <v>148</v>
      </c>
      <c r="O452" s="3" t="s">
        <v>65</v>
      </c>
      <c r="P452" s="3" t="s">
        <v>66</v>
      </c>
      <c r="R452" s="3" t="s">
        <v>68</v>
      </c>
      <c r="S452" s="4">
        <v>0</v>
      </c>
      <c r="T452" s="4">
        <v>7</v>
      </c>
      <c r="V452" s="5" t="s">
        <v>5751</v>
      </c>
      <c r="W452" s="5" t="s">
        <v>5737</v>
      </c>
      <c r="X452" s="5" t="s">
        <v>5737</v>
      </c>
      <c r="Y452" s="4">
        <v>393</v>
      </c>
      <c r="Z452" s="4">
        <v>296</v>
      </c>
      <c r="AA452" s="4">
        <v>370</v>
      </c>
      <c r="AB452" s="4">
        <v>5</v>
      </c>
      <c r="AC452" s="4">
        <v>5</v>
      </c>
      <c r="AD452" s="4">
        <v>13</v>
      </c>
      <c r="AE452" s="4">
        <v>16</v>
      </c>
      <c r="AF452" s="4">
        <v>2</v>
      </c>
      <c r="AG452" s="4">
        <v>3</v>
      </c>
      <c r="AH452" s="4">
        <v>1</v>
      </c>
      <c r="AI452" s="4">
        <v>2</v>
      </c>
      <c r="AJ452" s="4">
        <v>7</v>
      </c>
      <c r="AK452" s="4">
        <v>9</v>
      </c>
      <c r="AL452" s="4">
        <v>4</v>
      </c>
      <c r="AM452" s="4">
        <v>4</v>
      </c>
      <c r="AN452" s="4">
        <v>0</v>
      </c>
      <c r="AO452" s="4">
        <v>0</v>
      </c>
      <c r="AP452" s="3" t="s">
        <v>59</v>
      </c>
      <c r="AQ452" s="3" t="s">
        <v>71</v>
      </c>
      <c r="AR452" s="6" t="str">
        <f>HYPERLINK("http://catalog.hathitrust.org/Record/004444685","HathiTrust Record")</f>
        <v>HathiTrust Record</v>
      </c>
      <c r="AS452" s="6" t="str">
        <f>HYPERLINK("https://creighton-primo.hosted.exlibrisgroup.com/primo-explore/search?tab=default_tab&amp;search_scope=EVERYTHING&amp;vid=01CRU&amp;lang=en_US&amp;offset=0&amp;query=any,contains,991004187079702656","Catalog Record")</f>
        <v>Catalog Record</v>
      </c>
      <c r="AT452" s="6" t="str">
        <f>HYPERLINK("http://www.worldcat.org/oclc/2617337","WorldCat Record")</f>
        <v>WorldCat Record</v>
      </c>
      <c r="AU452" s="3" t="s">
        <v>5838</v>
      </c>
      <c r="AV452" s="3" t="s">
        <v>5839</v>
      </c>
      <c r="AW452" s="3" t="s">
        <v>5840</v>
      </c>
      <c r="AX452" s="3" t="s">
        <v>5840</v>
      </c>
      <c r="AY452" s="3" t="s">
        <v>5841</v>
      </c>
      <c r="AZ452" s="3" t="s">
        <v>76</v>
      </c>
      <c r="BB452" s="3" t="s">
        <v>5842</v>
      </c>
      <c r="BC452" s="3" t="s">
        <v>5843</v>
      </c>
      <c r="BD452" s="3" t="s">
        <v>5844</v>
      </c>
    </row>
    <row r="453" spans="1:56" ht="52.5" customHeight="1" x14ac:dyDescent="0.25">
      <c r="A453" s="7" t="s">
        <v>59</v>
      </c>
      <c r="B453" s="2" t="s">
        <v>5833</v>
      </c>
      <c r="C453" s="2" t="s">
        <v>5834</v>
      </c>
      <c r="D453" s="2" t="s">
        <v>5835</v>
      </c>
      <c r="E453" s="3" t="s">
        <v>768</v>
      </c>
      <c r="F453" s="3" t="s">
        <v>71</v>
      </c>
      <c r="G453" s="3" t="s">
        <v>60</v>
      </c>
      <c r="H453" s="3" t="s">
        <v>59</v>
      </c>
      <c r="I453" s="3" t="s">
        <v>59</v>
      </c>
      <c r="J453" s="3" t="s">
        <v>61</v>
      </c>
      <c r="L453" s="2" t="s">
        <v>5837</v>
      </c>
      <c r="M453" s="3" t="s">
        <v>148</v>
      </c>
      <c r="O453" s="3" t="s">
        <v>65</v>
      </c>
      <c r="P453" s="3" t="s">
        <v>66</v>
      </c>
      <c r="R453" s="3" t="s">
        <v>68</v>
      </c>
      <c r="S453" s="4">
        <v>7</v>
      </c>
      <c r="T453" s="4">
        <v>7</v>
      </c>
      <c r="U453" s="5" t="s">
        <v>5751</v>
      </c>
      <c r="V453" s="5" t="s">
        <v>5751</v>
      </c>
      <c r="W453" s="5" t="s">
        <v>5737</v>
      </c>
      <c r="X453" s="5" t="s">
        <v>5737</v>
      </c>
      <c r="Y453" s="4">
        <v>393</v>
      </c>
      <c r="Z453" s="4">
        <v>296</v>
      </c>
      <c r="AA453" s="4">
        <v>370</v>
      </c>
      <c r="AB453" s="4">
        <v>5</v>
      </c>
      <c r="AC453" s="4">
        <v>5</v>
      </c>
      <c r="AD453" s="4">
        <v>13</v>
      </c>
      <c r="AE453" s="4">
        <v>16</v>
      </c>
      <c r="AF453" s="4">
        <v>2</v>
      </c>
      <c r="AG453" s="4">
        <v>3</v>
      </c>
      <c r="AH453" s="4">
        <v>1</v>
      </c>
      <c r="AI453" s="4">
        <v>2</v>
      </c>
      <c r="AJ453" s="4">
        <v>7</v>
      </c>
      <c r="AK453" s="4">
        <v>9</v>
      </c>
      <c r="AL453" s="4">
        <v>4</v>
      </c>
      <c r="AM453" s="4">
        <v>4</v>
      </c>
      <c r="AN453" s="4">
        <v>0</v>
      </c>
      <c r="AO453" s="4">
        <v>0</v>
      </c>
      <c r="AP453" s="3" t="s">
        <v>59</v>
      </c>
      <c r="AQ453" s="3" t="s">
        <v>71</v>
      </c>
      <c r="AR453" s="6" t="str">
        <f>HYPERLINK("http://catalog.hathitrust.org/Record/004444685","HathiTrust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HYPERLINK("https://creighton-primo.hosted.exlibrisgroup.com/primo-explore/search?tab=default_tab&amp;search_scope=EVERYTHING&amp;vid=01CRU&amp;lang=en_US&amp;offset=0&amp;query=any,contains,991004187079702656","Catalog Record")</f>
        <v>Catalog Record</v>
      </c>
      <c r="AT453" s="6" t="str">
        <f>HYPERLINK("http://www.worldcat.org/oclc/2617337","WorldCat Record")</f>
        <v>WorldCat Record</v>
      </c>
      <c r="AU453" s="3" t="s">
        <v>5838</v>
      </c>
      <c r="AV453" s="3" t="s">
        <v>5839</v>
      </c>
      <c r="AW453" s="3" t="s">
        <v>5840</v>
      </c>
      <c r="AX453" s="3" t="s">
        <v>5840</v>
      </c>
      <c r="AY453" s="3" t="s">
        <v>5841</v>
      </c>
      <c r="AZ453" s="3" t="s">
        <v>76</v>
      </c>
      <c r="BB453" s="3" t="s">
        <v>5842</v>
      </c>
      <c r="BC453" s="3" t="s">
        <v>5845</v>
      </c>
      <c r="BD453" s="3" t="s">
        <v>5846</v>
      </c>
    </row>
    <row r="454" spans="1:56" ht="52.5" customHeight="1" x14ac:dyDescent="0.25">
      <c r="A454" s="7" t="s">
        <v>59</v>
      </c>
      <c r="B454" s="2" t="s">
        <v>5847</v>
      </c>
      <c r="C454" s="2" t="s">
        <v>5848</v>
      </c>
      <c r="D454" s="2" t="s">
        <v>5849</v>
      </c>
      <c r="F454" s="3" t="s">
        <v>59</v>
      </c>
      <c r="G454" s="3" t="s">
        <v>60</v>
      </c>
      <c r="H454" s="3" t="s">
        <v>59</v>
      </c>
      <c r="I454" s="3" t="s">
        <v>59</v>
      </c>
      <c r="J454" s="3" t="s">
        <v>61</v>
      </c>
      <c r="L454" s="2" t="s">
        <v>5410</v>
      </c>
      <c r="M454" s="3" t="s">
        <v>309</v>
      </c>
      <c r="O454" s="3" t="s">
        <v>65</v>
      </c>
      <c r="P454" s="3" t="s">
        <v>699</v>
      </c>
      <c r="R454" s="3" t="s">
        <v>68</v>
      </c>
      <c r="S454" s="4">
        <v>5</v>
      </c>
      <c r="T454" s="4">
        <v>5</v>
      </c>
      <c r="U454" s="5" t="s">
        <v>5812</v>
      </c>
      <c r="V454" s="5" t="s">
        <v>5812</v>
      </c>
      <c r="W454" s="5" t="s">
        <v>2073</v>
      </c>
      <c r="X454" s="5" t="s">
        <v>2073</v>
      </c>
      <c r="Y454" s="4">
        <v>628</v>
      </c>
      <c r="Z454" s="4">
        <v>493</v>
      </c>
      <c r="AA454" s="4">
        <v>500</v>
      </c>
      <c r="AB454" s="4">
        <v>4</v>
      </c>
      <c r="AC454" s="4">
        <v>4</v>
      </c>
      <c r="AD454" s="4">
        <v>22</v>
      </c>
      <c r="AE454" s="4">
        <v>22</v>
      </c>
      <c r="AF454" s="4">
        <v>8</v>
      </c>
      <c r="AG454" s="4">
        <v>8</v>
      </c>
      <c r="AH454" s="4">
        <v>5</v>
      </c>
      <c r="AI454" s="4">
        <v>5</v>
      </c>
      <c r="AJ454" s="4">
        <v>11</v>
      </c>
      <c r="AK454" s="4">
        <v>11</v>
      </c>
      <c r="AL454" s="4">
        <v>3</v>
      </c>
      <c r="AM454" s="4">
        <v>3</v>
      </c>
      <c r="AN454" s="4">
        <v>0</v>
      </c>
      <c r="AO454" s="4">
        <v>0</v>
      </c>
      <c r="AP454" s="3" t="s">
        <v>59</v>
      </c>
      <c r="AQ454" s="3" t="s">
        <v>71</v>
      </c>
      <c r="AR454" s="6" t="str">
        <f>HYPERLINK("http://catalog.hathitrust.org/Record/000135309","HathiTrust Record")</f>
        <v>HathiTrust Record</v>
      </c>
      <c r="AS454" s="6" t="str">
        <f>HYPERLINK("https://creighton-primo.hosted.exlibrisgroup.com/primo-explore/search?tab=default_tab&amp;search_scope=EVERYTHING&amp;vid=01CRU&amp;lang=en_US&amp;offset=0&amp;query=any,contains,991004526779702656","Catalog Record")</f>
        <v>Catalog Record</v>
      </c>
      <c r="AT454" s="6" t="str">
        <f>HYPERLINK("http://www.worldcat.org/oclc/3843755","WorldCat Record")</f>
        <v>WorldCat Record</v>
      </c>
      <c r="AU454" s="3" t="s">
        <v>5850</v>
      </c>
      <c r="AV454" s="3" t="s">
        <v>5851</v>
      </c>
      <c r="AW454" s="3" t="s">
        <v>5852</v>
      </c>
      <c r="AX454" s="3" t="s">
        <v>5852</v>
      </c>
      <c r="AY454" s="3" t="s">
        <v>5853</v>
      </c>
      <c r="AZ454" s="3" t="s">
        <v>76</v>
      </c>
      <c r="BB454" s="3" t="s">
        <v>5854</v>
      </c>
      <c r="BC454" s="3" t="s">
        <v>5855</v>
      </c>
      <c r="BD454" s="3" t="s">
        <v>5856</v>
      </c>
    </row>
    <row r="455" spans="1:56" ht="52.5" customHeight="1" x14ac:dyDescent="0.25">
      <c r="A455" s="7" t="s">
        <v>59</v>
      </c>
      <c r="B455" s="2" t="s">
        <v>5857</v>
      </c>
      <c r="C455" s="2" t="s">
        <v>5858</v>
      </c>
      <c r="D455" s="2" t="s">
        <v>5859</v>
      </c>
      <c r="F455" s="3" t="s">
        <v>59</v>
      </c>
      <c r="G455" s="3" t="s">
        <v>60</v>
      </c>
      <c r="H455" s="3" t="s">
        <v>59</v>
      </c>
      <c r="I455" s="3" t="s">
        <v>59</v>
      </c>
      <c r="J455" s="3" t="s">
        <v>61</v>
      </c>
      <c r="L455" s="2" t="s">
        <v>5860</v>
      </c>
      <c r="M455" s="3" t="s">
        <v>131</v>
      </c>
      <c r="O455" s="3" t="s">
        <v>65</v>
      </c>
      <c r="P455" s="3" t="s">
        <v>66</v>
      </c>
      <c r="R455" s="3" t="s">
        <v>68</v>
      </c>
      <c r="S455" s="4">
        <v>1</v>
      </c>
      <c r="T455" s="4">
        <v>1</v>
      </c>
      <c r="U455" s="5" t="s">
        <v>5861</v>
      </c>
      <c r="V455" s="5" t="s">
        <v>5861</v>
      </c>
      <c r="W455" s="5" t="s">
        <v>3522</v>
      </c>
      <c r="X455" s="5" t="s">
        <v>3522</v>
      </c>
      <c r="Y455" s="4">
        <v>616</v>
      </c>
      <c r="Z455" s="4">
        <v>441</v>
      </c>
      <c r="AA455" s="4">
        <v>443</v>
      </c>
      <c r="AB455" s="4">
        <v>4</v>
      </c>
      <c r="AC455" s="4">
        <v>4</v>
      </c>
      <c r="AD455" s="4">
        <v>20</v>
      </c>
      <c r="AE455" s="4">
        <v>20</v>
      </c>
      <c r="AF455" s="4">
        <v>6</v>
      </c>
      <c r="AG455" s="4">
        <v>6</v>
      </c>
      <c r="AH455" s="4">
        <v>4</v>
      </c>
      <c r="AI455" s="4">
        <v>4</v>
      </c>
      <c r="AJ455" s="4">
        <v>11</v>
      </c>
      <c r="AK455" s="4">
        <v>11</v>
      </c>
      <c r="AL455" s="4">
        <v>3</v>
      </c>
      <c r="AM455" s="4">
        <v>3</v>
      </c>
      <c r="AN455" s="4">
        <v>0</v>
      </c>
      <c r="AO455" s="4">
        <v>0</v>
      </c>
      <c r="AP455" s="3" t="s">
        <v>59</v>
      </c>
      <c r="AQ455" s="3" t="s">
        <v>71</v>
      </c>
      <c r="AR455" s="6" t="str">
        <f>HYPERLINK("http://catalog.hathitrust.org/Record/000013202","HathiTrust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HYPERLINK("https://creighton-primo.hosted.exlibrisgroup.com/primo-explore/search?tab=default_tab&amp;search_scope=EVERYTHING&amp;vid=01CRU&amp;lang=en_US&amp;offset=0&amp;query=any,contains,991003328219702656","Catalog Record")</f>
        <v>Catalog Record</v>
      </c>
      <c r="AT455" s="6" t="str">
        <f>HYPERLINK("http://www.worldcat.org/oclc/858329","WorldCat Record")</f>
        <v>WorldCat Record</v>
      </c>
      <c r="AU455" s="3" t="s">
        <v>5862</v>
      </c>
      <c r="AV455" s="3" t="s">
        <v>5863</v>
      </c>
      <c r="AW455" s="3" t="s">
        <v>5864</v>
      </c>
      <c r="AX455" s="3" t="s">
        <v>5864</v>
      </c>
      <c r="AY455" s="3" t="s">
        <v>5865</v>
      </c>
      <c r="AZ455" s="3" t="s">
        <v>76</v>
      </c>
      <c r="BB455" s="3" t="s">
        <v>5866</v>
      </c>
      <c r="BC455" s="3" t="s">
        <v>5867</v>
      </c>
      <c r="BD455" s="3" t="s">
        <v>5868</v>
      </c>
    </row>
    <row r="456" spans="1:56" ht="52.5" customHeight="1" x14ac:dyDescent="0.25">
      <c r="A456" s="7" t="s">
        <v>59</v>
      </c>
      <c r="B456" s="2" t="s">
        <v>5869</v>
      </c>
      <c r="C456" s="2" t="s">
        <v>5870</v>
      </c>
      <c r="D456" s="2" t="s">
        <v>5871</v>
      </c>
      <c r="F456" s="3" t="s">
        <v>59</v>
      </c>
      <c r="G456" s="3" t="s">
        <v>60</v>
      </c>
      <c r="H456" s="3" t="s">
        <v>59</v>
      </c>
      <c r="I456" s="3" t="s">
        <v>59</v>
      </c>
      <c r="J456" s="3" t="s">
        <v>61</v>
      </c>
      <c r="K456" s="2" t="s">
        <v>5872</v>
      </c>
      <c r="L456" s="2" t="s">
        <v>5873</v>
      </c>
      <c r="M456" s="3" t="s">
        <v>195</v>
      </c>
      <c r="O456" s="3" t="s">
        <v>65</v>
      </c>
      <c r="P456" s="3" t="s">
        <v>420</v>
      </c>
      <c r="R456" s="3" t="s">
        <v>68</v>
      </c>
      <c r="S456" s="4">
        <v>1</v>
      </c>
      <c r="T456" s="4">
        <v>1</v>
      </c>
      <c r="U456" s="5" t="s">
        <v>5874</v>
      </c>
      <c r="V456" s="5" t="s">
        <v>5874</v>
      </c>
      <c r="W456" s="5" t="s">
        <v>5737</v>
      </c>
      <c r="X456" s="5" t="s">
        <v>5737</v>
      </c>
      <c r="Y456" s="4">
        <v>525</v>
      </c>
      <c r="Z456" s="4">
        <v>400</v>
      </c>
      <c r="AA456" s="4">
        <v>406</v>
      </c>
      <c r="AB456" s="4">
        <v>4</v>
      </c>
      <c r="AC456" s="4">
        <v>4</v>
      </c>
      <c r="AD456" s="4">
        <v>14</v>
      </c>
      <c r="AE456" s="4">
        <v>14</v>
      </c>
      <c r="AF456" s="4">
        <v>3</v>
      </c>
      <c r="AG456" s="4">
        <v>3</v>
      </c>
      <c r="AH456" s="4">
        <v>4</v>
      </c>
      <c r="AI456" s="4">
        <v>4</v>
      </c>
      <c r="AJ456" s="4">
        <v>6</v>
      </c>
      <c r="AK456" s="4">
        <v>6</v>
      </c>
      <c r="AL456" s="4">
        <v>3</v>
      </c>
      <c r="AM456" s="4">
        <v>3</v>
      </c>
      <c r="AN456" s="4">
        <v>0</v>
      </c>
      <c r="AO456" s="4">
        <v>0</v>
      </c>
      <c r="AP456" s="3" t="s">
        <v>59</v>
      </c>
      <c r="AQ456" s="3" t="s">
        <v>71</v>
      </c>
      <c r="AR456" s="6" t="str">
        <f>HYPERLINK("http://catalog.hathitrust.org/Record/000103010","HathiTrust Record")</f>
        <v>HathiTrust Record</v>
      </c>
      <c r="AS456" s="6" t="str">
        <f>HYPERLINK("https://creighton-primo.hosted.exlibrisgroup.com/primo-explore/search?tab=default_tab&amp;search_scope=EVERYTHING&amp;vid=01CRU&amp;lang=en_US&amp;offset=0&amp;query=any,contains,991005195169702656","Catalog Record")</f>
        <v>Catalog Record</v>
      </c>
      <c r="AT456" s="6" t="str">
        <f>HYPERLINK("http://www.worldcat.org/oclc/8034644","WorldCat Record")</f>
        <v>WorldCat Record</v>
      </c>
      <c r="AU456" s="3" t="s">
        <v>5875</v>
      </c>
      <c r="AV456" s="3" t="s">
        <v>5876</v>
      </c>
      <c r="AW456" s="3" t="s">
        <v>5877</v>
      </c>
      <c r="AX456" s="3" t="s">
        <v>5877</v>
      </c>
      <c r="AY456" s="3" t="s">
        <v>5878</v>
      </c>
      <c r="AZ456" s="3" t="s">
        <v>76</v>
      </c>
      <c r="BB456" s="3" t="s">
        <v>5879</v>
      </c>
      <c r="BC456" s="3" t="s">
        <v>5880</v>
      </c>
      <c r="BD456" s="3" t="s">
        <v>5881</v>
      </c>
    </row>
    <row r="457" spans="1:56" ht="52.5" customHeight="1" x14ac:dyDescent="0.25">
      <c r="A457" s="7" t="s">
        <v>59</v>
      </c>
      <c r="B457" s="2" t="s">
        <v>5882</v>
      </c>
      <c r="C457" s="2" t="s">
        <v>5883</v>
      </c>
      <c r="D457" s="2" t="s">
        <v>5884</v>
      </c>
      <c r="F457" s="3" t="s">
        <v>59</v>
      </c>
      <c r="G457" s="3" t="s">
        <v>60</v>
      </c>
      <c r="H457" s="3" t="s">
        <v>59</v>
      </c>
      <c r="I457" s="3" t="s">
        <v>59</v>
      </c>
      <c r="J457" s="3" t="s">
        <v>61</v>
      </c>
      <c r="K457" s="2" t="s">
        <v>5885</v>
      </c>
      <c r="L457" s="2" t="s">
        <v>5886</v>
      </c>
      <c r="M457" s="3" t="s">
        <v>148</v>
      </c>
      <c r="O457" s="3" t="s">
        <v>65</v>
      </c>
      <c r="P457" s="3" t="s">
        <v>66</v>
      </c>
      <c r="R457" s="3" t="s">
        <v>68</v>
      </c>
      <c r="S457" s="4">
        <v>2</v>
      </c>
      <c r="T457" s="4">
        <v>2</v>
      </c>
      <c r="U457" s="5" t="s">
        <v>5887</v>
      </c>
      <c r="V457" s="5" t="s">
        <v>5887</v>
      </c>
      <c r="W457" s="5" t="s">
        <v>3522</v>
      </c>
      <c r="X457" s="5" t="s">
        <v>3522</v>
      </c>
      <c r="Y457" s="4">
        <v>967</v>
      </c>
      <c r="Z457" s="4">
        <v>812</v>
      </c>
      <c r="AA457" s="4">
        <v>816</v>
      </c>
      <c r="AB457" s="4">
        <v>6</v>
      </c>
      <c r="AC457" s="4">
        <v>6</v>
      </c>
      <c r="AD457" s="4">
        <v>31</v>
      </c>
      <c r="AE457" s="4">
        <v>31</v>
      </c>
      <c r="AF457" s="4">
        <v>14</v>
      </c>
      <c r="AG457" s="4">
        <v>14</v>
      </c>
      <c r="AH457" s="4">
        <v>7</v>
      </c>
      <c r="AI457" s="4">
        <v>7</v>
      </c>
      <c r="AJ457" s="4">
        <v>13</v>
      </c>
      <c r="AK457" s="4">
        <v>13</v>
      </c>
      <c r="AL457" s="4">
        <v>4</v>
      </c>
      <c r="AM457" s="4">
        <v>4</v>
      </c>
      <c r="AN457" s="4">
        <v>0</v>
      </c>
      <c r="AO457" s="4">
        <v>0</v>
      </c>
      <c r="AP457" s="3" t="s">
        <v>59</v>
      </c>
      <c r="AQ457" s="3" t="s">
        <v>71</v>
      </c>
      <c r="AR457" s="6" t="str">
        <f>HYPERLINK("http://catalog.hathitrust.org/Record/000701981","HathiTrust Record")</f>
        <v>HathiTrust Record</v>
      </c>
      <c r="AS457" s="6" t="str">
        <f>HYPERLINK("https://creighton-primo.hosted.exlibrisgroup.com/primo-explore/search?tab=default_tab&amp;search_scope=EVERYTHING&amp;vid=01CRU&amp;lang=en_US&amp;offset=0&amp;query=any,contains,991004001369702656","Catalog Record")</f>
        <v>Catalog Record</v>
      </c>
      <c r="AT457" s="6" t="str">
        <f>HYPERLINK("http://www.worldcat.org/oclc/2073978","WorldCat Record")</f>
        <v>WorldCat Record</v>
      </c>
      <c r="AU457" s="3" t="s">
        <v>5888</v>
      </c>
      <c r="AV457" s="3" t="s">
        <v>5889</v>
      </c>
      <c r="AW457" s="3" t="s">
        <v>5890</v>
      </c>
      <c r="AX457" s="3" t="s">
        <v>5890</v>
      </c>
      <c r="AY457" s="3" t="s">
        <v>5891</v>
      </c>
      <c r="AZ457" s="3" t="s">
        <v>76</v>
      </c>
      <c r="BB457" s="3" t="s">
        <v>5892</v>
      </c>
      <c r="BC457" s="3" t="s">
        <v>5893</v>
      </c>
      <c r="BD457" s="3" t="s">
        <v>5894</v>
      </c>
    </row>
    <row r="458" spans="1:56" ht="52.5" customHeight="1" x14ac:dyDescent="0.25">
      <c r="A458" s="7" t="s">
        <v>59</v>
      </c>
      <c r="B458" s="2" t="s">
        <v>5895</v>
      </c>
      <c r="C458" s="2" t="s">
        <v>5896</v>
      </c>
      <c r="D458" s="2" t="s">
        <v>5897</v>
      </c>
      <c r="F458" s="3" t="s">
        <v>59</v>
      </c>
      <c r="G458" s="3" t="s">
        <v>60</v>
      </c>
      <c r="H458" s="3" t="s">
        <v>59</v>
      </c>
      <c r="I458" s="3" t="s">
        <v>59</v>
      </c>
      <c r="J458" s="3" t="s">
        <v>61</v>
      </c>
      <c r="K458" s="2" t="s">
        <v>5898</v>
      </c>
      <c r="L458" s="2" t="s">
        <v>5899</v>
      </c>
      <c r="M458" s="3" t="s">
        <v>365</v>
      </c>
      <c r="O458" s="3" t="s">
        <v>65</v>
      </c>
      <c r="P458" s="3" t="s">
        <v>420</v>
      </c>
      <c r="R458" s="3" t="s">
        <v>68</v>
      </c>
      <c r="S458" s="4">
        <v>5</v>
      </c>
      <c r="T458" s="4">
        <v>5</v>
      </c>
      <c r="U458" s="5" t="s">
        <v>5712</v>
      </c>
      <c r="V458" s="5" t="s">
        <v>5712</v>
      </c>
      <c r="W458" s="5" t="s">
        <v>5900</v>
      </c>
      <c r="X458" s="5" t="s">
        <v>5900</v>
      </c>
      <c r="Y458" s="4">
        <v>306</v>
      </c>
      <c r="Z458" s="4">
        <v>251</v>
      </c>
      <c r="AA458" s="4">
        <v>251</v>
      </c>
      <c r="AB458" s="4">
        <v>3</v>
      </c>
      <c r="AC458" s="4">
        <v>3</v>
      </c>
      <c r="AD458" s="4">
        <v>15</v>
      </c>
      <c r="AE458" s="4">
        <v>15</v>
      </c>
      <c r="AF458" s="4">
        <v>3</v>
      </c>
      <c r="AG458" s="4">
        <v>3</v>
      </c>
      <c r="AH458" s="4">
        <v>3</v>
      </c>
      <c r="AI458" s="4">
        <v>3</v>
      </c>
      <c r="AJ458" s="4">
        <v>12</v>
      </c>
      <c r="AK458" s="4">
        <v>12</v>
      </c>
      <c r="AL458" s="4">
        <v>2</v>
      </c>
      <c r="AM458" s="4">
        <v>2</v>
      </c>
      <c r="AN458" s="4">
        <v>0</v>
      </c>
      <c r="AO458" s="4">
        <v>0</v>
      </c>
      <c r="AP458" s="3" t="s">
        <v>59</v>
      </c>
      <c r="AQ458" s="3" t="s">
        <v>59</v>
      </c>
      <c r="AS458" s="6" t="str">
        <f>HYPERLINK("https://creighton-primo.hosted.exlibrisgroup.com/primo-explore/search?tab=default_tab&amp;search_scope=EVERYTHING&amp;vid=01CRU&amp;lang=en_US&amp;offset=0&amp;query=any,contains,991001401739702656","Catalog Record")</f>
        <v>Catalog Record</v>
      </c>
      <c r="AT458" s="6" t="str">
        <f>HYPERLINK("http://www.worldcat.org/oclc/18832820","WorldCat Record")</f>
        <v>WorldCat Record</v>
      </c>
      <c r="AU458" s="3" t="s">
        <v>5901</v>
      </c>
      <c r="AV458" s="3" t="s">
        <v>5902</v>
      </c>
      <c r="AW458" s="3" t="s">
        <v>5903</v>
      </c>
      <c r="AX458" s="3" t="s">
        <v>5903</v>
      </c>
      <c r="AY458" s="3" t="s">
        <v>5904</v>
      </c>
      <c r="AZ458" s="3" t="s">
        <v>76</v>
      </c>
      <c r="BB458" s="3" t="s">
        <v>5905</v>
      </c>
      <c r="BC458" s="3" t="s">
        <v>5906</v>
      </c>
      <c r="BD458" s="3" t="s">
        <v>5907</v>
      </c>
    </row>
    <row r="459" spans="1:56" ht="52.5" customHeight="1" x14ac:dyDescent="0.25">
      <c r="A459" s="7" t="s">
        <v>59</v>
      </c>
      <c r="B459" s="2" t="s">
        <v>5908</v>
      </c>
      <c r="C459" s="2" t="s">
        <v>5909</v>
      </c>
      <c r="D459" s="2" t="s">
        <v>5910</v>
      </c>
      <c r="F459" s="3" t="s">
        <v>59</v>
      </c>
      <c r="G459" s="3" t="s">
        <v>60</v>
      </c>
      <c r="H459" s="3" t="s">
        <v>59</v>
      </c>
      <c r="I459" s="3" t="s">
        <v>59</v>
      </c>
      <c r="J459" s="3" t="s">
        <v>61</v>
      </c>
      <c r="K459" s="2" t="s">
        <v>5911</v>
      </c>
      <c r="L459" s="2" t="s">
        <v>5912</v>
      </c>
      <c r="M459" s="3" t="s">
        <v>1015</v>
      </c>
      <c r="O459" s="3" t="s">
        <v>65</v>
      </c>
      <c r="P459" s="3" t="s">
        <v>283</v>
      </c>
      <c r="R459" s="3" t="s">
        <v>68</v>
      </c>
      <c r="S459" s="4">
        <v>2</v>
      </c>
      <c r="T459" s="4">
        <v>2</v>
      </c>
      <c r="U459" s="5" t="s">
        <v>5913</v>
      </c>
      <c r="V459" s="5" t="s">
        <v>5913</v>
      </c>
      <c r="W459" s="5" t="s">
        <v>3522</v>
      </c>
      <c r="X459" s="5" t="s">
        <v>3522</v>
      </c>
      <c r="Y459" s="4">
        <v>429</v>
      </c>
      <c r="Z459" s="4">
        <v>350</v>
      </c>
      <c r="AA459" s="4">
        <v>354</v>
      </c>
      <c r="AB459" s="4">
        <v>2</v>
      </c>
      <c r="AC459" s="4">
        <v>2</v>
      </c>
      <c r="AD459" s="4">
        <v>18</v>
      </c>
      <c r="AE459" s="4">
        <v>18</v>
      </c>
      <c r="AF459" s="4">
        <v>6</v>
      </c>
      <c r="AG459" s="4">
        <v>6</v>
      </c>
      <c r="AH459" s="4">
        <v>7</v>
      </c>
      <c r="AI459" s="4">
        <v>7</v>
      </c>
      <c r="AJ459" s="4">
        <v>10</v>
      </c>
      <c r="AK459" s="4">
        <v>10</v>
      </c>
      <c r="AL459" s="4">
        <v>1</v>
      </c>
      <c r="AM459" s="4">
        <v>1</v>
      </c>
      <c r="AN459" s="4">
        <v>0</v>
      </c>
      <c r="AO459" s="4">
        <v>0</v>
      </c>
      <c r="AP459" s="3" t="s">
        <v>59</v>
      </c>
      <c r="AQ459" s="3" t="s">
        <v>71</v>
      </c>
      <c r="AR459" s="6" t="str">
        <f>HYPERLINK("http://catalog.hathitrust.org/Record/000357272","HathiTrust Record")</f>
        <v>HathiTrust Record</v>
      </c>
      <c r="AS459" s="6" t="str">
        <f>HYPERLINK("https://creighton-primo.hosted.exlibrisgroup.com/primo-explore/search?tab=default_tab&amp;search_scope=EVERYTHING&amp;vid=01CRU&amp;lang=en_US&amp;offset=0&amp;query=any,contains,991001093879702656","Catalog Record")</f>
        <v>Catalog Record</v>
      </c>
      <c r="AT459" s="6" t="str">
        <f>HYPERLINK("http://www.worldcat.org/oclc/182285","WorldCat Record")</f>
        <v>WorldCat Record</v>
      </c>
      <c r="AU459" s="3" t="s">
        <v>5914</v>
      </c>
      <c r="AV459" s="3" t="s">
        <v>5915</v>
      </c>
      <c r="AW459" s="3" t="s">
        <v>5916</v>
      </c>
      <c r="AX459" s="3" t="s">
        <v>5916</v>
      </c>
      <c r="AY459" s="3" t="s">
        <v>5917</v>
      </c>
      <c r="AZ459" s="3" t="s">
        <v>76</v>
      </c>
      <c r="BC459" s="3" t="s">
        <v>5918</v>
      </c>
      <c r="BD459" s="3" t="s">
        <v>5919</v>
      </c>
    </row>
    <row r="460" spans="1:56" ht="52.5" customHeight="1" x14ac:dyDescent="0.25">
      <c r="A460" s="7" t="s">
        <v>59</v>
      </c>
      <c r="B460" s="2" t="s">
        <v>5920</v>
      </c>
      <c r="C460" s="2" t="s">
        <v>5921</v>
      </c>
      <c r="D460" s="2" t="s">
        <v>5922</v>
      </c>
      <c r="F460" s="3" t="s">
        <v>59</v>
      </c>
      <c r="G460" s="3" t="s">
        <v>60</v>
      </c>
      <c r="H460" s="3" t="s">
        <v>59</v>
      </c>
      <c r="I460" s="3" t="s">
        <v>59</v>
      </c>
      <c r="J460" s="3" t="s">
        <v>61</v>
      </c>
      <c r="K460" s="2" t="s">
        <v>5923</v>
      </c>
      <c r="L460" s="2" t="s">
        <v>5924</v>
      </c>
      <c r="M460" s="3" t="s">
        <v>514</v>
      </c>
      <c r="O460" s="3" t="s">
        <v>65</v>
      </c>
      <c r="P460" s="3" t="s">
        <v>829</v>
      </c>
      <c r="R460" s="3" t="s">
        <v>68</v>
      </c>
      <c r="S460" s="4">
        <v>1</v>
      </c>
      <c r="T460" s="4">
        <v>1</v>
      </c>
      <c r="U460" s="5" t="s">
        <v>4484</v>
      </c>
      <c r="V460" s="5" t="s">
        <v>4484</v>
      </c>
      <c r="W460" s="5" t="s">
        <v>3522</v>
      </c>
      <c r="X460" s="5" t="s">
        <v>3522</v>
      </c>
      <c r="Y460" s="4">
        <v>527</v>
      </c>
      <c r="Z460" s="4">
        <v>444</v>
      </c>
      <c r="AA460" s="4">
        <v>446</v>
      </c>
      <c r="AB460" s="4">
        <v>2</v>
      </c>
      <c r="AC460" s="4">
        <v>2</v>
      </c>
      <c r="AD460" s="4">
        <v>20</v>
      </c>
      <c r="AE460" s="4">
        <v>20</v>
      </c>
      <c r="AF460" s="4">
        <v>7</v>
      </c>
      <c r="AG460" s="4">
        <v>7</v>
      </c>
      <c r="AH460" s="4">
        <v>5</v>
      </c>
      <c r="AI460" s="4">
        <v>5</v>
      </c>
      <c r="AJ460" s="4">
        <v>12</v>
      </c>
      <c r="AK460" s="4">
        <v>12</v>
      </c>
      <c r="AL460" s="4">
        <v>1</v>
      </c>
      <c r="AM460" s="4">
        <v>1</v>
      </c>
      <c r="AN460" s="4">
        <v>0</v>
      </c>
      <c r="AO460" s="4">
        <v>0</v>
      </c>
      <c r="AP460" s="3" t="s">
        <v>59</v>
      </c>
      <c r="AQ460" s="3" t="s">
        <v>71</v>
      </c>
      <c r="AR460" s="6" t="str">
        <f>HYPERLINK("http://catalog.hathitrust.org/Record/000357310","HathiTrust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HYPERLINK("https://creighton-primo.hosted.exlibrisgroup.com/primo-explore/search?tab=default_tab&amp;search_scope=EVERYTHING&amp;vid=01CRU&amp;lang=en_US&amp;offset=0&amp;query=any,contains,991001213579702656","Catalog Record")</f>
        <v>Catalog Record</v>
      </c>
      <c r="AT460" s="6" t="str">
        <f>HYPERLINK("http://www.worldcat.org/oclc/193328","WorldCat Record")</f>
        <v>WorldCat Record</v>
      </c>
      <c r="AU460" s="3" t="s">
        <v>5925</v>
      </c>
      <c r="AV460" s="3" t="s">
        <v>5926</v>
      </c>
      <c r="AW460" s="3" t="s">
        <v>5927</v>
      </c>
      <c r="AX460" s="3" t="s">
        <v>5927</v>
      </c>
      <c r="AY460" s="3" t="s">
        <v>5928</v>
      </c>
      <c r="AZ460" s="3" t="s">
        <v>76</v>
      </c>
      <c r="BC460" s="3" t="s">
        <v>5929</v>
      </c>
      <c r="BD460" s="3" t="s">
        <v>5930</v>
      </c>
    </row>
    <row r="461" spans="1:56" ht="52.5" customHeight="1" x14ac:dyDescent="0.25">
      <c r="A461" s="7" t="s">
        <v>59</v>
      </c>
      <c r="B461" s="2" t="s">
        <v>5931</v>
      </c>
      <c r="C461" s="2" t="s">
        <v>5932</v>
      </c>
      <c r="D461" s="2" t="s">
        <v>5933</v>
      </c>
      <c r="F461" s="3" t="s">
        <v>59</v>
      </c>
      <c r="G461" s="3" t="s">
        <v>60</v>
      </c>
      <c r="H461" s="3" t="s">
        <v>59</v>
      </c>
      <c r="I461" s="3" t="s">
        <v>59</v>
      </c>
      <c r="J461" s="3" t="s">
        <v>61</v>
      </c>
      <c r="K461" s="2" t="s">
        <v>5934</v>
      </c>
      <c r="L461" s="2" t="s">
        <v>5935</v>
      </c>
      <c r="M461" s="3" t="s">
        <v>987</v>
      </c>
      <c r="O461" s="3" t="s">
        <v>65</v>
      </c>
      <c r="P461" s="3" t="s">
        <v>66</v>
      </c>
      <c r="R461" s="3" t="s">
        <v>68</v>
      </c>
      <c r="S461" s="4">
        <v>2</v>
      </c>
      <c r="T461" s="4">
        <v>2</v>
      </c>
      <c r="U461" s="5" t="s">
        <v>5936</v>
      </c>
      <c r="V461" s="5" t="s">
        <v>5936</v>
      </c>
      <c r="W461" s="5" t="s">
        <v>5737</v>
      </c>
      <c r="X461" s="5" t="s">
        <v>5737</v>
      </c>
      <c r="Y461" s="4">
        <v>450</v>
      </c>
      <c r="Z461" s="4">
        <v>374</v>
      </c>
      <c r="AA461" s="4">
        <v>473</v>
      </c>
      <c r="AB461" s="4">
        <v>4</v>
      </c>
      <c r="AC461" s="4">
        <v>4</v>
      </c>
      <c r="AD461" s="4">
        <v>18</v>
      </c>
      <c r="AE461" s="4">
        <v>23</v>
      </c>
      <c r="AF461" s="4">
        <v>6</v>
      </c>
      <c r="AG461" s="4">
        <v>6</v>
      </c>
      <c r="AH461" s="4">
        <v>4</v>
      </c>
      <c r="AI461" s="4">
        <v>6</v>
      </c>
      <c r="AJ461" s="4">
        <v>9</v>
      </c>
      <c r="AK461" s="4">
        <v>13</v>
      </c>
      <c r="AL461" s="4">
        <v>3</v>
      </c>
      <c r="AM461" s="4">
        <v>3</v>
      </c>
      <c r="AN461" s="4">
        <v>0</v>
      </c>
      <c r="AO461" s="4">
        <v>0</v>
      </c>
      <c r="AP461" s="3" t="s">
        <v>59</v>
      </c>
      <c r="AQ461" s="3" t="s">
        <v>71</v>
      </c>
      <c r="AR461" s="6" t="str">
        <f>HYPERLINK("http://catalog.hathitrust.org/Record/000357321","HathiTrust Record")</f>
        <v>HathiTrust Record</v>
      </c>
      <c r="AS461" s="6" t="str">
        <f>HYPERLINK("https://creighton-primo.hosted.exlibrisgroup.com/primo-explore/search?tab=default_tab&amp;search_scope=EVERYTHING&amp;vid=01CRU&amp;lang=en_US&amp;offset=0&amp;query=any,contains,991000635299702656","Catalog Record")</f>
        <v>Catalog Record</v>
      </c>
      <c r="AT461" s="6" t="str">
        <f>HYPERLINK("http://www.worldcat.org/oclc/107429","WorldCat Record")</f>
        <v>WorldCat Record</v>
      </c>
      <c r="AU461" s="3" t="s">
        <v>5937</v>
      </c>
      <c r="AV461" s="3" t="s">
        <v>5938</v>
      </c>
      <c r="AW461" s="3" t="s">
        <v>5939</v>
      </c>
      <c r="AX461" s="3" t="s">
        <v>5939</v>
      </c>
      <c r="AY461" s="3" t="s">
        <v>5940</v>
      </c>
      <c r="AZ461" s="3" t="s">
        <v>76</v>
      </c>
      <c r="BB461" s="3" t="s">
        <v>5941</v>
      </c>
      <c r="BC461" s="3" t="s">
        <v>5942</v>
      </c>
      <c r="BD461" s="3" t="s">
        <v>5943</v>
      </c>
    </row>
    <row r="462" spans="1:56" ht="52.5" customHeight="1" x14ac:dyDescent="0.25">
      <c r="A462" s="7" t="s">
        <v>59</v>
      </c>
      <c r="B462" s="2" t="s">
        <v>5944</v>
      </c>
      <c r="C462" s="2" t="s">
        <v>5945</v>
      </c>
      <c r="D462" s="2" t="s">
        <v>5946</v>
      </c>
      <c r="F462" s="3" t="s">
        <v>59</v>
      </c>
      <c r="G462" s="3" t="s">
        <v>60</v>
      </c>
      <c r="H462" s="3" t="s">
        <v>59</v>
      </c>
      <c r="I462" s="3" t="s">
        <v>59</v>
      </c>
      <c r="J462" s="3" t="s">
        <v>61</v>
      </c>
      <c r="L462" s="2" t="s">
        <v>5947</v>
      </c>
      <c r="M462" s="3" t="s">
        <v>475</v>
      </c>
      <c r="O462" s="3" t="s">
        <v>65</v>
      </c>
      <c r="P462" s="3" t="s">
        <v>66</v>
      </c>
      <c r="Q462" s="2" t="s">
        <v>1164</v>
      </c>
      <c r="R462" s="3" t="s">
        <v>68</v>
      </c>
      <c r="S462" s="4">
        <v>5</v>
      </c>
      <c r="T462" s="4">
        <v>5</v>
      </c>
      <c r="U462" s="5" t="s">
        <v>5948</v>
      </c>
      <c r="V462" s="5" t="s">
        <v>5948</v>
      </c>
      <c r="W462" s="5" t="s">
        <v>5949</v>
      </c>
      <c r="X462" s="5" t="s">
        <v>5949</v>
      </c>
      <c r="Y462" s="4">
        <v>622</v>
      </c>
      <c r="Z462" s="4">
        <v>523</v>
      </c>
      <c r="AA462" s="4">
        <v>532</v>
      </c>
      <c r="AB462" s="4">
        <v>4</v>
      </c>
      <c r="AC462" s="4">
        <v>4</v>
      </c>
      <c r="AD462" s="4">
        <v>29</v>
      </c>
      <c r="AE462" s="4">
        <v>29</v>
      </c>
      <c r="AF462" s="4">
        <v>11</v>
      </c>
      <c r="AG462" s="4">
        <v>11</v>
      </c>
      <c r="AH462" s="4">
        <v>6</v>
      </c>
      <c r="AI462" s="4">
        <v>6</v>
      </c>
      <c r="AJ462" s="4">
        <v>18</v>
      </c>
      <c r="AK462" s="4">
        <v>18</v>
      </c>
      <c r="AL462" s="4">
        <v>3</v>
      </c>
      <c r="AM462" s="4">
        <v>3</v>
      </c>
      <c r="AN462" s="4">
        <v>0</v>
      </c>
      <c r="AO462" s="4">
        <v>0</v>
      </c>
      <c r="AP462" s="3" t="s">
        <v>59</v>
      </c>
      <c r="AQ462" s="3" t="s">
        <v>71</v>
      </c>
      <c r="AR462" s="6" t="str">
        <f>HYPERLINK("http://catalog.hathitrust.org/Record/000277713","HathiTrust Record")</f>
        <v>HathiTrust Record</v>
      </c>
      <c r="AS462" s="6" t="str">
        <f>HYPERLINK("https://creighton-primo.hosted.exlibrisgroup.com/primo-explore/search?tab=default_tab&amp;search_scope=EVERYTHING&amp;vid=01CRU&amp;lang=en_US&amp;offset=0&amp;query=any,contains,991005398709702656","Catalog Record")</f>
        <v>Catalog Record</v>
      </c>
      <c r="AT462" s="6" t="str">
        <f>HYPERLINK("http://www.worldcat.org/oclc/8907155","WorldCat Record")</f>
        <v>WorldCat Record</v>
      </c>
      <c r="AU462" s="3" t="s">
        <v>5950</v>
      </c>
      <c r="AV462" s="3" t="s">
        <v>5951</v>
      </c>
      <c r="AW462" s="3" t="s">
        <v>5952</v>
      </c>
      <c r="AX462" s="3" t="s">
        <v>5952</v>
      </c>
      <c r="AY462" s="3" t="s">
        <v>5953</v>
      </c>
      <c r="AZ462" s="3" t="s">
        <v>76</v>
      </c>
      <c r="BB462" s="3" t="s">
        <v>5954</v>
      </c>
      <c r="BC462" s="3" t="s">
        <v>5955</v>
      </c>
      <c r="BD462" s="3" t="s">
        <v>5956</v>
      </c>
    </row>
    <row r="463" spans="1:56" ht="52.5" customHeight="1" x14ac:dyDescent="0.25">
      <c r="A463" s="7" t="s">
        <v>59</v>
      </c>
      <c r="B463" s="2" t="s">
        <v>5957</v>
      </c>
      <c r="C463" s="2" t="s">
        <v>5958</v>
      </c>
      <c r="D463" s="2" t="s">
        <v>5959</v>
      </c>
      <c r="F463" s="3" t="s">
        <v>59</v>
      </c>
      <c r="G463" s="3" t="s">
        <v>60</v>
      </c>
      <c r="H463" s="3" t="s">
        <v>59</v>
      </c>
      <c r="I463" s="3" t="s">
        <v>59</v>
      </c>
      <c r="J463" s="3" t="s">
        <v>61</v>
      </c>
      <c r="K463" s="2" t="s">
        <v>5960</v>
      </c>
      <c r="L463" s="2" t="s">
        <v>5961</v>
      </c>
      <c r="M463" s="3" t="s">
        <v>1000</v>
      </c>
      <c r="O463" s="3" t="s">
        <v>65</v>
      </c>
      <c r="P463" s="3" t="s">
        <v>5962</v>
      </c>
      <c r="R463" s="3" t="s">
        <v>68</v>
      </c>
      <c r="S463" s="4">
        <v>3</v>
      </c>
      <c r="T463" s="4">
        <v>3</v>
      </c>
      <c r="U463" s="5" t="s">
        <v>5963</v>
      </c>
      <c r="V463" s="5" t="s">
        <v>5963</v>
      </c>
      <c r="W463" s="5" t="s">
        <v>5737</v>
      </c>
      <c r="X463" s="5" t="s">
        <v>5737</v>
      </c>
      <c r="Y463" s="4">
        <v>219</v>
      </c>
      <c r="Z463" s="4">
        <v>149</v>
      </c>
      <c r="AA463" s="4">
        <v>151</v>
      </c>
      <c r="AB463" s="4">
        <v>2</v>
      </c>
      <c r="AC463" s="4">
        <v>2</v>
      </c>
      <c r="AD463" s="4">
        <v>4</v>
      </c>
      <c r="AE463" s="4">
        <v>4</v>
      </c>
      <c r="AF463" s="4">
        <v>1</v>
      </c>
      <c r="AG463" s="4">
        <v>1</v>
      </c>
      <c r="AH463" s="4">
        <v>1</v>
      </c>
      <c r="AI463" s="4">
        <v>1</v>
      </c>
      <c r="AJ463" s="4">
        <v>1</v>
      </c>
      <c r="AK463" s="4">
        <v>1</v>
      </c>
      <c r="AL463" s="4">
        <v>1</v>
      </c>
      <c r="AM463" s="4">
        <v>1</v>
      </c>
      <c r="AN463" s="4">
        <v>0</v>
      </c>
      <c r="AO463" s="4">
        <v>0</v>
      </c>
      <c r="AP463" s="3" t="s">
        <v>59</v>
      </c>
      <c r="AQ463" s="3" t="s">
        <v>71</v>
      </c>
      <c r="AR463" s="6" t="str">
        <f>HYPERLINK("http://catalog.hathitrust.org/Record/000693532","HathiTrust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HYPERLINK("https://creighton-primo.hosted.exlibrisgroup.com/primo-explore/search?tab=default_tab&amp;search_scope=EVERYTHING&amp;vid=01CRU&amp;lang=en_US&amp;offset=0&amp;query=any,contains,991004959189702656","Catalog Record")</f>
        <v>Catalog Record</v>
      </c>
      <c r="AT463" s="6" t="str">
        <f>HYPERLINK("http://www.worldcat.org/oclc/6301625","WorldCat Record")</f>
        <v>WorldCat Record</v>
      </c>
      <c r="AU463" s="3" t="s">
        <v>5964</v>
      </c>
      <c r="AV463" s="3" t="s">
        <v>5965</v>
      </c>
      <c r="AW463" s="3" t="s">
        <v>5966</v>
      </c>
      <c r="AX463" s="3" t="s">
        <v>5966</v>
      </c>
      <c r="AY463" s="3" t="s">
        <v>5967</v>
      </c>
      <c r="AZ463" s="3" t="s">
        <v>76</v>
      </c>
      <c r="BB463" s="3" t="s">
        <v>5968</v>
      </c>
      <c r="BC463" s="3" t="s">
        <v>5969</v>
      </c>
      <c r="BD463" s="3" t="s">
        <v>5970</v>
      </c>
    </row>
    <row r="464" spans="1:56" ht="52.5" customHeight="1" x14ac:dyDescent="0.25">
      <c r="A464" s="7" t="s">
        <v>59</v>
      </c>
      <c r="B464" s="2" t="s">
        <v>5971</v>
      </c>
      <c r="C464" s="2" t="s">
        <v>5972</v>
      </c>
      <c r="D464" s="2" t="s">
        <v>5973</v>
      </c>
      <c r="F464" s="3" t="s">
        <v>59</v>
      </c>
      <c r="G464" s="3" t="s">
        <v>60</v>
      </c>
      <c r="H464" s="3" t="s">
        <v>59</v>
      </c>
      <c r="I464" s="3" t="s">
        <v>59</v>
      </c>
      <c r="J464" s="3" t="s">
        <v>61</v>
      </c>
      <c r="K464" s="2" t="s">
        <v>5974</v>
      </c>
      <c r="L464" s="2" t="s">
        <v>5975</v>
      </c>
      <c r="M464" s="3" t="s">
        <v>405</v>
      </c>
      <c r="O464" s="3" t="s">
        <v>65</v>
      </c>
      <c r="P464" s="3" t="s">
        <v>699</v>
      </c>
      <c r="R464" s="3" t="s">
        <v>68</v>
      </c>
      <c r="S464" s="4">
        <v>8</v>
      </c>
      <c r="T464" s="4">
        <v>8</v>
      </c>
      <c r="U464" s="5" t="s">
        <v>5976</v>
      </c>
      <c r="V464" s="5" t="s">
        <v>5976</v>
      </c>
      <c r="W464" s="5" t="s">
        <v>2730</v>
      </c>
      <c r="X464" s="5" t="s">
        <v>2730</v>
      </c>
      <c r="Y464" s="4">
        <v>341</v>
      </c>
      <c r="Z464" s="4">
        <v>274</v>
      </c>
      <c r="AA464" s="4">
        <v>276</v>
      </c>
      <c r="AB464" s="4">
        <v>3</v>
      </c>
      <c r="AC464" s="4">
        <v>3</v>
      </c>
      <c r="AD464" s="4">
        <v>12</v>
      </c>
      <c r="AE464" s="4">
        <v>12</v>
      </c>
      <c r="AF464" s="4">
        <v>2</v>
      </c>
      <c r="AG464" s="4">
        <v>2</v>
      </c>
      <c r="AH464" s="4">
        <v>4</v>
      </c>
      <c r="AI464" s="4">
        <v>4</v>
      </c>
      <c r="AJ464" s="4">
        <v>9</v>
      </c>
      <c r="AK464" s="4">
        <v>9</v>
      </c>
      <c r="AL464" s="4">
        <v>2</v>
      </c>
      <c r="AM464" s="4">
        <v>2</v>
      </c>
      <c r="AN464" s="4">
        <v>0</v>
      </c>
      <c r="AO464" s="4">
        <v>0</v>
      </c>
      <c r="AP464" s="3" t="s">
        <v>59</v>
      </c>
      <c r="AQ464" s="3" t="s">
        <v>71</v>
      </c>
      <c r="AR464" s="6" t="str">
        <f>HYPERLINK("http://catalog.hathitrust.org/Record/000882918","HathiTrust Record")</f>
        <v>HathiTrust Record</v>
      </c>
      <c r="AS464" s="6" t="str">
        <f>HYPERLINK("https://creighton-primo.hosted.exlibrisgroup.com/primo-explore/search?tab=default_tab&amp;search_scope=EVERYTHING&amp;vid=01CRU&amp;lang=en_US&amp;offset=0&amp;query=any,contains,991000942189702656","Catalog Record")</f>
        <v>Catalog Record</v>
      </c>
      <c r="AT464" s="6" t="str">
        <f>HYPERLINK("http://www.worldcat.org/oclc/14413553","WorldCat Record")</f>
        <v>WorldCat Record</v>
      </c>
      <c r="AU464" s="3" t="s">
        <v>5977</v>
      </c>
      <c r="AV464" s="3" t="s">
        <v>5978</v>
      </c>
      <c r="AW464" s="3" t="s">
        <v>5979</v>
      </c>
      <c r="AX464" s="3" t="s">
        <v>5979</v>
      </c>
      <c r="AY464" s="3" t="s">
        <v>5980</v>
      </c>
      <c r="AZ464" s="3" t="s">
        <v>76</v>
      </c>
      <c r="BB464" s="3" t="s">
        <v>5981</v>
      </c>
      <c r="BC464" s="3" t="s">
        <v>5982</v>
      </c>
      <c r="BD464" s="3" t="s">
        <v>5983</v>
      </c>
    </row>
    <row r="465" spans="1:56" ht="52.5" customHeight="1" x14ac:dyDescent="0.25">
      <c r="A465" s="7" t="s">
        <v>59</v>
      </c>
      <c r="B465" s="2" t="s">
        <v>5984</v>
      </c>
      <c r="C465" s="2" t="s">
        <v>5985</v>
      </c>
      <c r="D465" s="2" t="s">
        <v>5986</v>
      </c>
      <c r="F465" s="3" t="s">
        <v>59</v>
      </c>
      <c r="G465" s="3" t="s">
        <v>60</v>
      </c>
      <c r="H465" s="3" t="s">
        <v>59</v>
      </c>
      <c r="I465" s="3" t="s">
        <v>59</v>
      </c>
      <c r="J465" s="3" t="s">
        <v>61</v>
      </c>
      <c r="K465" s="2" t="s">
        <v>5987</v>
      </c>
      <c r="L465" s="2" t="s">
        <v>5988</v>
      </c>
      <c r="M465" s="3" t="s">
        <v>148</v>
      </c>
      <c r="O465" s="3" t="s">
        <v>65</v>
      </c>
      <c r="P465" s="3" t="s">
        <v>699</v>
      </c>
      <c r="Q465" s="2" t="s">
        <v>5989</v>
      </c>
      <c r="R465" s="3" t="s">
        <v>68</v>
      </c>
      <c r="S465" s="4">
        <v>4</v>
      </c>
      <c r="T465" s="4">
        <v>4</v>
      </c>
      <c r="U465" s="5" t="s">
        <v>5990</v>
      </c>
      <c r="V465" s="5" t="s">
        <v>5990</v>
      </c>
      <c r="W465" s="5" t="s">
        <v>5991</v>
      </c>
      <c r="X465" s="5" t="s">
        <v>5991</v>
      </c>
      <c r="Y465" s="4">
        <v>681</v>
      </c>
      <c r="Z465" s="4">
        <v>525</v>
      </c>
      <c r="AA465" s="4">
        <v>556</v>
      </c>
      <c r="AB465" s="4">
        <v>6</v>
      </c>
      <c r="AC465" s="4">
        <v>6</v>
      </c>
      <c r="AD465" s="4">
        <v>27</v>
      </c>
      <c r="AE465" s="4">
        <v>27</v>
      </c>
      <c r="AF465" s="4">
        <v>9</v>
      </c>
      <c r="AG465" s="4">
        <v>9</v>
      </c>
      <c r="AH465" s="4">
        <v>7</v>
      </c>
      <c r="AI465" s="4">
        <v>7</v>
      </c>
      <c r="AJ465" s="4">
        <v>13</v>
      </c>
      <c r="AK465" s="4">
        <v>13</v>
      </c>
      <c r="AL465" s="4">
        <v>5</v>
      </c>
      <c r="AM465" s="4">
        <v>5</v>
      </c>
      <c r="AN465" s="4">
        <v>0</v>
      </c>
      <c r="AO465" s="4">
        <v>0</v>
      </c>
      <c r="AP465" s="3" t="s">
        <v>59</v>
      </c>
      <c r="AQ465" s="3" t="s">
        <v>71</v>
      </c>
      <c r="AR465" s="6" t="str">
        <f>HYPERLINK("http://catalog.hathitrust.org/Record/000735635","HathiTrust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HYPERLINK("https://creighton-primo.hosted.exlibrisgroup.com/primo-explore/search?tab=default_tab&amp;search_scope=EVERYTHING&amp;vid=01CRU&amp;lang=en_US&amp;offset=0&amp;query=any,contains,991004079719702656","Catalog Record")</f>
        <v>Catalog Record</v>
      </c>
      <c r="AT465" s="6" t="str">
        <f>HYPERLINK("http://www.worldcat.org/oclc/2324621","WorldCat Record")</f>
        <v>WorldCat Record</v>
      </c>
      <c r="AU465" s="3" t="s">
        <v>5992</v>
      </c>
      <c r="AV465" s="3" t="s">
        <v>5993</v>
      </c>
      <c r="AW465" s="3" t="s">
        <v>5994</v>
      </c>
      <c r="AX465" s="3" t="s">
        <v>5994</v>
      </c>
      <c r="AY465" s="3" t="s">
        <v>5995</v>
      </c>
      <c r="AZ465" s="3" t="s">
        <v>76</v>
      </c>
      <c r="BB465" s="3" t="s">
        <v>5996</v>
      </c>
      <c r="BC465" s="3" t="s">
        <v>5997</v>
      </c>
      <c r="BD465" s="3" t="s">
        <v>5998</v>
      </c>
    </row>
    <row r="466" spans="1:56" ht="52.5" customHeight="1" x14ac:dyDescent="0.25">
      <c r="A466" s="7" t="s">
        <v>59</v>
      </c>
      <c r="B466" s="2" t="s">
        <v>5999</v>
      </c>
      <c r="C466" s="2" t="s">
        <v>6000</v>
      </c>
      <c r="D466" s="2" t="s">
        <v>6001</v>
      </c>
      <c r="F466" s="3" t="s">
        <v>59</v>
      </c>
      <c r="G466" s="3" t="s">
        <v>60</v>
      </c>
      <c r="H466" s="3" t="s">
        <v>59</v>
      </c>
      <c r="I466" s="3" t="s">
        <v>59</v>
      </c>
      <c r="J466" s="3" t="s">
        <v>61</v>
      </c>
      <c r="K466" s="2" t="s">
        <v>6002</v>
      </c>
      <c r="L466" s="2" t="s">
        <v>6003</v>
      </c>
      <c r="M466" s="3" t="s">
        <v>100</v>
      </c>
      <c r="O466" s="3" t="s">
        <v>65</v>
      </c>
      <c r="P466" s="3" t="s">
        <v>66</v>
      </c>
      <c r="Q466" s="2" t="s">
        <v>6004</v>
      </c>
      <c r="R466" s="3" t="s">
        <v>68</v>
      </c>
      <c r="S466" s="4">
        <v>7</v>
      </c>
      <c r="T466" s="4">
        <v>7</v>
      </c>
      <c r="U466" s="5" t="s">
        <v>6005</v>
      </c>
      <c r="V466" s="5" t="s">
        <v>6005</v>
      </c>
      <c r="W466" s="5" t="s">
        <v>6006</v>
      </c>
      <c r="X466" s="5" t="s">
        <v>6006</v>
      </c>
      <c r="Y466" s="4">
        <v>176</v>
      </c>
      <c r="Z466" s="4">
        <v>152</v>
      </c>
      <c r="AA466" s="4">
        <v>199</v>
      </c>
      <c r="AB466" s="4">
        <v>1</v>
      </c>
      <c r="AC466" s="4">
        <v>1</v>
      </c>
      <c r="AD466" s="4">
        <v>6</v>
      </c>
      <c r="AE466" s="4">
        <v>9</v>
      </c>
      <c r="AF466" s="4">
        <v>0</v>
      </c>
      <c r="AG466" s="4">
        <v>1</v>
      </c>
      <c r="AH466" s="4">
        <v>1</v>
      </c>
      <c r="AI466" s="4">
        <v>2</v>
      </c>
      <c r="AJ466" s="4">
        <v>6</v>
      </c>
      <c r="AK466" s="4">
        <v>8</v>
      </c>
      <c r="AL466" s="4">
        <v>0</v>
      </c>
      <c r="AM466" s="4">
        <v>0</v>
      </c>
      <c r="AN466" s="4">
        <v>0</v>
      </c>
      <c r="AO466" s="4">
        <v>0</v>
      </c>
      <c r="AP466" s="3" t="s">
        <v>59</v>
      </c>
      <c r="AQ466" s="3" t="s">
        <v>59</v>
      </c>
      <c r="AS466" s="6" t="str">
        <f>HYPERLINK("https://creighton-primo.hosted.exlibrisgroup.com/primo-explore/search?tab=default_tab&amp;search_scope=EVERYTHING&amp;vid=01CRU&amp;lang=en_US&amp;offset=0&amp;query=any,contains,991000670749702656","Catalog Record")</f>
        <v>Catalog Record</v>
      </c>
      <c r="AT466" s="6" t="str">
        <f>HYPERLINK("http://www.worldcat.org/oclc/118829","WorldCat Record")</f>
        <v>WorldCat Record</v>
      </c>
      <c r="AU466" s="3" t="s">
        <v>6007</v>
      </c>
      <c r="AV466" s="3" t="s">
        <v>6008</v>
      </c>
      <c r="AW466" s="3" t="s">
        <v>6009</v>
      </c>
      <c r="AX466" s="3" t="s">
        <v>6009</v>
      </c>
      <c r="AY466" s="3" t="s">
        <v>6010</v>
      </c>
      <c r="AZ466" s="3" t="s">
        <v>76</v>
      </c>
      <c r="BC466" s="3" t="s">
        <v>6011</v>
      </c>
      <c r="BD466" s="3" t="s">
        <v>6012</v>
      </c>
    </row>
    <row r="467" spans="1:56" ht="52.5" customHeight="1" x14ac:dyDescent="0.25">
      <c r="A467" s="7" t="s">
        <v>59</v>
      </c>
      <c r="B467" s="2" t="s">
        <v>6013</v>
      </c>
      <c r="C467" s="2" t="s">
        <v>6014</v>
      </c>
      <c r="D467" s="2" t="s">
        <v>6015</v>
      </c>
      <c r="F467" s="3" t="s">
        <v>59</v>
      </c>
      <c r="G467" s="3" t="s">
        <v>60</v>
      </c>
      <c r="H467" s="3" t="s">
        <v>59</v>
      </c>
      <c r="I467" s="3" t="s">
        <v>59</v>
      </c>
      <c r="J467" s="3" t="s">
        <v>61</v>
      </c>
      <c r="K467" s="2" t="s">
        <v>6016</v>
      </c>
      <c r="L467" s="2" t="s">
        <v>6017</v>
      </c>
      <c r="M467" s="3" t="s">
        <v>148</v>
      </c>
      <c r="O467" s="3" t="s">
        <v>65</v>
      </c>
      <c r="P467" s="3" t="s">
        <v>699</v>
      </c>
      <c r="R467" s="3" t="s">
        <v>68</v>
      </c>
      <c r="S467" s="4">
        <v>3</v>
      </c>
      <c r="T467" s="4">
        <v>3</v>
      </c>
      <c r="U467" s="5" t="s">
        <v>6018</v>
      </c>
      <c r="V467" s="5" t="s">
        <v>6018</v>
      </c>
      <c r="W467" s="5" t="s">
        <v>5507</v>
      </c>
      <c r="X467" s="5" t="s">
        <v>5507</v>
      </c>
      <c r="Y467" s="4">
        <v>772</v>
      </c>
      <c r="Z467" s="4">
        <v>649</v>
      </c>
      <c r="AA467" s="4">
        <v>685</v>
      </c>
      <c r="AB467" s="4">
        <v>4</v>
      </c>
      <c r="AC467" s="4">
        <v>4</v>
      </c>
      <c r="AD467" s="4">
        <v>23</v>
      </c>
      <c r="AE467" s="4">
        <v>23</v>
      </c>
      <c r="AF467" s="4">
        <v>14</v>
      </c>
      <c r="AG467" s="4">
        <v>14</v>
      </c>
      <c r="AH467" s="4">
        <v>3</v>
      </c>
      <c r="AI467" s="4">
        <v>3</v>
      </c>
      <c r="AJ467" s="4">
        <v>9</v>
      </c>
      <c r="AK467" s="4">
        <v>9</v>
      </c>
      <c r="AL467" s="4">
        <v>3</v>
      </c>
      <c r="AM467" s="4">
        <v>3</v>
      </c>
      <c r="AN467" s="4">
        <v>0</v>
      </c>
      <c r="AO467" s="4">
        <v>0</v>
      </c>
      <c r="AP467" s="3" t="s">
        <v>59</v>
      </c>
      <c r="AQ467" s="3" t="s">
        <v>71</v>
      </c>
      <c r="AR467" s="6" t="str">
        <f>HYPERLINK("http://catalog.hathitrust.org/Record/000018707","HathiTrust Record")</f>
        <v>HathiTrust Record</v>
      </c>
      <c r="AS467" s="6" t="str">
        <f>HYPERLINK("https://creighton-primo.hosted.exlibrisgroup.com/primo-explore/search?tab=default_tab&amp;search_scope=EVERYTHING&amp;vid=01CRU&amp;lang=en_US&amp;offset=0&amp;query=any,contains,991003806009702656","Catalog Record")</f>
        <v>Catalog Record</v>
      </c>
      <c r="AT467" s="6" t="str">
        <f>HYPERLINK("http://www.worldcat.org/oclc/1530699","WorldCat Record")</f>
        <v>WorldCat Record</v>
      </c>
      <c r="AU467" s="3" t="s">
        <v>6019</v>
      </c>
      <c r="AV467" s="3" t="s">
        <v>6020</v>
      </c>
      <c r="AW467" s="3" t="s">
        <v>6021</v>
      </c>
      <c r="AX467" s="3" t="s">
        <v>6021</v>
      </c>
      <c r="AY467" s="3" t="s">
        <v>6022</v>
      </c>
      <c r="AZ467" s="3" t="s">
        <v>76</v>
      </c>
      <c r="BB467" s="3" t="s">
        <v>6023</v>
      </c>
      <c r="BC467" s="3" t="s">
        <v>6024</v>
      </c>
      <c r="BD467" s="3" t="s">
        <v>6025</v>
      </c>
    </row>
    <row r="468" spans="1:56" ht="52.5" customHeight="1" x14ac:dyDescent="0.25">
      <c r="A468" s="7" t="s">
        <v>59</v>
      </c>
      <c r="B468" s="2" t="s">
        <v>6026</v>
      </c>
      <c r="C468" s="2" t="s">
        <v>6027</v>
      </c>
      <c r="D468" s="2" t="s">
        <v>6028</v>
      </c>
      <c r="F468" s="3" t="s">
        <v>59</v>
      </c>
      <c r="G468" s="3" t="s">
        <v>60</v>
      </c>
      <c r="H468" s="3" t="s">
        <v>59</v>
      </c>
      <c r="I468" s="3" t="s">
        <v>59</v>
      </c>
      <c r="J468" s="3" t="s">
        <v>61</v>
      </c>
      <c r="L468" s="2" t="s">
        <v>6029</v>
      </c>
      <c r="M468" s="3" t="s">
        <v>365</v>
      </c>
      <c r="O468" s="3" t="s">
        <v>65</v>
      </c>
      <c r="P468" s="3" t="s">
        <v>1262</v>
      </c>
      <c r="Q468" s="2" t="s">
        <v>6030</v>
      </c>
      <c r="R468" s="3" t="s">
        <v>68</v>
      </c>
      <c r="S468" s="4">
        <v>1</v>
      </c>
      <c r="T468" s="4">
        <v>1</v>
      </c>
      <c r="U468" s="5" t="s">
        <v>6031</v>
      </c>
      <c r="V468" s="5" t="s">
        <v>6031</v>
      </c>
      <c r="W468" s="5" t="s">
        <v>2756</v>
      </c>
      <c r="X468" s="5" t="s">
        <v>2756</v>
      </c>
      <c r="Y468" s="4">
        <v>422</v>
      </c>
      <c r="Z468" s="4">
        <v>296</v>
      </c>
      <c r="AA468" s="4">
        <v>304</v>
      </c>
      <c r="AB468" s="4">
        <v>2</v>
      </c>
      <c r="AC468" s="4">
        <v>2</v>
      </c>
      <c r="AD468" s="4">
        <v>11</v>
      </c>
      <c r="AE468" s="4">
        <v>11</v>
      </c>
      <c r="AF468" s="4">
        <v>3</v>
      </c>
      <c r="AG468" s="4">
        <v>3</v>
      </c>
      <c r="AH468" s="4">
        <v>4</v>
      </c>
      <c r="AI468" s="4">
        <v>4</v>
      </c>
      <c r="AJ468" s="4">
        <v>4</v>
      </c>
      <c r="AK468" s="4">
        <v>4</v>
      </c>
      <c r="AL468" s="4">
        <v>1</v>
      </c>
      <c r="AM468" s="4">
        <v>1</v>
      </c>
      <c r="AN468" s="4">
        <v>0</v>
      </c>
      <c r="AO468" s="4">
        <v>0</v>
      </c>
      <c r="AP468" s="3" t="s">
        <v>59</v>
      </c>
      <c r="AQ468" s="3" t="s">
        <v>59</v>
      </c>
      <c r="AS468" s="6" t="str">
        <f>HYPERLINK("https://creighton-primo.hosted.exlibrisgroup.com/primo-explore/search?tab=default_tab&amp;search_scope=EVERYTHING&amp;vid=01CRU&amp;lang=en_US&amp;offset=0&amp;query=any,contains,991001366079702656","Catalog Record")</f>
        <v>Catalog Record</v>
      </c>
      <c r="AT468" s="6" t="str">
        <f>HYPERLINK("http://www.worldcat.org/oclc/18558532","WorldCat Record")</f>
        <v>WorldCat Record</v>
      </c>
      <c r="AU468" s="3" t="s">
        <v>6032</v>
      </c>
      <c r="AV468" s="3" t="s">
        <v>6033</v>
      </c>
      <c r="AW468" s="3" t="s">
        <v>6034</v>
      </c>
      <c r="AX468" s="3" t="s">
        <v>6034</v>
      </c>
      <c r="AY468" s="3" t="s">
        <v>6035</v>
      </c>
      <c r="AZ468" s="3" t="s">
        <v>76</v>
      </c>
      <c r="BB468" s="3" t="s">
        <v>6036</v>
      </c>
      <c r="BC468" s="3" t="s">
        <v>6037</v>
      </c>
      <c r="BD468" s="3" t="s">
        <v>6038</v>
      </c>
    </row>
    <row r="469" spans="1:56" ht="52.5" customHeight="1" x14ac:dyDescent="0.25">
      <c r="A469" s="7" t="s">
        <v>59</v>
      </c>
      <c r="B469" s="2" t="s">
        <v>6039</v>
      </c>
      <c r="C469" s="2" t="s">
        <v>6040</v>
      </c>
      <c r="D469" s="2" t="s">
        <v>6041</v>
      </c>
      <c r="F469" s="3" t="s">
        <v>59</v>
      </c>
      <c r="G469" s="3" t="s">
        <v>60</v>
      </c>
      <c r="H469" s="3" t="s">
        <v>59</v>
      </c>
      <c r="I469" s="3" t="s">
        <v>59</v>
      </c>
      <c r="J469" s="3" t="s">
        <v>61</v>
      </c>
      <c r="L469" s="2" t="s">
        <v>6042</v>
      </c>
      <c r="M469" s="3" t="s">
        <v>1000</v>
      </c>
      <c r="O469" s="3" t="s">
        <v>65</v>
      </c>
      <c r="P469" s="3" t="s">
        <v>66</v>
      </c>
      <c r="R469" s="3" t="s">
        <v>68</v>
      </c>
      <c r="S469" s="4">
        <v>4</v>
      </c>
      <c r="T469" s="4">
        <v>4</v>
      </c>
      <c r="U469" s="5" t="s">
        <v>5990</v>
      </c>
      <c r="V469" s="5" t="s">
        <v>5990</v>
      </c>
      <c r="W469" s="5" t="s">
        <v>5737</v>
      </c>
      <c r="X469" s="5" t="s">
        <v>5737</v>
      </c>
      <c r="Y469" s="4">
        <v>582</v>
      </c>
      <c r="Z469" s="4">
        <v>423</v>
      </c>
      <c r="AA469" s="4">
        <v>429</v>
      </c>
      <c r="AB469" s="4">
        <v>4</v>
      </c>
      <c r="AC469" s="4">
        <v>4</v>
      </c>
      <c r="AD469" s="4">
        <v>20</v>
      </c>
      <c r="AE469" s="4">
        <v>20</v>
      </c>
      <c r="AF469" s="4">
        <v>7</v>
      </c>
      <c r="AG469" s="4">
        <v>7</v>
      </c>
      <c r="AH469" s="4">
        <v>5</v>
      </c>
      <c r="AI469" s="4">
        <v>5</v>
      </c>
      <c r="AJ469" s="4">
        <v>11</v>
      </c>
      <c r="AK469" s="4">
        <v>11</v>
      </c>
      <c r="AL469" s="4">
        <v>3</v>
      </c>
      <c r="AM469" s="4">
        <v>3</v>
      </c>
      <c r="AN469" s="4">
        <v>0</v>
      </c>
      <c r="AO469" s="4">
        <v>0</v>
      </c>
      <c r="AP469" s="3" t="s">
        <v>59</v>
      </c>
      <c r="AQ469" s="3" t="s">
        <v>71</v>
      </c>
      <c r="AR469" s="6" t="str">
        <f>HYPERLINK("http://catalog.hathitrust.org/Record/000743171","HathiTrust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HYPERLINK("https://creighton-primo.hosted.exlibrisgroup.com/primo-explore/search?tab=default_tab&amp;search_scope=EVERYTHING&amp;vid=01CRU&amp;lang=en_US&amp;offset=0&amp;query=any,contains,991004831439702656","Catalog Record")</f>
        <v>Catalog Record</v>
      </c>
      <c r="AT469" s="6" t="str">
        <f>HYPERLINK("http://www.worldcat.org/oclc/5411202","WorldCat Record")</f>
        <v>WorldCat Record</v>
      </c>
      <c r="AU469" s="3" t="s">
        <v>6043</v>
      </c>
      <c r="AV469" s="3" t="s">
        <v>6044</v>
      </c>
      <c r="AW469" s="3" t="s">
        <v>6045</v>
      </c>
      <c r="AX469" s="3" t="s">
        <v>6045</v>
      </c>
      <c r="AY469" s="3" t="s">
        <v>6046</v>
      </c>
      <c r="AZ469" s="3" t="s">
        <v>76</v>
      </c>
      <c r="BB469" s="3" t="s">
        <v>6047</v>
      </c>
      <c r="BC469" s="3" t="s">
        <v>6048</v>
      </c>
      <c r="BD469" s="3" t="s">
        <v>6049</v>
      </c>
    </row>
    <row r="470" spans="1:56" ht="52.5" customHeight="1" x14ac:dyDescent="0.25">
      <c r="A470" s="7" t="s">
        <v>59</v>
      </c>
      <c r="B470" s="2" t="s">
        <v>6050</v>
      </c>
      <c r="C470" s="2" t="s">
        <v>6051</v>
      </c>
      <c r="D470" s="2" t="s">
        <v>6052</v>
      </c>
      <c r="F470" s="3" t="s">
        <v>59</v>
      </c>
      <c r="G470" s="3" t="s">
        <v>60</v>
      </c>
      <c r="H470" s="3" t="s">
        <v>59</v>
      </c>
      <c r="I470" s="3" t="s">
        <v>59</v>
      </c>
      <c r="J470" s="3" t="s">
        <v>61</v>
      </c>
      <c r="K470" s="2" t="s">
        <v>6053</v>
      </c>
      <c r="L470" s="2" t="s">
        <v>6054</v>
      </c>
      <c r="M470" s="3" t="s">
        <v>131</v>
      </c>
      <c r="O470" s="3" t="s">
        <v>65</v>
      </c>
      <c r="P470" s="3" t="s">
        <v>829</v>
      </c>
      <c r="Q470" s="2" t="s">
        <v>5989</v>
      </c>
      <c r="R470" s="3" t="s">
        <v>68</v>
      </c>
      <c r="S470" s="4">
        <v>6</v>
      </c>
      <c r="T470" s="4">
        <v>6</v>
      </c>
      <c r="U470" s="5" t="s">
        <v>6055</v>
      </c>
      <c r="V470" s="5" t="s">
        <v>6055</v>
      </c>
      <c r="W470" s="5" t="s">
        <v>6056</v>
      </c>
      <c r="X470" s="5" t="s">
        <v>6056</v>
      </c>
      <c r="Y470" s="4">
        <v>658</v>
      </c>
      <c r="Z470" s="4">
        <v>516</v>
      </c>
      <c r="AA470" s="4">
        <v>526</v>
      </c>
      <c r="AB470" s="4">
        <v>4</v>
      </c>
      <c r="AC470" s="4">
        <v>4</v>
      </c>
      <c r="AD470" s="4">
        <v>22</v>
      </c>
      <c r="AE470" s="4">
        <v>23</v>
      </c>
      <c r="AF470" s="4">
        <v>6</v>
      </c>
      <c r="AG470" s="4">
        <v>7</v>
      </c>
      <c r="AH470" s="4">
        <v>7</v>
      </c>
      <c r="AI470" s="4">
        <v>7</v>
      </c>
      <c r="AJ470" s="4">
        <v>12</v>
      </c>
      <c r="AK470" s="4">
        <v>13</v>
      </c>
      <c r="AL470" s="4">
        <v>3</v>
      </c>
      <c r="AM470" s="4">
        <v>3</v>
      </c>
      <c r="AN470" s="4">
        <v>0</v>
      </c>
      <c r="AO470" s="4">
        <v>0</v>
      </c>
      <c r="AP470" s="3" t="s">
        <v>59</v>
      </c>
      <c r="AQ470" s="3" t="s">
        <v>71</v>
      </c>
      <c r="AR470" s="6" t="str">
        <f>HYPERLINK("http://catalog.hathitrust.org/Record/000012249","HathiTrust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HYPERLINK("https://creighton-primo.hosted.exlibrisgroup.com/primo-explore/search?tab=default_tab&amp;search_scope=EVERYTHING&amp;vid=01CRU&amp;lang=en_US&amp;offset=0&amp;query=any,contains,991003289209702656","Catalog Record")</f>
        <v>Catalog Record</v>
      </c>
      <c r="AT470" s="6" t="str">
        <f>HYPERLINK("http://www.worldcat.org/oclc/810956","WorldCat Record")</f>
        <v>WorldCat Record</v>
      </c>
      <c r="AU470" s="3" t="s">
        <v>6057</v>
      </c>
      <c r="AV470" s="3" t="s">
        <v>6058</v>
      </c>
      <c r="AW470" s="3" t="s">
        <v>6059</v>
      </c>
      <c r="AX470" s="3" t="s">
        <v>6059</v>
      </c>
      <c r="AY470" s="3" t="s">
        <v>6060</v>
      </c>
      <c r="AZ470" s="3" t="s">
        <v>76</v>
      </c>
      <c r="BB470" s="3" t="s">
        <v>6061</v>
      </c>
      <c r="BC470" s="3" t="s">
        <v>6062</v>
      </c>
      <c r="BD470" s="3" t="s">
        <v>6063</v>
      </c>
    </row>
    <row r="471" spans="1:56" ht="52.5" customHeight="1" x14ac:dyDescent="0.25">
      <c r="A471" s="7" t="s">
        <v>59</v>
      </c>
      <c r="B471" s="2" t="s">
        <v>6064</v>
      </c>
      <c r="C471" s="2" t="s">
        <v>6065</v>
      </c>
      <c r="D471" s="2" t="s">
        <v>6066</v>
      </c>
      <c r="F471" s="3" t="s">
        <v>59</v>
      </c>
      <c r="G471" s="3" t="s">
        <v>60</v>
      </c>
      <c r="H471" s="3" t="s">
        <v>59</v>
      </c>
      <c r="I471" s="3" t="s">
        <v>59</v>
      </c>
      <c r="J471" s="3" t="s">
        <v>61</v>
      </c>
      <c r="K471" s="2" t="s">
        <v>4749</v>
      </c>
      <c r="L471" s="2" t="s">
        <v>6067</v>
      </c>
      <c r="M471" s="3" t="s">
        <v>1233</v>
      </c>
      <c r="O471" s="3" t="s">
        <v>65</v>
      </c>
      <c r="P471" s="3" t="s">
        <v>66</v>
      </c>
      <c r="R471" s="3" t="s">
        <v>68</v>
      </c>
      <c r="S471" s="4">
        <v>5</v>
      </c>
      <c r="T471" s="4">
        <v>5</v>
      </c>
      <c r="U471" s="5" t="s">
        <v>6068</v>
      </c>
      <c r="V471" s="5" t="s">
        <v>6068</v>
      </c>
      <c r="W471" s="5" t="s">
        <v>3522</v>
      </c>
      <c r="X471" s="5" t="s">
        <v>3522</v>
      </c>
      <c r="Y471" s="4">
        <v>1082</v>
      </c>
      <c r="Z471" s="4">
        <v>1020</v>
      </c>
      <c r="AA471" s="4">
        <v>1094</v>
      </c>
      <c r="AB471" s="4">
        <v>8</v>
      </c>
      <c r="AC471" s="4">
        <v>8</v>
      </c>
      <c r="AD471" s="4">
        <v>44</v>
      </c>
      <c r="AE471" s="4">
        <v>44</v>
      </c>
      <c r="AF471" s="4">
        <v>19</v>
      </c>
      <c r="AG471" s="4">
        <v>19</v>
      </c>
      <c r="AH471" s="4">
        <v>9</v>
      </c>
      <c r="AI471" s="4">
        <v>9</v>
      </c>
      <c r="AJ471" s="4">
        <v>21</v>
      </c>
      <c r="AK471" s="4">
        <v>21</v>
      </c>
      <c r="AL471" s="4">
        <v>5</v>
      </c>
      <c r="AM471" s="4">
        <v>5</v>
      </c>
      <c r="AN471" s="4">
        <v>0</v>
      </c>
      <c r="AO471" s="4">
        <v>0</v>
      </c>
      <c r="AP471" s="3" t="s">
        <v>59</v>
      </c>
      <c r="AQ471" s="3" t="s">
        <v>71</v>
      </c>
      <c r="AR471" s="6" t="str">
        <f>HYPERLINK("http://catalog.hathitrust.org/Record/000357591","HathiTrust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HYPERLINK("https://creighton-primo.hosted.exlibrisgroup.com/primo-explore/search?tab=default_tab&amp;search_scope=EVERYTHING&amp;vid=01CRU&amp;lang=en_US&amp;offset=0&amp;query=any,contains,991003251449702656","Catalog Record")</f>
        <v>Catalog Record</v>
      </c>
      <c r="AT471" s="6" t="str">
        <f>HYPERLINK("http://www.worldcat.org/oclc/776172","WorldCat Record")</f>
        <v>WorldCat Record</v>
      </c>
      <c r="AU471" s="3" t="s">
        <v>6069</v>
      </c>
      <c r="AV471" s="3" t="s">
        <v>6070</v>
      </c>
      <c r="AW471" s="3" t="s">
        <v>6071</v>
      </c>
      <c r="AX471" s="3" t="s">
        <v>6071</v>
      </c>
      <c r="AY471" s="3" t="s">
        <v>6072</v>
      </c>
      <c r="AZ471" s="3" t="s">
        <v>76</v>
      </c>
      <c r="BB471" s="3" t="s">
        <v>6073</v>
      </c>
      <c r="BC471" s="3" t="s">
        <v>6074</v>
      </c>
      <c r="BD471" s="3" t="s">
        <v>6075</v>
      </c>
    </row>
    <row r="472" spans="1:56" ht="52.5" customHeight="1" x14ac:dyDescent="0.25">
      <c r="A472" s="7" t="s">
        <v>59</v>
      </c>
      <c r="B472" s="2" t="s">
        <v>6076</v>
      </c>
      <c r="C472" s="2" t="s">
        <v>6077</v>
      </c>
      <c r="D472" s="2" t="s">
        <v>6078</v>
      </c>
      <c r="F472" s="3" t="s">
        <v>59</v>
      </c>
      <c r="G472" s="3" t="s">
        <v>60</v>
      </c>
      <c r="H472" s="3" t="s">
        <v>59</v>
      </c>
      <c r="I472" s="3" t="s">
        <v>59</v>
      </c>
      <c r="J472" s="3" t="s">
        <v>61</v>
      </c>
      <c r="L472" s="2" t="s">
        <v>6079</v>
      </c>
      <c r="M472" s="3" t="s">
        <v>164</v>
      </c>
      <c r="O472" s="3" t="s">
        <v>65</v>
      </c>
      <c r="P472" s="3" t="s">
        <v>66</v>
      </c>
      <c r="R472" s="3" t="s">
        <v>68</v>
      </c>
      <c r="S472" s="4">
        <v>4</v>
      </c>
      <c r="T472" s="4">
        <v>4</v>
      </c>
      <c r="U472" s="5" t="s">
        <v>3847</v>
      </c>
      <c r="V472" s="5" t="s">
        <v>3847</v>
      </c>
      <c r="W472" s="5" t="s">
        <v>5737</v>
      </c>
      <c r="X472" s="5" t="s">
        <v>5737</v>
      </c>
      <c r="Y472" s="4">
        <v>319</v>
      </c>
      <c r="Z472" s="4">
        <v>241</v>
      </c>
      <c r="AA472" s="4">
        <v>242</v>
      </c>
      <c r="AB472" s="4">
        <v>3</v>
      </c>
      <c r="AC472" s="4">
        <v>3</v>
      </c>
      <c r="AD472" s="4">
        <v>13</v>
      </c>
      <c r="AE472" s="4">
        <v>13</v>
      </c>
      <c r="AF472" s="4">
        <v>4</v>
      </c>
      <c r="AG472" s="4">
        <v>4</v>
      </c>
      <c r="AH472" s="4">
        <v>3</v>
      </c>
      <c r="AI472" s="4">
        <v>3</v>
      </c>
      <c r="AJ472" s="4">
        <v>8</v>
      </c>
      <c r="AK472" s="4">
        <v>8</v>
      </c>
      <c r="AL472" s="4">
        <v>2</v>
      </c>
      <c r="AM472" s="4">
        <v>2</v>
      </c>
      <c r="AN472" s="4">
        <v>0</v>
      </c>
      <c r="AO472" s="4">
        <v>0</v>
      </c>
      <c r="AP472" s="3" t="s">
        <v>59</v>
      </c>
      <c r="AQ472" s="3" t="s">
        <v>59</v>
      </c>
      <c r="AS472" s="6" t="str">
        <f>HYPERLINK("https://creighton-primo.hosted.exlibrisgroup.com/primo-explore/search?tab=default_tab&amp;search_scope=EVERYTHING&amp;vid=01CRU&amp;lang=en_US&amp;offset=0&amp;query=any,contains,991004885519702656","Catalog Record")</f>
        <v>Catalog Record</v>
      </c>
      <c r="AT472" s="6" t="str">
        <f>HYPERLINK("http://www.worldcat.org/oclc/5831680","WorldCat Record")</f>
        <v>WorldCat Record</v>
      </c>
      <c r="AU472" s="3" t="s">
        <v>6080</v>
      </c>
      <c r="AV472" s="3" t="s">
        <v>6081</v>
      </c>
      <c r="AW472" s="3" t="s">
        <v>6082</v>
      </c>
      <c r="AX472" s="3" t="s">
        <v>6082</v>
      </c>
      <c r="AY472" s="3" t="s">
        <v>6083</v>
      </c>
      <c r="AZ472" s="3" t="s">
        <v>76</v>
      </c>
      <c r="BB472" s="3" t="s">
        <v>6084</v>
      </c>
      <c r="BC472" s="3" t="s">
        <v>6085</v>
      </c>
      <c r="BD472" s="3" t="s">
        <v>6086</v>
      </c>
    </row>
    <row r="473" spans="1:56" ht="52.5" customHeight="1" x14ac:dyDescent="0.25">
      <c r="A473" s="7" t="s">
        <v>59</v>
      </c>
      <c r="B473" s="2" t="s">
        <v>6087</v>
      </c>
      <c r="C473" s="2" t="s">
        <v>6088</v>
      </c>
      <c r="D473" s="2" t="s">
        <v>6089</v>
      </c>
      <c r="F473" s="3" t="s">
        <v>59</v>
      </c>
      <c r="G473" s="3" t="s">
        <v>60</v>
      </c>
      <c r="H473" s="3" t="s">
        <v>59</v>
      </c>
      <c r="I473" s="3" t="s">
        <v>59</v>
      </c>
      <c r="J473" s="3" t="s">
        <v>61</v>
      </c>
      <c r="K473" s="2" t="s">
        <v>6090</v>
      </c>
      <c r="L473" s="2" t="s">
        <v>6091</v>
      </c>
      <c r="M473" s="3" t="s">
        <v>514</v>
      </c>
      <c r="O473" s="3" t="s">
        <v>65</v>
      </c>
      <c r="P473" s="3" t="s">
        <v>66</v>
      </c>
      <c r="R473" s="3" t="s">
        <v>68</v>
      </c>
      <c r="S473" s="4">
        <v>3</v>
      </c>
      <c r="T473" s="4">
        <v>3</v>
      </c>
      <c r="U473" s="5" t="s">
        <v>6092</v>
      </c>
      <c r="V473" s="5" t="s">
        <v>6092</v>
      </c>
      <c r="W473" s="5" t="s">
        <v>3522</v>
      </c>
      <c r="X473" s="5" t="s">
        <v>3522</v>
      </c>
      <c r="Y473" s="4">
        <v>442</v>
      </c>
      <c r="Z473" s="4">
        <v>403</v>
      </c>
      <c r="AA473" s="4">
        <v>471</v>
      </c>
      <c r="AB473" s="4">
        <v>6</v>
      </c>
      <c r="AC473" s="4">
        <v>6</v>
      </c>
      <c r="AD473" s="4">
        <v>22</v>
      </c>
      <c r="AE473" s="4">
        <v>25</v>
      </c>
      <c r="AF473" s="4">
        <v>8</v>
      </c>
      <c r="AG473" s="4">
        <v>9</v>
      </c>
      <c r="AH473" s="4">
        <v>4</v>
      </c>
      <c r="AI473" s="4">
        <v>5</v>
      </c>
      <c r="AJ473" s="4">
        <v>10</v>
      </c>
      <c r="AK473" s="4">
        <v>11</v>
      </c>
      <c r="AL473" s="4">
        <v>5</v>
      </c>
      <c r="AM473" s="4">
        <v>5</v>
      </c>
      <c r="AN473" s="4">
        <v>0</v>
      </c>
      <c r="AO473" s="4">
        <v>0</v>
      </c>
      <c r="AP473" s="3" t="s">
        <v>59</v>
      </c>
      <c r="AQ473" s="3" t="s">
        <v>71</v>
      </c>
      <c r="AR473" s="6" t="str">
        <f>HYPERLINK("http://catalog.hathitrust.org/Record/000357461","HathiTrust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HYPERLINK("https://creighton-primo.hosted.exlibrisgroup.com/primo-explore/search?tab=default_tab&amp;search_scope=EVERYTHING&amp;vid=01CRU&amp;lang=en_US&amp;offset=0&amp;query=any,contains,991003351759702656","Catalog Record")</f>
        <v>Catalog Record</v>
      </c>
      <c r="AT473" s="6" t="str">
        <f>HYPERLINK("http://www.worldcat.org/oclc/885438","WorldCat Record")</f>
        <v>WorldCat Record</v>
      </c>
      <c r="AU473" s="3" t="s">
        <v>6093</v>
      </c>
      <c r="AV473" s="3" t="s">
        <v>6094</v>
      </c>
      <c r="AW473" s="3" t="s">
        <v>6095</v>
      </c>
      <c r="AX473" s="3" t="s">
        <v>6095</v>
      </c>
      <c r="AY473" s="3" t="s">
        <v>6096</v>
      </c>
      <c r="AZ473" s="3" t="s">
        <v>76</v>
      </c>
      <c r="BC473" s="3" t="s">
        <v>6097</v>
      </c>
      <c r="BD473" s="3" t="s">
        <v>6098</v>
      </c>
    </row>
    <row r="474" spans="1:56" ht="52.5" customHeight="1" x14ac:dyDescent="0.25">
      <c r="A474" s="7" t="s">
        <v>59</v>
      </c>
      <c r="B474" s="2" t="s">
        <v>6099</v>
      </c>
      <c r="C474" s="2" t="s">
        <v>6100</v>
      </c>
      <c r="D474" s="2" t="s">
        <v>6101</v>
      </c>
      <c r="F474" s="3" t="s">
        <v>59</v>
      </c>
      <c r="G474" s="3" t="s">
        <v>60</v>
      </c>
      <c r="H474" s="3" t="s">
        <v>59</v>
      </c>
      <c r="I474" s="3" t="s">
        <v>59</v>
      </c>
      <c r="J474" s="3" t="s">
        <v>61</v>
      </c>
      <c r="L474" s="2" t="s">
        <v>4657</v>
      </c>
      <c r="M474" s="3" t="s">
        <v>148</v>
      </c>
      <c r="O474" s="3" t="s">
        <v>65</v>
      </c>
      <c r="P474" s="3" t="s">
        <v>420</v>
      </c>
      <c r="Q474" s="2" t="s">
        <v>4107</v>
      </c>
      <c r="R474" s="3" t="s">
        <v>68</v>
      </c>
      <c r="S474" s="4">
        <v>6</v>
      </c>
      <c r="T474" s="4">
        <v>6</v>
      </c>
      <c r="U474" s="5" t="s">
        <v>6102</v>
      </c>
      <c r="V474" s="5" t="s">
        <v>6102</v>
      </c>
      <c r="W474" s="5" t="s">
        <v>3522</v>
      </c>
      <c r="X474" s="5" t="s">
        <v>3522</v>
      </c>
      <c r="Y474" s="4">
        <v>755</v>
      </c>
      <c r="Z474" s="4">
        <v>614</v>
      </c>
      <c r="AA474" s="4">
        <v>621</v>
      </c>
      <c r="AB474" s="4">
        <v>4</v>
      </c>
      <c r="AC474" s="4">
        <v>4</v>
      </c>
      <c r="AD474" s="4">
        <v>27</v>
      </c>
      <c r="AE474" s="4">
        <v>27</v>
      </c>
      <c r="AF474" s="4">
        <v>12</v>
      </c>
      <c r="AG474" s="4">
        <v>12</v>
      </c>
      <c r="AH474" s="4">
        <v>6</v>
      </c>
      <c r="AI474" s="4">
        <v>6</v>
      </c>
      <c r="AJ474" s="4">
        <v>14</v>
      </c>
      <c r="AK474" s="4">
        <v>14</v>
      </c>
      <c r="AL474" s="4">
        <v>3</v>
      </c>
      <c r="AM474" s="4">
        <v>3</v>
      </c>
      <c r="AN474" s="4">
        <v>0</v>
      </c>
      <c r="AO474" s="4">
        <v>0</v>
      </c>
      <c r="AP474" s="3" t="s">
        <v>59</v>
      </c>
      <c r="AQ474" s="3" t="s">
        <v>59</v>
      </c>
      <c r="AS474" s="6" t="str">
        <f>HYPERLINK("https://creighton-primo.hosted.exlibrisgroup.com/primo-explore/search?tab=default_tab&amp;search_scope=EVERYTHING&amp;vid=01CRU&amp;lang=en_US&amp;offset=0&amp;query=any,contains,991003982589702656","Catalog Record")</f>
        <v>Catalog Record</v>
      </c>
      <c r="AT474" s="6" t="str">
        <f>HYPERLINK("http://www.worldcat.org/oclc/2020732","WorldCat Record")</f>
        <v>WorldCat Record</v>
      </c>
      <c r="AU474" s="3" t="s">
        <v>6103</v>
      </c>
      <c r="AV474" s="3" t="s">
        <v>6104</v>
      </c>
      <c r="AW474" s="3" t="s">
        <v>6105</v>
      </c>
      <c r="AX474" s="3" t="s">
        <v>6105</v>
      </c>
      <c r="AY474" s="3" t="s">
        <v>6106</v>
      </c>
      <c r="AZ474" s="3" t="s">
        <v>76</v>
      </c>
      <c r="BB474" s="3" t="s">
        <v>6107</v>
      </c>
      <c r="BC474" s="3" t="s">
        <v>6108</v>
      </c>
      <c r="BD474" s="3" t="s">
        <v>6109</v>
      </c>
    </row>
    <row r="475" spans="1:56" ht="52.5" customHeight="1" x14ac:dyDescent="0.25">
      <c r="A475" s="7" t="s">
        <v>59</v>
      </c>
      <c r="B475" s="2" t="s">
        <v>6110</v>
      </c>
      <c r="C475" s="2" t="s">
        <v>6111</v>
      </c>
      <c r="D475" s="2" t="s">
        <v>6112</v>
      </c>
      <c r="F475" s="3" t="s">
        <v>59</v>
      </c>
      <c r="G475" s="3" t="s">
        <v>60</v>
      </c>
      <c r="H475" s="3" t="s">
        <v>59</v>
      </c>
      <c r="I475" s="3" t="s">
        <v>59</v>
      </c>
      <c r="J475" s="3" t="s">
        <v>61</v>
      </c>
      <c r="L475" s="2" t="s">
        <v>6113</v>
      </c>
      <c r="M475" s="3" t="s">
        <v>224</v>
      </c>
      <c r="O475" s="3" t="s">
        <v>65</v>
      </c>
      <c r="P475" s="3" t="s">
        <v>1262</v>
      </c>
      <c r="R475" s="3" t="s">
        <v>68</v>
      </c>
      <c r="S475" s="4">
        <v>7</v>
      </c>
      <c r="T475" s="4">
        <v>7</v>
      </c>
      <c r="U475" s="5" t="s">
        <v>6114</v>
      </c>
      <c r="V475" s="5" t="s">
        <v>6114</v>
      </c>
      <c r="W475" s="5" t="s">
        <v>3522</v>
      </c>
      <c r="X475" s="5" t="s">
        <v>3522</v>
      </c>
      <c r="Y475" s="4">
        <v>503</v>
      </c>
      <c r="Z475" s="4">
        <v>375</v>
      </c>
      <c r="AA475" s="4">
        <v>381</v>
      </c>
      <c r="AB475" s="4">
        <v>2</v>
      </c>
      <c r="AC475" s="4">
        <v>2</v>
      </c>
      <c r="AD475" s="4">
        <v>11</v>
      </c>
      <c r="AE475" s="4">
        <v>11</v>
      </c>
      <c r="AF475" s="4">
        <v>2</v>
      </c>
      <c r="AG475" s="4">
        <v>2</v>
      </c>
      <c r="AH475" s="4">
        <v>2</v>
      </c>
      <c r="AI475" s="4">
        <v>2</v>
      </c>
      <c r="AJ475" s="4">
        <v>6</v>
      </c>
      <c r="AK475" s="4">
        <v>6</v>
      </c>
      <c r="AL475" s="4">
        <v>1</v>
      </c>
      <c r="AM475" s="4">
        <v>1</v>
      </c>
      <c r="AN475" s="4">
        <v>0</v>
      </c>
      <c r="AO475" s="4">
        <v>0</v>
      </c>
      <c r="AP475" s="3" t="s">
        <v>59</v>
      </c>
      <c r="AQ475" s="3" t="s">
        <v>71</v>
      </c>
      <c r="AR475" s="6" t="str">
        <f>HYPERLINK("http://catalog.hathitrust.org/Record/000015887","HathiTrust Record")</f>
        <v>HathiTrust Record</v>
      </c>
      <c r="AS475" s="6" t="str">
        <f>HYPERLINK("https://creighton-primo.hosted.exlibrisgroup.com/primo-explore/search?tab=default_tab&amp;search_scope=EVERYTHING&amp;vid=01CRU&amp;lang=en_US&amp;offset=0&amp;query=any,contains,991003444789702656","Catalog Record")</f>
        <v>Catalog Record</v>
      </c>
      <c r="AT475" s="6" t="str">
        <f>HYPERLINK("http://www.worldcat.org/oclc/980265","WorldCat Record")</f>
        <v>WorldCat Record</v>
      </c>
      <c r="AU475" s="3" t="s">
        <v>6115</v>
      </c>
      <c r="AV475" s="3" t="s">
        <v>6116</v>
      </c>
      <c r="AW475" s="3" t="s">
        <v>6117</v>
      </c>
      <c r="AX475" s="3" t="s">
        <v>6117</v>
      </c>
      <c r="AY475" s="3" t="s">
        <v>6118</v>
      </c>
      <c r="AZ475" s="3" t="s">
        <v>76</v>
      </c>
      <c r="BB475" s="3" t="s">
        <v>6119</v>
      </c>
      <c r="BC475" s="3" t="s">
        <v>6120</v>
      </c>
      <c r="BD475" s="3" t="s">
        <v>6121</v>
      </c>
    </row>
    <row r="476" spans="1:56" ht="52.5" customHeight="1" x14ac:dyDescent="0.25">
      <c r="A476" s="7" t="s">
        <v>59</v>
      </c>
      <c r="B476" s="2" t="s">
        <v>6122</v>
      </c>
      <c r="C476" s="2" t="s">
        <v>6123</v>
      </c>
      <c r="D476" s="2" t="s">
        <v>6124</v>
      </c>
      <c r="F476" s="3" t="s">
        <v>59</v>
      </c>
      <c r="G476" s="3" t="s">
        <v>60</v>
      </c>
      <c r="H476" s="3" t="s">
        <v>59</v>
      </c>
      <c r="I476" s="3" t="s">
        <v>59</v>
      </c>
      <c r="J476" s="3" t="s">
        <v>61</v>
      </c>
      <c r="K476" s="2" t="s">
        <v>6125</v>
      </c>
      <c r="L476" s="2" t="s">
        <v>6126</v>
      </c>
      <c r="M476" s="3" t="s">
        <v>475</v>
      </c>
      <c r="O476" s="3" t="s">
        <v>65</v>
      </c>
      <c r="P476" s="3" t="s">
        <v>1262</v>
      </c>
      <c r="Q476" s="2" t="s">
        <v>6127</v>
      </c>
      <c r="R476" s="3" t="s">
        <v>68</v>
      </c>
      <c r="S476" s="4">
        <v>6</v>
      </c>
      <c r="T476" s="4">
        <v>6</v>
      </c>
      <c r="U476" s="5" t="s">
        <v>6128</v>
      </c>
      <c r="V476" s="5" t="s">
        <v>6128</v>
      </c>
      <c r="W476" s="5" t="s">
        <v>6129</v>
      </c>
      <c r="X476" s="5" t="s">
        <v>6129</v>
      </c>
      <c r="Y476" s="4">
        <v>675</v>
      </c>
      <c r="Z476" s="4">
        <v>516</v>
      </c>
      <c r="AA476" s="4">
        <v>537</v>
      </c>
      <c r="AB476" s="4">
        <v>4</v>
      </c>
      <c r="AC476" s="4">
        <v>4</v>
      </c>
      <c r="AD476" s="4">
        <v>22</v>
      </c>
      <c r="AE476" s="4">
        <v>23</v>
      </c>
      <c r="AF476" s="4">
        <v>10</v>
      </c>
      <c r="AG476" s="4">
        <v>11</v>
      </c>
      <c r="AH476" s="4">
        <v>7</v>
      </c>
      <c r="AI476" s="4">
        <v>7</v>
      </c>
      <c r="AJ476" s="4">
        <v>9</v>
      </c>
      <c r="AK476" s="4">
        <v>9</v>
      </c>
      <c r="AL476" s="4">
        <v>3</v>
      </c>
      <c r="AM476" s="4">
        <v>3</v>
      </c>
      <c r="AN476" s="4">
        <v>0</v>
      </c>
      <c r="AO476" s="4">
        <v>0</v>
      </c>
      <c r="AP476" s="3" t="s">
        <v>59</v>
      </c>
      <c r="AQ476" s="3" t="s">
        <v>71</v>
      </c>
      <c r="AR476" s="6" t="str">
        <f>HYPERLINK("http://catalog.hathitrust.org/Record/000194767","HathiTrust Record")</f>
        <v>HathiTrust Record</v>
      </c>
      <c r="AS476" s="6" t="str">
        <f>HYPERLINK("https://creighton-primo.hosted.exlibrisgroup.com/primo-explore/search?tab=default_tab&amp;search_scope=EVERYTHING&amp;vid=01CRU&amp;lang=en_US&amp;offset=0&amp;query=any,contains,991000015769702656","Catalog Record")</f>
        <v>Catalog Record</v>
      </c>
      <c r="AT476" s="6" t="str">
        <f>HYPERLINK("http://www.worldcat.org/oclc/8552850","WorldCat Record")</f>
        <v>WorldCat Record</v>
      </c>
      <c r="AU476" s="3" t="s">
        <v>6130</v>
      </c>
      <c r="AV476" s="3" t="s">
        <v>6131</v>
      </c>
      <c r="AW476" s="3" t="s">
        <v>6132</v>
      </c>
      <c r="AX476" s="3" t="s">
        <v>6132</v>
      </c>
      <c r="AY476" s="3" t="s">
        <v>6133</v>
      </c>
      <c r="AZ476" s="3" t="s">
        <v>76</v>
      </c>
      <c r="BB476" s="3" t="s">
        <v>6134</v>
      </c>
      <c r="BC476" s="3" t="s">
        <v>6135</v>
      </c>
      <c r="BD476" s="3" t="s">
        <v>6136</v>
      </c>
    </row>
    <row r="477" spans="1:56" ht="52.5" customHeight="1" x14ac:dyDescent="0.25">
      <c r="A477" s="7" t="s">
        <v>59</v>
      </c>
      <c r="B477" s="2" t="s">
        <v>6137</v>
      </c>
      <c r="C477" s="2" t="s">
        <v>6138</v>
      </c>
      <c r="D477" s="2" t="s">
        <v>6139</v>
      </c>
      <c r="F477" s="3" t="s">
        <v>59</v>
      </c>
      <c r="G477" s="3" t="s">
        <v>60</v>
      </c>
      <c r="H477" s="3" t="s">
        <v>59</v>
      </c>
      <c r="I477" s="3" t="s">
        <v>59</v>
      </c>
      <c r="J477" s="3" t="s">
        <v>61</v>
      </c>
      <c r="L477" s="2" t="s">
        <v>6140</v>
      </c>
      <c r="M477" s="3" t="s">
        <v>180</v>
      </c>
      <c r="O477" s="3" t="s">
        <v>65</v>
      </c>
      <c r="P477" s="3" t="s">
        <v>771</v>
      </c>
      <c r="Q477" s="2" t="s">
        <v>6141</v>
      </c>
      <c r="R477" s="3" t="s">
        <v>68</v>
      </c>
      <c r="S477" s="4">
        <v>4</v>
      </c>
      <c r="T477" s="4">
        <v>4</v>
      </c>
      <c r="U477" s="5" t="s">
        <v>5472</v>
      </c>
      <c r="V477" s="5" t="s">
        <v>5472</v>
      </c>
      <c r="W477" s="5" t="s">
        <v>6142</v>
      </c>
      <c r="X477" s="5" t="s">
        <v>6142</v>
      </c>
      <c r="Y477" s="4">
        <v>700</v>
      </c>
      <c r="Z477" s="4">
        <v>589</v>
      </c>
      <c r="AA477" s="4">
        <v>613</v>
      </c>
      <c r="AB477" s="4">
        <v>4</v>
      </c>
      <c r="AC477" s="4">
        <v>4</v>
      </c>
      <c r="AD477" s="4">
        <v>31</v>
      </c>
      <c r="AE477" s="4">
        <v>32</v>
      </c>
      <c r="AF477" s="4">
        <v>14</v>
      </c>
      <c r="AG477" s="4">
        <v>14</v>
      </c>
      <c r="AH477" s="4">
        <v>6</v>
      </c>
      <c r="AI477" s="4">
        <v>7</v>
      </c>
      <c r="AJ477" s="4">
        <v>16</v>
      </c>
      <c r="AK477" s="4">
        <v>17</v>
      </c>
      <c r="AL477" s="4">
        <v>3</v>
      </c>
      <c r="AM477" s="4">
        <v>3</v>
      </c>
      <c r="AN477" s="4">
        <v>0</v>
      </c>
      <c r="AO477" s="4">
        <v>0</v>
      </c>
      <c r="AP477" s="3" t="s">
        <v>59</v>
      </c>
      <c r="AQ477" s="3" t="s">
        <v>71</v>
      </c>
      <c r="AR477" s="6" t="str">
        <f>HYPERLINK("http://catalog.hathitrust.org/Record/000356588","HathiTrust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HYPERLINK("https://creighton-primo.hosted.exlibrisgroup.com/primo-explore/search?tab=default_tab&amp;search_scope=EVERYTHING&amp;vid=01CRU&amp;lang=en_US&amp;offset=0&amp;query=any,contains,991001376229702656","Catalog Record")</f>
        <v>Catalog Record</v>
      </c>
      <c r="AT477" s="6" t="str">
        <f>HYPERLINK("http://www.worldcat.org/oclc/224938","WorldCat Record")</f>
        <v>WorldCat Record</v>
      </c>
      <c r="AU477" s="3" t="s">
        <v>6143</v>
      </c>
      <c r="AV477" s="3" t="s">
        <v>6144</v>
      </c>
      <c r="AW477" s="3" t="s">
        <v>6145</v>
      </c>
      <c r="AX477" s="3" t="s">
        <v>6145</v>
      </c>
      <c r="AY477" s="3" t="s">
        <v>6146</v>
      </c>
      <c r="AZ477" s="3" t="s">
        <v>76</v>
      </c>
      <c r="BC477" s="3" t="s">
        <v>6147</v>
      </c>
      <c r="BD477" s="3" t="s">
        <v>6148</v>
      </c>
    </row>
    <row r="478" spans="1:56" ht="52.5" customHeight="1" x14ac:dyDescent="0.25">
      <c r="A478" s="7" t="s">
        <v>59</v>
      </c>
      <c r="B478" s="2" t="s">
        <v>6149</v>
      </c>
      <c r="C478" s="2" t="s">
        <v>6150</v>
      </c>
      <c r="D478" s="2" t="s">
        <v>6151</v>
      </c>
      <c r="F478" s="3" t="s">
        <v>59</v>
      </c>
      <c r="G478" s="3" t="s">
        <v>60</v>
      </c>
      <c r="H478" s="3" t="s">
        <v>59</v>
      </c>
      <c r="I478" s="3" t="s">
        <v>59</v>
      </c>
      <c r="J478" s="3" t="s">
        <v>61</v>
      </c>
      <c r="K478" s="2" t="s">
        <v>6152</v>
      </c>
      <c r="L478" s="2" t="s">
        <v>6153</v>
      </c>
      <c r="M478" s="3" t="s">
        <v>180</v>
      </c>
      <c r="O478" s="3" t="s">
        <v>65</v>
      </c>
      <c r="P478" s="3" t="s">
        <v>66</v>
      </c>
      <c r="R478" s="3" t="s">
        <v>68</v>
      </c>
      <c r="S478" s="4">
        <v>5</v>
      </c>
      <c r="T478" s="4">
        <v>5</v>
      </c>
      <c r="U478" s="5" t="s">
        <v>4229</v>
      </c>
      <c r="V478" s="5" t="s">
        <v>4229</v>
      </c>
      <c r="W478" s="5" t="s">
        <v>6154</v>
      </c>
      <c r="X478" s="5" t="s">
        <v>6154</v>
      </c>
      <c r="Y478" s="4">
        <v>1288</v>
      </c>
      <c r="Z478" s="4">
        <v>1077</v>
      </c>
      <c r="AA478" s="4">
        <v>1099</v>
      </c>
      <c r="AB478" s="4">
        <v>9</v>
      </c>
      <c r="AC478" s="4">
        <v>9</v>
      </c>
      <c r="AD478" s="4">
        <v>48</v>
      </c>
      <c r="AE478" s="4">
        <v>48</v>
      </c>
      <c r="AF478" s="4">
        <v>22</v>
      </c>
      <c r="AG478" s="4">
        <v>22</v>
      </c>
      <c r="AH478" s="4">
        <v>10</v>
      </c>
      <c r="AI478" s="4">
        <v>10</v>
      </c>
      <c r="AJ478" s="4">
        <v>21</v>
      </c>
      <c r="AK478" s="4">
        <v>21</v>
      </c>
      <c r="AL478" s="4">
        <v>7</v>
      </c>
      <c r="AM478" s="4">
        <v>7</v>
      </c>
      <c r="AN478" s="4">
        <v>0</v>
      </c>
      <c r="AO478" s="4">
        <v>0</v>
      </c>
      <c r="AP478" s="3" t="s">
        <v>59</v>
      </c>
      <c r="AQ478" s="3" t="s">
        <v>59</v>
      </c>
      <c r="AR478" s="6" t="str">
        <f>HYPERLINK("http://catalog.hathitrust.org/Record/000356600","HathiTrust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HYPERLINK("https://creighton-primo.hosted.exlibrisgroup.com/primo-explore/search?tab=default_tab&amp;search_scope=EVERYTHING&amp;vid=01CRU&amp;lang=en_US&amp;offset=0&amp;query=any,contains,991001208559702656","Catalog Record")</f>
        <v>Catalog Record</v>
      </c>
      <c r="AT478" s="6" t="str">
        <f>HYPERLINK("http://www.worldcat.org/oclc/192738","WorldCat Record")</f>
        <v>WorldCat Record</v>
      </c>
      <c r="AU478" s="3" t="s">
        <v>6155</v>
      </c>
      <c r="AV478" s="3" t="s">
        <v>6156</v>
      </c>
      <c r="AW478" s="3" t="s">
        <v>6157</v>
      </c>
      <c r="AX478" s="3" t="s">
        <v>6157</v>
      </c>
      <c r="AY478" s="3" t="s">
        <v>6158</v>
      </c>
      <c r="AZ478" s="3" t="s">
        <v>76</v>
      </c>
      <c r="BC478" s="3" t="s">
        <v>6159</v>
      </c>
      <c r="BD478" s="3" t="s">
        <v>6160</v>
      </c>
    </row>
    <row r="479" spans="1:56" ht="52.5" customHeight="1" x14ac:dyDescent="0.25">
      <c r="A479" s="7" t="s">
        <v>59</v>
      </c>
      <c r="B479" s="2" t="s">
        <v>6161</v>
      </c>
      <c r="C479" s="2" t="s">
        <v>6162</v>
      </c>
      <c r="D479" s="2" t="s">
        <v>6163</v>
      </c>
      <c r="F479" s="3" t="s">
        <v>59</v>
      </c>
      <c r="G479" s="3" t="s">
        <v>60</v>
      </c>
      <c r="H479" s="3" t="s">
        <v>59</v>
      </c>
      <c r="I479" s="3" t="s">
        <v>59</v>
      </c>
      <c r="J479" s="3" t="s">
        <v>61</v>
      </c>
      <c r="K479" s="2" t="s">
        <v>6164</v>
      </c>
      <c r="L479" s="2" t="s">
        <v>6165</v>
      </c>
      <c r="M479" s="3" t="s">
        <v>365</v>
      </c>
      <c r="O479" s="3" t="s">
        <v>65</v>
      </c>
      <c r="P479" s="3" t="s">
        <v>1262</v>
      </c>
      <c r="Q479" s="2" t="s">
        <v>6166</v>
      </c>
      <c r="R479" s="3" t="s">
        <v>68</v>
      </c>
      <c r="S479" s="4">
        <v>4</v>
      </c>
      <c r="T479" s="4">
        <v>4</v>
      </c>
      <c r="U479" s="5" t="s">
        <v>6167</v>
      </c>
      <c r="V479" s="5" t="s">
        <v>6167</v>
      </c>
      <c r="W479" s="5" t="s">
        <v>6168</v>
      </c>
      <c r="X479" s="5" t="s">
        <v>6168</v>
      </c>
      <c r="Y479" s="4">
        <v>409</v>
      </c>
      <c r="Z479" s="4">
        <v>288</v>
      </c>
      <c r="AA479" s="4">
        <v>338</v>
      </c>
      <c r="AB479" s="4">
        <v>3</v>
      </c>
      <c r="AC479" s="4">
        <v>3</v>
      </c>
      <c r="AD479" s="4">
        <v>18</v>
      </c>
      <c r="AE479" s="4">
        <v>20</v>
      </c>
      <c r="AF479" s="4">
        <v>6</v>
      </c>
      <c r="AG479" s="4">
        <v>6</v>
      </c>
      <c r="AH479" s="4">
        <v>3</v>
      </c>
      <c r="AI479" s="4">
        <v>4</v>
      </c>
      <c r="AJ479" s="4">
        <v>11</v>
      </c>
      <c r="AK479" s="4">
        <v>13</v>
      </c>
      <c r="AL479" s="4">
        <v>2</v>
      </c>
      <c r="AM479" s="4">
        <v>2</v>
      </c>
      <c r="AN479" s="4">
        <v>0</v>
      </c>
      <c r="AO479" s="4">
        <v>0</v>
      </c>
      <c r="AP479" s="3" t="s">
        <v>59</v>
      </c>
      <c r="AQ479" s="3" t="s">
        <v>71</v>
      </c>
      <c r="AR479" s="6" t="str">
        <f>HYPERLINK("http://catalog.hathitrust.org/Record/001534000","HathiTrust Record")</f>
        <v>HathiTrust Record</v>
      </c>
      <c r="AS479" s="6" t="str">
        <f>HYPERLINK("https://creighton-primo.hosted.exlibrisgroup.com/primo-explore/search?tab=default_tab&amp;search_scope=EVERYTHING&amp;vid=01CRU&amp;lang=en_US&amp;offset=0&amp;query=any,contains,991001341839702656","Catalog Record")</f>
        <v>Catalog Record</v>
      </c>
      <c r="AT479" s="6" t="str">
        <f>HYPERLINK("http://www.worldcat.org/oclc/18383468","WorldCat Record")</f>
        <v>WorldCat Record</v>
      </c>
      <c r="AU479" s="3" t="s">
        <v>6169</v>
      </c>
      <c r="AV479" s="3" t="s">
        <v>6170</v>
      </c>
      <c r="AW479" s="3" t="s">
        <v>6171</v>
      </c>
      <c r="AX479" s="3" t="s">
        <v>6171</v>
      </c>
      <c r="AY479" s="3" t="s">
        <v>6172</v>
      </c>
      <c r="AZ479" s="3" t="s">
        <v>76</v>
      </c>
      <c r="BB479" s="3" t="s">
        <v>6173</v>
      </c>
      <c r="BC479" s="3" t="s">
        <v>6174</v>
      </c>
      <c r="BD479" s="3" t="s">
        <v>6175</v>
      </c>
    </row>
    <row r="480" spans="1:56" ht="52.5" customHeight="1" x14ac:dyDescent="0.25">
      <c r="A480" s="7" t="s">
        <v>59</v>
      </c>
      <c r="B480" s="2" t="s">
        <v>6176</v>
      </c>
      <c r="C480" s="2" t="s">
        <v>6177</v>
      </c>
      <c r="D480" s="2" t="s">
        <v>6178</v>
      </c>
      <c r="F480" s="3" t="s">
        <v>59</v>
      </c>
      <c r="G480" s="3" t="s">
        <v>60</v>
      </c>
      <c r="H480" s="3" t="s">
        <v>59</v>
      </c>
      <c r="I480" s="3" t="s">
        <v>59</v>
      </c>
      <c r="J480" s="3" t="s">
        <v>61</v>
      </c>
      <c r="L480" s="2" t="s">
        <v>5873</v>
      </c>
      <c r="M480" s="3" t="s">
        <v>195</v>
      </c>
      <c r="O480" s="3" t="s">
        <v>65</v>
      </c>
      <c r="P480" s="3" t="s">
        <v>420</v>
      </c>
      <c r="R480" s="3" t="s">
        <v>68</v>
      </c>
      <c r="S480" s="4">
        <v>3</v>
      </c>
      <c r="T480" s="4">
        <v>3</v>
      </c>
      <c r="U480" s="5" t="s">
        <v>6179</v>
      </c>
      <c r="V480" s="5" t="s">
        <v>6179</v>
      </c>
      <c r="W480" s="5" t="s">
        <v>3508</v>
      </c>
      <c r="X480" s="5" t="s">
        <v>3508</v>
      </c>
      <c r="Y480" s="4">
        <v>673</v>
      </c>
      <c r="Z480" s="4">
        <v>531</v>
      </c>
      <c r="AA480" s="4">
        <v>535</v>
      </c>
      <c r="AB480" s="4">
        <v>5</v>
      </c>
      <c r="AC480" s="4">
        <v>5</v>
      </c>
      <c r="AD480" s="4">
        <v>24</v>
      </c>
      <c r="AE480" s="4">
        <v>24</v>
      </c>
      <c r="AF480" s="4">
        <v>9</v>
      </c>
      <c r="AG480" s="4">
        <v>9</v>
      </c>
      <c r="AH480" s="4">
        <v>4</v>
      </c>
      <c r="AI480" s="4">
        <v>4</v>
      </c>
      <c r="AJ480" s="4">
        <v>13</v>
      </c>
      <c r="AK480" s="4">
        <v>13</v>
      </c>
      <c r="AL480" s="4">
        <v>4</v>
      </c>
      <c r="AM480" s="4">
        <v>4</v>
      </c>
      <c r="AN480" s="4">
        <v>0</v>
      </c>
      <c r="AO480" s="4">
        <v>0</v>
      </c>
      <c r="AP480" s="3" t="s">
        <v>59</v>
      </c>
      <c r="AQ480" s="3" t="s">
        <v>71</v>
      </c>
      <c r="AR480" s="6" t="str">
        <f>HYPERLINK("http://catalog.hathitrust.org/Record/000102248","HathiTrust Record")</f>
        <v>HathiTrust Record</v>
      </c>
      <c r="AS480" s="6" t="str">
        <f>HYPERLINK("https://creighton-primo.hosted.exlibrisgroup.com/primo-explore/search?tab=default_tab&amp;search_scope=EVERYTHING&amp;vid=01CRU&amp;lang=en_US&amp;offset=0&amp;query=any,contains,991005219359702656","Catalog Record")</f>
        <v>Catalog Record</v>
      </c>
      <c r="AT480" s="6" t="str">
        <f>HYPERLINK("http://www.worldcat.org/oclc/8219267","WorldCat Record")</f>
        <v>WorldCat Record</v>
      </c>
      <c r="AU480" s="3" t="s">
        <v>6180</v>
      </c>
      <c r="AV480" s="3" t="s">
        <v>6181</v>
      </c>
      <c r="AW480" s="3" t="s">
        <v>6182</v>
      </c>
      <c r="AX480" s="3" t="s">
        <v>6182</v>
      </c>
      <c r="AY480" s="3" t="s">
        <v>6183</v>
      </c>
      <c r="AZ480" s="3" t="s">
        <v>76</v>
      </c>
      <c r="BB480" s="3" t="s">
        <v>6184</v>
      </c>
      <c r="BC480" s="3" t="s">
        <v>6185</v>
      </c>
      <c r="BD480" s="3" t="s">
        <v>6186</v>
      </c>
    </row>
    <row r="481" spans="1:56" ht="52.5" customHeight="1" x14ac:dyDescent="0.25">
      <c r="A481" s="7" t="s">
        <v>59</v>
      </c>
      <c r="B481" s="2" t="s">
        <v>6187</v>
      </c>
      <c r="C481" s="2" t="s">
        <v>6188</v>
      </c>
      <c r="D481" s="2" t="s">
        <v>6189</v>
      </c>
      <c r="F481" s="3" t="s">
        <v>59</v>
      </c>
      <c r="G481" s="3" t="s">
        <v>60</v>
      </c>
      <c r="H481" s="3" t="s">
        <v>59</v>
      </c>
      <c r="I481" s="3" t="s">
        <v>59</v>
      </c>
      <c r="J481" s="3" t="s">
        <v>61</v>
      </c>
      <c r="K481" s="2" t="s">
        <v>3858</v>
      </c>
      <c r="L481" s="2" t="s">
        <v>6190</v>
      </c>
      <c r="M481" s="3" t="s">
        <v>684</v>
      </c>
      <c r="O481" s="3" t="s">
        <v>65</v>
      </c>
      <c r="P481" s="3" t="s">
        <v>1262</v>
      </c>
      <c r="R481" s="3" t="s">
        <v>68</v>
      </c>
      <c r="S481" s="4">
        <v>6</v>
      </c>
      <c r="T481" s="4">
        <v>6</v>
      </c>
      <c r="U481" s="5" t="s">
        <v>6191</v>
      </c>
      <c r="V481" s="5" t="s">
        <v>6191</v>
      </c>
      <c r="W481" s="5" t="s">
        <v>3508</v>
      </c>
      <c r="X481" s="5" t="s">
        <v>3508</v>
      </c>
      <c r="Y481" s="4">
        <v>662</v>
      </c>
      <c r="Z481" s="4">
        <v>599</v>
      </c>
      <c r="AA481" s="4">
        <v>634</v>
      </c>
      <c r="AB481" s="4">
        <v>2</v>
      </c>
      <c r="AC481" s="4">
        <v>2</v>
      </c>
      <c r="AD481" s="4">
        <v>23</v>
      </c>
      <c r="AE481" s="4">
        <v>23</v>
      </c>
      <c r="AF481" s="4">
        <v>9</v>
      </c>
      <c r="AG481" s="4">
        <v>9</v>
      </c>
      <c r="AH481" s="4">
        <v>3</v>
      </c>
      <c r="AI481" s="4">
        <v>3</v>
      </c>
      <c r="AJ481" s="4">
        <v>15</v>
      </c>
      <c r="AK481" s="4">
        <v>15</v>
      </c>
      <c r="AL481" s="4">
        <v>1</v>
      </c>
      <c r="AM481" s="4">
        <v>1</v>
      </c>
      <c r="AN481" s="4">
        <v>0</v>
      </c>
      <c r="AO481" s="4">
        <v>0</v>
      </c>
      <c r="AP481" s="3" t="s">
        <v>59</v>
      </c>
      <c r="AQ481" s="3" t="s">
        <v>59</v>
      </c>
      <c r="AS481" s="6" t="str">
        <f>HYPERLINK("https://creighton-primo.hosted.exlibrisgroup.com/primo-explore/search?tab=default_tab&amp;search_scope=EVERYTHING&amp;vid=01CRU&amp;lang=en_US&amp;offset=0&amp;query=any,contains,991005135379702656","Catalog Record")</f>
        <v>Catalog Record</v>
      </c>
      <c r="AT481" s="6" t="str">
        <f>HYPERLINK("http://www.worldcat.org/oclc/7576482","WorldCat Record")</f>
        <v>WorldCat Record</v>
      </c>
      <c r="AU481" s="3" t="s">
        <v>6192</v>
      </c>
      <c r="AV481" s="3" t="s">
        <v>6193</v>
      </c>
      <c r="AW481" s="3" t="s">
        <v>6194</v>
      </c>
      <c r="AX481" s="3" t="s">
        <v>6194</v>
      </c>
      <c r="AY481" s="3" t="s">
        <v>6195</v>
      </c>
      <c r="AZ481" s="3" t="s">
        <v>76</v>
      </c>
      <c r="BB481" s="3" t="s">
        <v>6196</v>
      </c>
      <c r="BC481" s="3" t="s">
        <v>6197</v>
      </c>
      <c r="BD481" s="3" t="s">
        <v>6198</v>
      </c>
    </row>
    <row r="482" spans="1:56" ht="52.5" customHeight="1" x14ac:dyDescent="0.25">
      <c r="A482" s="7" t="s">
        <v>59</v>
      </c>
      <c r="B482" s="2" t="s">
        <v>6199</v>
      </c>
      <c r="C482" s="2" t="s">
        <v>6200</v>
      </c>
      <c r="D482" s="2" t="s">
        <v>6201</v>
      </c>
      <c r="F482" s="3" t="s">
        <v>59</v>
      </c>
      <c r="G482" s="3" t="s">
        <v>60</v>
      </c>
      <c r="H482" s="3" t="s">
        <v>59</v>
      </c>
      <c r="I482" s="3" t="s">
        <v>59</v>
      </c>
      <c r="J482" s="3" t="s">
        <v>61</v>
      </c>
      <c r="L482" s="2" t="s">
        <v>6202</v>
      </c>
      <c r="M482" s="3" t="s">
        <v>475</v>
      </c>
      <c r="O482" s="3" t="s">
        <v>65</v>
      </c>
      <c r="P482" s="3" t="s">
        <v>66</v>
      </c>
      <c r="Q482" s="2" t="s">
        <v>6203</v>
      </c>
      <c r="R482" s="3" t="s">
        <v>68</v>
      </c>
      <c r="S482" s="4">
        <v>2</v>
      </c>
      <c r="T482" s="4">
        <v>2</v>
      </c>
      <c r="U482" s="5" t="s">
        <v>6204</v>
      </c>
      <c r="V482" s="5" t="s">
        <v>6204</v>
      </c>
      <c r="W482" s="5" t="s">
        <v>3508</v>
      </c>
      <c r="X482" s="5" t="s">
        <v>3508</v>
      </c>
      <c r="Y482" s="4">
        <v>819</v>
      </c>
      <c r="Z482" s="4">
        <v>711</v>
      </c>
      <c r="AA482" s="4">
        <v>719</v>
      </c>
      <c r="AB482" s="4">
        <v>5</v>
      </c>
      <c r="AC482" s="4">
        <v>5</v>
      </c>
      <c r="AD482" s="4">
        <v>31</v>
      </c>
      <c r="AE482" s="4">
        <v>31</v>
      </c>
      <c r="AF482" s="4">
        <v>9</v>
      </c>
      <c r="AG482" s="4">
        <v>9</v>
      </c>
      <c r="AH482" s="4">
        <v>7</v>
      </c>
      <c r="AI482" s="4">
        <v>7</v>
      </c>
      <c r="AJ482" s="4">
        <v>18</v>
      </c>
      <c r="AK482" s="4">
        <v>18</v>
      </c>
      <c r="AL482" s="4">
        <v>4</v>
      </c>
      <c r="AM482" s="4">
        <v>4</v>
      </c>
      <c r="AN482" s="4">
        <v>0</v>
      </c>
      <c r="AO482" s="4">
        <v>0</v>
      </c>
      <c r="AP482" s="3" t="s">
        <v>59</v>
      </c>
      <c r="AQ482" s="3" t="s">
        <v>59</v>
      </c>
      <c r="AS482" s="6" t="str">
        <f>HYPERLINK("https://creighton-primo.hosted.exlibrisgroup.com/primo-explore/search?tab=default_tab&amp;search_scope=EVERYTHING&amp;vid=01CRU&amp;lang=en_US&amp;offset=0&amp;query=any,contains,991000214049702656","Catalog Record")</f>
        <v>Catalog Record</v>
      </c>
      <c r="AT482" s="6" t="str">
        <f>HYPERLINK("http://www.worldcat.org/oclc/9557055","WorldCat Record")</f>
        <v>WorldCat Record</v>
      </c>
      <c r="AU482" s="3" t="s">
        <v>6205</v>
      </c>
      <c r="AV482" s="3" t="s">
        <v>6206</v>
      </c>
      <c r="AW482" s="3" t="s">
        <v>6207</v>
      </c>
      <c r="AX482" s="3" t="s">
        <v>6207</v>
      </c>
      <c r="AY482" s="3" t="s">
        <v>6208</v>
      </c>
      <c r="AZ482" s="3" t="s">
        <v>76</v>
      </c>
      <c r="BB482" s="3" t="s">
        <v>6209</v>
      </c>
      <c r="BC482" s="3" t="s">
        <v>6210</v>
      </c>
      <c r="BD482" s="3" t="s">
        <v>6211</v>
      </c>
    </row>
    <row r="483" spans="1:56" ht="52.5" customHeight="1" x14ac:dyDescent="0.25">
      <c r="A483" s="7" t="s">
        <v>59</v>
      </c>
      <c r="B483" s="2" t="s">
        <v>6212</v>
      </c>
      <c r="C483" s="2" t="s">
        <v>6213</v>
      </c>
      <c r="D483" s="2" t="s">
        <v>6214</v>
      </c>
      <c r="F483" s="3" t="s">
        <v>59</v>
      </c>
      <c r="G483" s="3" t="s">
        <v>60</v>
      </c>
      <c r="H483" s="3" t="s">
        <v>59</v>
      </c>
      <c r="I483" s="3" t="s">
        <v>59</v>
      </c>
      <c r="J483" s="3" t="s">
        <v>61</v>
      </c>
      <c r="K483" s="2" t="s">
        <v>6215</v>
      </c>
      <c r="L483" s="2" t="s">
        <v>6216</v>
      </c>
      <c r="M483" s="3" t="s">
        <v>148</v>
      </c>
      <c r="O483" s="3" t="s">
        <v>65</v>
      </c>
      <c r="P483" s="3" t="s">
        <v>699</v>
      </c>
      <c r="R483" s="3" t="s">
        <v>68</v>
      </c>
      <c r="S483" s="4">
        <v>2</v>
      </c>
      <c r="T483" s="4">
        <v>2</v>
      </c>
      <c r="U483" s="5" t="s">
        <v>3172</v>
      </c>
      <c r="V483" s="5" t="s">
        <v>3172</v>
      </c>
      <c r="W483" s="5" t="s">
        <v>3745</v>
      </c>
      <c r="X483" s="5" t="s">
        <v>3745</v>
      </c>
      <c r="Y483" s="4">
        <v>447</v>
      </c>
      <c r="Z483" s="4">
        <v>364</v>
      </c>
      <c r="AA483" s="4">
        <v>401</v>
      </c>
      <c r="AB483" s="4">
        <v>4</v>
      </c>
      <c r="AC483" s="4">
        <v>4</v>
      </c>
      <c r="AD483" s="4">
        <v>16</v>
      </c>
      <c r="AE483" s="4">
        <v>16</v>
      </c>
      <c r="AF483" s="4">
        <v>6</v>
      </c>
      <c r="AG483" s="4">
        <v>6</v>
      </c>
      <c r="AH483" s="4">
        <v>3</v>
      </c>
      <c r="AI483" s="4">
        <v>3</v>
      </c>
      <c r="AJ483" s="4">
        <v>8</v>
      </c>
      <c r="AK483" s="4">
        <v>8</v>
      </c>
      <c r="AL483" s="4">
        <v>3</v>
      </c>
      <c r="AM483" s="4">
        <v>3</v>
      </c>
      <c r="AN483" s="4">
        <v>0</v>
      </c>
      <c r="AO483" s="4">
        <v>0</v>
      </c>
      <c r="AP483" s="3" t="s">
        <v>59</v>
      </c>
      <c r="AQ483" s="3" t="s">
        <v>71</v>
      </c>
      <c r="AR483" s="6" t="str">
        <f>HYPERLINK("http://catalog.hathitrust.org/Record/006242077","HathiTrust Record")</f>
        <v>HathiTrust Record</v>
      </c>
      <c r="AS483" s="6" t="str">
        <f>HYPERLINK("https://creighton-primo.hosted.exlibrisgroup.com/primo-explore/search?tab=default_tab&amp;search_scope=EVERYTHING&amp;vid=01CRU&amp;lang=en_US&amp;offset=0&amp;query=any,contains,991004041639702656","Catalog Record")</f>
        <v>Catalog Record</v>
      </c>
      <c r="AT483" s="6" t="str">
        <f>HYPERLINK("http://www.worldcat.org/oclc/2189042","WorldCat Record")</f>
        <v>WorldCat Record</v>
      </c>
      <c r="AU483" s="3" t="s">
        <v>6217</v>
      </c>
      <c r="AV483" s="3" t="s">
        <v>6218</v>
      </c>
      <c r="AW483" s="3" t="s">
        <v>6219</v>
      </c>
      <c r="AX483" s="3" t="s">
        <v>6219</v>
      </c>
      <c r="AY483" s="3" t="s">
        <v>6220</v>
      </c>
      <c r="AZ483" s="3" t="s">
        <v>76</v>
      </c>
      <c r="BB483" s="3" t="s">
        <v>6221</v>
      </c>
      <c r="BC483" s="3" t="s">
        <v>6222</v>
      </c>
      <c r="BD483" s="3" t="s">
        <v>6223</v>
      </c>
    </row>
    <row r="484" spans="1:56" ht="52.5" customHeight="1" x14ac:dyDescent="0.25">
      <c r="A484" s="7" t="s">
        <v>59</v>
      </c>
      <c r="B484" s="2" t="s">
        <v>6224</v>
      </c>
      <c r="C484" s="2" t="s">
        <v>6225</v>
      </c>
      <c r="D484" s="2" t="s">
        <v>6226</v>
      </c>
      <c r="F484" s="3" t="s">
        <v>59</v>
      </c>
      <c r="G484" s="3" t="s">
        <v>60</v>
      </c>
      <c r="H484" s="3" t="s">
        <v>59</v>
      </c>
      <c r="I484" s="3" t="s">
        <v>59</v>
      </c>
      <c r="J484" s="3" t="s">
        <v>61</v>
      </c>
      <c r="K484" s="2" t="s">
        <v>6227</v>
      </c>
      <c r="L484" s="2" t="s">
        <v>6228</v>
      </c>
      <c r="M484" s="3" t="s">
        <v>1217</v>
      </c>
      <c r="O484" s="3" t="s">
        <v>65</v>
      </c>
      <c r="P484" s="3" t="s">
        <v>699</v>
      </c>
      <c r="Q484" s="2" t="s">
        <v>6229</v>
      </c>
      <c r="R484" s="3" t="s">
        <v>68</v>
      </c>
      <c r="S484" s="4">
        <v>2</v>
      </c>
      <c r="T484" s="4">
        <v>2</v>
      </c>
      <c r="U484" s="5" t="s">
        <v>929</v>
      </c>
      <c r="V484" s="5" t="s">
        <v>929</v>
      </c>
      <c r="W484" s="5" t="s">
        <v>6230</v>
      </c>
      <c r="X484" s="5" t="s">
        <v>6230</v>
      </c>
      <c r="Y484" s="4">
        <v>313</v>
      </c>
      <c r="Z484" s="4">
        <v>210</v>
      </c>
      <c r="AA484" s="4">
        <v>217</v>
      </c>
      <c r="AB484" s="4">
        <v>2</v>
      </c>
      <c r="AC484" s="4">
        <v>2</v>
      </c>
      <c r="AD484" s="4">
        <v>13</v>
      </c>
      <c r="AE484" s="4">
        <v>13</v>
      </c>
      <c r="AF484" s="4">
        <v>3</v>
      </c>
      <c r="AG484" s="4">
        <v>3</v>
      </c>
      <c r="AH484" s="4">
        <v>4</v>
      </c>
      <c r="AI484" s="4">
        <v>4</v>
      </c>
      <c r="AJ484" s="4">
        <v>10</v>
      </c>
      <c r="AK484" s="4">
        <v>10</v>
      </c>
      <c r="AL484" s="4">
        <v>1</v>
      </c>
      <c r="AM484" s="4">
        <v>1</v>
      </c>
      <c r="AN484" s="4">
        <v>0</v>
      </c>
      <c r="AO484" s="4">
        <v>0</v>
      </c>
      <c r="AP484" s="3" t="s">
        <v>59</v>
      </c>
      <c r="AQ484" s="3" t="s">
        <v>71</v>
      </c>
      <c r="AR484" s="6" t="str">
        <f>HYPERLINK("http://catalog.hathitrust.org/Record/006237566","HathiTrust Record")</f>
        <v>HathiTrust Record</v>
      </c>
      <c r="AS484" s="6" t="str">
        <f>HYPERLINK("https://creighton-primo.hosted.exlibrisgroup.com/primo-explore/search?tab=default_tab&amp;search_scope=EVERYTHING&amp;vid=01CRU&amp;lang=en_US&amp;offset=0&amp;query=any,contains,991000238989702656","Catalog Record")</f>
        <v>Catalog Record</v>
      </c>
      <c r="AT484" s="6" t="str">
        <f>HYPERLINK("http://www.worldcat.org/oclc/9682581","WorldCat Record")</f>
        <v>WorldCat Record</v>
      </c>
      <c r="AU484" s="3" t="s">
        <v>6231</v>
      </c>
      <c r="AV484" s="3" t="s">
        <v>6232</v>
      </c>
      <c r="AW484" s="3" t="s">
        <v>6233</v>
      </c>
      <c r="AX484" s="3" t="s">
        <v>6233</v>
      </c>
      <c r="AY484" s="3" t="s">
        <v>6234</v>
      </c>
      <c r="AZ484" s="3" t="s">
        <v>76</v>
      </c>
      <c r="BB484" s="3" t="s">
        <v>6235</v>
      </c>
      <c r="BC484" s="3" t="s">
        <v>6236</v>
      </c>
      <c r="BD484" s="3" t="s">
        <v>6237</v>
      </c>
    </row>
    <row r="485" spans="1:56" ht="52.5" customHeight="1" x14ac:dyDescent="0.25">
      <c r="A485" s="7" t="s">
        <v>59</v>
      </c>
      <c r="B485" s="2" t="s">
        <v>6238</v>
      </c>
      <c r="C485" s="2" t="s">
        <v>6239</v>
      </c>
      <c r="D485" s="2" t="s">
        <v>6240</v>
      </c>
      <c r="F485" s="3" t="s">
        <v>59</v>
      </c>
      <c r="G485" s="3" t="s">
        <v>60</v>
      </c>
      <c r="H485" s="3" t="s">
        <v>59</v>
      </c>
      <c r="I485" s="3" t="s">
        <v>59</v>
      </c>
      <c r="J485" s="3" t="s">
        <v>61</v>
      </c>
      <c r="K485" s="2" t="s">
        <v>3755</v>
      </c>
      <c r="L485" s="2" t="s">
        <v>6241</v>
      </c>
      <c r="M485" s="3" t="s">
        <v>1467</v>
      </c>
      <c r="O485" s="3" t="s">
        <v>65</v>
      </c>
      <c r="P485" s="3" t="s">
        <v>66</v>
      </c>
      <c r="Q485" s="2" t="s">
        <v>3470</v>
      </c>
      <c r="R485" s="3" t="s">
        <v>68</v>
      </c>
      <c r="S485" s="4">
        <v>2</v>
      </c>
      <c r="T485" s="4">
        <v>2</v>
      </c>
      <c r="U485" s="5" t="s">
        <v>6242</v>
      </c>
      <c r="V485" s="5" t="s">
        <v>6242</v>
      </c>
      <c r="W485" s="5" t="s">
        <v>6243</v>
      </c>
      <c r="X485" s="5" t="s">
        <v>6243</v>
      </c>
      <c r="Y485" s="4">
        <v>739</v>
      </c>
      <c r="Z485" s="4">
        <v>589</v>
      </c>
      <c r="AA485" s="4">
        <v>1066</v>
      </c>
      <c r="AB485" s="4">
        <v>5</v>
      </c>
      <c r="AC485" s="4">
        <v>8</v>
      </c>
      <c r="AD485" s="4">
        <v>25</v>
      </c>
      <c r="AE485" s="4">
        <v>44</v>
      </c>
      <c r="AF485" s="4">
        <v>8</v>
      </c>
      <c r="AG485" s="4">
        <v>18</v>
      </c>
      <c r="AH485" s="4">
        <v>4</v>
      </c>
      <c r="AI485" s="4">
        <v>8</v>
      </c>
      <c r="AJ485" s="4">
        <v>12</v>
      </c>
      <c r="AK485" s="4">
        <v>22</v>
      </c>
      <c r="AL485" s="4">
        <v>4</v>
      </c>
      <c r="AM485" s="4">
        <v>7</v>
      </c>
      <c r="AN485" s="4">
        <v>0</v>
      </c>
      <c r="AO485" s="4">
        <v>0</v>
      </c>
      <c r="AP485" s="3" t="s">
        <v>59</v>
      </c>
      <c r="AQ485" s="3" t="s">
        <v>71</v>
      </c>
      <c r="AR485" s="6" t="str">
        <f>HYPERLINK("http://catalog.hathitrust.org/Record/000579672","HathiTrust Record")</f>
        <v>HathiTrust Record</v>
      </c>
      <c r="AS485" s="6" t="str">
        <f>HYPERLINK("https://creighton-primo.hosted.exlibrisgroup.com/primo-explore/search?tab=default_tab&amp;search_scope=EVERYTHING&amp;vid=01CRU&amp;lang=en_US&amp;offset=0&amp;query=any,contains,991001198149702656","Catalog Record")</f>
        <v>Catalog Record</v>
      </c>
      <c r="AT485" s="6" t="str">
        <f>HYPERLINK("http://www.worldcat.org/oclc/191357","WorldCat Record")</f>
        <v>WorldCat Record</v>
      </c>
      <c r="AU485" s="3" t="s">
        <v>6244</v>
      </c>
      <c r="AV485" s="3" t="s">
        <v>6245</v>
      </c>
      <c r="AW485" s="3" t="s">
        <v>6246</v>
      </c>
      <c r="AX485" s="3" t="s">
        <v>6246</v>
      </c>
      <c r="AY485" s="3" t="s">
        <v>6247</v>
      </c>
      <c r="AZ485" s="3" t="s">
        <v>76</v>
      </c>
      <c r="BC485" s="3" t="s">
        <v>6248</v>
      </c>
      <c r="BD485" s="3" t="s">
        <v>6249</v>
      </c>
    </row>
    <row r="486" spans="1:56" ht="52.5" customHeight="1" x14ac:dyDescent="0.25">
      <c r="A486" s="7" t="s">
        <v>59</v>
      </c>
      <c r="B486" s="2" t="s">
        <v>6250</v>
      </c>
      <c r="C486" s="2" t="s">
        <v>6251</v>
      </c>
      <c r="D486" s="2" t="s">
        <v>6252</v>
      </c>
      <c r="F486" s="3" t="s">
        <v>59</v>
      </c>
      <c r="G486" s="3" t="s">
        <v>60</v>
      </c>
      <c r="H486" s="3" t="s">
        <v>59</v>
      </c>
      <c r="I486" s="3" t="s">
        <v>59</v>
      </c>
      <c r="J486" s="3" t="s">
        <v>61</v>
      </c>
      <c r="L486" s="2" t="s">
        <v>6253</v>
      </c>
      <c r="M486" s="3" t="s">
        <v>148</v>
      </c>
      <c r="O486" s="3" t="s">
        <v>65</v>
      </c>
      <c r="P486" s="3" t="s">
        <v>1262</v>
      </c>
      <c r="Q486" s="2" t="s">
        <v>6254</v>
      </c>
      <c r="R486" s="3" t="s">
        <v>68</v>
      </c>
      <c r="S486" s="4">
        <v>2</v>
      </c>
      <c r="T486" s="4">
        <v>2</v>
      </c>
      <c r="U486" s="5" t="s">
        <v>6255</v>
      </c>
      <c r="V486" s="5" t="s">
        <v>6255</v>
      </c>
      <c r="W486" s="5" t="s">
        <v>3508</v>
      </c>
      <c r="X486" s="5" t="s">
        <v>3508</v>
      </c>
      <c r="Y486" s="4">
        <v>521</v>
      </c>
      <c r="Z486" s="4">
        <v>322</v>
      </c>
      <c r="AA486" s="4">
        <v>332</v>
      </c>
      <c r="AB486" s="4">
        <v>2</v>
      </c>
      <c r="AC486" s="4">
        <v>2</v>
      </c>
      <c r="AD486" s="4">
        <v>15</v>
      </c>
      <c r="AE486" s="4">
        <v>15</v>
      </c>
      <c r="AF486" s="4">
        <v>5</v>
      </c>
      <c r="AG486" s="4">
        <v>5</v>
      </c>
      <c r="AH486" s="4">
        <v>4</v>
      </c>
      <c r="AI486" s="4">
        <v>4</v>
      </c>
      <c r="AJ486" s="4">
        <v>11</v>
      </c>
      <c r="AK486" s="4">
        <v>11</v>
      </c>
      <c r="AL486" s="4">
        <v>1</v>
      </c>
      <c r="AM486" s="4">
        <v>1</v>
      </c>
      <c r="AN486" s="4">
        <v>0</v>
      </c>
      <c r="AO486" s="4">
        <v>0</v>
      </c>
      <c r="AP486" s="3" t="s">
        <v>59</v>
      </c>
      <c r="AQ486" s="3" t="s">
        <v>71</v>
      </c>
      <c r="AR486" s="6" t="str">
        <f>HYPERLINK("http://catalog.hathitrust.org/Record/002557139","HathiTrust Record")</f>
        <v>HathiTrust Record</v>
      </c>
      <c r="AS486" s="6" t="str">
        <f>HYPERLINK("https://creighton-primo.hosted.exlibrisgroup.com/primo-explore/search?tab=default_tab&amp;search_scope=EVERYTHING&amp;vid=01CRU&amp;lang=en_US&amp;offset=0&amp;query=any,contains,991004382579702656","Catalog Record")</f>
        <v>Catalog Record</v>
      </c>
      <c r="AT486" s="6" t="str">
        <f>HYPERLINK("http://www.worldcat.org/oclc/3224659","WorldCat Record")</f>
        <v>WorldCat Record</v>
      </c>
      <c r="AU486" s="3" t="s">
        <v>6256</v>
      </c>
      <c r="AV486" s="3" t="s">
        <v>6257</v>
      </c>
      <c r="AW486" s="3" t="s">
        <v>6258</v>
      </c>
      <c r="AX486" s="3" t="s">
        <v>6258</v>
      </c>
      <c r="AY486" s="3" t="s">
        <v>6259</v>
      </c>
      <c r="AZ486" s="3" t="s">
        <v>76</v>
      </c>
      <c r="BB486" s="3" t="s">
        <v>6260</v>
      </c>
      <c r="BC486" s="3" t="s">
        <v>6261</v>
      </c>
      <c r="BD486" s="3" t="s">
        <v>6262</v>
      </c>
    </row>
    <row r="487" spans="1:56" ht="52.5" customHeight="1" x14ac:dyDescent="0.25">
      <c r="A487" s="7" t="s">
        <v>59</v>
      </c>
      <c r="B487" s="2" t="s">
        <v>6263</v>
      </c>
      <c r="C487" s="2" t="s">
        <v>6264</v>
      </c>
      <c r="D487" s="2" t="s">
        <v>6265</v>
      </c>
      <c r="E487" s="3" t="s">
        <v>781</v>
      </c>
      <c r="F487" s="3" t="s">
        <v>59</v>
      </c>
      <c r="G487" s="3" t="s">
        <v>60</v>
      </c>
      <c r="H487" s="3" t="s">
        <v>59</v>
      </c>
      <c r="I487" s="3" t="s">
        <v>59</v>
      </c>
      <c r="J487" s="3" t="s">
        <v>61</v>
      </c>
      <c r="L487" s="2" t="s">
        <v>6266</v>
      </c>
      <c r="M487" s="3" t="s">
        <v>164</v>
      </c>
      <c r="O487" s="3" t="s">
        <v>65</v>
      </c>
      <c r="P487" s="3" t="s">
        <v>283</v>
      </c>
      <c r="Q487" s="2" t="s">
        <v>6267</v>
      </c>
      <c r="R487" s="3" t="s">
        <v>68</v>
      </c>
      <c r="S487" s="4">
        <v>5</v>
      </c>
      <c r="T487" s="4">
        <v>5</v>
      </c>
      <c r="U487" s="5" t="s">
        <v>846</v>
      </c>
      <c r="V487" s="5" t="s">
        <v>846</v>
      </c>
      <c r="W487" s="5" t="s">
        <v>6268</v>
      </c>
      <c r="X487" s="5" t="s">
        <v>6268</v>
      </c>
      <c r="Y487" s="4">
        <v>652</v>
      </c>
      <c r="Z487" s="4">
        <v>505</v>
      </c>
      <c r="AA487" s="4">
        <v>511</v>
      </c>
      <c r="AB487" s="4">
        <v>2</v>
      </c>
      <c r="AC487" s="4">
        <v>2</v>
      </c>
      <c r="AD487" s="4">
        <v>27</v>
      </c>
      <c r="AE487" s="4">
        <v>27</v>
      </c>
      <c r="AF487" s="4">
        <v>12</v>
      </c>
      <c r="AG487" s="4">
        <v>12</v>
      </c>
      <c r="AH487" s="4">
        <v>7</v>
      </c>
      <c r="AI487" s="4">
        <v>7</v>
      </c>
      <c r="AJ487" s="4">
        <v>17</v>
      </c>
      <c r="AK487" s="4">
        <v>17</v>
      </c>
      <c r="AL487" s="4">
        <v>1</v>
      </c>
      <c r="AM487" s="4">
        <v>1</v>
      </c>
      <c r="AN487" s="4">
        <v>0</v>
      </c>
      <c r="AO487" s="4">
        <v>0</v>
      </c>
      <c r="AP487" s="3" t="s">
        <v>59</v>
      </c>
      <c r="AQ487" s="3" t="s">
        <v>71</v>
      </c>
      <c r="AR487" s="6" t="str">
        <f>HYPERLINK("http://catalog.hathitrust.org/Record/000266624","HathiTrust Record")</f>
        <v>HathiTrust Record</v>
      </c>
      <c r="AS487" s="6" t="str">
        <f>HYPERLINK("https://creighton-primo.hosted.exlibrisgroup.com/primo-explore/search?tab=default_tab&amp;search_scope=EVERYTHING&amp;vid=01CRU&amp;lang=en_US&amp;offset=0&amp;query=any,contains,991004883719702656","Catalog Record")</f>
        <v>Catalog Record</v>
      </c>
      <c r="AT487" s="6" t="str">
        <f>HYPERLINK("http://www.worldcat.org/oclc/5830523","WorldCat Record")</f>
        <v>WorldCat Record</v>
      </c>
      <c r="AU487" s="3" t="s">
        <v>6269</v>
      </c>
      <c r="AV487" s="3" t="s">
        <v>6270</v>
      </c>
      <c r="AW487" s="3" t="s">
        <v>6271</v>
      </c>
      <c r="AX487" s="3" t="s">
        <v>6271</v>
      </c>
      <c r="AY487" s="3" t="s">
        <v>6272</v>
      </c>
      <c r="AZ487" s="3" t="s">
        <v>76</v>
      </c>
      <c r="BB487" s="3" t="s">
        <v>6273</v>
      </c>
      <c r="BC487" s="3" t="s">
        <v>6274</v>
      </c>
      <c r="BD487" s="3" t="s">
        <v>6275</v>
      </c>
    </row>
    <row r="488" spans="1:56" ht="52.5" customHeight="1" x14ac:dyDescent="0.25">
      <c r="A488" s="7" t="s">
        <v>59</v>
      </c>
      <c r="B488" s="2" t="s">
        <v>6276</v>
      </c>
      <c r="C488" s="2" t="s">
        <v>6277</v>
      </c>
      <c r="D488" s="2" t="s">
        <v>6278</v>
      </c>
      <c r="F488" s="3" t="s">
        <v>59</v>
      </c>
      <c r="G488" s="3" t="s">
        <v>60</v>
      </c>
      <c r="H488" s="3" t="s">
        <v>59</v>
      </c>
      <c r="I488" s="3" t="s">
        <v>59</v>
      </c>
      <c r="J488" s="3" t="s">
        <v>61</v>
      </c>
      <c r="K488" s="2" t="s">
        <v>6279</v>
      </c>
      <c r="L488" s="2" t="s">
        <v>6280</v>
      </c>
      <c r="M488" s="3" t="s">
        <v>684</v>
      </c>
      <c r="O488" s="3" t="s">
        <v>65</v>
      </c>
      <c r="P488" s="3" t="s">
        <v>1218</v>
      </c>
      <c r="R488" s="3" t="s">
        <v>68</v>
      </c>
      <c r="S488" s="4">
        <v>3</v>
      </c>
      <c r="T488" s="4">
        <v>3</v>
      </c>
      <c r="U488" s="5" t="s">
        <v>6281</v>
      </c>
      <c r="V488" s="5" t="s">
        <v>6281</v>
      </c>
      <c r="W488" s="5" t="s">
        <v>3508</v>
      </c>
      <c r="X488" s="5" t="s">
        <v>3508</v>
      </c>
      <c r="Y488" s="4">
        <v>581</v>
      </c>
      <c r="Z488" s="4">
        <v>516</v>
      </c>
      <c r="AA488" s="4">
        <v>518</v>
      </c>
      <c r="AB488" s="4">
        <v>5</v>
      </c>
      <c r="AC488" s="4">
        <v>5</v>
      </c>
      <c r="AD488" s="4">
        <v>27</v>
      </c>
      <c r="AE488" s="4">
        <v>27</v>
      </c>
      <c r="AF488" s="4">
        <v>13</v>
      </c>
      <c r="AG488" s="4">
        <v>13</v>
      </c>
      <c r="AH488" s="4">
        <v>5</v>
      </c>
      <c r="AI488" s="4">
        <v>5</v>
      </c>
      <c r="AJ488" s="4">
        <v>15</v>
      </c>
      <c r="AK488" s="4">
        <v>15</v>
      </c>
      <c r="AL488" s="4">
        <v>4</v>
      </c>
      <c r="AM488" s="4">
        <v>4</v>
      </c>
      <c r="AN488" s="4">
        <v>0</v>
      </c>
      <c r="AO488" s="4">
        <v>0</v>
      </c>
      <c r="AP488" s="3" t="s">
        <v>59</v>
      </c>
      <c r="AQ488" s="3" t="s">
        <v>71</v>
      </c>
      <c r="AR488" s="6" t="str">
        <f>HYPERLINK("http://catalog.hathitrust.org/Record/000221388","HathiTrust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HYPERLINK("https://creighton-primo.hosted.exlibrisgroup.com/primo-explore/search?tab=default_tab&amp;search_scope=EVERYTHING&amp;vid=01CRU&amp;lang=en_US&amp;offset=0&amp;query=any,contains,991005086099702656","Catalog Record")</f>
        <v>Catalog Record</v>
      </c>
      <c r="AT488" s="6" t="str">
        <f>HYPERLINK("http://www.worldcat.org/oclc/7196743","WorldCat Record")</f>
        <v>WorldCat Record</v>
      </c>
      <c r="AU488" s="3" t="s">
        <v>6282</v>
      </c>
      <c r="AV488" s="3" t="s">
        <v>6283</v>
      </c>
      <c r="AW488" s="3" t="s">
        <v>6284</v>
      </c>
      <c r="AX488" s="3" t="s">
        <v>6284</v>
      </c>
      <c r="AY488" s="3" t="s">
        <v>6285</v>
      </c>
      <c r="AZ488" s="3" t="s">
        <v>76</v>
      </c>
      <c r="BB488" s="3" t="s">
        <v>6286</v>
      </c>
      <c r="BC488" s="3" t="s">
        <v>6287</v>
      </c>
      <c r="BD488" s="3" t="s">
        <v>6288</v>
      </c>
    </row>
    <row r="489" spans="1:56" ht="52.5" customHeight="1" x14ac:dyDescent="0.25">
      <c r="A489" s="7" t="s">
        <v>59</v>
      </c>
      <c r="B489" s="2" t="s">
        <v>6289</v>
      </c>
      <c r="C489" s="2" t="s">
        <v>6290</v>
      </c>
      <c r="D489" s="2" t="s">
        <v>6291</v>
      </c>
      <c r="F489" s="3" t="s">
        <v>59</v>
      </c>
      <c r="G489" s="3" t="s">
        <v>60</v>
      </c>
      <c r="H489" s="3" t="s">
        <v>59</v>
      </c>
      <c r="I489" s="3" t="s">
        <v>59</v>
      </c>
      <c r="J489" s="3" t="s">
        <v>61</v>
      </c>
      <c r="K489" s="2" t="s">
        <v>6292</v>
      </c>
      <c r="L489" s="2" t="s">
        <v>6293</v>
      </c>
      <c r="M489" s="3" t="s">
        <v>616</v>
      </c>
      <c r="O489" s="3" t="s">
        <v>65</v>
      </c>
      <c r="P489" s="3" t="s">
        <v>66</v>
      </c>
      <c r="R489" s="3" t="s">
        <v>68</v>
      </c>
      <c r="S489" s="4">
        <v>4</v>
      </c>
      <c r="T489" s="4">
        <v>4</v>
      </c>
      <c r="U489" s="5" t="s">
        <v>6294</v>
      </c>
      <c r="V489" s="5" t="s">
        <v>6294</v>
      </c>
      <c r="W489" s="5" t="s">
        <v>6295</v>
      </c>
      <c r="X489" s="5" t="s">
        <v>6295</v>
      </c>
      <c r="Y489" s="4">
        <v>472</v>
      </c>
      <c r="Z489" s="4">
        <v>382</v>
      </c>
      <c r="AA489" s="4">
        <v>386</v>
      </c>
      <c r="AB489" s="4">
        <v>5</v>
      </c>
      <c r="AC489" s="4">
        <v>5</v>
      </c>
      <c r="AD489" s="4">
        <v>18</v>
      </c>
      <c r="AE489" s="4">
        <v>18</v>
      </c>
      <c r="AF489" s="4">
        <v>7</v>
      </c>
      <c r="AG489" s="4">
        <v>7</v>
      </c>
      <c r="AH489" s="4">
        <v>1</v>
      </c>
      <c r="AI489" s="4">
        <v>1</v>
      </c>
      <c r="AJ489" s="4">
        <v>9</v>
      </c>
      <c r="AK489" s="4">
        <v>9</v>
      </c>
      <c r="AL489" s="4">
        <v>4</v>
      </c>
      <c r="AM489" s="4">
        <v>4</v>
      </c>
      <c r="AN489" s="4">
        <v>0</v>
      </c>
      <c r="AO489" s="4">
        <v>0</v>
      </c>
      <c r="AP489" s="3" t="s">
        <v>59</v>
      </c>
      <c r="AQ489" s="3" t="s">
        <v>71</v>
      </c>
      <c r="AR489" s="6" t="str">
        <f>HYPERLINK("http://catalog.hathitrust.org/Record/001104602","HathiTrust Record")</f>
        <v>HathiTrust Record</v>
      </c>
      <c r="AS489" s="6" t="str">
        <f>HYPERLINK("https://creighton-primo.hosted.exlibrisgroup.com/primo-explore/search?tab=default_tab&amp;search_scope=EVERYTHING&amp;vid=01CRU&amp;lang=en_US&amp;offset=0&amp;query=any,contains,991001098079702656","Catalog Record")</f>
        <v>Catalog Record</v>
      </c>
      <c r="AT489" s="6" t="str">
        <f>HYPERLINK("http://www.worldcat.org/oclc/16277573","WorldCat Record")</f>
        <v>WorldCat Record</v>
      </c>
      <c r="AU489" s="3" t="s">
        <v>6296</v>
      </c>
      <c r="AV489" s="3" t="s">
        <v>6297</v>
      </c>
      <c r="AW489" s="3" t="s">
        <v>6298</v>
      </c>
      <c r="AX489" s="3" t="s">
        <v>6298</v>
      </c>
      <c r="AY489" s="3" t="s">
        <v>6299</v>
      </c>
      <c r="AZ489" s="3" t="s">
        <v>76</v>
      </c>
      <c r="BB489" s="3" t="s">
        <v>6300</v>
      </c>
      <c r="BC489" s="3" t="s">
        <v>6301</v>
      </c>
      <c r="BD489" s="3" t="s">
        <v>6302</v>
      </c>
    </row>
    <row r="490" spans="1:56" ht="52.5" customHeight="1" x14ac:dyDescent="0.25">
      <c r="A490" s="7" t="s">
        <v>59</v>
      </c>
      <c r="B490" s="2" t="s">
        <v>6303</v>
      </c>
      <c r="C490" s="2" t="s">
        <v>6304</v>
      </c>
      <c r="D490" s="2" t="s">
        <v>6305</v>
      </c>
      <c r="F490" s="3" t="s">
        <v>59</v>
      </c>
      <c r="G490" s="3" t="s">
        <v>60</v>
      </c>
      <c r="H490" s="3" t="s">
        <v>59</v>
      </c>
      <c r="I490" s="3" t="s">
        <v>59</v>
      </c>
      <c r="J490" s="3" t="s">
        <v>61</v>
      </c>
      <c r="K490" s="2" t="s">
        <v>6306</v>
      </c>
      <c r="L490" s="2" t="s">
        <v>6307</v>
      </c>
      <c r="M490" s="3" t="s">
        <v>616</v>
      </c>
      <c r="O490" s="3" t="s">
        <v>65</v>
      </c>
      <c r="P490" s="3" t="s">
        <v>1262</v>
      </c>
      <c r="R490" s="3" t="s">
        <v>68</v>
      </c>
      <c r="S490" s="4">
        <v>1</v>
      </c>
      <c r="T490" s="4">
        <v>1</v>
      </c>
      <c r="U490" s="5" t="s">
        <v>6308</v>
      </c>
      <c r="V490" s="5" t="s">
        <v>6308</v>
      </c>
      <c r="W490" s="5" t="s">
        <v>6295</v>
      </c>
      <c r="X490" s="5" t="s">
        <v>6295</v>
      </c>
      <c r="Y490" s="4">
        <v>398</v>
      </c>
      <c r="Z490" s="4">
        <v>276</v>
      </c>
      <c r="AA490" s="4">
        <v>281</v>
      </c>
      <c r="AB490" s="4">
        <v>3</v>
      </c>
      <c r="AC490" s="4">
        <v>3</v>
      </c>
      <c r="AD490" s="4">
        <v>18</v>
      </c>
      <c r="AE490" s="4">
        <v>18</v>
      </c>
      <c r="AF490" s="4">
        <v>8</v>
      </c>
      <c r="AG490" s="4">
        <v>8</v>
      </c>
      <c r="AH490" s="4">
        <v>3</v>
      </c>
      <c r="AI490" s="4">
        <v>3</v>
      </c>
      <c r="AJ490" s="4">
        <v>8</v>
      </c>
      <c r="AK490" s="4">
        <v>8</v>
      </c>
      <c r="AL490" s="4">
        <v>2</v>
      </c>
      <c r="AM490" s="4">
        <v>2</v>
      </c>
      <c r="AN490" s="4">
        <v>0</v>
      </c>
      <c r="AO490" s="4">
        <v>0</v>
      </c>
      <c r="AP490" s="3" t="s">
        <v>59</v>
      </c>
      <c r="AQ490" s="3" t="s">
        <v>59</v>
      </c>
      <c r="AS490" s="6" t="str">
        <f>HYPERLINK("https://creighton-primo.hosted.exlibrisgroup.com/primo-explore/search?tab=default_tab&amp;search_scope=EVERYTHING&amp;vid=01CRU&amp;lang=en_US&amp;offset=0&amp;query=any,contains,991001236579702656","Catalog Record")</f>
        <v>Catalog Record</v>
      </c>
      <c r="AT490" s="6" t="str">
        <f>HYPERLINK("http://www.worldcat.org/oclc/17551598","WorldCat Record")</f>
        <v>WorldCat Record</v>
      </c>
      <c r="AU490" s="3" t="s">
        <v>6309</v>
      </c>
      <c r="AV490" s="3" t="s">
        <v>6310</v>
      </c>
      <c r="AW490" s="3" t="s">
        <v>6311</v>
      </c>
      <c r="AX490" s="3" t="s">
        <v>6311</v>
      </c>
      <c r="AY490" s="3" t="s">
        <v>6312</v>
      </c>
      <c r="AZ490" s="3" t="s">
        <v>76</v>
      </c>
      <c r="BB490" s="3" t="s">
        <v>6313</v>
      </c>
      <c r="BC490" s="3" t="s">
        <v>6314</v>
      </c>
      <c r="BD490" s="3" t="s">
        <v>6315</v>
      </c>
    </row>
    <row r="491" spans="1:56" ht="52.5" customHeight="1" x14ac:dyDescent="0.25">
      <c r="A491" s="7" t="s">
        <v>59</v>
      </c>
      <c r="B491" s="2" t="s">
        <v>6316</v>
      </c>
      <c r="C491" s="2" t="s">
        <v>6317</v>
      </c>
      <c r="D491" s="2" t="s">
        <v>6318</v>
      </c>
      <c r="F491" s="3" t="s">
        <v>59</v>
      </c>
      <c r="G491" s="3" t="s">
        <v>60</v>
      </c>
      <c r="H491" s="3" t="s">
        <v>59</v>
      </c>
      <c r="I491" s="3" t="s">
        <v>59</v>
      </c>
      <c r="J491" s="3" t="s">
        <v>61</v>
      </c>
      <c r="K491" s="2" t="s">
        <v>6319</v>
      </c>
      <c r="L491" s="2" t="s">
        <v>6320</v>
      </c>
      <c r="M491" s="3" t="s">
        <v>309</v>
      </c>
      <c r="O491" s="3" t="s">
        <v>65</v>
      </c>
      <c r="P491" s="3" t="s">
        <v>699</v>
      </c>
      <c r="Q491" s="2" t="s">
        <v>5014</v>
      </c>
      <c r="R491" s="3" t="s">
        <v>68</v>
      </c>
      <c r="S491" s="4">
        <v>4</v>
      </c>
      <c r="T491" s="4">
        <v>4</v>
      </c>
      <c r="U491" s="5" t="s">
        <v>6321</v>
      </c>
      <c r="V491" s="5" t="s">
        <v>6321</v>
      </c>
      <c r="W491" s="5" t="s">
        <v>6322</v>
      </c>
      <c r="X491" s="5" t="s">
        <v>6322</v>
      </c>
      <c r="Y491" s="4">
        <v>370</v>
      </c>
      <c r="Z491" s="4">
        <v>336</v>
      </c>
      <c r="AA491" s="4">
        <v>398</v>
      </c>
      <c r="AB491" s="4">
        <v>2</v>
      </c>
      <c r="AC491" s="4">
        <v>3</v>
      </c>
      <c r="AD491" s="4">
        <v>23</v>
      </c>
      <c r="AE491" s="4">
        <v>27</v>
      </c>
      <c r="AF491" s="4">
        <v>9</v>
      </c>
      <c r="AG491" s="4">
        <v>10</v>
      </c>
      <c r="AH491" s="4">
        <v>4</v>
      </c>
      <c r="AI491" s="4">
        <v>4</v>
      </c>
      <c r="AJ491" s="4">
        <v>13</v>
      </c>
      <c r="AK491" s="4">
        <v>16</v>
      </c>
      <c r="AL491" s="4">
        <v>1</v>
      </c>
      <c r="AM491" s="4">
        <v>2</v>
      </c>
      <c r="AN491" s="4">
        <v>0</v>
      </c>
      <c r="AO491" s="4">
        <v>0</v>
      </c>
      <c r="AP491" s="3" t="s">
        <v>59</v>
      </c>
      <c r="AQ491" s="3" t="s">
        <v>71</v>
      </c>
      <c r="AR491" s="6" t="str">
        <f>HYPERLINK("http://catalog.hathitrust.org/Record/004442545","HathiTrust Record")</f>
        <v>HathiTrust Record</v>
      </c>
      <c r="AS491" s="6" t="str">
        <f>HYPERLINK("https://creighton-primo.hosted.exlibrisgroup.com/primo-explore/search?tab=default_tab&amp;search_scope=EVERYTHING&amp;vid=01CRU&amp;lang=en_US&amp;offset=0&amp;query=any,contains,991004476599702656","Catalog Record")</f>
        <v>Catalog Record</v>
      </c>
      <c r="AT491" s="6" t="str">
        <f>HYPERLINK("http://www.worldcat.org/oclc/3609528","WorldCat Record")</f>
        <v>WorldCat Record</v>
      </c>
      <c r="AU491" s="3" t="s">
        <v>6323</v>
      </c>
      <c r="AV491" s="3" t="s">
        <v>6324</v>
      </c>
      <c r="AW491" s="3" t="s">
        <v>6325</v>
      </c>
      <c r="AX491" s="3" t="s">
        <v>6325</v>
      </c>
      <c r="AY491" s="3" t="s">
        <v>6326</v>
      </c>
      <c r="AZ491" s="3" t="s">
        <v>76</v>
      </c>
      <c r="BB491" s="3" t="s">
        <v>6327</v>
      </c>
      <c r="BC491" s="3" t="s">
        <v>6328</v>
      </c>
      <c r="BD491" s="3" t="s">
        <v>6329</v>
      </c>
    </row>
    <row r="492" spans="1:56" ht="52.5" customHeight="1" x14ac:dyDescent="0.25">
      <c r="A492" s="7" t="s">
        <v>59</v>
      </c>
      <c r="B492" s="2" t="s">
        <v>6330</v>
      </c>
      <c r="C492" s="2" t="s">
        <v>6331</v>
      </c>
      <c r="D492" s="2" t="s">
        <v>6332</v>
      </c>
      <c r="F492" s="3" t="s">
        <v>59</v>
      </c>
      <c r="G492" s="3" t="s">
        <v>60</v>
      </c>
      <c r="H492" s="3" t="s">
        <v>59</v>
      </c>
      <c r="I492" s="3" t="s">
        <v>59</v>
      </c>
      <c r="J492" s="3" t="s">
        <v>61</v>
      </c>
      <c r="L492" s="2" t="s">
        <v>6333</v>
      </c>
      <c r="M492" s="3" t="s">
        <v>131</v>
      </c>
      <c r="O492" s="3" t="s">
        <v>65</v>
      </c>
      <c r="P492" s="3" t="s">
        <v>66</v>
      </c>
      <c r="R492" s="3" t="s">
        <v>68</v>
      </c>
      <c r="S492" s="4">
        <v>2</v>
      </c>
      <c r="T492" s="4">
        <v>2</v>
      </c>
      <c r="U492" s="5" t="s">
        <v>6334</v>
      </c>
      <c r="V492" s="5" t="s">
        <v>6334</v>
      </c>
      <c r="W492" s="5" t="s">
        <v>2456</v>
      </c>
      <c r="X492" s="5" t="s">
        <v>2456</v>
      </c>
      <c r="Y492" s="4">
        <v>310</v>
      </c>
      <c r="Z492" s="4">
        <v>279</v>
      </c>
      <c r="AA492" s="4">
        <v>370</v>
      </c>
      <c r="AB492" s="4">
        <v>3</v>
      </c>
      <c r="AC492" s="4">
        <v>3</v>
      </c>
      <c r="AD492" s="4">
        <v>14</v>
      </c>
      <c r="AE492" s="4">
        <v>18</v>
      </c>
      <c r="AF492" s="4">
        <v>3</v>
      </c>
      <c r="AG492" s="4">
        <v>4</v>
      </c>
      <c r="AH492" s="4">
        <v>2</v>
      </c>
      <c r="AI492" s="4">
        <v>4</v>
      </c>
      <c r="AJ492" s="4">
        <v>10</v>
      </c>
      <c r="AK492" s="4">
        <v>12</v>
      </c>
      <c r="AL492" s="4">
        <v>2</v>
      </c>
      <c r="AM492" s="4">
        <v>2</v>
      </c>
      <c r="AN492" s="4">
        <v>0</v>
      </c>
      <c r="AO492" s="4">
        <v>0</v>
      </c>
      <c r="AP492" s="3" t="s">
        <v>59</v>
      </c>
      <c r="AQ492" s="3" t="s">
        <v>71</v>
      </c>
      <c r="AR492" s="6" t="str">
        <f>HYPERLINK("http://catalog.hathitrust.org/Record/006242082","HathiTrust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HYPERLINK("https://creighton-primo.hosted.exlibrisgroup.com/primo-explore/search?tab=default_tab&amp;search_scope=EVERYTHING&amp;vid=01CRU&amp;lang=en_US&amp;offset=0&amp;query=any,contains,991003447019702656","Catalog Record")</f>
        <v>Catalog Record</v>
      </c>
      <c r="AT492" s="6" t="str">
        <f>HYPERLINK("http://www.worldcat.org/oclc/982652","WorldCat Record")</f>
        <v>WorldCat Record</v>
      </c>
      <c r="AU492" s="3" t="s">
        <v>6335</v>
      </c>
      <c r="AV492" s="3" t="s">
        <v>6336</v>
      </c>
      <c r="AW492" s="3" t="s">
        <v>6337</v>
      </c>
      <c r="AX492" s="3" t="s">
        <v>6337</v>
      </c>
      <c r="AY492" s="3" t="s">
        <v>6338</v>
      </c>
      <c r="AZ492" s="3" t="s">
        <v>76</v>
      </c>
      <c r="BC492" s="3" t="s">
        <v>6339</v>
      </c>
      <c r="BD492" s="3" t="s">
        <v>6340</v>
      </c>
    </row>
    <row r="493" spans="1:56" ht="52.5" customHeight="1" x14ac:dyDescent="0.25">
      <c r="A493" s="7" t="s">
        <v>59</v>
      </c>
      <c r="B493" s="2" t="s">
        <v>6341</v>
      </c>
      <c r="C493" s="2" t="s">
        <v>6342</v>
      </c>
      <c r="D493" s="2" t="s">
        <v>6343</v>
      </c>
      <c r="F493" s="3" t="s">
        <v>59</v>
      </c>
      <c r="G493" s="3" t="s">
        <v>60</v>
      </c>
      <c r="H493" s="3" t="s">
        <v>59</v>
      </c>
      <c r="I493" s="3" t="s">
        <v>59</v>
      </c>
      <c r="J493" s="3" t="s">
        <v>61</v>
      </c>
      <c r="K493" s="2" t="s">
        <v>6344</v>
      </c>
      <c r="L493" s="2" t="s">
        <v>6345</v>
      </c>
      <c r="M493" s="3" t="s">
        <v>115</v>
      </c>
      <c r="O493" s="3" t="s">
        <v>65</v>
      </c>
      <c r="P493" s="3" t="s">
        <v>66</v>
      </c>
      <c r="R493" s="3" t="s">
        <v>68</v>
      </c>
      <c r="S493" s="4">
        <v>3</v>
      </c>
      <c r="T493" s="4">
        <v>3</v>
      </c>
      <c r="U493" s="5" t="s">
        <v>6346</v>
      </c>
      <c r="V493" s="5" t="s">
        <v>6346</v>
      </c>
      <c r="W493" s="5" t="s">
        <v>3745</v>
      </c>
      <c r="X493" s="5" t="s">
        <v>3745</v>
      </c>
      <c r="Y493" s="4">
        <v>538</v>
      </c>
      <c r="Z493" s="4">
        <v>502</v>
      </c>
      <c r="AA493" s="4">
        <v>765</v>
      </c>
      <c r="AB493" s="4">
        <v>3</v>
      </c>
      <c r="AC493" s="4">
        <v>4</v>
      </c>
      <c r="AD493" s="4">
        <v>20</v>
      </c>
      <c r="AE493" s="4">
        <v>27</v>
      </c>
      <c r="AF493" s="4">
        <v>10</v>
      </c>
      <c r="AG493" s="4">
        <v>12</v>
      </c>
      <c r="AH493" s="4">
        <v>6</v>
      </c>
      <c r="AI493" s="4">
        <v>8</v>
      </c>
      <c r="AJ493" s="4">
        <v>11</v>
      </c>
      <c r="AK493" s="4">
        <v>14</v>
      </c>
      <c r="AL493" s="4">
        <v>2</v>
      </c>
      <c r="AM493" s="4">
        <v>3</v>
      </c>
      <c r="AN493" s="4">
        <v>0</v>
      </c>
      <c r="AO493" s="4">
        <v>0</v>
      </c>
      <c r="AP493" s="3" t="s">
        <v>59</v>
      </c>
      <c r="AQ493" s="3" t="s">
        <v>71</v>
      </c>
      <c r="AR493" s="6" t="str">
        <f>HYPERLINK("http://catalog.hathitrust.org/Record/009906627","HathiTrust Record")</f>
        <v>HathiTrust Record</v>
      </c>
      <c r="AS493" s="6" t="str">
        <f>HYPERLINK("https://creighton-primo.hosted.exlibrisgroup.com/primo-explore/search?tab=default_tab&amp;search_scope=EVERYTHING&amp;vid=01CRU&amp;lang=en_US&amp;offset=0&amp;query=any,contains,991004286339702656","Catalog Record")</f>
        <v>Catalog Record</v>
      </c>
      <c r="AT493" s="6" t="str">
        <f>HYPERLINK("http://www.worldcat.org/oclc/2926973","WorldCat Record")</f>
        <v>WorldCat Record</v>
      </c>
      <c r="AU493" s="3" t="s">
        <v>6347</v>
      </c>
      <c r="AV493" s="3" t="s">
        <v>6348</v>
      </c>
      <c r="AW493" s="3" t="s">
        <v>6349</v>
      </c>
      <c r="AX493" s="3" t="s">
        <v>6349</v>
      </c>
      <c r="AY493" s="3" t="s">
        <v>6350</v>
      </c>
      <c r="AZ493" s="3" t="s">
        <v>76</v>
      </c>
      <c r="BB493" s="3" t="s">
        <v>6351</v>
      </c>
      <c r="BC493" s="3" t="s">
        <v>6352</v>
      </c>
      <c r="BD493" s="3" t="s">
        <v>6353</v>
      </c>
    </row>
    <row r="494" spans="1:56" ht="52.5" customHeight="1" x14ac:dyDescent="0.25">
      <c r="A494" s="7" t="s">
        <v>59</v>
      </c>
      <c r="B494" s="2" t="s">
        <v>6354</v>
      </c>
      <c r="C494" s="2" t="s">
        <v>6355</v>
      </c>
      <c r="D494" s="2" t="s">
        <v>6356</v>
      </c>
      <c r="F494" s="3" t="s">
        <v>59</v>
      </c>
      <c r="G494" s="3" t="s">
        <v>60</v>
      </c>
      <c r="H494" s="3" t="s">
        <v>59</v>
      </c>
      <c r="I494" s="3" t="s">
        <v>59</v>
      </c>
      <c r="J494" s="3" t="s">
        <v>61</v>
      </c>
      <c r="K494" s="2" t="s">
        <v>6357</v>
      </c>
      <c r="L494" s="2" t="s">
        <v>6358</v>
      </c>
      <c r="M494" s="3" t="s">
        <v>64</v>
      </c>
      <c r="O494" s="3" t="s">
        <v>65</v>
      </c>
      <c r="P494" s="3" t="s">
        <v>66</v>
      </c>
      <c r="R494" s="3" t="s">
        <v>68</v>
      </c>
      <c r="S494" s="4">
        <v>1</v>
      </c>
      <c r="T494" s="4">
        <v>1</v>
      </c>
      <c r="U494" s="5" t="s">
        <v>6359</v>
      </c>
      <c r="V494" s="5" t="s">
        <v>6359</v>
      </c>
      <c r="W494" s="5" t="s">
        <v>974</v>
      </c>
      <c r="X494" s="5" t="s">
        <v>974</v>
      </c>
      <c r="Y494" s="4">
        <v>494</v>
      </c>
      <c r="Z494" s="4">
        <v>359</v>
      </c>
      <c r="AA494" s="4">
        <v>365</v>
      </c>
      <c r="AB494" s="4">
        <v>3</v>
      </c>
      <c r="AC494" s="4">
        <v>3</v>
      </c>
      <c r="AD494" s="4">
        <v>20</v>
      </c>
      <c r="AE494" s="4">
        <v>20</v>
      </c>
      <c r="AF494" s="4">
        <v>7</v>
      </c>
      <c r="AG494" s="4">
        <v>7</v>
      </c>
      <c r="AH494" s="4">
        <v>5</v>
      </c>
      <c r="AI494" s="4">
        <v>5</v>
      </c>
      <c r="AJ494" s="4">
        <v>13</v>
      </c>
      <c r="AK494" s="4">
        <v>13</v>
      </c>
      <c r="AL494" s="4">
        <v>2</v>
      </c>
      <c r="AM494" s="4">
        <v>2</v>
      </c>
      <c r="AN494" s="4">
        <v>0</v>
      </c>
      <c r="AO494" s="4">
        <v>0</v>
      </c>
      <c r="AP494" s="3" t="s">
        <v>59</v>
      </c>
      <c r="AQ494" s="3" t="s">
        <v>71</v>
      </c>
      <c r="AR494" s="6" t="str">
        <f>HYPERLINK("http://catalog.hathitrust.org/Record/000579375","HathiTrust Record")</f>
        <v>HathiTrust Record</v>
      </c>
      <c r="AS494" s="6" t="str">
        <f>HYPERLINK("https://creighton-primo.hosted.exlibrisgroup.com/primo-explore/search?tab=default_tab&amp;search_scope=EVERYTHING&amp;vid=01CRU&amp;lang=en_US&amp;offset=0&amp;query=any,contains,991001210129702656","Catalog Record")</f>
        <v>Catalog Record</v>
      </c>
      <c r="AT494" s="6" t="str">
        <f>HYPERLINK("http://www.worldcat.org/oclc/193120","WorldCat Record")</f>
        <v>WorldCat Record</v>
      </c>
      <c r="AU494" s="3" t="s">
        <v>6360</v>
      </c>
      <c r="AV494" s="3" t="s">
        <v>6361</v>
      </c>
      <c r="AW494" s="3" t="s">
        <v>6362</v>
      </c>
      <c r="AX494" s="3" t="s">
        <v>6362</v>
      </c>
      <c r="AY494" s="3" t="s">
        <v>6363</v>
      </c>
      <c r="AZ494" s="3" t="s">
        <v>76</v>
      </c>
      <c r="BC494" s="3" t="s">
        <v>6364</v>
      </c>
      <c r="BD494" s="3" t="s">
        <v>6365</v>
      </c>
    </row>
    <row r="495" spans="1:56" ht="52.5" customHeight="1" x14ac:dyDescent="0.25">
      <c r="A495" s="7" t="s">
        <v>59</v>
      </c>
      <c r="B495" s="2" t="s">
        <v>6366</v>
      </c>
      <c r="C495" s="2" t="s">
        <v>6367</v>
      </c>
      <c r="D495" s="2" t="s">
        <v>6368</v>
      </c>
      <c r="F495" s="3" t="s">
        <v>59</v>
      </c>
      <c r="G495" s="3" t="s">
        <v>60</v>
      </c>
      <c r="H495" s="3" t="s">
        <v>59</v>
      </c>
      <c r="I495" s="3" t="s">
        <v>59</v>
      </c>
      <c r="J495" s="3" t="s">
        <v>61</v>
      </c>
      <c r="K495" s="2" t="s">
        <v>6369</v>
      </c>
      <c r="L495" s="2" t="s">
        <v>6370</v>
      </c>
      <c r="M495" s="3" t="s">
        <v>131</v>
      </c>
      <c r="O495" s="3" t="s">
        <v>65</v>
      </c>
      <c r="P495" s="3" t="s">
        <v>699</v>
      </c>
      <c r="R495" s="3" t="s">
        <v>68</v>
      </c>
      <c r="S495" s="4">
        <v>2</v>
      </c>
      <c r="T495" s="4">
        <v>2</v>
      </c>
      <c r="U495" s="5" t="s">
        <v>6371</v>
      </c>
      <c r="V495" s="5" t="s">
        <v>6371</v>
      </c>
      <c r="W495" s="5" t="s">
        <v>1638</v>
      </c>
      <c r="X495" s="5" t="s">
        <v>1638</v>
      </c>
      <c r="Y495" s="4">
        <v>743</v>
      </c>
      <c r="Z495" s="4">
        <v>609</v>
      </c>
      <c r="AA495" s="4">
        <v>945</v>
      </c>
      <c r="AB495" s="4">
        <v>4</v>
      </c>
      <c r="AC495" s="4">
        <v>6</v>
      </c>
      <c r="AD495" s="4">
        <v>21</v>
      </c>
      <c r="AE495" s="4">
        <v>36</v>
      </c>
      <c r="AF495" s="4">
        <v>8</v>
      </c>
      <c r="AG495" s="4">
        <v>14</v>
      </c>
      <c r="AH495" s="4">
        <v>5</v>
      </c>
      <c r="AI495" s="4">
        <v>8</v>
      </c>
      <c r="AJ495" s="4">
        <v>12</v>
      </c>
      <c r="AK495" s="4">
        <v>18</v>
      </c>
      <c r="AL495" s="4">
        <v>2</v>
      </c>
      <c r="AM495" s="4">
        <v>4</v>
      </c>
      <c r="AN495" s="4">
        <v>0</v>
      </c>
      <c r="AO495" s="4">
        <v>0</v>
      </c>
      <c r="AP495" s="3" t="s">
        <v>59</v>
      </c>
      <c r="AQ495" s="3" t="s">
        <v>71</v>
      </c>
      <c r="AR495" s="6" t="str">
        <f>HYPERLINK("http://catalog.hathitrust.org/Record/000012801","HathiTrust Record")</f>
        <v>HathiTrust Record</v>
      </c>
      <c r="AS495" s="6" t="str">
        <f>HYPERLINK("https://creighton-primo.hosted.exlibrisgroup.com/primo-explore/search?tab=default_tab&amp;search_scope=EVERYTHING&amp;vid=01CRU&amp;lang=en_US&amp;offset=0&amp;query=any,contains,991003312459702656","Catalog Record")</f>
        <v>Catalog Record</v>
      </c>
      <c r="AT495" s="6" t="str">
        <f>HYPERLINK("http://www.worldcat.org/oclc/835435","WorldCat Record")</f>
        <v>WorldCat Record</v>
      </c>
      <c r="AU495" s="3" t="s">
        <v>6372</v>
      </c>
      <c r="AV495" s="3" t="s">
        <v>6373</v>
      </c>
      <c r="AW495" s="3" t="s">
        <v>6374</v>
      </c>
      <c r="AX495" s="3" t="s">
        <v>6374</v>
      </c>
      <c r="AY495" s="3" t="s">
        <v>6375</v>
      </c>
      <c r="AZ495" s="3" t="s">
        <v>76</v>
      </c>
      <c r="BB495" s="3" t="s">
        <v>6376</v>
      </c>
      <c r="BC495" s="3" t="s">
        <v>6377</v>
      </c>
      <c r="BD495" s="3" t="s">
        <v>6378</v>
      </c>
    </row>
    <row r="496" spans="1:56" ht="52.5" customHeight="1" x14ac:dyDescent="0.25">
      <c r="A496" s="7" t="s">
        <v>59</v>
      </c>
      <c r="B496" s="2" t="s">
        <v>6379</v>
      </c>
      <c r="C496" s="2" t="s">
        <v>6380</v>
      </c>
      <c r="D496" s="2" t="s">
        <v>6381</v>
      </c>
      <c r="F496" s="3" t="s">
        <v>59</v>
      </c>
      <c r="G496" s="3" t="s">
        <v>60</v>
      </c>
      <c r="H496" s="3" t="s">
        <v>59</v>
      </c>
      <c r="I496" s="3" t="s">
        <v>59</v>
      </c>
      <c r="J496" s="3" t="s">
        <v>61</v>
      </c>
      <c r="K496" s="2" t="s">
        <v>6382</v>
      </c>
      <c r="L496" s="2" t="s">
        <v>6383</v>
      </c>
      <c r="M496" s="3" t="s">
        <v>1015</v>
      </c>
      <c r="O496" s="3" t="s">
        <v>65</v>
      </c>
      <c r="P496" s="3" t="s">
        <v>491</v>
      </c>
      <c r="R496" s="3" t="s">
        <v>68</v>
      </c>
      <c r="S496" s="4">
        <v>1</v>
      </c>
      <c r="T496" s="4">
        <v>1</v>
      </c>
      <c r="U496" s="5" t="s">
        <v>6359</v>
      </c>
      <c r="V496" s="5" t="s">
        <v>6359</v>
      </c>
      <c r="W496" s="5" t="s">
        <v>974</v>
      </c>
      <c r="X496" s="5" t="s">
        <v>974</v>
      </c>
      <c r="Y496" s="4">
        <v>160</v>
      </c>
      <c r="Z496" s="4">
        <v>129</v>
      </c>
      <c r="AA496" s="4">
        <v>130</v>
      </c>
      <c r="AB496" s="4">
        <v>3</v>
      </c>
      <c r="AC496" s="4">
        <v>3</v>
      </c>
      <c r="AD496" s="4">
        <v>9</v>
      </c>
      <c r="AE496" s="4">
        <v>9</v>
      </c>
      <c r="AF496" s="4">
        <v>3</v>
      </c>
      <c r="AG496" s="4">
        <v>3</v>
      </c>
      <c r="AH496" s="4">
        <v>3</v>
      </c>
      <c r="AI496" s="4">
        <v>3</v>
      </c>
      <c r="AJ496" s="4">
        <v>4</v>
      </c>
      <c r="AK496" s="4">
        <v>4</v>
      </c>
      <c r="AL496" s="4">
        <v>2</v>
      </c>
      <c r="AM496" s="4">
        <v>2</v>
      </c>
      <c r="AN496" s="4">
        <v>0</v>
      </c>
      <c r="AO496" s="4">
        <v>0</v>
      </c>
      <c r="AP496" s="3" t="s">
        <v>59</v>
      </c>
      <c r="AQ496" s="3" t="s">
        <v>71</v>
      </c>
      <c r="AR496" s="6" t="str">
        <f>HYPERLINK("http://catalog.hathitrust.org/Record/000358004","HathiTrust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HYPERLINK("https://creighton-primo.hosted.exlibrisgroup.com/primo-explore/search?tab=default_tab&amp;search_scope=EVERYTHING&amp;vid=01CRU&amp;lang=en_US&amp;offset=0&amp;query=any,contains,991002509489702656","Catalog Record")</f>
        <v>Catalog Record</v>
      </c>
      <c r="AT496" s="6" t="str">
        <f>HYPERLINK("http://www.worldcat.org/oclc/365035","WorldCat Record")</f>
        <v>WorldCat Record</v>
      </c>
      <c r="AU496" s="3" t="s">
        <v>6384</v>
      </c>
      <c r="AV496" s="3" t="s">
        <v>6385</v>
      </c>
      <c r="AW496" s="3" t="s">
        <v>6386</v>
      </c>
      <c r="AX496" s="3" t="s">
        <v>6386</v>
      </c>
      <c r="AY496" s="3" t="s">
        <v>6387</v>
      </c>
      <c r="AZ496" s="3" t="s">
        <v>76</v>
      </c>
      <c r="BC496" s="3" t="s">
        <v>6388</v>
      </c>
      <c r="BD496" s="3" t="s">
        <v>6389</v>
      </c>
    </row>
    <row r="497" spans="1:56" ht="52.5" customHeight="1" x14ac:dyDescent="0.25">
      <c r="A497" s="7" t="s">
        <v>59</v>
      </c>
      <c r="B497" s="2" t="s">
        <v>6390</v>
      </c>
      <c r="C497" s="2" t="s">
        <v>6391</v>
      </c>
      <c r="D497" s="2" t="s">
        <v>6392</v>
      </c>
      <c r="F497" s="3" t="s">
        <v>59</v>
      </c>
      <c r="G497" s="3" t="s">
        <v>60</v>
      </c>
      <c r="H497" s="3" t="s">
        <v>59</v>
      </c>
      <c r="I497" s="3" t="s">
        <v>59</v>
      </c>
      <c r="J497" s="3" t="s">
        <v>61</v>
      </c>
      <c r="K497" s="2" t="s">
        <v>6393</v>
      </c>
      <c r="L497" s="2" t="s">
        <v>6394</v>
      </c>
      <c r="M497" s="3" t="s">
        <v>224</v>
      </c>
      <c r="O497" s="3" t="s">
        <v>65</v>
      </c>
      <c r="P497" s="3" t="s">
        <v>66</v>
      </c>
      <c r="Q497" s="2" t="s">
        <v>3470</v>
      </c>
      <c r="R497" s="3" t="s">
        <v>68</v>
      </c>
      <c r="S497" s="4">
        <v>1</v>
      </c>
      <c r="T497" s="4">
        <v>1</v>
      </c>
      <c r="U497" s="5" t="s">
        <v>6395</v>
      </c>
      <c r="V497" s="5" t="s">
        <v>6395</v>
      </c>
      <c r="W497" s="5" t="s">
        <v>974</v>
      </c>
      <c r="X497" s="5" t="s">
        <v>974</v>
      </c>
      <c r="Y497" s="4">
        <v>519</v>
      </c>
      <c r="Z497" s="4">
        <v>361</v>
      </c>
      <c r="AA497" s="4">
        <v>375</v>
      </c>
      <c r="AB497" s="4">
        <v>3</v>
      </c>
      <c r="AC497" s="4">
        <v>3</v>
      </c>
      <c r="AD497" s="4">
        <v>17</v>
      </c>
      <c r="AE497" s="4">
        <v>18</v>
      </c>
      <c r="AF497" s="4">
        <v>4</v>
      </c>
      <c r="AG497" s="4">
        <v>4</v>
      </c>
      <c r="AH497" s="4">
        <v>6</v>
      </c>
      <c r="AI497" s="4">
        <v>6</v>
      </c>
      <c r="AJ497" s="4">
        <v>13</v>
      </c>
      <c r="AK497" s="4">
        <v>14</v>
      </c>
      <c r="AL497" s="4">
        <v>1</v>
      </c>
      <c r="AM497" s="4">
        <v>1</v>
      </c>
      <c r="AN497" s="4">
        <v>0</v>
      </c>
      <c r="AO497" s="4">
        <v>0</v>
      </c>
      <c r="AP497" s="3" t="s">
        <v>59</v>
      </c>
      <c r="AQ497" s="3" t="s">
        <v>71</v>
      </c>
      <c r="AR497" s="6" t="str">
        <f>HYPERLINK("http://catalog.hathitrust.org/Record/000014335","HathiTrust Record")</f>
        <v>HathiTrust Record</v>
      </c>
      <c r="AS497" s="6" t="str">
        <f>HYPERLINK("https://creighton-primo.hosted.exlibrisgroup.com/primo-explore/search?tab=default_tab&amp;search_scope=EVERYTHING&amp;vid=01CRU&amp;lang=en_US&amp;offset=0&amp;query=any,contains,991003367899702656","Catalog Record")</f>
        <v>Catalog Record</v>
      </c>
      <c r="AT497" s="6" t="str">
        <f>HYPERLINK("http://www.worldcat.org/oclc/902933","WorldCat Record")</f>
        <v>WorldCat Record</v>
      </c>
      <c r="AU497" s="3" t="s">
        <v>6396</v>
      </c>
      <c r="AV497" s="3" t="s">
        <v>6397</v>
      </c>
      <c r="AW497" s="3" t="s">
        <v>6398</v>
      </c>
      <c r="AX497" s="3" t="s">
        <v>6398</v>
      </c>
      <c r="AY497" s="3" t="s">
        <v>6399</v>
      </c>
      <c r="AZ497" s="3" t="s">
        <v>76</v>
      </c>
      <c r="BB497" s="3" t="s">
        <v>6400</v>
      </c>
      <c r="BC497" s="3" t="s">
        <v>6401</v>
      </c>
      <c r="BD497" s="3" t="s">
        <v>6402</v>
      </c>
    </row>
    <row r="498" spans="1:56" ht="52.5" customHeight="1" x14ac:dyDescent="0.25">
      <c r="A498" s="7" t="s">
        <v>59</v>
      </c>
      <c r="B498" s="2" t="s">
        <v>6403</v>
      </c>
      <c r="C498" s="2" t="s">
        <v>6404</v>
      </c>
      <c r="D498" s="2" t="s">
        <v>6405</v>
      </c>
      <c r="F498" s="3" t="s">
        <v>59</v>
      </c>
      <c r="G498" s="3" t="s">
        <v>60</v>
      </c>
      <c r="H498" s="3" t="s">
        <v>59</v>
      </c>
      <c r="I498" s="3" t="s">
        <v>59</v>
      </c>
      <c r="J498" s="3" t="s">
        <v>61</v>
      </c>
      <c r="K498" s="2" t="s">
        <v>3317</v>
      </c>
      <c r="L498" s="2" t="s">
        <v>6406</v>
      </c>
      <c r="M498" s="3" t="s">
        <v>2582</v>
      </c>
      <c r="O498" s="3" t="s">
        <v>65</v>
      </c>
      <c r="P498" s="3" t="s">
        <v>66</v>
      </c>
      <c r="Q498" s="2" t="s">
        <v>6407</v>
      </c>
      <c r="R498" s="3" t="s">
        <v>68</v>
      </c>
      <c r="S498" s="4">
        <v>2</v>
      </c>
      <c r="T498" s="4">
        <v>2</v>
      </c>
      <c r="U498" s="5" t="s">
        <v>6408</v>
      </c>
      <c r="V498" s="5" t="s">
        <v>6408</v>
      </c>
      <c r="W498" s="5" t="s">
        <v>974</v>
      </c>
      <c r="X498" s="5" t="s">
        <v>974</v>
      </c>
      <c r="Y498" s="4">
        <v>345</v>
      </c>
      <c r="Z498" s="4">
        <v>265</v>
      </c>
      <c r="AA498" s="4">
        <v>407</v>
      </c>
      <c r="AB498" s="4">
        <v>2</v>
      </c>
      <c r="AC498" s="4">
        <v>3</v>
      </c>
      <c r="AD498" s="4">
        <v>16</v>
      </c>
      <c r="AE498" s="4">
        <v>20</v>
      </c>
      <c r="AF498" s="4">
        <v>9</v>
      </c>
      <c r="AG498" s="4">
        <v>10</v>
      </c>
      <c r="AH498" s="4">
        <v>3</v>
      </c>
      <c r="AI498" s="4">
        <v>5</v>
      </c>
      <c r="AJ498" s="4">
        <v>8</v>
      </c>
      <c r="AK498" s="4">
        <v>10</v>
      </c>
      <c r="AL498" s="4">
        <v>1</v>
      </c>
      <c r="AM498" s="4">
        <v>2</v>
      </c>
      <c r="AN498" s="4">
        <v>0</v>
      </c>
      <c r="AO498" s="4">
        <v>0</v>
      </c>
      <c r="AP498" s="3" t="s">
        <v>59</v>
      </c>
      <c r="AQ498" s="3" t="s">
        <v>59</v>
      </c>
      <c r="AS498" s="6" t="str">
        <f>HYPERLINK("https://creighton-primo.hosted.exlibrisgroup.com/primo-explore/search?tab=default_tab&amp;search_scope=EVERYTHING&amp;vid=01CRU&amp;lang=en_US&amp;offset=0&amp;query=any,contains,991003349389702656","Catalog Record")</f>
        <v>Catalog Record</v>
      </c>
      <c r="AT498" s="6" t="str">
        <f>HYPERLINK("http://www.worldcat.org/oclc/882066","WorldCat Record")</f>
        <v>WorldCat Record</v>
      </c>
      <c r="AU498" s="3" t="s">
        <v>6409</v>
      </c>
      <c r="AV498" s="3" t="s">
        <v>6410</v>
      </c>
      <c r="AW498" s="3" t="s">
        <v>6411</v>
      </c>
      <c r="AX498" s="3" t="s">
        <v>6411</v>
      </c>
      <c r="AY498" s="3" t="s">
        <v>6412</v>
      </c>
      <c r="AZ498" s="3" t="s">
        <v>76</v>
      </c>
      <c r="BC498" s="3" t="s">
        <v>6413</v>
      </c>
      <c r="BD498" s="3" t="s">
        <v>6414</v>
      </c>
    </row>
    <row r="499" spans="1:56" ht="52.5" customHeight="1" x14ac:dyDescent="0.25">
      <c r="A499" s="7" t="s">
        <v>59</v>
      </c>
      <c r="B499" s="2" t="s">
        <v>6415</v>
      </c>
      <c r="C499" s="2" t="s">
        <v>6416</v>
      </c>
      <c r="D499" s="2" t="s">
        <v>6417</v>
      </c>
      <c r="F499" s="3" t="s">
        <v>59</v>
      </c>
      <c r="G499" s="3" t="s">
        <v>60</v>
      </c>
      <c r="H499" s="3" t="s">
        <v>59</v>
      </c>
      <c r="I499" s="3" t="s">
        <v>59</v>
      </c>
      <c r="J499" s="3" t="s">
        <v>61</v>
      </c>
      <c r="K499" s="2" t="s">
        <v>3317</v>
      </c>
      <c r="L499" s="2" t="s">
        <v>6418</v>
      </c>
      <c r="M499" s="3" t="s">
        <v>309</v>
      </c>
      <c r="O499" s="3" t="s">
        <v>65</v>
      </c>
      <c r="P499" s="3" t="s">
        <v>66</v>
      </c>
      <c r="R499" s="3" t="s">
        <v>68</v>
      </c>
      <c r="S499" s="4">
        <v>3</v>
      </c>
      <c r="T499" s="4">
        <v>3</v>
      </c>
      <c r="U499" s="5" t="s">
        <v>6359</v>
      </c>
      <c r="V499" s="5" t="s">
        <v>6359</v>
      </c>
      <c r="W499" s="5" t="s">
        <v>6295</v>
      </c>
      <c r="X499" s="5" t="s">
        <v>6295</v>
      </c>
      <c r="Y499" s="4">
        <v>596</v>
      </c>
      <c r="Z499" s="4">
        <v>451</v>
      </c>
      <c r="AA499" s="4">
        <v>471</v>
      </c>
      <c r="AB499" s="4">
        <v>5</v>
      </c>
      <c r="AC499" s="4">
        <v>5</v>
      </c>
      <c r="AD499" s="4">
        <v>20</v>
      </c>
      <c r="AE499" s="4">
        <v>21</v>
      </c>
      <c r="AF499" s="4">
        <v>8</v>
      </c>
      <c r="AG499" s="4">
        <v>9</v>
      </c>
      <c r="AH499" s="4">
        <v>5</v>
      </c>
      <c r="AI499" s="4">
        <v>6</v>
      </c>
      <c r="AJ499" s="4">
        <v>10</v>
      </c>
      <c r="AK499" s="4">
        <v>10</v>
      </c>
      <c r="AL499" s="4">
        <v>3</v>
      </c>
      <c r="AM499" s="4">
        <v>3</v>
      </c>
      <c r="AN499" s="4">
        <v>0</v>
      </c>
      <c r="AO499" s="4">
        <v>0</v>
      </c>
      <c r="AP499" s="3" t="s">
        <v>59</v>
      </c>
      <c r="AQ499" s="3" t="s">
        <v>71</v>
      </c>
      <c r="AR499" s="6" t="str">
        <f>HYPERLINK("http://catalog.hathitrust.org/Record/004442721","HathiTrust Record")</f>
        <v>HathiTrust Record</v>
      </c>
      <c r="AS499" s="6" t="str">
        <f>HYPERLINK("https://creighton-primo.hosted.exlibrisgroup.com/primo-explore/search?tab=default_tab&amp;search_scope=EVERYTHING&amp;vid=01CRU&amp;lang=en_US&amp;offset=0&amp;query=any,contains,991004374959702656","Catalog Record")</f>
        <v>Catalog Record</v>
      </c>
      <c r="AT499" s="6" t="str">
        <f>HYPERLINK("http://www.worldcat.org/oclc/3204221","WorldCat Record")</f>
        <v>WorldCat Record</v>
      </c>
      <c r="AU499" s="3" t="s">
        <v>6419</v>
      </c>
      <c r="AV499" s="3" t="s">
        <v>6420</v>
      </c>
      <c r="AW499" s="3" t="s">
        <v>6421</v>
      </c>
      <c r="AX499" s="3" t="s">
        <v>6421</v>
      </c>
      <c r="AY499" s="3" t="s">
        <v>6422</v>
      </c>
      <c r="AZ499" s="3" t="s">
        <v>76</v>
      </c>
      <c r="BB499" s="3" t="s">
        <v>6423</v>
      </c>
      <c r="BC499" s="3" t="s">
        <v>6424</v>
      </c>
      <c r="BD499" s="3" t="s">
        <v>6425</v>
      </c>
    </row>
    <row r="500" spans="1:56" ht="52.5" customHeight="1" x14ac:dyDescent="0.25">
      <c r="A500" s="7" t="s">
        <v>59</v>
      </c>
      <c r="B500" s="2" t="s">
        <v>6426</v>
      </c>
      <c r="C500" s="2" t="s">
        <v>6427</v>
      </c>
      <c r="D500" s="2" t="s">
        <v>6428</v>
      </c>
      <c r="F500" s="3" t="s">
        <v>59</v>
      </c>
      <c r="G500" s="3" t="s">
        <v>60</v>
      </c>
      <c r="H500" s="3" t="s">
        <v>59</v>
      </c>
      <c r="I500" s="3" t="s">
        <v>59</v>
      </c>
      <c r="J500" s="3" t="s">
        <v>61</v>
      </c>
      <c r="K500" s="2" t="s">
        <v>6429</v>
      </c>
      <c r="L500" s="2" t="s">
        <v>6430</v>
      </c>
      <c r="M500" s="3" t="s">
        <v>514</v>
      </c>
      <c r="O500" s="3" t="s">
        <v>65</v>
      </c>
      <c r="P500" s="3" t="s">
        <v>296</v>
      </c>
      <c r="Q500" s="2" t="s">
        <v>4524</v>
      </c>
      <c r="R500" s="3" t="s">
        <v>68</v>
      </c>
      <c r="S500" s="4">
        <v>4</v>
      </c>
      <c r="T500" s="4">
        <v>4</v>
      </c>
      <c r="U500" s="5" t="s">
        <v>6431</v>
      </c>
      <c r="V500" s="5" t="s">
        <v>6431</v>
      </c>
      <c r="W500" s="5" t="s">
        <v>974</v>
      </c>
      <c r="X500" s="5" t="s">
        <v>974</v>
      </c>
      <c r="Y500" s="4">
        <v>323</v>
      </c>
      <c r="Z500" s="4">
        <v>285</v>
      </c>
      <c r="AA500" s="4">
        <v>288</v>
      </c>
      <c r="AB500" s="4">
        <v>3</v>
      </c>
      <c r="AC500" s="4">
        <v>3</v>
      </c>
      <c r="AD500" s="4">
        <v>13</v>
      </c>
      <c r="AE500" s="4">
        <v>13</v>
      </c>
      <c r="AF500" s="4">
        <v>4</v>
      </c>
      <c r="AG500" s="4">
        <v>4</v>
      </c>
      <c r="AH500" s="4">
        <v>1</v>
      </c>
      <c r="AI500" s="4">
        <v>1</v>
      </c>
      <c r="AJ500" s="4">
        <v>10</v>
      </c>
      <c r="AK500" s="4">
        <v>10</v>
      </c>
      <c r="AL500" s="4">
        <v>2</v>
      </c>
      <c r="AM500" s="4">
        <v>2</v>
      </c>
      <c r="AN500" s="4">
        <v>0</v>
      </c>
      <c r="AO500" s="4">
        <v>0</v>
      </c>
      <c r="AP500" s="3" t="s">
        <v>59</v>
      </c>
      <c r="AQ500" s="3" t="s">
        <v>71</v>
      </c>
      <c r="AR500" s="6" t="str">
        <f>HYPERLINK("http://catalog.hathitrust.org/Record/000615122","HathiTrust Record")</f>
        <v>HathiTrust Record</v>
      </c>
      <c r="AS500" s="6" t="str">
        <f>HYPERLINK("https://creighton-primo.hosted.exlibrisgroup.com/primo-explore/search?tab=default_tab&amp;search_scope=EVERYTHING&amp;vid=01CRU&amp;lang=en_US&amp;offset=0&amp;query=any,contains,991004338989702656","Catalog Record")</f>
        <v>Catalog Record</v>
      </c>
      <c r="AT500" s="6" t="str">
        <f>HYPERLINK("http://www.worldcat.org/oclc/3083002","WorldCat Record")</f>
        <v>WorldCat Record</v>
      </c>
      <c r="AU500" s="3" t="s">
        <v>6432</v>
      </c>
      <c r="AV500" s="3" t="s">
        <v>6433</v>
      </c>
      <c r="AW500" s="3" t="s">
        <v>6434</v>
      </c>
      <c r="AX500" s="3" t="s">
        <v>6434</v>
      </c>
      <c r="AY500" s="3" t="s">
        <v>6435</v>
      </c>
      <c r="AZ500" s="3" t="s">
        <v>76</v>
      </c>
      <c r="BC500" s="3" t="s">
        <v>6436</v>
      </c>
      <c r="BD500" s="3" t="s">
        <v>6437</v>
      </c>
    </row>
    <row r="501" spans="1:56" ht="52.5" customHeight="1" x14ac:dyDescent="0.25">
      <c r="A501" s="7" t="s">
        <v>59</v>
      </c>
      <c r="B501" s="2" t="s">
        <v>6438</v>
      </c>
      <c r="C501" s="2" t="s">
        <v>6439</v>
      </c>
      <c r="D501" s="2" t="s">
        <v>6440</v>
      </c>
      <c r="F501" s="3" t="s">
        <v>59</v>
      </c>
      <c r="G501" s="3" t="s">
        <v>60</v>
      </c>
      <c r="H501" s="3" t="s">
        <v>59</v>
      </c>
      <c r="I501" s="3" t="s">
        <v>59</v>
      </c>
      <c r="J501" s="3" t="s">
        <v>61</v>
      </c>
      <c r="K501" s="2" t="s">
        <v>6441</v>
      </c>
      <c r="L501" s="2" t="s">
        <v>6442</v>
      </c>
      <c r="M501" s="3" t="s">
        <v>148</v>
      </c>
      <c r="O501" s="3" t="s">
        <v>65</v>
      </c>
      <c r="P501" s="3" t="s">
        <v>1218</v>
      </c>
      <c r="R501" s="3" t="s">
        <v>68</v>
      </c>
      <c r="S501" s="4">
        <v>3</v>
      </c>
      <c r="T501" s="4">
        <v>3</v>
      </c>
      <c r="U501" s="5" t="s">
        <v>6359</v>
      </c>
      <c r="V501" s="5" t="s">
        <v>6359</v>
      </c>
      <c r="W501" s="5" t="s">
        <v>974</v>
      </c>
      <c r="X501" s="5" t="s">
        <v>974</v>
      </c>
      <c r="Y501" s="4">
        <v>338</v>
      </c>
      <c r="Z501" s="4">
        <v>255</v>
      </c>
      <c r="AA501" s="4">
        <v>262</v>
      </c>
      <c r="AB501" s="4">
        <v>4</v>
      </c>
      <c r="AC501" s="4">
        <v>4</v>
      </c>
      <c r="AD501" s="4">
        <v>11</v>
      </c>
      <c r="AE501" s="4">
        <v>11</v>
      </c>
      <c r="AF501" s="4">
        <v>3</v>
      </c>
      <c r="AG501" s="4">
        <v>3</v>
      </c>
      <c r="AH501" s="4">
        <v>1</v>
      </c>
      <c r="AI501" s="4">
        <v>1</v>
      </c>
      <c r="AJ501" s="4">
        <v>6</v>
      </c>
      <c r="AK501" s="4">
        <v>6</v>
      </c>
      <c r="AL501" s="4">
        <v>3</v>
      </c>
      <c r="AM501" s="4">
        <v>3</v>
      </c>
      <c r="AN501" s="4">
        <v>0</v>
      </c>
      <c r="AO501" s="4">
        <v>0</v>
      </c>
      <c r="AP501" s="3" t="s">
        <v>59</v>
      </c>
      <c r="AQ501" s="3" t="s">
        <v>71</v>
      </c>
      <c r="AR501" s="6" t="str">
        <f>HYPERLINK("http://catalog.hathitrust.org/Record/000739262","HathiTrust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HYPERLINK("https://creighton-primo.hosted.exlibrisgroup.com/primo-explore/search?tab=default_tab&amp;search_scope=EVERYTHING&amp;vid=01CRU&amp;lang=en_US&amp;offset=0&amp;query=any,contains,991004083709702656","Catalog Record")</f>
        <v>Catalog Record</v>
      </c>
      <c r="AT501" s="6" t="str">
        <f>HYPERLINK("http://www.worldcat.org/oclc/2331439","WorldCat Record")</f>
        <v>WorldCat Record</v>
      </c>
      <c r="AU501" s="3" t="s">
        <v>6443</v>
      </c>
      <c r="AV501" s="3" t="s">
        <v>6444</v>
      </c>
      <c r="AW501" s="3" t="s">
        <v>6445</v>
      </c>
      <c r="AX501" s="3" t="s">
        <v>6445</v>
      </c>
      <c r="AY501" s="3" t="s">
        <v>6446</v>
      </c>
      <c r="AZ501" s="3" t="s">
        <v>76</v>
      </c>
      <c r="BB501" s="3" t="s">
        <v>6447</v>
      </c>
      <c r="BC501" s="3" t="s">
        <v>6448</v>
      </c>
      <c r="BD501" s="3" t="s">
        <v>6449</v>
      </c>
    </row>
    <row r="502" spans="1:56" ht="52.5" customHeight="1" x14ac:dyDescent="0.25">
      <c r="A502" s="7" t="s">
        <v>59</v>
      </c>
      <c r="B502" s="2" t="s">
        <v>6450</v>
      </c>
      <c r="C502" s="2" t="s">
        <v>6451</v>
      </c>
      <c r="D502" s="2" t="s">
        <v>6452</v>
      </c>
      <c r="F502" s="3" t="s">
        <v>59</v>
      </c>
      <c r="G502" s="3" t="s">
        <v>60</v>
      </c>
      <c r="H502" s="3" t="s">
        <v>59</v>
      </c>
      <c r="I502" s="3" t="s">
        <v>59</v>
      </c>
      <c r="J502" s="3" t="s">
        <v>61</v>
      </c>
      <c r="K502" s="2" t="s">
        <v>6453</v>
      </c>
      <c r="L502" s="2" t="s">
        <v>6454</v>
      </c>
      <c r="M502" s="3" t="s">
        <v>180</v>
      </c>
      <c r="N502" s="2" t="s">
        <v>1587</v>
      </c>
      <c r="O502" s="3" t="s">
        <v>65</v>
      </c>
      <c r="P502" s="3" t="s">
        <v>491</v>
      </c>
      <c r="R502" s="3" t="s">
        <v>68</v>
      </c>
      <c r="S502" s="4">
        <v>1</v>
      </c>
      <c r="T502" s="4">
        <v>1</v>
      </c>
      <c r="U502" s="5" t="s">
        <v>6359</v>
      </c>
      <c r="V502" s="5" t="s">
        <v>6359</v>
      </c>
      <c r="W502" s="5" t="s">
        <v>974</v>
      </c>
      <c r="X502" s="5" t="s">
        <v>974</v>
      </c>
      <c r="Y502" s="4">
        <v>368</v>
      </c>
      <c r="Z502" s="4">
        <v>311</v>
      </c>
      <c r="AA502" s="4">
        <v>849</v>
      </c>
      <c r="AB502" s="4">
        <v>3</v>
      </c>
      <c r="AC502" s="4">
        <v>9</v>
      </c>
      <c r="AD502" s="4">
        <v>13</v>
      </c>
      <c r="AE502" s="4">
        <v>35</v>
      </c>
      <c r="AF502" s="4">
        <v>4</v>
      </c>
      <c r="AG502" s="4">
        <v>14</v>
      </c>
      <c r="AH502" s="4">
        <v>4</v>
      </c>
      <c r="AI502" s="4">
        <v>7</v>
      </c>
      <c r="AJ502" s="4">
        <v>6</v>
      </c>
      <c r="AK502" s="4">
        <v>18</v>
      </c>
      <c r="AL502" s="4">
        <v>2</v>
      </c>
      <c r="AM502" s="4">
        <v>7</v>
      </c>
      <c r="AN502" s="4">
        <v>0</v>
      </c>
      <c r="AO502" s="4">
        <v>0</v>
      </c>
      <c r="AP502" s="3" t="s">
        <v>59</v>
      </c>
      <c r="AQ502" s="3" t="s">
        <v>71</v>
      </c>
      <c r="AR502" s="6" t="str">
        <f>HYPERLINK("http://catalog.hathitrust.org/Record/000581819","HathiTrust Record")</f>
        <v>HathiTrust Record</v>
      </c>
      <c r="AS502" s="6" t="str">
        <f>HYPERLINK("https://creighton-primo.hosted.exlibrisgroup.com/primo-explore/search?tab=default_tab&amp;search_scope=EVERYTHING&amp;vid=01CRU&amp;lang=en_US&amp;offset=0&amp;query=any,contains,991003411829702656","Catalog Record")</f>
        <v>Catalog Record</v>
      </c>
      <c r="AT502" s="6" t="str">
        <f>HYPERLINK("http://www.worldcat.org/oclc/949940","WorldCat Record")</f>
        <v>WorldCat Record</v>
      </c>
      <c r="AU502" s="3" t="s">
        <v>6455</v>
      </c>
      <c r="AV502" s="3" t="s">
        <v>6456</v>
      </c>
      <c r="AW502" s="3" t="s">
        <v>6457</v>
      </c>
      <c r="AX502" s="3" t="s">
        <v>6457</v>
      </c>
      <c r="AY502" s="3" t="s">
        <v>6458</v>
      </c>
      <c r="AZ502" s="3" t="s">
        <v>76</v>
      </c>
      <c r="BC502" s="3" t="s">
        <v>6459</v>
      </c>
      <c r="BD502" s="3" t="s">
        <v>6460</v>
      </c>
    </row>
    <row r="503" spans="1:56" ht="52.5" customHeight="1" x14ac:dyDescent="0.25">
      <c r="A503" s="7" t="s">
        <v>59</v>
      </c>
      <c r="B503" s="2" t="s">
        <v>6461</v>
      </c>
      <c r="C503" s="2" t="s">
        <v>6462</v>
      </c>
      <c r="D503" s="2" t="s">
        <v>6463</v>
      </c>
      <c r="F503" s="3" t="s">
        <v>59</v>
      </c>
      <c r="G503" s="3" t="s">
        <v>60</v>
      </c>
      <c r="H503" s="3" t="s">
        <v>59</v>
      </c>
      <c r="I503" s="3" t="s">
        <v>59</v>
      </c>
      <c r="J503" s="3" t="s">
        <v>61</v>
      </c>
      <c r="K503" s="2" t="s">
        <v>6453</v>
      </c>
      <c r="L503" s="2" t="s">
        <v>4106</v>
      </c>
      <c r="M503" s="3" t="s">
        <v>1163</v>
      </c>
      <c r="N503" s="2" t="s">
        <v>3938</v>
      </c>
      <c r="O503" s="3" t="s">
        <v>65</v>
      </c>
      <c r="P503" s="3" t="s">
        <v>66</v>
      </c>
      <c r="Q503" s="2" t="s">
        <v>4107</v>
      </c>
      <c r="R503" s="3" t="s">
        <v>68</v>
      </c>
      <c r="S503" s="4">
        <v>3</v>
      </c>
      <c r="T503" s="4">
        <v>3</v>
      </c>
      <c r="U503" s="5" t="s">
        <v>6464</v>
      </c>
      <c r="V503" s="5" t="s">
        <v>6464</v>
      </c>
      <c r="W503" s="5" t="s">
        <v>6295</v>
      </c>
      <c r="X503" s="5" t="s">
        <v>6295</v>
      </c>
      <c r="Y503" s="4">
        <v>393</v>
      </c>
      <c r="Z503" s="4">
        <v>275</v>
      </c>
      <c r="AA503" s="4">
        <v>646</v>
      </c>
      <c r="AB503" s="4">
        <v>1</v>
      </c>
      <c r="AC503" s="4">
        <v>4</v>
      </c>
      <c r="AD503" s="4">
        <v>10</v>
      </c>
      <c r="AE503" s="4">
        <v>29</v>
      </c>
      <c r="AF503" s="4">
        <v>3</v>
      </c>
      <c r="AG503" s="4">
        <v>12</v>
      </c>
      <c r="AH503" s="4">
        <v>3</v>
      </c>
      <c r="AI503" s="4">
        <v>5</v>
      </c>
      <c r="AJ503" s="4">
        <v>8</v>
      </c>
      <c r="AK503" s="4">
        <v>19</v>
      </c>
      <c r="AL503" s="4">
        <v>0</v>
      </c>
      <c r="AM503" s="4">
        <v>2</v>
      </c>
      <c r="AN503" s="4">
        <v>0</v>
      </c>
      <c r="AO503" s="4">
        <v>0</v>
      </c>
      <c r="AP503" s="3" t="s">
        <v>59</v>
      </c>
      <c r="AQ503" s="3" t="s">
        <v>59</v>
      </c>
      <c r="AS503" s="6" t="str">
        <f>HYPERLINK("https://creighton-primo.hosted.exlibrisgroup.com/primo-explore/search?tab=default_tab&amp;search_scope=EVERYTHING&amp;vid=01CRU&amp;lang=en_US&amp;offset=0&amp;query=any,contains,991000539599702656","Catalog Record")</f>
        <v>Catalog Record</v>
      </c>
      <c r="AT503" s="6" t="str">
        <f>HYPERLINK("http://www.worldcat.org/oclc/11469821","WorldCat Record")</f>
        <v>WorldCat Record</v>
      </c>
      <c r="AU503" s="3" t="s">
        <v>6465</v>
      </c>
      <c r="AV503" s="3" t="s">
        <v>6466</v>
      </c>
      <c r="AW503" s="3" t="s">
        <v>6467</v>
      </c>
      <c r="AX503" s="3" t="s">
        <v>6467</v>
      </c>
      <c r="AY503" s="3" t="s">
        <v>6468</v>
      </c>
      <c r="AZ503" s="3" t="s">
        <v>76</v>
      </c>
      <c r="BB503" s="3" t="s">
        <v>6469</v>
      </c>
      <c r="BC503" s="3" t="s">
        <v>6470</v>
      </c>
      <c r="BD503" s="3" t="s">
        <v>6471</v>
      </c>
    </row>
    <row r="504" spans="1:56" ht="52.5" customHeight="1" x14ac:dyDescent="0.25">
      <c r="A504" s="7" t="s">
        <v>59</v>
      </c>
      <c r="B504" s="2" t="s">
        <v>6472</v>
      </c>
      <c r="C504" s="2" t="s">
        <v>6473</v>
      </c>
      <c r="D504" s="2" t="s">
        <v>6474</v>
      </c>
      <c r="F504" s="3" t="s">
        <v>59</v>
      </c>
      <c r="G504" s="3" t="s">
        <v>60</v>
      </c>
      <c r="H504" s="3" t="s">
        <v>59</v>
      </c>
      <c r="I504" s="3" t="s">
        <v>59</v>
      </c>
      <c r="J504" s="3" t="s">
        <v>61</v>
      </c>
      <c r="K504" s="2" t="s">
        <v>6475</v>
      </c>
      <c r="L504" s="2" t="s">
        <v>6476</v>
      </c>
      <c r="M504" s="3" t="s">
        <v>6477</v>
      </c>
      <c r="O504" s="3" t="s">
        <v>65</v>
      </c>
      <c r="P504" s="3" t="s">
        <v>66</v>
      </c>
      <c r="Q504" s="2" t="s">
        <v>6478</v>
      </c>
      <c r="R504" s="3" t="s">
        <v>68</v>
      </c>
      <c r="S504" s="4">
        <v>2</v>
      </c>
      <c r="T504" s="4">
        <v>2</v>
      </c>
      <c r="U504" s="5" t="s">
        <v>6408</v>
      </c>
      <c r="V504" s="5" t="s">
        <v>6408</v>
      </c>
      <c r="W504" s="5" t="s">
        <v>974</v>
      </c>
      <c r="X504" s="5" t="s">
        <v>974</v>
      </c>
      <c r="Y504" s="4">
        <v>433</v>
      </c>
      <c r="Z504" s="4">
        <v>313</v>
      </c>
      <c r="AA504" s="4">
        <v>316</v>
      </c>
      <c r="AB504" s="4">
        <v>3</v>
      </c>
      <c r="AC504" s="4">
        <v>3</v>
      </c>
      <c r="AD504" s="4">
        <v>12</v>
      </c>
      <c r="AE504" s="4">
        <v>12</v>
      </c>
      <c r="AF504" s="4">
        <v>7</v>
      </c>
      <c r="AG504" s="4">
        <v>7</v>
      </c>
      <c r="AH504" s="4">
        <v>2</v>
      </c>
      <c r="AI504" s="4">
        <v>2</v>
      </c>
      <c r="AJ504" s="4">
        <v>7</v>
      </c>
      <c r="AK504" s="4">
        <v>7</v>
      </c>
      <c r="AL504" s="4">
        <v>1</v>
      </c>
      <c r="AM504" s="4">
        <v>1</v>
      </c>
      <c r="AN504" s="4">
        <v>0</v>
      </c>
      <c r="AO504" s="4">
        <v>0</v>
      </c>
      <c r="AP504" s="3" t="s">
        <v>59</v>
      </c>
      <c r="AQ504" s="3" t="s">
        <v>71</v>
      </c>
      <c r="AR504" s="6" t="str">
        <f>HYPERLINK("http://catalog.hathitrust.org/Record/000615136","HathiTrust Record")</f>
        <v>HathiTrust Record</v>
      </c>
      <c r="AS504" s="6" t="str">
        <f>HYPERLINK("https://creighton-primo.hosted.exlibrisgroup.com/primo-explore/search?tab=default_tab&amp;search_scope=EVERYTHING&amp;vid=01CRU&amp;lang=en_US&amp;offset=0&amp;query=any,contains,991001204439702656","Catalog Record")</f>
        <v>Catalog Record</v>
      </c>
      <c r="AT504" s="6" t="str">
        <f>HYPERLINK("http://www.worldcat.org/oclc/191648","WorldCat Record")</f>
        <v>WorldCat Record</v>
      </c>
      <c r="AU504" s="3" t="s">
        <v>6479</v>
      </c>
      <c r="AV504" s="3" t="s">
        <v>6480</v>
      </c>
      <c r="AW504" s="3" t="s">
        <v>6481</v>
      </c>
      <c r="AX504" s="3" t="s">
        <v>6481</v>
      </c>
      <c r="AY504" s="3" t="s">
        <v>6482</v>
      </c>
      <c r="AZ504" s="3" t="s">
        <v>76</v>
      </c>
      <c r="BC504" s="3" t="s">
        <v>6483</v>
      </c>
      <c r="BD504" s="3" t="s">
        <v>6484</v>
      </c>
    </row>
    <row r="505" spans="1:56" ht="52.5" customHeight="1" x14ac:dyDescent="0.25">
      <c r="A505" s="7" t="s">
        <v>59</v>
      </c>
      <c r="B505" s="2" t="s">
        <v>6485</v>
      </c>
      <c r="C505" s="2" t="s">
        <v>6486</v>
      </c>
      <c r="D505" s="2" t="s">
        <v>6487</v>
      </c>
      <c r="F505" s="3" t="s">
        <v>71</v>
      </c>
      <c r="G505" s="3" t="s">
        <v>60</v>
      </c>
      <c r="H505" s="3" t="s">
        <v>71</v>
      </c>
      <c r="I505" s="3" t="s">
        <v>59</v>
      </c>
      <c r="J505" s="3" t="s">
        <v>61</v>
      </c>
      <c r="K505" s="2" t="s">
        <v>6488</v>
      </c>
      <c r="L505" s="2" t="s">
        <v>6489</v>
      </c>
      <c r="M505" s="3" t="s">
        <v>1015</v>
      </c>
      <c r="O505" s="3" t="s">
        <v>65</v>
      </c>
      <c r="P505" s="3" t="s">
        <v>420</v>
      </c>
      <c r="R505" s="3" t="s">
        <v>68</v>
      </c>
      <c r="S505" s="4">
        <v>0</v>
      </c>
      <c r="T505" s="4">
        <v>2</v>
      </c>
      <c r="V505" s="5" t="s">
        <v>3430</v>
      </c>
      <c r="W505" s="5" t="s">
        <v>6295</v>
      </c>
      <c r="X505" s="5" t="s">
        <v>6295</v>
      </c>
      <c r="Y505" s="4">
        <v>498</v>
      </c>
      <c r="Z505" s="4">
        <v>446</v>
      </c>
      <c r="AA505" s="4">
        <v>498</v>
      </c>
      <c r="AB505" s="4">
        <v>3</v>
      </c>
      <c r="AC505" s="4">
        <v>3</v>
      </c>
      <c r="AD505" s="4">
        <v>21</v>
      </c>
      <c r="AE505" s="4">
        <v>22</v>
      </c>
      <c r="AF505" s="4">
        <v>9</v>
      </c>
      <c r="AG505" s="4">
        <v>9</v>
      </c>
      <c r="AH505" s="4">
        <v>5</v>
      </c>
      <c r="AI505" s="4">
        <v>5</v>
      </c>
      <c r="AJ505" s="4">
        <v>14</v>
      </c>
      <c r="AK505" s="4">
        <v>15</v>
      </c>
      <c r="AL505" s="4">
        <v>1</v>
      </c>
      <c r="AM505" s="4">
        <v>1</v>
      </c>
      <c r="AN505" s="4">
        <v>0</v>
      </c>
      <c r="AO505" s="4">
        <v>0</v>
      </c>
      <c r="AP505" s="3" t="s">
        <v>59</v>
      </c>
      <c r="AQ505" s="3" t="s">
        <v>59</v>
      </c>
      <c r="AS505" s="6" t="str">
        <f>HYPERLINK("https://creighton-primo.hosted.exlibrisgroup.com/primo-explore/search?tab=default_tab&amp;search_scope=EVERYTHING&amp;vid=01CRU&amp;lang=en_US&amp;offset=0&amp;query=any,contains,991001180369702656","Catalog Record")</f>
        <v>Catalog Record</v>
      </c>
      <c r="AT505" s="6" t="str">
        <f>HYPERLINK("http://www.worldcat.org/oclc/10373486","WorldCat Record")</f>
        <v>WorldCat Record</v>
      </c>
      <c r="AU505" s="3" t="s">
        <v>6490</v>
      </c>
      <c r="AV505" s="3" t="s">
        <v>6491</v>
      </c>
      <c r="AW505" s="3" t="s">
        <v>6492</v>
      </c>
      <c r="AX505" s="3" t="s">
        <v>6492</v>
      </c>
      <c r="AY505" s="3" t="s">
        <v>6493</v>
      </c>
      <c r="AZ505" s="3" t="s">
        <v>76</v>
      </c>
      <c r="BB505" s="3" t="s">
        <v>6494</v>
      </c>
      <c r="BC505" s="3" t="s">
        <v>6495</v>
      </c>
      <c r="BD505" s="3" t="s">
        <v>6496</v>
      </c>
    </row>
    <row r="506" spans="1:56" ht="52.5" customHeight="1" x14ac:dyDescent="0.25">
      <c r="A506" s="7" t="s">
        <v>59</v>
      </c>
      <c r="B506" s="2" t="s">
        <v>6497</v>
      </c>
      <c r="C506" s="2" t="s">
        <v>6498</v>
      </c>
      <c r="D506" s="2" t="s">
        <v>6487</v>
      </c>
      <c r="E506" s="3" t="s">
        <v>6499</v>
      </c>
      <c r="F506" s="3" t="s">
        <v>71</v>
      </c>
      <c r="G506" s="3" t="s">
        <v>60</v>
      </c>
      <c r="H506" s="3" t="s">
        <v>59</v>
      </c>
      <c r="I506" s="3" t="s">
        <v>59</v>
      </c>
      <c r="J506" s="3" t="s">
        <v>61</v>
      </c>
      <c r="K506" s="2" t="s">
        <v>6488</v>
      </c>
      <c r="L506" s="2" t="s">
        <v>6489</v>
      </c>
      <c r="M506" s="3" t="s">
        <v>1015</v>
      </c>
      <c r="O506" s="3" t="s">
        <v>65</v>
      </c>
      <c r="P506" s="3" t="s">
        <v>420</v>
      </c>
      <c r="R506" s="3" t="s">
        <v>68</v>
      </c>
      <c r="S506" s="4">
        <v>0</v>
      </c>
      <c r="T506" s="4">
        <v>2</v>
      </c>
      <c r="V506" s="5" t="s">
        <v>3430</v>
      </c>
      <c r="W506" s="5" t="s">
        <v>6295</v>
      </c>
      <c r="X506" s="5" t="s">
        <v>6295</v>
      </c>
      <c r="Y506" s="4">
        <v>498</v>
      </c>
      <c r="Z506" s="4">
        <v>446</v>
      </c>
      <c r="AA506" s="4">
        <v>498</v>
      </c>
      <c r="AB506" s="4">
        <v>3</v>
      </c>
      <c r="AC506" s="4">
        <v>3</v>
      </c>
      <c r="AD506" s="4">
        <v>21</v>
      </c>
      <c r="AE506" s="4">
        <v>22</v>
      </c>
      <c r="AF506" s="4">
        <v>9</v>
      </c>
      <c r="AG506" s="4">
        <v>9</v>
      </c>
      <c r="AH506" s="4">
        <v>5</v>
      </c>
      <c r="AI506" s="4">
        <v>5</v>
      </c>
      <c r="AJ506" s="4">
        <v>14</v>
      </c>
      <c r="AK506" s="4">
        <v>15</v>
      </c>
      <c r="AL506" s="4">
        <v>1</v>
      </c>
      <c r="AM506" s="4">
        <v>1</v>
      </c>
      <c r="AN506" s="4">
        <v>0</v>
      </c>
      <c r="AO506" s="4">
        <v>0</v>
      </c>
      <c r="AP506" s="3" t="s">
        <v>59</v>
      </c>
      <c r="AQ506" s="3" t="s">
        <v>59</v>
      </c>
      <c r="AS506" s="6" t="str">
        <f>HYPERLINK("https://creighton-primo.hosted.exlibrisgroup.com/primo-explore/search?tab=default_tab&amp;search_scope=EVERYTHING&amp;vid=01CRU&amp;lang=en_US&amp;offset=0&amp;query=any,contains,991001180369702656","Catalog Record")</f>
        <v>Catalog Record</v>
      </c>
      <c r="AT506" s="6" t="str">
        <f>HYPERLINK("http://www.worldcat.org/oclc/10373486","WorldCat Record")</f>
        <v>WorldCat Record</v>
      </c>
      <c r="AU506" s="3" t="s">
        <v>6490</v>
      </c>
      <c r="AV506" s="3" t="s">
        <v>6491</v>
      </c>
      <c r="AW506" s="3" t="s">
        <v>6492</v>
      </c>
      <c r="AX506" s="3" t="s">
        <v>6492</v>
      </c>
      <c r="AY506" s="3" t="s">
        <v>6493</v>
      </c>
      <c r="AZ506" s="3" t="s">
        <v>76</v>
      </c>
      <c r="BB506" s="3" t="s">
        <v>6494</v>
      </c>
      <c r="BC506" s="3" t="s">
        <v>6500</v>
      </c>
      <c r="BD506" s="3" t="s">
        <v>6501</v>
      </c>
    </row>
    <row r="507" spans="1:56" ht="52.5" customHeight="1" x14ac:dyDescent="0.25">
      <c r="A507" s="7" t="s">
        <v>59</v>
      </c>
      <c r="B507" s="2" t="s">
        <v>6502</v>
      </c>
      <c r="C507" s="2" t="s">
        <v>6503</v>
      </c>
      <c r="D507" s="2" t="s">
        <v>6487</v>
      </c>
      <c r="E507" s="3" t="s">
        <v>6504</v>
      </c>
      <c r="F507" s="3" t="s">
        <v>71</v>
      </c>
      <c r="G507" s="3" t="s">
        <v>60</v>
      </c>
      <c r="H507" s="3" t="s">
        <v>59</v>
      </c>
      <c r="I507" s="3" t="s">
        <v>59</v>
      </c>
      <c r="J507" s="3" t="s">
        <v>61</v>
      </c>
      <c r="K507" s="2" t="s">
        <v>6488</v>
      </c>
      <c r="L507" s="2" t="s">
        <v>6489</v>
      </c>
      <c r="M507" s="3" t="s">
        <v>1015</v>
      </c>
      <c r="O507" s="3" t="s">
        <v>65</v>
      </c>
      <c r="P507" s="3" t="s">
        <v>420</v>
      </c>
      <c r="R507" s="3" t="s">
        <v>68</v>
      </c>
      <c r="S507" s="4">
        <v>1</v>
      </c>
      <c r="T507" s="4">
        <v>2</v>
      </c>
      <c r="U507" s="5" t="s">
        <v>3430</v>
      </c>
      <c r="V507" s="5" t="s">
        <v>3430</v>
      </c>
      <c r="W507" s="5" t="s">
        <v>6295</v>
      </c>
      <c r="X507" s="5" t="s">
        <v>6295</v>
      </c>
      <c r="Y507" s="4">
        <v>498</v>
      </c>
      <c r="Z507" s="4">
        <v>446</v>
      </c>
      <c r="AA507" s="4">
        <v>498</v>
      </c>
      <c r="AB507" s="4">
        <v>3</v>
      </c>
      <c r="AC507" s="4">
        <v>3</v>
      </c>
      <c r="AD507" s="4">
        <v>21</v>
      </c>
      <c r="AE507" s="4">
        <v>22</v>
      </c>
      <c r="AF507" s="4">
        <v>9</v>
      </c>
      <c r="AG507" s="4">
        <v>9</v>
      </c>
      <c r="AH507" s="4">
        <v>5</v>
      </c>
      <c r="AI507" s="4">
        <v>5</v>
      </c>
      <c r="AJ507" s="4">
        <v>14</v>
      </c>
      <c r="AK507" s="4">
        <v>15</v>
      </c>
      <c r="AL507" s="4">
        <v>1</v>
      </c>
      <c r="AM507" s="4">
        <v>1</v>
      </c>
      <c r="AN507" s="4">
        <v>0</v>
      </c>
      <c r="AO507" s="4">
        <v>0</v>
      </c>
      <c r="AP507" s="3" t="s">
        <v>59</v>
      </c>
      <c r="AQ507" s="3" t="s">
        <v>59</v>
      </c>
      <c r="AS507" s="6" t="str">
        <f>HYPERLINK("https://creighton-primo.hosted.exlibrisgroup.com/primo-explore/search?tab=default_tab&amp;search_scope=EVERYTHING&amp;vid=01CRU&amp;lang=en_US&amp;offset=0&amp;query=any,contains,991001180369702656","Catalog Record")</f>
        <v>Catalog Record</v>
      </c>
      <c r="AT507" s="6" t="str">
        <f>HYPERLINK("http://www.worldcat.org/oclc/10373486","WorldCat Record")</f>
        <v>WorldCat Record</v>
      </c>
      <c r="AU507" s="3" t="s">
        <v>6490</v>
      </c>
      <c r="AV507" s="3" t="s">
        <v>6491</v>
      </c>
      <c r="AW507" s="3" t="s">
        <v>6492</v>
      </c>
      <c r="AX507" s="3" t="s">
        <v>6492</v>
      </c>
      <c r="AY507" s="3" t="s">
        <v>6493</v>
      </c>
      <c r="AZ507" s="3" t="s">
        <v>76</v>
      </c>
      <c r="BB507" s="3" t="s">
        <v>6494</v>
      </c>
      <c r="BC507" s="3" t="s">
        <v>6505</v>
      </c>
      <c r="BD507" s="3" t="s">
        <v>6506</v>
      </c>
    </row>
    <row r="508" spans="1:56" ht="52.5" customHeight="1" x14ac:dyDescent="0.25">
      <c r="A508" s="7" t="s">
        <v>59</v>
      </c>
      <c r="B508" s="2" t="s">
        <v>6507</v>
      </c>
      <c r="C508" s="2" t="s">
        <v>6508</v>
      </c>
      <c r="D508" s="2" t="s">
        <v>6487</v>
      </c>
      <c r="E508" s="3" t="s">
        <v>6509</v>
      </c>
      <c r="F508" s="3" t="s">
        <v>71</v>
      </c>
      <c r="G508" s="3" t="s">
        <v>60</v>
      </c>
      <c r="H508" s="3" t="s">
        <v>59</v>
      </c>
      <c r="I508" s="3" t="s">
        <v>59</v>
      </c>
      <c r="J508" s="3" t="s">
        <v>61</v>
      </c>
      <c r="K508" s="2" t="s">
        <v>6488</v>
      </c>
      <c r="L508" s="2" t="s">
        <v>6489</v>
      </c>
      <c r="M508" s="3" t="s">
        <v>1015</v>
      </c>
      <c r="O508" s="3" t="s">
        <v>65</v>
      </c>
      <c r="P508" s="3" t="s">
        <v>420</v>
      </c>
      <c r="R508" s="3" t="s">
        <v>68</v>
      </c>
      <c r="S508" s="4">
        <v>1</v>
      </c>
      <c r="T508" s="4">
        <v>2</v>
      </c>
      <c r="U508" s="5" t="s">
        <v>3430</v>
      </c>
      <c r="V508" s="5" t="s">
        <v>3430</v>
      </c>
      <c r="W508" s="5" t="s">
        <v>6295</v>
      </c>
      <c r="X508" s="5" t="s">
        <v>6295</v>
      </c>
      <c r="Y508" s="4">
        <v>498</v>
      </c>
      <c r="Z508" s="4">
        <v>446</v>
      </c>
      <c r="AA508" s="4">
        <v>498</v>
      </c>
      <c r="AB508" s="4">
        <v>3</v>
      </c>
      <c r="AC508" s="4">
        <v>3</v>
      </c>
      <c r="AD508" s="4">
        <v>21</v>
      </c>
      <c r="AE508" s="4">
        <v>22</v>
      </c>
      <c r="AF508" s="4">
        <v>9</v>
      </c>
      <c r="AG508" s="4">
        <v>9</v>
      </c>
      <c r="AH508" s="4">
        <v>5</v>
      </c>
      <c r="AI508" s="4">
        <v>5</v>
      </c>
      <c r="AJ508" s="4">
        <v>14</v>
      </c>
      <c r="AK508" s="4">
        <v>15</v>
      </c>
      <c r="AL508" s="4">
        <v>1</v>
      </c>
      <c r="AM508" s="4">
        <v>1</v>
      </c>
      <c r="AN508" s="4">
        <v>0</v>
      </c>
      <c r="AO508" s="4">
        <v>0</v>
      </c>
      <c r="AP508" s="3" t="s">
        <v>59</v>
      </c>
      <c r="AQ508" s="3" t="s">
        <v>59</v>
      </c>
      <c r="AS508" s="6" t="str">
        <f>HYPERLINK("https://creighton-primo.hosted.exlibrisgroup.com/primo-explore/search?tab=default_tab&amp;search_scope=EVERYTHING&amp;vid=01CRU&amp;lang=en_US&amp;offset=0&amp;query=any,contains,991001180369702656","Catalog Record")</f>
        <v>Catalog Record</v>
      </c>
      <c r="AT508" s="6" t="str">
        <f>HYPERLINK("http://www.worldcat.org/oclc/10373486","WorldCat Record")</f>
        <v>WorldCat Record</v>
      </c>
      <c r="AU508" s="3" t="s">
        <v>6490</v>
      </c>
      <c r="AV508" s="3" t="s">
        <v>6491</v>
      </c>
      <c r="AW508" s="3" t="s">
        <v>6492</v>
      </c>
      <c r="AX508" s="3" t="s">
        <v>6492</v>
      </c>
      <c r="AY508" s="3" t="s">
        <v>6493</v>
      </c>
      <c r="AZ508" s="3" t="s">
        <v>76</v>
      </c>
      <c r="BB508" s="3" t="s">
        <v>6494</v>
      </c>
      <c r="BC508" s="3" t="s">
        <v>6510</v>
      </c>
      <c r="BD508" s="3" t="s">
        <v>6511</v>
      </c>
    </row>
    <row r="509" spans="1:56" ht="52.5" customHeight="1" x14ac:dyDescent="0.25">
      <c r="A509" s="7" t="s">
        <v>59</v>
      </c>
      <c r="B509" s="2" t="s">
        <v>6512</v>
      </c>
      <c r="C509" s="2" t="s">
        <v>6513</v>
      </c>
      <c r="D509" s="2" t="s">
        <v>6514</v>
      </c>
      <c r="F509" s="3" t="s">
        <v>59</v>
      </c>
      <c r="G509" s="3" t="s">
        <v>60</v>
      </c>
      <c r="H509" s="3" t="s">
        <v>59</v>
      </c>
      <c r="I509" s="3" t="s">
        <v>59</v>
      </c>
      <c r="J509" s="3" t="s">
        <v>61</v>
      </c>
      <c r="K509" s="2" t="s">
        <v>6515</v>
      </c>
      <c r="L509" s="2" t="s">
        <v>6516</v>
      </c>
      <c r="M509" s="3" t="s">
        <v>1015</v>
      </c>
      <c r="O509" s="3" t="s">
        <v>65</v>
      </c>
      <c r="P509" s="3" t="s">
        <v>66</v>
      </c>
      <c r="R509" s="3" t="s">
        <v>68</v>
      </c>
      <c r="S509" s="4">
        <v>5</v>
      </c>
      <c r="T509" s="4">
        <v>5</v>
      </c>
      <c r="U509" s="5" t="s">
        <v>6517</v>
      </c>
      <c r="V509" s="5" t="s">
        <v>6517</v>
      </c>
      <c r="W509" s="5" t="s">
        <v>974</v>
      </c>
      <c r="X509" s="5" t="s">
        <v>974</v>
      </c>
      <c r="Y509" s="4">
        <v>260</v>
      </c>
      <c r="Z509" s="4">
        <v>229</v>
      </c>
      <c r="AA509" s="4">
        <v>338</v>
      </c>
      <c r="AB509" s="4">
        <v>1</v>
      </c>
      <c r="AC509" s="4">
        <v>2</v>
      </c>
      <c r="AD509" s="4">
        <v>11</v>
      </c>
      <c r="AE509" s="4">
        <v>13</v>
      </c>
      <c r="AF509" s="4">
        <v>2</v>
      </c>
      <c r="AG509" s="4">
        <v>2</v>
      </c>
      <c r="AH509" s="4">
        <v>2</v>
      </c>
      <c r="AI509" s="4">
        <v>2</v>
      </c>
      <c r="AJ509" s="4">
        <v>8</v>
      </c>
      <c r="AK509" s="4">
        <v>9</v>
      </c>
      <c r="AL509" s="4">
        <v>0</v>
      </c>
      <c r="AM509" s="4">
        <v>1</v>
      </c>
      <c r="AN509" s="4">
        <v>0</v>
      </c>
      <c r="AO509" s="4">
        <v>0</v>
      </c>
      <c r="AP509" s="3" t="s">
        <v>59</v>
      </c>
      <c r="AQ509" s="3" t="s">
        <v>71</v>
      </c>
      <c r="AR509" s="6" t="str">
        <f>HYPERLINK("http://catalog.hathitrust.org/Record/005714192","HathiTrust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HYPERLINK("https://creighton-primo.hosted.exlibrisgroup.com/primo-explore/search?tab=default_tab&amp;search_scope=EVERYTHING&amp;vid=01CRU&amp;lang=en_US&amp;offset=0&amp;query=any,contains,991005431239702656","Catalog Record")</f>
        <v>Catalog Record</v>
      </c>
      <c r="AT509" s="6" t="str">
        <f>HYPERLINK("http://www.worldcat.org/oclc/297","WorldCat Record")</f>
        <v>WorldCat Record</v>
      </c>
      <c r="AU509" s="3" t="s">
        <v>6518</v>
      </c>
      <c r="AV509" s="3" t="s">
        <v>6519</v>
      </c>
      <c r="AW509" s="3" t="s">
        <v>6520</v>
      </c>
      <c r="AX509" s="3" t="s">
        <v>6520</v>
      </c>
      <c r="AY509" s="3" t="s">
        <v>6521</v>
      </c>
      <c r="AZ509" s="3" t="s">
        <v>76</v>
      </c>
      <c r="BC509" s="3" t="s">
        <v>6522</v>
      </c>
      <c r="BD509" s="3" t="s">
        <v>6523</v>
      </c>
    </row>
    <row r="510" spans="1:56" ht="52.5" customHeight="1" x14ac:dyDescent="0.25">
      <c r="A510" s="7" t="s">
        <v>59</v>
      </c>
      <c r="B510" s="2" t="s">
        <v>6524</v>
      </c>
      <c r="C510" s="2" t="s">
        <v>6525</v>
      </c>
      <c r="D510" s="2" t="s">
        <v>6526</v>
      </c>
      <c r="F510" s="3" t="s">
        <v>59</v>
      </c>
      <c r="G510" s="3" t="s">
        <v>60</v>
      </c>
      <c r="H510" s="3" t="s">
        <v>59</v>
      </c>
      <c r="I510" s="3" t="s">
        <v>59</v>
      </c>
      <c r="J510" s="3" t="s">
        <v>61</v>
      </c>
      <c r="K510" s="2" t="s">
        <v>6527</v>
      </c>
      <c r="L510" s="2" t="s">
        <v>6528</v>
      </c>
      <c r="M510" s="3" t="s">
        <v>2389</v>
      </c>
      <c r="O510" s="3" t="s">
        <v>65</v>
      </c>
      <c r="P510" s="3" t="s">
        <v>66</v>
      </c>
      <c r="R510" s="3" t="s">
        <v>68</v>
      </c>
      <c r="S510" s="4">
        <v>2</v>
      </c>
      <c r="T510" s="4">
        <v>2</v>
      </c>
      <c r="U510" s="5" t="s">
        <v>6431</v>
      </c>
      <c r="V510" s="5" t="s">
        <v>6431</v>
      </c>
      <c r="W510" s="5" t="s">
        <v>974</v>
      </c>
      <c r="X510" s="5" t="s">
        <v>974</v>
      </c>
      <c r="Y510" s="4">
        <v>402</v>
      </c>
      <c r="Z510" s="4">
        <v>323</v>
      </c>
      <c r="AA510" s="4">
        <v>325</v>
      </c>
      <c r="AB510" s="4">
        <v>3</v>
      </c>
      <c r="AC510" s="4">
        <v>3</v>
      </c>
      <c r="AD510" s="4">
        <v>16</v>
      </c>
      <c r="AE510" s="4">
        <v>16</v>
      </c>
      <c r="AF510" s="4">
        <v>7</v>
      </c>
      <c r="AG510" s="4">
        <v>7</v>
      </c>
      <c r="AH510" s="4">
        <v>1</v>
      </c>
      <c r="AI510" s="4">
        <v>1</v>
      </c>
      <c r="AJ510" s="4">
        <v>11</v>
      </c>
      <c r="AK510" s="4">
        <v>11</v>
      </c>
      <c r="AL510" s="4">
        <v>2</v>
      </c>
      <c r="AM510" s="4">
        <v>2</v>
      </c>
      <c r="AN510" s="4">
        <v>0</v>
      </c>
      <c r="AO510" s="4">
        <v>0</v>
      </c>
      <c r="AP510" s="3" t="s">
        <v>59</v>
      </c>
      <c r="AQ510" s="3" t="s">
        <v>71</v>
      </c>
      <c r="AR510" s="6" t="str">
        <f>HYPERLINK("http://catalog.hathitrust.org/Record/000615324","HathiTrust Record")</f>
        <v>HathiTrust Record</v>
      </c>
      <c r="AS510" s="6" t="str">
        <f>HYPERLINK("https://creighton-primo.hosted.exlibrisgroup.com/primo-explore/search?tab=default_tab&amp;search_scope=EVERYTHING&amp;vid=01CRU&amp;lang=en_US&amp;offset=0&amp;query=any,contains,991002969179702656","Catalog Record")</f>
        <v>Catalog Record</v>
      </c>
      <c r="AT510" s="6" t="str">
        <f>HYPERLINK("http://www.worldcat.org/oclc/547566","WorldCat Record")</f>
        <v>WorldCat Record</v>
      </c>
      <c r="AU510" s="3" t="s">
        <v>6529</v>
      </c>
      <c r="AV510" s="3" t="s">
        <v>6530</v>
      </c>
      <c r="AW510" s="3" t="s">
        <v>6531</v>
      </c>
      <c r="AX510" s="3" t="s">
        <v>6531</v>
      </c>
      <c r="AY510" s="3" t="s">
        <v>6532</v>
      </c>
      <c r="AZ510" s="3" t="s">
        <v>76</v>
      </c>
      <c r="BC510" s="3" t="s">
        <v>6533</v>
      </c>
      <c r="BD510" s="3" t="s">
        <v>6534</v>
      </c>
    </row>
    <row r="511" spans="1:56" ht="52.5" customHeight="1" x14ac:dyDescent="0.25">
      <c r="A511" s="7" t="s">
        <v>59</v>
      </c>
      <c r="B511" s="2" t="s">
        <v>6535</v>
      </c>
      <c r="C511" s="2" t="s">
        <v>6536</v>
      </c>
      <c r="D511" s="2" t="s">
        <v>6537</v>
      </c>
      <c r="F511" s="3" t="s">
        <v>59</v>
      </c>
      <c r="G511" s="3" t="s">
        <v>60</v>
      </c>
      <c r="H511" s="3" t="s">
        <v>59</v>
      </c>
      <c r="I511" s="3" t="s">
        <v>59</v>
      </c>
      <c r="J511" s="3" t="s">
        <v>61</v>
      </c>
      <c r="K511" s="2" t="s">
        <v>6538</v>
      </c>
      <c r="L511" s="2" t="s">
        <v>6539</v>
      </c>
      <c r="M511" s="3" t="s">
        <v>4228</v>
      </c>
      <c r="O511" s="3" t="s">
        <v>65</v>
      </c>
      <c r="P511" s="3" t="s">
        <v>771</v>
      </c>
      <c r="R511" s="3" t="s">
        <v>68</v>
      </c>
      <c r="S511" s="4">
        <v>1</v>
      </c>
      <c r="T511" s="4">
        <v>1</v>
      </c>
      <c r="U511" s="5" t="s">
        <v>3172</v>
      </c>
      <c r="V511" s="5" t="s">
        <v>3172</v>
      </c>
      <c r="W511" s="5" t="s">
        <v>6540</v>
      </c>
      <c r="X511" s="5" t="s">
        <v>6540</v>
      </c>
      <c r="Y511" s="4">
        <v>242</v>
      </c>
      <c r="Z511" s="4">
        <v>197</v>
      </c>
      <c r="AA511" s="4">
        <v>205</v>
      </c>
      <c r="AB511" s="4">
        <v>3</v>
      </c>
      <c r="AC511" s="4">
        <v>3</v>
      </c>
      <c r="AD511" s="4">
        <v>10</v>
      </c>
      <c r="AE511" s="4">
        <v>10</v>
      </c>
      <c r="AF511" s="4">
        <v>4</v>
      </c>
      <c r="AG511" s="4">
        <v>4</v>
      </c>
      <c r="AH511" s="4">
        <v>3</v>
      </c>
      <c r="AI511" s="4">
        <v>3</v>
      </c>
      <c r="AJ511" s="4">
        <v>6</v>
      </c>
      <c r="AK511" s="4">
        <v>6</v>
      </c>
      <c r="AL511" s="4">
        <v>2</v>
      </c>
      <c r="AM511" s="4">
        <v>2</v>
      </c>
      <c r="AN511" s="4">
        <v>0</v>
      </c>
      <c r="AO511" s="4">
        <v>0</v>
      </c>
      <c r="AP511" s="3" t="s">
        <v>59</v>
      </c>
      <c r="AQ511" s="3" t="s">
        <v>71</v>
      </c>
      <c r="AR511" s="6" t="str">
        <f>HYPERLINK("http://catalog.hathitrust.org/Record/002595488","HathiTrust Record")</f>
        <v>HathiTrust Record</v>
      </c>
      <c r="AS511" s="6" t="str">
        <f>HYPERLINK("https://creighton-primo.hosted.exlibrisgroup.com/primo-explore/search?tab=default_tab&amp;search_scope=EVERYTHING&amp;vid=01CRU&amp;lang=en_US&amp;offset=0&amp;query=any,contains,991002036909702656","Catalog Record")</f>
        <v>Catalog Record</v>
      </c>
      <c r="AT511" s="6" t="str">
        <f>HYPERLINK("http://www.worldcat.org/oclc/25965136","WorldCat Record")</f>
        <v>WorldCat Record</v>
      </c>
      <c r="AU511" s="3" t="s">
        <v>6541</v>
      </c>
      <c r="AV511" s="3" t="s">
        <v>6542</v>
      </c>
      <c r="AW511" s="3" t="s">
        <v>6543</v>
      </c>
      <c r="AX511" s="3" t="s">
        <v>6543</v>
      </c>
      <c r="AY511" s="3" t="s">
        <v>6544</v>
      </c>
      <c r="AZ511" s="3" t="s">
        <v>76</v>
      </c>
      <c r="BB511" s="3" t="s">
        <v>6545</v>
      </c>
      <c r="BC511" s="3" t="s">
        <v>6546</v>
      </c>
      <c r="BD511" s="3" t="s">
        <v>6547</v>
      </c>
    </row>
    <row r="512" spans="1:56" ht="52.5" customHeight="1" x14ac:dyDescent="0.25">
      <c r="A512" s="7" t="s">
        <v>59</v>
      </c>
      <c r="B512" s="2" t="s">
        <v>6548</v>
      </c>
      <c r="C512" s="2" t="s">
        <v>6549</v>
      </c>
      <c r="D512" s="2" t="s">
        <v>6550</v>
      </c>
      <c r="F512" s="3" t="s">
        <v>59</v>
      </c>
      <c r="G512" s="3" t="s">
        <v>60</v>
      </c>
      <c r="H512" s="3" t="s">
        <v>59</v>
      </c>
      <c r="I512" s="3" t="s">
        <v>59</v>
      </c>
      <c r="J512" s="3" t="s">
        <v>61</v>
      </c>
      <c r="K512" s="2" t="s">
        <v>6551</v>
      </c>
      <c r="L512" s="2" t="s">
        <v>6552</v>
      </c>
      <c r="M512" s="3" t="s">
        <v>1601</v>
      </c>
      <c r="O512" s="3" t="s">
        <v>65</v>
      </c>
      <c r="P512" s="3" t="s">
        <v>296</v>
      </c>
      <c r="R512" s="3" t="s">
        <v>68</v>
      </c>
      <c r="S512" s="4">
        <v>3</v>
      </c>
      <c r="T512" s="4">
        <v>3</v>
      </c>
      <c r="U512" s="5" t="s">
        <v>6553</v>
      </c>
      <c r="V512" s="5" t="s">
        <v>6553</v>
      </c>
      <c r="W512" s="5" t="s">
        <v>3874</v>
      </c>
      <c r="X512" s="5" t="s">
        <v>3874</v>
      </c>
      <c r="Y512" s="4">
        <v>35</v>
      </c>
      <c r="Z512" s="4">
        <v>25</v>
      </c>
      <c r="AA512" s="4">
        <v>604</v>
      </c>
      <c r="AB512" s="4">
        <v>2</v>
      </c>
      <c r="AC512" s="4">
        <v>3</v>
      </c>
      <c r="AD512" s="4">
        <v>1</v>
      </c>
      <c r="AE512" s="4">
        <v>25</v>
      </c>
      <c r="AF512" s="4">
        <v>0</v>
      </c>
      <c r="AG512" s="4">
        <v>9</v>
      </c>
      <c r="AH512" s="4">
        <v>0</v>
      </c>
      <c r="AI512" s="4">
        <v>5</v>
      </c>
      <c r="AJ512" s="4">
        <v>0</v>
      </c>
      <c r="AK512" s="4">
        <v>16</v>
      </c>
      <c r="AL512" s="4">
        <v>1</v>
      </c>
      <c r="AM512" s="4">
        <v>2</v>
      </c>
      <c r="AN512" s="4">
        <v>0</v>
      </c>
      <c r="AO512" s="4">
        <v>0</v>
      </c>
      <c r="AP512" s="3" t="s">
        <v>59</v>
      </c>
      <c r="AQ512" s="3" t="s">
        <v>59</v>
      </c>
      <c r="AS512" s="6" t="str">
        <f>HYPERLINK("https://creighton-primo.hosted.exlibrisgroup.com/primo-explore/search?tab=default_tab&amp;search_scope=EVERYTHING&amp;vid=01CRU&amp;lang=en_US&amp;offset=0&amp;query=any,contains,991003941339702656","Catalog Record")</f>
        <v>Catalog Record</v>
      </c>
      <c r="AT512" s="6" t="str">
        <f>HYPERLINK("http://www.worldcat.org/oclc/1931594","WorldCat Record")</f>
        <v>WorldCat Record</v>
      </c>
      <c r="AU512" s="3" t="s">
        <v>6554</v>
      </c>
      <c r="AV512" s="3" t="s">
        <v>6555</v>
      </c>
      <c r="AW512" s="3" t="s">
        <v>6556</v>
      </c>
      <c r="AX512" s="3" t="s">
        <v>6556</v>
      </c>
      <c r="AY512" s="3" t="s">
        <v>6557</v>
      </c>
      <c r="AZ512" s="3" t="s">
        <v>76</v>
      </c>
      <c r="BC512" s="3" t="s">
        <v>6558</v>
      </c>
      <c r="BD512" s="3" t="s">
        <v>6559</v>
      </c>
    </row>
    <row r="513" spans="1:56" ht="52.5" customHeight="1" x14ac:dyDescent="0.25">
      <c r="A513" s="7" t="s">
        <v>59</v>
      </c>
      <c r="B513" s="2" t="s">
        <v>6560</v>
      </c>
      <c r="C513" s="2" t="s">
        <v>6561</v>
      </c>
      <c r="D513" s="2" t="s">
        <v>6562</v>
      </c>
      <c r="F513" s="3" t="s">
        <v>59</v>
      </c>
      <c r="G513" s="3" t="s">
        <v>60</v>
      </c>
      <c r="H513" s="3" t="s">
        <v>59</v>
      </c>
      <c r="I513" s="3" t="s">
        <v>59</v>
      </c>
      <c r="J513" s="3" t="s">
        <v>61</v>
      </c>
      <c r="K513" s="2" t="s">
        <v>6563</v>
      </c>
      <c r="L513" s="2" t="s">
        <v>6564</v>
      </c>
      <c r="M513" s="3" t="s">
        <v>295</v>
      </c>
      <c r="O513" s="3" t="s">
        <v>65</v>
      </c>
      <c r="P513" s="3" t="s">
        <v>491</v>
      </c>
      <c r="R513" s="3" t="s">
        <v>68</v>
      </c>
      <c r="S513" s="4">
        <v>2</v>
      </c>
      <c r="T513" s="4">
        <v>2</v>
      </c>
      <c r="U513" s="5" t="s">
        <v>6517</v>
      </c>
      <c r="V513" s="5" t="s">
        <v>6517</v>
      </c>
      <c r="W513" s="5" t="s">
        <v>974</v>
      </c>
      <c r="X513" s="5" t="s">
        <v>974</v>
      </c>
      <c r="Y513" s="4">
        <v>24</v>
      </c>
      <c r="Z513" s="4">
        <v>9</v>
      </c>
      <c r="AA513" s="4">
        <v>641</v>
      </c>
      <c r="AB513" s="4">
        <v>1</v>
      </c>
      <c r="AC513" s="4">
        <v>6</v>
      </c>
      <c r="AD513" s="4">
        <v>1</v>
      </c>
      <c r="AE513" s="4">
        <v>32</v>
      </c>
      <c r="AF513" s="4">
        <v>1</v>
      </c>
      <c r="AG513" s="4">
        <v>13</v>
      </c>
      <c r="AH513" s="4">
        <v>0</v>
      </c>
      <c r="AI513" s="4">
        <v>5</v>
      </c>
      <c r="AJ513" s="4">
        <v>0</v>
      </c>
      <c r="AK513" s="4">
        <v>16</v>
      </c>
      <c r="AL513" s="4">
        <v>0</v>
      </c>
      <c r="AM513" s="4">
        <v>4</v>
      </c>
      <c r="AN513" s="4">
        <v>0</v>
      </c>
      <c r="AO513" s="4">
        <v>0</v>
      </c>
      <c r="AP513" s="3" t="s">
        <v>59</v>
      </c>
      <c r="AQ513" s="3" t="s">
        <v>59</v>
      </c>
      <c r="AS513" s="6" t="str">
        <f>HYPERLINK("https://creighton-primo.hosted.exlibrisgroup.com/primo-explore/search?tab=default_tab&amp;search_scope=EVERYTHING&amp;vid=01CRU&amp;lang=en_US&amp;offset=0&amp;query=any,contains,991000943719702656","Catalog Record")</f>
        <v>Catalog Record</v>
      </c>
      <c r="AT513" s="6" t="str">
        <f>HYPERLINK("http://www.worldcat.org/oclc/14478894","WorldCat Record")</f>
        <v>WorldCat Record</v>
      </c>
      <c r="AU513" s="3" t="s">
        <v>6565</v>
      </c>
      <c r="AV513" s="3" t="s">
        <v>6566</v>
      </c>
      <c r="AW513" s="3" t="s">
        <v>6567</v>
      </c>
      <c r="AX513" s="3" t="s">
        <v>6567</v>
      </c>
      <c r="AY513" s="3" t="s">
        <v>6568</v>
      </c>
      <c r="AZ513" s="3" t="s">
        <v>76</v>
      </c>
      <c r="BC513" s="3" t="s">
        <v>6569</v>
      </c>
      <c r="BD513" s="3" t="s">
        <v>6570</v>
      </c>
    </row>
    <row r="514" spans="1:56" ht="52.5" customHeight="1" x14ac:dyDescent="0.25">
      <c r="A514" s="7" t="s">
        <v>59</v>
      </c>
      <c r="B514" s="2" t="s">
        <v>6571</v>
      </c>
      <c r="C514" s="2" t="s">
        <v>6572</v>
      </c>
      <c r="D514" s="2" t="s">
        <v>6573</v>
      </c>
      <c r="F514" s="3" t="s">
        <v>59</v>
      </c>
      <c r="G514" s="3" t="s">
        <v>60</v>
      </c>
      <c r="H514" s="3" t="s">
        <v>59</v>
      </c>
      <c r="I514" s="3" t="s">
        <v>59</v>
      </c>
      <c r="J514" s="3" t="s">
        <v>61</v>
      </c>
      <c r="K514" s="2" t="s">
        <v>6574</v>
      </c>
      <c r="L514" s="2" t="s">
        <v>6575</v>
      </c>
      <c r="M514" s="3" t="s">
        <v>1015</v>
      </c>
      <c r="O514" s="3" t="s">
        <v>65</v>
      </c>
      <c r="P514" s="3" t="s">
        <v>283</v>
      </c>
      <c r="Q514" s="2" t="s">
        <v>6576</v>
      </c>
      <c r="R514" s="3" t="s">
        <v>68</v>
      </c>
      <c r="S514" s="4">
        <v>6</v>
      </c>
      <c r="T514" s="4">
        <v>6</v>
      </c>
      <c r="U514" s="5" t="s">
        <v>6577</v>
      </c>
      <c r="V514" s="5" t="s">
        <v>6577</v>
      </c>
      <c r="W514" s="5" t="s">
        <v>6295</v>
      </c>
      <c r="X514" s="5" t="s">
        <v>6295</v>
      </c>
      <c r="Y514" s="4">
        <v>399</v>
      </c>
      <c r="Z514" s="4">
        <v>335</v>
      </c>
      <c r="AA514" s="4">
        <v>338</v>
      </c>
      <c r="AB514" s="4">
        <v>3</v>
      </c>
      <c r="AC514" s="4">
        <v>3</v>
      </c>
      <c r="AD514" s="4">
        <v>16</v>
      </c>
      <c r="AE514" s="4">
        <v>16</v>
      </c>
      <c r="AF514" s="4">
        <v>6</v>
      </c>
      <c r="AG514" s="4">
        <v>6</v>
      </c>
      <c r="AH514" s="4">
        <v>3</v>
      </c>
      <c r="AI514" s="4">
        <v>3</v>
      </c>
      <c r="AJ514" s="4">
        <v>10</v>
      </c>
      <c r="AK514" s="4">
        <v>10</v>
      </c>
      <c r="AL514" s="4">
        <v>2</v>
      </c>
      <c r="AM514" s="4">
        <v>2</v>
      </c>
      <c r="AN514" s="4">
        <v>0</v>
      </c>
      <c r="AO514" s="4">
        <v>0</v>
      </c>
      <c r="AP514" s="3" t="s">
        <v>59</v>
      </c>
      <c r="AQ514" s="3" t="s">
        <v>71</v>
      </c>
      <c r="AR514" s="6" t="str">
        <f>HYPERLINK("http://catalog.hathitrust.org/Record/010655471","HathiTrust Record")</f>
        <v>HathiTrust Record</v>
      </c>
      <c r="AS514" s="6" t="str">
        <f>HYPERLINK("https://creighton-primo.hosted.exlibrisgroup.com/primo-explore/search?tab=default_tab&amp;search_scope=EVERYTHING&amp;vid=01CRU&amp;lang=en_US&amp;offset=0&amp;query=any,contains,991001181509702656","Catalog Record")</f>
        <v>Catalog Record</v>
      </c>
      <c r="AT514" s="6" t="str">
        <f>HYPERLINK("http://www.worldcat.org/oclc/190527","WorldCat Record")</f>
        <v>WorldCat Record</v>
      </c>
      <c r="AU514" s="3" t="s">
        <v>6578</v>
      </c>
      <c r="AV514" s="3" t="s">
        <v>6579</v>
      </c>
      <c r="AW514" s="3" t="s">
        <v>6580</v>
      </c>
      <c r="AX514" s="3" t="s">
        <v>6580</v>
      </c>
      <c r="AY514" s="3" t="s">
        <v>6581</v>
      </c>
      <c r="AZ514" s="3" t="s">
        <v>76</v>
      </c>
      <c r="BC514" s="3" t="s">
        <v>6582</v>
      </c>
      <c r="BD514" s="3" t="s">
        <v>6583</v>
      </c>
    </row>
    <row r="515" spans="1:56" ht="52.5" customHeight="1" x14ac:dyDescent="0.25">
      <c r="A515" s="7" t="s">
        <v>59</v>
      </c>
      <c r="B515" s="2" t="s">
        <v>6584</v>
      </c>
      <c r="C515" s="2" t="s">
        <v>6585</v>
      </c>
      <c r="D515" s="2" t="s">
        <v>6586</v>
      </c>
      <c r="F515" s="3" t="s">
        <v>59</v>
      </c>
      <c r="G515" s="3" t="s">
        <v>60</v>
      </c>
      <c r="H515" s="3" t="s">
        <v>59</v>
      </c>
      <c r="I515" s="3" t="s">
        <v>59</v>
      </c>
      <c r="J515" s="3" t="s">
        <v>61</v>
      </c>
      <c r="K515" s="2" t="s">
        <v>6587</v>
      </c>
      <c r="L515" s="2" t="s">
        <v>6588</v>
      </c>
      <c r="M515" s="3" t="s">
        <v>1601</v>
      </c>
      <c r="O515" s="3" t="s">
        <v>65</v>
      </c>
      <c r="P515" s="3" t="s">
        <v>66</v>
      </c>
      <c r="Q515" s="2" t="s">
        <v>6589</v>
      </c>
      <c r="R515" s="3" t="s">
        <v>68</v>
      </c>
      <c r="S515" s="4">
        <v>3</v>
      </c>
      <c r="T515" s="4">
        <v>3</v>
      </c>
      <c r="U515" s="5" t="s">
        <v>6590</v>
      </c>
      <c r="V515" s="5" t="s">
        <v>6590</v>
      </c>
      <c r="W515" s="5" t="s">
        <v>6154</v>
      </c>
      <c r="X515" s="5" t="s">
        <v>6154</v>
      </c>
      <c r="Y515" s="4">
        <v>996</v>
      </c>
      <c r="Z515" s="4">
        <v>922</v>
      </c>
      <c r="AA515" s="4">
        <v>1301</v>
      </c>
      <c r="AB515" s="4">
        <v>7</v>
      </c>
      <c r="AC515" s="4">
        <v>11</v>
      </c>
      <c r="AD515" s="4">
        <v>49</v>
      </c>
      <c r="AE515" s="4">
        <v>56</v>
      </c>
      <c r="AF515" s="4">
        <v>20</v>
      </c>
      <c r="AG515" s="4">
        <v>25</v>
      </c>
      <c r="AH515" s="4">
        <v>10</v>
      </c>
      <c r="AI515" s="4">
        <v>10</v>
      </c>
      <c r="AJ515" s="4">
        <v>25</v>
      </c>
      <c r="AK515" s="4">
        <v>26</v>
      </c>
      <c r="AL515" s="4">
        <v>6</v>
      </c>
      <c r="AM515" s="4">
        <v>8</v>
      </c>
      <c r="AN515" s="4">
        <v>0</v>
      </c>
      <c r="AO515" s="4">
        <v>0</v>
      </c>
      <c r="AP515" s="3" t="s">
        <v>59</v>
      </c>
      <c r="AQ515" s="3" t="s">
        <v>59</v>
      </c>
      <c r="AR515" s="6" t="str">
        <f>HYPERLINK("http://catalog.hathitrust.org/Record/000003283","HathiTrust Record")</f>
        <v>HathiTrust Record</v>
      </c>
      <c r="AS515" s="6" t="str">
        <f>HYPERLINK("https://creighton-primo.hosted.exlibrisgroup.com/primo-explore/search?tab=default_tab&amp;search_scope=EVERYTHING&amp;vid=01CRU&amp;lang=en_US&amp;offset=0&amp;query=any,contains,991001376299702656","Catalog Record")</f>
        <v>Catalog Record</v>
      </c>
      <c r="AT515" s="6" t="str">
        <f>HYPERLINK("http://www.worldcat.org/oclc/224939","WorldCat Record")</f>
        <v>WorldCat Record</v>
      </c>
      <c r="AU515" s="3" t="s">
        <v>6591</v>
      </c>
      <c r="AV515" s="3" t="s">
        <v>6592</v>
      </c>
      <c r="AW515" s="3" t="s">
        <v>6593</v>
      </c>
      <c r="AX515" s="3" t="s">
        <v>6593</v>
      </c>
      <c r="AY515" s="3" t="s">
        <v>6594</v>
      </c>
      <c r="AZ515" s="3" t="s">
        <v>76</v>
      </c>
      <c r="BC515" s="3" t="s">
        <v>6595</v>
      </c>
      <c r="BD515" s="3" t="s">
        <v>6596</v>
      </c>
    </row>
    <row r="516" spans="1:56" ht="52.5" customHeight="1" x14ac:dyDescent="0.25">
      <c r="A516" s="7" t="s">
        <v>59</v>
      </c>
      <c r="B516" s="2" t="s">
        <v>6597</v>
      </c>
      <c r="C516" s="2" t="s">
        <v>6598</v>
      </c>
      <c r="D516" s="2" t="s">
        <v>6599</v>
      </c>
      <c r="F516" s="3" t="s">
        <v>59</v>
      </c>
      <c r="G516" s="3" t="s">
        <v>60</v>
      </c>
      <c r="H516" s="3" t="s">
        <v>59</v>
      </c>
      <c r="I516" s="3" t="s">
        <v>59</v>
      </c>
      <c r="J516" s="3" t="s">
        <v>61</v>
      </c>
      <c r="L516" s="2" t="s">
        <v>6600</v>
      </c>
      <c r="M516" s="3" t="s">
        <v>1000</v>
      </c>
      <c r="O516" s="3" t="s">
        <v>65</v>
      </c>
      <c r="P516" s="3" t="s">
        <v>2845</v>
      </c>
      <c r="R516" s="3" t="s">
        <v>68</v>
      </c>
      <c r="S516" s="4">
        <v>1</v>
      </c>
      <c r="T516" s="4">
        <v>1</v>
      </c>
      <c r="U516" s="5" t="s">
        <v>6601</v>
      </c>
      <c r="V516" s="5" t="s">
        <v>6601</v>
      </c>
      <c r="W516" s="5" t="s">
        <v>6601</v>
      </c>
      <c r="X516" s="5" t="s">
        <v>6601</v>
      </c>
      <c r="Y516" s="4">
        <v>241</v>
      </c>
      <c r="Z516" s="4">
        <v>207</v>
      </c>
      <c r="AA516" s="4">
        <v>213</v>
      </c>
      <c r="AB516" s="4">
        <v>2</v>
      </c>
      <c r="AC516" s="4">
        <v>2</v>
      </c>
      <c r="AD516" s="4">
        <v>14</v>
      </c>
      <c r="AE516" s="4">
        <v>14</v>
      </c>
      <c r="AF516" s="4">
        <v>5</v>
      </c>
      <c r="AG516" s="4">
        <v>5</v>
      </c>
      <c r="AH516" s="4">
        <v>5</v>
      </c>
      <c r="AI516" s="4">
        <v>5</v>
      </c>
      <c r="AJ516" s="4">
        <v>7</v>
      </c>
      <c r="AK516" s="4">
        <v>7</v>
      </c>
      <c r="AL516" s="4">
        <v>1</v>
      </c>
      <c r="AM516" s="4">
        <v>1</v>
      </c>
      <c r="AN516" s="4">
        <v>0</v>
      </c>
      <c r="AO516" s="4">
        <v>0</v>
      </c>
      <c r="AP516" s="3" t="s">
        <v>59</v>
      </c>
      <c r="AQ516" s="3" t="s">
        <v>59</v>
      </c>
      <c r="AS516" s="6" t="str">
        <f>HYPERLINK("https://creighton-primo.hosted.exlibrisgroup.com/primo-explore/search?tab=default_tab&amp;search_scope=EVERYTHING&amp;vid=01CRU&amp;lang=en_US&amp;offset=0&amp;query=any,contains,991004206879702656","Catalog Record")</f>
        <v>Catalog Record</v>
      </c>
      <c r="AT516" s="6" t="str">
        <f>HYPERLINK("http://www.worldcat.org/oclc/4496248","WorldCat Record")</f>
        <v>WorldCat Record</v>
      </c>
      <c r="AU516" s="3" t="s">
        <v>6602</v>
      </c>
      <c r="AV516" s="3" t="s">
        <v>6603</v>
      </c>
      <c r="AW516" s="3" t="s">
        <v>6604</v>
      </c>
      <c r="AX516" s="3" t="s">
        <v>6604</v>
      </c>
      <c r="AY516" s="3" t="s">
        <v>6605</v>
      </c>
      <c r="AZ516" s="3" t="s">
        <v>76</v>
      </c>
      <c r="BB516" s="3" t="s">
        <v>6606</v>
      </c>
      <c r="BC516" s="3" t="s">
        <v>6607</v>
      </c>
      <c r="BD516" s="3" t="s">
        <v>6608</v>
      </c>
    </row>
    <row r="517" spans="1:56" ht="52.5" customHeight="1" x14ac:dyDescent="0.25">
      <c r="A517" s="7" t="s">
        <v>59</v>
      </c>
      <c r="B517" s="2" t="s">
        <v>6609</v>
      </c>
      <c r="C517" s="2" t="s">
        <v>6610</v>
      </c>
      <c r="D517" s="2" t="s">
        <v>6611</v>
      </c>
      <c r="F517" s="3" t="s">
        <v>59</v>
      </c>
      <c r="G517" s="3" t="s">
        <v>60</v>
      </c>
      <c r="H517" s="3" t="s">
        <v>59</v>
      </c>
      <c r="I517" s="3" t="s">
        <v>59</v>
      </c>
      <c r="J517" s="3" t="s">
        <v>61</v>
      </c>
      <c r="K517" s="2" t="s">
        <v>6612</v>
      </c>
      <c r="L517" s="2" t="s">
        <v>6613</v>
      </c>
      <c r="M517" s="3" t="s">
        <v>538</v>
      </c>
      <c r="N517" s="2" t="s">
        <v>1587</v>
      </c>
      <c r="O517" s="3" t="s">
        <v>65</v>
      </c>
      <c r="P517" s="3" t="s">
        <v>66</v>
      </c>
      <c r="R517" s="3" t="s">
        <v>68</v>
      </c>
      <c r="S517" s="4">
        <v>2</v>
      </c>
      <c r="T517" s="4">
        <v>2</v>
      </c>
      <c r="U517" s="5" t="s">
        <v>6614</v>
      </c>
      <c r="V517" s="5" t="s">
        <v>6614</v>
      </c>
      <c r="W517" s="5" t="s">
        <v>6154</v>
      </c>
      <c r="X517" s="5" t="s">
        <v>6154</v>
      </c>
      <c r="Y517" s="4">
        <v>332</v>
      </c>
      <c r="Z517" s="4">
        <v>311</v>
      </c>
      <c r="AA517" s="4">
        <v>564</v>
      </c>
      <c r="AB517" s="4">
        <v>2</v>
      </c>
      <c r="AC517" s="4">
        <v>4</v>
      </c>
      <c r="AD517" s="4">
        <v>6</v>
      </c>
      <c r="AE517" s="4">
        <v>20</v>
      </c>
      <c r="AF517" s="4">
        <v>3</v>
      </c>
      <c r="AG517" s="4">
        <v>5</v>
      </c>
      <c r="AH517" s="4">
        <v>2</v>
      </c>
      <c r="AI517" s="4">
        <v>6</v>
      </c>
      <c r="AJ517" s="4">
        <v>3</v>
      </c>
      <c r="AK517" s="4">
        <v>13</v>
      </c>
      <c r="AL517" s="4">
        <v>1</v>
      </c>
      <c r="AM517" s="4">
        <v>3</v>
      </c>
      <c r="AN517" s="4">
        <v>0</v>
      </c>
      <c r="AO517" s="4">
        <v>0</v>
      </c>
      <c r="AP517" s="3" t="s">
        <v>59</v>
      </c>
      <c r="AQ517" s="3" t="s">
        <v>71</v>
      </c>
      <c r="AR517" s="6" t="str">
        <f>HYPERLINK("http://catalog.hathitrust.org/Record/000355939","HathiTrust Record")</f>
        <v>HathiTrust Record</v>
      </c>
      <c r="AS517" s="6" t="str">
        <f>HYPERLINK("https://creighton-primo.hosted.exlibrisgroup.com/primo-explore/search?tab=default_tab&amp;search_scope=EVERYTHING&amp;vid=01CRU&amp;lang=en_US&amp;offset=0&amp;query=any,contains,991003730399702656","Catalog Record")</f>
        <v>Catalog Record</v>
      </c>
      <c r="AT517" s="6" t="str">
        <f>HYPERLINK("http://www.worldcat.org/oclc/1381383","WorldCat Record")</f>
        <v>WorldCat Record</v>
      </c>
      <c r="AU517" s="3" t="s">
        <v>6615</v>
      </c>
      <c r="AV517" s="3" t="s">
        <v>6616</v>
      </c>
      <c r="AW517" s="3" t="s">
        <v>6617</v>
      </c>
      <c r="AX517" s="3" t="s">
        <v>6617</v>
      </c>
      <c r="AY517" s="3" t="s">
        <v>6618</v>
      </c>
      <c r="AZ517" s="3" t="s">
        <v>76</v>
      </c>
      <c r="BC517" s="3" t="s">
        <v>6619</v>
      </c>
      <c r="BD517" s="3" t="s">
        <v>6620</v>
      </c>
    </row>
    <row r="518" spans="1:56" ht="52.5" customHeight="1" x14ac:dyDescent="0.25">
      <c r="A518" s="7" t="s">
        <v>59</v>
      </c>
      <c r="B518" s="2" t="s">
        <v>6621</v>
      </c>
      <c r="C518" s="2" t="s">
        <v>6622</v>
      </c>
      <c r="D518" s="2" t="s">
        <v>6623</v>
      </c>
      <c r="F518" s="3" t="s">
        <v>59</v>
      </c>
      <c r="G518" s="3" t="s">
        <v>60</v>
      </c>
      <c r="H518" s="3" t="s">
        <v>59</v>
      </c>
      <c r="I518" s="3" t="s">
        <v>59</v>
      </c>
      <c r="J518" s="3" t="s">
        <v>61</v>
      </c>
      <c r="K518" s="2" t="s">
        <v>6624</v>
      </c>
      <c r="L518" s="2" t="s">
        <v>6625</v>
      </c>
      <c r="M518" s="3" t="s">
        <v>295</v>
      </c>
      <c r="N518" s="2" t="s">
        <v>6626</v>
      </c>
      <c r="O518" s="3" t="s">
        <v>6627</v>
      </c>
      <c r="P518" s="3" t="s">
        <v>6628</v>
      </c>
      <c r="Q518" s="2" t="s">
        <v>6629</v>
      </c>
      <c r="R518" s="3" t="s">
        <v>68</v>
      </c>
      <c r="S518" s="4">
        <v>1</v>
      </c>
      <c r="T518" s="4">
        <v>1</v>
      </c>
      <c r="U518" s="5" t="s">
        <v>6630</v>
      </c>
      <c r="V518" s="5" t="s">
        <v>6630</v>
      </c>
      <c r="W518" s="5" t="s">
        <v>6154</v>
      </c>
      <c r="X518" s="5" t="s">
        <v>6154</v>
      </c>
      <c r="Y518" s="4">
        <v>52</v>
      </c>
      <c r="Z518" s="4">
        <v>26</v>
      </c>
      <c r="AA518" s="4">
        <v>210</v>
      </c>
      <c r="AB518" s="4">
        <v>1</v>
      </c>
      <c r="AC518" s="4">
        <v>2</v>
      </c>
      <c r="AD518" s="4">
        <v>1</v>
      </c>
      <c r="AE518" s="4">
        <v>15</v>
      </c>
      <c r="AF518" s="4">
        <v>0</v>
      </c>
      <c r="AG518" s="4">
        <v>3</v>
      </c>
      <c r="AH518" s="4">
        <v>0</v>
      </c>
      <c r="AI518" s="4">
        <v>6</v>
      </c>
      <c r="AJ518" s="4">
        <v>1</v>
      </c>
      <c r="AK518" s="4">
        <v>10</v>
      </c>
      <c r="AL518" s="4">
        <v>0</v>
      </c>
      <c r="AM518" s="4">
        <v>1</v>
      </c>
      <c r="AN518" s="4">
        <v>0</v>
      </c>
      <c r="AO518" s="4">
        <v>0</v>
      </c>
      <c r="AP518" s="3" t="s">
        <v>59</v>
      </c>
      <c r="AQ518" s="3" t="s">
        <v>59</v>
      </c>
      <c r="AS518" s="6" t="str">
        <f>HYPERLINK("https://creighton-primo.hosted.exlibrisgroup.com/primo-explore/search?tab=default_tab&amp;search_scope=EVERYTHING&amp;vid=01CRU&amp;lang=en_US&amp;offset=0&amp;query=any,contains,991004906789702656","Catalog Record")</f>
        <v>Catalog Record</v>
      </c>
      <c r="AT518" s="6" t="str">
        <f>HYPERLINK("http://www.worldcat.org/oclc/5954384","WorldCat Record")</f>
        <v>WorldCat Record</v>
      </c>
      <c r="AU518" s="3" t="s">
        <v>6631</v>
      </c>
      <c r="AV518" s="3" t="s">
        <v>6632</v>
      </c>
      <c r="AW518" s="3" t="s">
        <v>6633</v>
      </c>
      <c r="AX518" s="3" t="s">
        <v>6633</v>
      </c>
      <c r="AY518" s="3" t="s">
        <v>6634</v>
      </c>
      <c r="AZ518" s="3" t="s">
        <v>76</v>
      </c>
      <c r="BC518" s="3" t="s">
        <v>6635</v>
      </c>
      <c r="BD518" s="3" t="s">
        <v>6636</v>
      </c>
    </row>
    <row r="519" spans="1:56" ht="52.5" customHeight="1" x14ac:dyDescent="0.25">
      <c r="A519" s="7" t="s">
        <v>59</v>
      </c>
      <c r="B519" s="2" t="s">
        <v>6637</v>
      </c>
      <c r="C519" s="2" t="s">
        <v>6638</v>
      </c>
      <c r="D519" s="2" t="s">
        <v>6639</v>
      </c>
      <c r="F519" s="3" t="s">
        <v>59</v>
      </c>
      <c r="G519" s="3" t="s">
        <v>60</v>
      </c>
      <c r="H519" s="3" t="s">
        <v>59</v>
      </c>
      <c r="I519" s="3" t="s">
        <v>59</v>
      </c>
      <c r="J519" s="3" t="s">
        <v>61</v>
      </c>
      <c r="K519" s="2" t="s">
        <v>6640</v>
      </c>
      <c r="L519" s="2" t="s">
        <v>6641</v>
      </c>
      <c r="M519" s="3" t="s">
        <v>365</v>
      </c>
      <c r="N519" s="2" t="s">
        <v>6642</v>
      </c>
      <c r="O519" s="3" t="s">
        <v>65</v>
      </c>
      <c r="P519" s="3" t="s">
        <v>1290</v>
      </c>
      <c r="R519" s="3" t="s">
        <v>68</v>
      </c>
      <c r="S519" s="4">
        <v>1</v>
      </c>
      <c r="T519" s="4">
        <v>1</v>
      </c>
      <c r="U519" s="5" t="s">
        <v>268</v>
      </c>
      <c r="V519" s="5" t="s">
        <v>268</v>
      </c>
      <c r="W519" s="5" t="s">
        <v>6643</v>
      </c>
      <c r="X519" s="5" t="s">
        <v>6643</v>
      </c>
      <c r="Y519" s="4">
        <v>263</v>
      </c>
      <c r="Z519" s="4">
        <v>217</v>
      </c>
      <c r="AA519" s="4">
        <v>224</v>
      </c>
      <c r="AB519" s="4">
        <v>3</v>
      </c>
      <c r="AC519" s="4">
        <v>3</v>
      </c>
      <c r="AD519" s="4">
        <v>13</v>
      </c>
      <c r="AE519" s="4">
        <v>13</v>
      </c>
      <c r="AF519" s="4">
        <v>4</v>
      </c>
      <c r="AG519" s="4">
        <v>4</v>
      </c>
      <c r="AH519" s="4">
        <v>2</v>
      </c>
      <c r="AI519" s="4">
        <v>2</v>
      </c>
      <c r="AJ519" s="4">
        <v>8</v>
      </c>
      <c r="AK519" s="4">
        <v>8</v>
      </c>
      <c r="AL519" s="4">
        <v>2</v>
      </c>
      <c r="AM519" s="4">
        <v>2</v>
      </c>
      <c r="AN519" s="4">
        <v>0</v>
      </c>
      <c r="AO519" s="4">
        <v>0</v>
      </c>
      <c r="AP519" s="3" t="s">
        <v>59</v>
      </c>
      <c r="AQ519" s="3" t="s">
        <v>59</v>
      </c>
      <c r="AS519" s="6" t="str">
        <f>HYPERLINK("https://creighton-primo.hosted.exlibrisgroup.com/primo-explore/search?tab=default_tab&amp;search_scope=EVERYTHING&amp;vid=01CRU&amp;lang=en_US&amp;offset=0&amp;query=any,contains,991001203559702656","Catalog Record")</f>
        <v>Catalog Record</v>
      </c>
      <c r="AT519" s="6" t="str">
        <f>HYPERLINK("http://www.worldcat.org/oclc/17327920","WorldCat Record")</f>
        <v>WorldCat Record</v>
      </c>
      <c r="AU519" s="3" t="s">
        <v>6644</v>
      </c>
      <c r="AV519" s="3" t="s">
        <v>6645</v>
      </c>
      <c r="AW519" s="3" t="s">
        <v>6646</v>
      </c>
      <c r="AX519" s="3" t="s">
        <v>6646</v>
      </c>
      <c r="AY519" s="3" t="s">
        <v>6647</v>
      </c>
      <c r="AZ519" s="3" t="s">
        <v>76</v>
      </c>
      <c r="BB519" s="3" t="s">
        <v>6648</v>
      </c>
      <c r="BC519" s="3" t="s">
        <v>6649</v>
      </c>
      <c r="BD519" s="3" t="s">
        <v>6650</v>
      </c>
    </row>
    <row r="520" spans="1:56" ht="52.5" customHeight="1" x14ac:dyDescent="0.25">
      <c r="A520" s="7" t="s">
        <v>59</v>
      </c>
      <c r="B520" s="2" t="s">
        <v>6651</v>
      </c>
      <c r="C520" s="2" t="s">
        <v>6652</v>
      </c>
      <c r="D520" s="2" t="s">
        <v>6653</v>
      </c>
      <c r="F520" s="3" t="s">
        <v>59</v>
      </c>
      <c r="G520" s="3" t="s">
        <v>60</v>
      </c>
      <c r="H520" s="3" t="s">
        <v>59</v>
      </c>
      <c r="I520" s="3" t="s">
        <v>59</v>
      </c>
      <c r="J520" s="3" t="s">
        <v>61</v>
      </c>
      <c r="K520" s="2" t="s">
        <v>6654</v>
      </c>
      <c r="L520" s="2" t="s">
        <v>6655</v>
      </c>
      <c r="M520" s="3" t="s">
        <v>1467</v>
      </c>
      <c r="O520" s="3" t="s">
        <v>65</v>
      </c>
      <c r="P520" s="3" t="s">
        <v>699</v>
      </c>
      <c r="R520" s="3" t="s">
        <v>68</v>
      </c>
      <c r="S520" s="4">
        <v>3</v>
      </c>
      <c r="T520" s="4">
        <v>3</v>
      </c>
      <c r="U520" s="5" t="s">
        <v>6656</v>
      </c>
      <c r="V520" s="5" t="s">
        <v>6656</v>
      </c>
      <c r="W520" s="5" t="s">
        <v>6657</v>
      </c>
      <c r="X520" s="5" t="s">
        <v>6657</v>
      </c>
      <c r="Y520" s="4">
        <v>560</v>
      </c>
      <c r="Z520" s="4">
        <v>469</v>
      </c>
      <c r="AA520" s="4">
        <v>482</v>
      </c>
      <c r="AB520" s="4">
        <v>5</v>
      </c>
      <c r="AC520" s="4">
        <v>5</v>
      </c>
      <c r="AD520" s="4">
        <v>20</v>
      </c>
      <c r="AE520" s="4">
        <v>20</v>
      </c>
      <c r="AF520" s="4">
        <v>5</v>
      </c>
      <c r="AG520" s="4">
        <v>5</v>
      </c>
      <c r="AH520" s="4">
        <v>4</v>
      </c>
      <c r="AI520" s="4">
        <v>4</v>
      </c>
      <c r="AJ520" s="4">
        <v>11</v>
      </c>
      <c r="AK520" s="4">
        <v>11</v>
      </c>
      <c r="AL520" s="4">
        <v>4</v>
      </c>
      <c r="AM520" s="4">
        <v>4</v>
      </c>
      <c r="AN520" s="4">
        <v>0</v>
      </c>
      <c r="AO520" s="4">
        <v>0</v>
      </c>
      <c r="AP520" s="3" t="s">
        <v>59</v>
      </c>
      <c r="AQ520" s="3" t="s">
        <v>59</v>
      </c>
      <c r="AR520" s="6" t="str">
        <f>HYPERLINK("http://catalog.hathitrust.org/Record/000357538","HathiTrust Record")</f>
        <v>HathiTrust Record</v>
      </c>
      <c r="AS520" s="6" t="str">
        <f>HYPERLINK("https://creighton-primo.hosted.exlibrisgroup.com/primo-explore/search?tab=default_tab&amp;search_scope=EVERYTHING&amp;vid=01CRU&amp;lang=en_US&amp;offset=0&amp;query=any,contains,991001289019702656","Catalog Record")</f>
        <v>Catalog Record</v>
      </c>
      <c r="AT520" s="6" t="str">
        <f>HYPERLINK("http://www.worldcat.org/oclc/14612740","WorldCat Record")</f>
        <v>WorldCat Record</v>
      </c>
      <c r="AU520" s="3" t="s">
        <v>6658</v>
      </c>
      <c r="AV520" s="3" t="s">
        <v>6659</v>
      </c>
      <c r="AW520" s="3" t="s">
        <v>6660</v>
      </c>
      <c r="AX520" s="3" t="s">
        <v>6660</v>
      </c>
      <c r="AY520" s="3" t="s">
        <v>6661</v>
      </c>
      <c r="AZ520" s="3" t="s">
        <v>76</v>
      </c>
      <c r="BC520" s="3" t="s">
        <v>6662</v>
      </c>
      <c r="BD520" s="3" t="s">
        <v>6663</v>
      </c>
    </row>
    <row r="521" spans="1:56" ht="52.5" customHeight="1" x14ac:dyDescent="0.25">
      <c r="A521" s="7" t="s">
        <v>59</v>
      </c>
      <c r="B521" s="2" t="s">
        <v>6664</v>
      </c>
      <c r="C521" s="2" t="s">
        <v>6665</v>
      </c>
      <c r="D521" s="2" t="s">
        <v>6666</v>
      </c>
      <c r="F521" s="3" t="s">
        <v>59</v>
      </c>
      <c r="G521" s="3" t="s">
        <v>60</v>
      </c>
      <c r="H521" s="3" t="s">
        <v>59</v>
      </c>
      <c r="I521" s="3" t="s">
        <v>59</v>
      </c>
      <c r="J521" s="3" t="s">
        <v>61</v>
      </c>
      <c r="K521" s="2" t="s">
        <v>6667</v>
      </c>
      <c r="L521" s="2" t="s">
        <v>6668</v>
      </c>
      <c r="M521" s="3" t="s">
        <v>64</v>
      </c>
      <c r="O521" s="3" t="s">
        <v>65</v>
      </c>
      <c r="P521" s="3" t="s">
        <v>491</v>
      </c>
      <c r="Q521" s="2" t="s">
        <v>6669</v>
      </c>
      <c r="R521" s="3" t="s">
        <v>68</v>
      </c>
      <c r="S521" s="4">
        <v>2</v>
      </c>
      <c r="T521" s="4">
        <v>2</v>
      </c>
      <c r="U521" s="5" t="s">
        <v>6670</v>
      </c>
      <c r="V521" s="5" t="s">
        <v>6670</v>
      </c>
      <c r="W521" s="5" t="s">
        <v>6154</v>
      </c>
      <c r="X521" s="5" t="s">
        <v>6154</v>
      </c>
      <c r="Y521" s="4">
        <v>366</v>
      </c>
      <c r="Z521" s="4">
        <v>339</v>
      </c>
      <c r="AA521" s="4">
        <v>358</v>
      </c>
      <c r="AB521" s="4">
        <v>2</v>
      </c>
      <c r="AC521" s="4">
        <v>2</v>
      </c>
      <c r="AD521" s="4">
        <v>14</v>
      </c>
      <c r="AE521" s="4">
        <v>14</v>
      </c>
      <c r="AF521" s="4">
        <v>9</v>
      </c>
      <c r="AG521" s="4">
        <v>9</v>
      </c>
      <c r="AH521" s="4">
        <v>3</v>
      </c>
      <c r="AI521" s="4">
        <v>3</v>
      </c>
      <c r="AJ521" s="4">
        <v>5</v>
      </c>
      <c r="AK521" s="4">
        <v>5</v>
      </c>
      <c r="AL521" s="4">
        <v>1</v>
      </c>
      <c r="AM521" s="4">
        <v>1</v>
      </c>
      <c r="AN521" s="4">
        <v>0</v>
      </c>
      <c r="AO521" s="4">
        <v>0</v>
      </c>
      <c r="AP521" s="3" t="s">
        <v>59</v>
      </c>
      <c r="AQ521" s="3" t="s">
        <v>59</v>
      </c>
      <c r="AS521" s="6" t="str">
        <f>HYPERLINK("https://creighton-primo.hosted.exlibrisgroup.com/primo-explore/search?tab=default_tab&amp;search_scope=EVERYTHING&amp;vid=01CRU&amp;lang=en_US&amp;offset=0&amp;query=any,contains,991003007319702656","Catalog Record")</f>
        <v>Catalog Record</v>
      </c>
      <c r="AT521" s="6" t="str">
        <f>HYPERLINK("http://www.worldcat.org/oclc/574166","WorldCat Record")</f>
        <v>WorldCat Record</v>
      </c>
      <c r="AU521" s="3" t="s">
        <v>6671</v>
      </c>
      <c r="AV521" s="3" t="s">
        <v>6672</v>
      </c>
      <c r="AW521" s="3" t="s">
        <v>6673</v>
      </c>
      <c r="AX521" s="3" t="s">
        <v>6673</v>
      </c>
      <c r="AY521" s="3" t="s">
        <v>6674</v>
      </c>
      <c r="AZ521" s="3" t="s">
        <v>76</v>
      </c>
      <c r="BC521" s="3" t="s">
        <v>6675</v>
      </c>
      <c r="BD521" s="3" t="s">
        <v>6676</v>
      </c>
    </row>
    <row r="522" spans="1:56" ht="52.5" customHeight="1" x14ac:dyDescent="0.25">
      <c r="A522" s="7" t="s">
        <v>59</v>
      </c>
      <c r="B522" s="2" t="s">
        <v>6677</v>
      </c>
      <c r="C522" s="2" t="s">
        <v>6678</v>
      </c>
      <c r="D522" s="2" t="s">
        <v>6679</v>
      </c>
      <c r="E522" s="3" t="s">
        <v>768</v>
      </c>
      <c r="F522" s="3" t="s">
        <v>71</v>
      </c>
      <c r="G522" s="3" t="s">
        <v>60</v>
      </c>
      <c r="H522" s="3" t="s">
        <v>59</v>
      </c>
      <c r="I522" s="3" t="s">
        <v>59</v>
      </c>
      <c r="J522" s="3" t="s">
        <v>61</v>
      </c>
      <c r="L522" s="2" t="s">
        <v>6680</v>
      </c>
      <c r="M522" s="3" t="s">
        <v>6681</v>
      </c>
      <c r="O522" s="3" t="s">
        <v>65</v>
      </c>
      <c r="P522" s="3" t="s">
        <v>420</v>
      </c>
      <c r="R522" s="3" t="s">
        <v>68</v>
      </c>
      <c r="S522" s="4">
        <v>0</v>
      </c>
      <c r="T522" s="4">
        <v>0</v>
      </c>
      <c r="U522" s="5" t="s">
        <v>6682</v>
      </c>
      <c r="V522" s="5" t="s">
        <v>6682</v>
      </c>
      <c r="W522" s="5" t="s">
        <v>6683</v>
      </c>
      <c r="X522" s="5" t="s">
        <v>6683</v>
      </c>
      <c r="Y522" s="4">
        <v>20</v>
      </c>
      <c r="Z522" s="4">
        <v>14</v>
      </c>
      <c r="AA522" s="4">
        <v>810</v>
      </c>
      <c r="AB522" s="4">
        <v>1</v>
      </c>
      <c r="AC522" s="4">
        <v>7</v>
      </c>
      <c r="AD522" s="4">
        <v>0</v>
      </c>
      <c r="AE522" s="4">
        <v>34</v>
      </c>
      <c r="AF522" s="4">
        <v>0</v>
      </c>
      <c r="AG522" s="4">
        <v>12</v>
      </c>
      <c r="AH522" s="4">
        <v>0</v>
      </c>
      <c r="AI522" s="4">
        <v>9</v>
      </c>
      <c r="AJ522" s="4">
        <v>0</v>
      </c>
      <c r="AK522" s="4">
        <v>15</v>
      </c>
      <c r="AL522" s="4">
        <v>0</v>
      </c>
      <c r="AM522" s="4">
        <v>6</v>
      </c>
      <c r="AN522" s="4">
        <v>0</v>
      </c>
      <c r="AO522" s="4">
        <v>0</v>
      </c>
      <c r="AP522" s="3" t="s">
        <v>59</v>
      </c>
      <c r="AQ522" s="3" t="s">
        <v>59</v>
      </c>
      <c r="AS522" s="6" t="str">
        <f>HYPERLINK("https://creighton-primo.hosted.exlibrisgroup.com/primo-explore/search?tab=default_tab&amp;search_scope=EVERYTHING&amp;vid=01CRU&amp;lang=en_US&amp;offset=0&amp;query=any,contains,991000524399702656","Catalog Record")</f>
        <v>Catalog Record</v>
      </c>
      <c r="AT522" s="6" t="str">
        <f>HYPERLINK("http://www.worldcat.org/oclc/11364194","WorldCat Record")</f>
        <v>WorldCat Record</v>
      </c>
      <c r="AU522" s="3" t="s">
        <v>6684</v>
      </c>
      <c r="AV522" s="3" t="s">
        <v>6685</v>
      </c>
      <c r="AW522" s="3" t="s">
        <v>6686</v>
      </c>
      <c r="AX522" s="3" t="s">
        <v>6686</v>
      </c>
      <c r="AY522" s="3" t="s">
        <v>6687</v>
      </c>
      <c r="AZ522" s="3" t="s">
        <v>76</v>
      </c>
      <c r="BC522" s="3" t="s">
        <v>6688</v>
      </c>
      <c r="BD522" s="3" t="s">
        <v>6689</v>
      </c>
    </row>
    <row r="523" spans="1:56" ht="52.5" customHeight="1" x14ac:dyDescent="0.25">
      <c r="A523" s="7" t="s">
        <v>59</v>
      </c>
      <c r="B523" s="2" t="s">
        <v>6677</v>
      </c>
      <c r="C523" s="2" t="s">
        <v>6678</v>
      </c>
      <c r="D523" s="2" t="s">
        <v>6679</v>
      </c>
      <c r="E523" s="3" t="s">
        <v>6690</v>
      </c>
      <c r="F523" s="3" t="s">
        <v>71</v>
      </c>
      <c r="G523" s="3" t="s">
        <v>60</v>
      </c>
      <c r="H523" s="3" t="s">
        <v>59</v>
      </c>
      <c r="I523" s="3" t="s">
        <v>59</v>
      </c>
      <c r="J523" s="3" t="s">
        <v>61</v>
      </c>
      <c r="L523" s="2" t="s">
        <v>6680</v>
      </c>
      <c r="M523" s="3" t="s">
        <v>6681</v>
      </c>
      <c r="O523" s="3" t="s">
        <v>65</v>
      </c>
      <c r="P523" s="3" t="s">
        <v>420</v>
      </c>
      <c r="R523" s="3" t="s">
        <v>68</v>
      </c>
      <c r="S523" s="4">
        <v>0</v>
      </c>
      <c r="T523" s="4">
        <v>0</v>
      </c>
      <c r="U523" s="5" t="s">
        <v>6682</v>
      </c>
      <c r="V523" s="5" t="s">
        <v>6682</v>
      </c>
      <c r="W523" s="5" t="s">
        <v>6683</v>
      </c>
      <c r="X523" s="5" t="s">
        <v>6683</v>
      </c>
      <c r="Y523" s="4">
        <v>20</v>
      </c>
      <c r="Z523" s="4">
        <v>14</v>
      </c>
      <c r="AA523" s="4">
        <v>810</v>
      </c>
      <c r="AB523" s="4">
        <v>1</v>
      </c>
      <c r="AC523" s="4">
        <v>7</v>
      </c>
      <c r="AD523" s="4">
        <v>0</v>
      </c>
      <c r="AE523" s="4">
        <v>34</v>
      </c>
      <c r="AF523" s="4">
        <v>0</v>
      </c>
      <c r="AG523" s="4">
        <v>12</v>
      </c>
      <c r="AH523" s="4">
        <v>0</v>
      </c>
      <c r="AI523" s="4">
        <v>9</v>
      </c>
      <c r="AJ523" s="4">
        <v>0</v>
      </c>
      <c r="AK523" s="4">
        <v>15</v>
      </c>
      <c r="AL523" s="4">
        <v>0</v>
      </c>
      <c r="AM523" s="4">
        <v>6</v>
      </c>
      <c r="AN523" s="4">
        <v>0</v>
      </c>
      <c r="AO523" s="4">
        <v>0</v>
      </c>
      <c r="AP523" s="3" t="s">
        <v>59</v>
      </c>
      <c r="AQ523" s="3" t="s">
        <v>59</v>
      </c>
      <c r="AS523" s="6" t="str">
        <f>HYPERLINK("https://creighton-primo.hosted.exlibrisgroup.com/primo-explore/search?tab=default_tab&amp;search_scope=EVERYTHING&amp;vid=01CRU&amp;lang=en_US&amp;offset=0&amp;query=any,contains,991000524399702656","Catalog Record")</f>
        <v>Catalog Record</v>
      </c>
      <c r="AT523" s="6" t="str">
        <f>HYPERLINK("http://www.worldcat.org/oclc/11364194","WorldCat Record")</f>
        <v>WorldCat Record</v>
      </c>
      <c r="AU523" s="3" t="s">
        <v>6684</v>
      </c>
      <c r="AV523" s="3" t="s">
        <v>6685</v>
      </c>
      <c r="AW523" s="3" t="s">
        <v>6686</v>
      </c>
      <c r="AX523" s="3" t="s">
        <v>6686</v>
      </c>
      <c r="AY523" s="3" t="s">
        <v>6687</v>
      </c>
      <c r="AZ523" s="3" t="s">
        <v>76</v>
      </c>
      <c r="BC523" s="3" t="s">
        <v>6691</v>
      </c>
      <c r="BD523" s="3" t="s">
        <v>6692</v>
      </c>
    </row>
    <row r="524" spans="1:56" ht="52.5" customHeight="1" x14ac:dyDescent="0.25">
      <c r="A524" s="7" t="s">
        <v>59</v>
      </c>
      <c r="B524" s="2" t="s">
        <v>6677</v>
      </c>
      <c r="C524" s="2" t="s">
        <v>6678</v>
      </c>
      <c r="D524" s="2" t="s">
        <v>6679</v>
      </c>
      <c r="E524" s="3" t="s">
        <v>781</v>
      </c>
      <c r="F524" s="3" t="s">
        <v>71</v>
      </c>
      <c r="G524" s="3" t="s">
        <v>60</v>
      </c>
      <c r="H524" s="3" t="s">
        <v>59</v>
      </c>
      <c r="I524" s="3" t="s">
        <v>59</v>
      </c>
      <c r="J524" s="3" t="s">
        <v>61</v>
      </c>
      <c r="L524" s="2" t="s">
        <v>6680</v>
      </c>
      <c r="M524" s="3" t="s">
        <v>6681</v>
      </c>
      <c r="O524" s="3" t="s">
        <v>65</v>
      </c>
      <c r="P524" s="3" t="s">
        <v>420</v>
      </c>
      <c r="R524" s="3" t="s">
        <v>68</v>
      </c>
      <c r="S524" s="4">
        <v>0</v>
      </c>
      <c r="T524" s="4">
        <v>0</v>
      </c>
      <c r="U524" s="5" t="s">
        <v>6682</v>
      </c>
      <c r="V524" s="5" t="s">
        <v>6682</v>
      </c>
      <c r="W524" s="5" t="s">
        <v>6683</v>
      </c>
      <c r="X524" s="5" t="s">
        <v>6683</v>
      </c>
      <c r="Y524" s="4">
        <v>20</v>
      </c>
      <c r="Z524" s="4">
        <v>14</v>
      </c>
      <c r="AA524" s="4">
        <v>810</v>
      </c>
      <c r="AB524" s="4">
        <v>1</v>
      </c>
      <c r="AC524" s="4">
        <v>7</v>
      </c>
      <c r="AD524" s="4">
        <v>0</v>
      </c>
      <c r="AE524" s="4">
        <v>34</v>
      </c>
      <c r="AF524" s="4">
        <v>0</v>
      </c>
      <c r="AG524" s="4">
        <v>12</v>
      </c>
      <c r="AH524" s="4">
        <v>0</v>
      </c>
      <c r="AI524" s="4">
        <v>9</v>
      </c>
      <c r="AJ524" s="4">
        <v>0</v>
      </c>
      <c r="AK524" s="4">
        <v>15</v>
      </c>
      <c r="AL524" s="4">
        <v>0</v>
      </c>
      <c r="AM524" s="4">
        <v>6</v>
      </c>
      <c r="AN524" s="4">
        <v>0</v>
      </c>
      <c r="AO524" s="4">
        <v>0</v>
      </c>
      <c r="AP524" s="3" t="s">
        <v>59</v>
      </c>
      <c r="AQ524" s="3" t="s">
        <v>59</v>
      </c>
      <c r="AS524" s="6" t="str">
        <f>HYPERLINK("https://creighton-primo.hosted.exlibrisgroup.com/primo-explore/search?tab=default_tab&amp;search_scope=EVERYTHING&amp;vid=01CRU&amp;lang=en_US&amp;offset=0&amp;query=any,contains,991000524399702656","Catalog Record")</f>
        <v>Catalog Record</v>
      </c>
      <c r="AT524" s="6" t="str">
        <f>HYPERLINK("http://www.worldcat.org/oclc/11364194","WorldCat Record")</f>
        <v>WorldCat Record</v>
      </c>
      <c r="AU524" s="3" t="s">
        <v>6684</v>
      </c>
      <c r="AV524" s="3" t="s">
        <v>6685</v>
      </c>
      <c r="AW524" s="3" t="s">
        <v>6686</v>
      </c>
      <c r="AX524" s="3" t="s">
        <v>6686</v>
      </c>
      <c r="AY524" s="3" t="s">
        <v>6687</v>
      </c>
      <c r="AZ524" s="3" t="s">
        <v>76</v>
      </c>
      <c r="BC524" s="3" t="s">
        <v>6693</v>
      </c>
      <c r="BD524" s="3" t="s">
        <v>6694</v>
      </c>
    </row>
    <row r="525" spans="1:56" ht="52.5" customHeight="1" x14ac:dyDescent="0.25">
      <c r="A525" s="7" t="s">
        <v>59</v>
      </c>
      <c r="B525" s="2" t="s">
        <v>6677</v>
      </c>
      <c r="C525" s="2" t="s">
        <v>6678</v>
      </c>
      <c r="D525" s="2" t="s">
        <v>6679</v>
      </c>
      <c r="E525" s="3" t="s">
        <v>5836</v>
      </c>
      <c r="F525" s="3" t="s">
        <v>71</v>
      </c>
      <c r="G525" s="3" t="s">
        <v>60</v>
      </c>
      <c r="H525" s="3" t="s">
        <v>59</v>
      </c>
      <c r="I525" s="3" t="s">
        <v>59</v>
      </c>
      <c r="J525" s="3" t="s">
        <v>61</v>
      </c>
      <c r="L525" s="2" t="s">
        <v>6680</v>
      </c>
      <c r="M525" s="3" t="s">
        <v>6681</v>
      </c>
      <c r="O525" s="3" t="s">
        <v>65</v>
      </c>
      <c r="P525" s="3" t="s">
        <v>420</v>
      </c>
      <c r="R525" s="3" t="s">
        <v>68</v>
      </c>
      <c r="S525" s="4">
        <v>0</v>
      </c>
      <c r="T525" s="4">
        <v>0</v>
      </c>
      <c r="U525" s="5" t="s">
        <v>6682</v>
      </c>
      <c r="V525" s="5" t="s">
        <v>6682</v>
      </c>
      <c r="W525" s="5" t="s">
        <v>6683</v>
      </c>
      <c r="X525" s="5" t="s">
        <v>6683</v>
      </c>
      <c r="Y525" s="4">
        <v>20</v>
      </c>
      <c r="Z525" s="4">
        <v>14</v>
      </c>
      <c r="AA525" s="4">
        <v>810</v>
      </c>
      <c r="AB525" s="4">
        <v>1</v>
      </c>
      <c r="AC525" s="4">
        <v>7</v>
      </c>
      <c r="AD525" s="4">
        <v>0</v>
      </c>
      <c r="AE525" s="4">
        <v>34</v>
      </c>
      <c r="AF525" s="4">
        <v>0</v>
      </c>
      <c r="AG525" s="4">
        <v>12</v>
      </c>
      <c r="AH525" s="4">
        <v>0</v>
      </c>
      <c r="AI525" s="4">
        <v>9</v>
      </c>
      <c r="AJ525" s="4">
        <v>0</v>
      </c>
      <c r="AK525" s="4">
        <v>15</v>
      </c>
      <c r="AL525" s="4">
        <v>0</v>
      </c>
      <c r="AM525" s="4">
        <v>6</v>
      </c>
      <c r="AN525" s="4">
        <v>0</v>
      </c>
      <c r="AO525" s="4">
        <v>0</v>
      </c>
      <c r="AP525" s="3" t="s">
        <v>59</v>
      </c>
      <c r="AQ525" s="3" t="s">
        <v>59</v>
      </c>
      <c r="AS525" s="6" t="str">
        <f>HYPERLINK("https://creighton-primo.hosted.exlibrisgroup.com/primo-explore/search?tab=default_tab&amp;search_scope=EVERYTHING&amp;vid=01CRU&amp;lang=en_US&amp;offset=0&amp;query=any,contains,991000524399702656","Catalog Record")</f>
        <v>Catalog Record</v>
      </c>
      <c r="AT525" s="6" t="str">
        <f>HYPERLINK("http://www.worldcat.org/oclc/11364194","WorldCat Record")</f>
        <v>WorldCat Record</v>
      </c>
      <c r="AU525" s="3" t="s">
        <v>6684</v>
      </c>
      <c r="AV525" s="3" t="s">
        <v>6685</v>
      </c>
      <c r="AW525" s="3" t="s">
        <v>6686</v>
      </c>
      <c r="AX525" s="3" t="s">
        <v>6686</v>
      </c>
      <c r="AY525" s="3" t="s">
        <v>6687</v>
      </c>
      <c r="AZ525" s="3" t="s">
        <v>76</v>
      </c>
      <c r="BC525" s="3" t="s">
        <v>6695</v>
      </c>
      <c r="BD525" s="3" t="s">
        <v>6696</v>
      </c>
    </row>
    <row r="526" spans="1:56" ht="52.5" customHeight="1" x14ac:dyDescent="0.25">
      <c r="A526" s="7" t="s">
        <v>59</v>
      </c>
      <c r="B526" s="2" t="s">
        <v>6677</v>
      </c>
      <c r="C526" s="2" t="s">
        <v>6678</v>
      </c>
      <c r="D526" s="2" t="s">
        <v>6679</v>
      </c>
      <c r="E526" s="3" t="s">
        <v>870</v>
      </c>
      <c r="F526" s="3" t="s">
        <v>71</v>
      </c>
      <c r="G526" s="3" t="s">
        <v>60</v>
      </c>
      <c r="H526" s="3" t="s">
        <v>59</v>
      </c>
      <c r="I526" s="3" t="s">
        <v>59</v>
      </c>
      <c r="J526" s="3" t="s">
        <v>61</v>
      </c>
      <c r="L526" s="2" t="s">
        <v>6680</v>
      </c>
      <c r="M526" s="3" t="s">
        <v>6681</v>
      </c>
      <c r="O526" s="3" t="s">
        <v>65</v>
      </c>
      <c r="P526" s="3" t="s">
        <v>420</v>
      </c>
      <c r="R526" s="3" t="s">
        <v>68</v>
      </c>
      <c r="S526" s="4">
        <v>0</v>
      </c>
      <c r="T526" s="4">
        <v>0</v>
      </c>
      <c r="U526" s="5" t="s">
        <v>6682</v>
      </c>
      <c r="V526" s="5" t="s">
        <v>6682</v>
      </c>
      <c r="W526" s="5" t="s">
        <v>6683</v>
      </c>
      <c r="X526" s="5" t="s">
        <v>6683</v>
      </c>
      <c r="Y526" s="4">
        <v>20</v>
      </c>
      <c r="Z526" s="4">
        <v>14</v>
      </c>
      <c r="AA526" s="4">
        <v>810</v>
      </c>
      <c r="AB526" s="4">
        <v>1</v>
      </c>
      <c r="AC526" s="4">
        <v>7</v>
      </c>
      <c r="AD526" s="4">
        <v>0</v>
      </c>
      <c r="AE526" s="4">
        <v>34</v>
      </c>
      <c r="AF526" s="4">
        <v>0</v>
      </c>
      <c r="AG526" s="4">
        <v>12</v>
      </c>
      <c r="AH526" s="4">
        <v>0</v>
      </c>
      <c r="AI526" s="4">
        <v>9</v>
      </c>
      <c r="AJ526" s="4">
        <v>0</v>
      </c>
      <c r="AK526" s="4">
        <v>15</v>
      </c>
      <c r="AL526" s="4">
        <v>0</v>
      </c>
      <c r="AM526" s="4">
        <v>6</v>
      </c>
      <c r="AN526" s="4">
        <v>0</v>
      </c>
      <c r="AO526" s="4">
        <v>0</v>
      </c>
      <c r="AP526" s="3" t="s">
        <v>59</v>
      </c>
      <c r="AQ526" s="3" t="s">
        <v>59</v>
      </c>
      <c r="AS526" s="6" t="str">
        <f>HYPERLINK("https://creighton-primo.hosted.exlibrisgroup.com/primo-explore/search?tab=default_tab&amp;search_scope=EVERYTHING&amp;vid=01CRU&amp;lang=en_US&amp;offset=0&amp;query=any,contains,991000524399702656","Catalog Record")</f>
        <v>Catalog Record</v>
      </c>
      <c r="AT526" s="6" t="str">
        <f>HYPERLINK("http://www.worldcat.org/oclc/11364194","WorldCat Record")</f>
        <v>WorldCat Record</v>
      </c>
      <c r="AU526" s="3" t="s">
        <v>6684</v>
      </c>
      <c r="AV526" s="3" t="s">
        <v>6685</v>
      </c>
      <c r="AW526" s="3" t="s">
        <v>6686</v>
      </c>
      <c r="AX526" s="3" t="s">
        <v>6686</v>
      </c>
      <c r="AY526" s="3" t="s">
        <v>6687</v>
      </c>
      <c r="AZ526" s="3" t="s">
        <v>76</v>
      </c>
      <c r="BC526" s="3" t="s">
        <v>6697</v>
      </c>
      <c r="BD526" s="3" t="s">
        <v>6698</v>
      </c>
    </row>
    <row r="527" spans="1:56" ht="52.5" customHeight="1" x14ac:dyDescent="0.25">
      <c r="A527" s="7" t="s">
        <v>59</v>
      </c>
      <c r="B527" s="2" t="s">
        <v>6699</v>
      </c>
      <c r="C527" s="2" t="s">
        <v>6700</v>
      </c>
      <c r="D527" s="2" t="s">
        <v>6701</v>
      </c>
      <c r="F527" s="3" t="s">
        <v>59</v>
      </c>
      <c r="G527" s="3" t="s">
        <v>60</v>
      </c>
      <c r="H527" s="3" t="s">
        <v>59</v>
      </c>
      <c r="I527" s="3" t="s">
        <v>59</v>
      </c>
      <c r="J527" s="3" t="s">
        <v>61</v>
      </c>
      <c r="L527" s="2" t="s">
        <v>6702</v>
      </c>
      <c r="M527" s="3" t="s">
        <v>1163</v>
      </c>
      <c r="O527" s="3" t="s">
        <v>65</v>
      </c>
      <c r="P527" s="3" t="s">
        <v>1218</v>
      </c>
      <c r="R527" s="3" t="s">
        <v>68</v>
      </c>
      <c r="S527" s="4">
        <v>7</v>
      </c>
      <c r="T527" s="4">
        <v>7</v>
      </c>
      <c r="U527" s="5" t="s">
        <v>6703</v>
      </c>
      <c r="V527" s="5" t="s">
        <v>6703</v>
      </c>
      <c r="W527" s="5" t="s">
        <v>6704</v>
      </c>
      <c r="X527" s="5" t="s">
        <v>6704</v>
      </c>
      <c r="Y527" s="4">
        <v>682</v>
      </c>
      <c r="Z527" s="4">
        <v>565</v>
      </c>
      <c r="AA527" s="4">
        <v>622</v>
      </c>
      <c r="AB527" s="4">
        <v>5</v>
      </c>
      <c r="AC527" s="4">
        <v>6</v>
      </c>
      <c r="AD527" s="4">
        <v>26</v>
      </c>
      <c r="AE527" s="4">
        <v>28</v>
      </c>
      <c r="AF527" s="4">
        <v>8</v>
      </c>
      <c r="AG527" s="4">
        <v>8</v>
      </c>
      <c r="AH527" s="4">
        <v>6</v>
      </c>
      <c r="AI527" s="4">
        <v>6</v>
      </c>
      <c r="AJ527" s="4">
        <v>13</v>
      </c>
      <c r="AK527" s="4">
        <v>14</v>
      </c>
      <c r="AL527" s="4">
        <v>4</v>
      </c>
      <c r="AM527" s="4">
        <v>5</v>
      </c>
      <c r="AN527" s="4">
        <v>0</v>
      </c>
      <c r="AO527" s="4">
        <v>0</v>
      </c>
      <c r="AP527" s="3" t="s">
        <v>59</v>
      </c>
      <c r="AQ527" s="3" t="s">
        <v>71</v>
      </c>
      <c r="AR527" s="6" t="str">
        <f>HYPERLINK("http://catalog.hathitrust.org/Record/000819709","HathiTrust Record")</f>
        <v>HathiTrust Record</v>
      </c>
      <c r="AS527" s="6" t="str">
        <f>HYPERLINK("https://creighton-primo.hosted.exlibrisgroup.com/primo-explore/search?tab=default_tab&amp;search_scope=EVERYTHING&amp;vid=01CRU&amp;lang=en_US&amp;offset=0&amp;query=any,contains,991000622769702656","Catalog Record")</f>
        <v>Catalog Record</v>
      </c>
      <c r="AT527" s="6" t="str">
        <f>HYPERLINK("http://www.worldcat.org/oclc/11972824","WorldCat Record")</f>
        <v>WorldCat Record</v>
      </c>
      <c r="AU527" s="3" t="s">
        <v>6705</v>
      </c>
      <c r="AV527" s="3" t="s">
        <v>6706</v>
      </c>
      <c r="AW527" s="3" t="s">
        <v>6707</v>
      </c>
      <c r="AX527" s="3" t="s">
        <v>6707</v>
      </c>
      <c r="AY527" s="3" t="s">
        <v>6708</v>
      </c>
      <c r="AZ527" s="3" t="s">
        <v>76</v>
      </c>
      <c r="BB527" s="3" t="s">
        <v>6709</v>
      </c>
      <c r="BC527" s="3" t="s">
        <v>6710</v>
      </c>
      <c r="BD527" s="3" t="s">
        <v>6711</v>
      </c>
    </row>
    <row r="528" spans="1:56" ht="52.5" customHeight="1" x14ac:dyDescent="0.25">
      <c r="A528" s="7" t="s">
        <v>59</v>
      </c>
      <c r="B528" s="2" t="s">
        <v>6712</v>
      </c>
      <c r="C528" s="2" t="s">
        <v>6713</v>
      </c>
      <c r="D528" s="2" t="s">
        <v>6714</v>
      </c>
      <c r="F528" s="3" t="s">
        <v>59</v>
      </c>
      <c r="G528" s="3" t="s">
        <v>60</v>
      </c>
      <c r="H528" s="3" t="s">
        <v>59</v>
      </c>
      <c r="I528" s="3" t="s">
        <v>59</v>
      </c>
      <c r="J528" s="3" t="s">
        <v>61</v>
      </c>
      <c r="K528" s="2" t="s">
        <v>6715</v>
      </c>
      <c r="L528" s="2" t="s">
        <v>6716</v>
      </c>
      <c r="M528" s="3" t="s">
        <v>987</v>
      </c>
      <c r="O528" s="3" t="s">
        <v>65</v>
      </c>
      <c r="P528" s="3" t="s">
        <v>283</v>
      </c>
      <c r="R528" s="3" t="s">
        <v>68</v>
      </c>
      <c r="S528" s="4">
        <v>3</v>
      </c>
      <c r="T528" s="4">
        <v>3</v>
      </c>
      <c r="U528" s="5" t="s">
        <v>6431</v>
      </c>
      <c r="V528" s="5" t="s">
        <v>6431</v>
      </c>
      <c r="W528" s="5" t="s">
        <v>6154</v>
      </c>
      <c r="X528" s="5" t="s">
        <v>6154</v>
      </c>
      <c r="Y528" s="4">
        <v>510</v>
      </c>
      <c r="Z528" s="4">
        <v>432</v>
      </c>
      <c r="AA528" s="4">
        <v>433</v>
      </c>
      <c r="AB528" s="4">
        <v>7</v>
      </c>
      <c r="AC528" s="4">
        <v>7</v>
      </c>
      <c r="AD528" s="4">
        <v>24</v>
      </c>
      <c r="AE528" s="4">
        <v>24</v>
      </c>
      <c r="AF528" s="4">
        <v>9</v>
      </c>
      <c r="AG528" s="4">
        <v>9</v>
      </c>
      <c r="AH528" s="4">
        <v>4</v>
      </c>
      <c r="AI528" s="4">
        <v>4</v>
      </c>
      <c r="AJ528" s="4">
        <v>8</v>
      </c>
      <c r="AK528" s="4">
        <v>8</v>
      </c>
      <c r="AL528" s="4">
        <v>6</v>
      </c>
      <c r="AM528" s="4">
        <v>6</v>
      </c>
      <c r="AN528" s="4">
        <v>0</v>
      </c>
      <c r="AO528" s="4">
        <v>0</v>
      </c>
      <c r="AP528" s="3" t="s">
        <v>59</v>
      </c>
      <c r="AQ528" s="3" t="s">
        <v>71</v>
      </c>
      <c r="AR528" s="6" t="str">
        <f>HYPERLINK("http://catalog.hathitrust.org/Record/004444818","HathiTrust Record")</f>
        <v>HathiTrust Record</v>
      </c>
      <c r="AS528" s="6" t="str">
        <f>HYPERLINK("https://creighton-primo.hosted.exlibrisgroup.com/primo-explore/search?tab=default_tab&amp;search_scope=EVERYTHING&amp;vid=01CRU&amp;lang=en_US&amp;offset=0&amp;query=any,contains,991000652089702656","Catalog Record")</f>
        <v>Catalog Record</v>
      </c>
      <c r="AT528" s="6" t="str">
        <f>HYPERLINK("http://www.worldcat.org/oclc/114067","WorldCat Record")</f>
        <v>WorldCat Record</v>
      </c>
      <c r="AU528" s="3" t="s">
        <v>6717</v>
      </c>
      <c r="AV528" s="3" t="s">
        <v>6718</v>
      </c>
      <c r="AW528" s="3" t="s">
        <v>6719</v>
      </c>
      <c r="AX528" s="3" t="s">
        <v>6719</v>
      </c>
      <c r="AY528" s="3" t="s">
        <v>6720</v>
      </c>
      <c r="AZ528" s="3" t="s">
        <v>76</v>
      </c>
      <c r="BC528" s="3" t="s">
        <v>6721</v>
      </c>
      <c r="BD528" s="3" t="s">
        <v>6722</v>
      </c>
    </row>
    <row r="529" spans="1:56" ht="52.5" customHeight="1" x14ac:dyDescent="0.25">
      <c r="A529" s="7" t="s">
        <v>59</v>
      </c>
      <c r="B529" s="2" t="s">
        <v>6723</v>
      </c>
      <c r="C529" s="2" t="s">
        <v>6724</v>
      </c>
      <c r="D529" s="2" t="s">
        <v>6725</v>
      </c>
      <c r="F529" s="3" t="s">
        <v>59</v>
      </c>
      <c r="G529" s="3" t="s">
        <v>60</v>
      </c>
      <c r="H529" s="3" t="s">
        <v>59</v>
      </c>
      <c r="I529" s="3" t="s">
        <v>59</v>
      </c>
      <c r="J529" s="3" t="s">
        <v>61</v>
      </c>
      <c r="K529" s="2" t="s">
        <v>6726</v>
      </c>
      <c r="L529" s="2" t="s">
        <v>6727</v>
      </c>
      <c r="M529" s="3" t="s">
        <v>729</v>
      </c>
      <c r="O529" s="3" t="s">
        <v>65</v>
      </c>
      <c r="P529" s="3" t="s">
        <v>296</v>
      </c>
      <c r="R529" s="3" t="s">
        <v>68</v>
      </c>
      <c r="S529" s="4">
        <v>4</v>
      </c>
      <c r="T529" s="4">
        <v>4</v>
      </c>
      <c r="U529" s="5" t="s">
        <v>6728</v>
      </c>
      <c r="V529" s="5" t="s">
        <v>6728</v>
      </c>
      <c r="W529" s="5" t="s">
        <v>6729</v>
      </c>
      <c r="X529" s="5" t="s">
        <v>6729</v>
      </c>
      <c r="Y529" s="4">
        <v>492</v>
      </c>
      <c r="Z529" s="4">
        <v>414</v>
      </c>
      <c r="AA529" s="4">
        <v>452</v>
      </c>
      <c r="AB529" s="4">
        <v>4</v>
      </c>
      <c r="AC529" s="4">
        <v>4</v>
      </c>
      <c r="AD529" s="4">
        <v>19</v>
      </c>
      <c r="AE529" s="4">
        <v>19</v>
      </c>
      <c r="AF529" s="4">
        <v>7</v>
      </c>
      <c r="AG529" s="4">
        <v>7</v>
      </c>
      <c r="AH529" s="4">
        <v>3</v>
      </c>
      <c r="AI529" s="4">
        <v>3</v>
      </c>
      <c r="AJ529" s="4">
        <v>9</v>
      </c>
      <c r="AK529" s="4">
        <v>9</v>
      </c>
      <c r="AL529" s="4">
        <v>3</v>
      </c>
      <c r="AM529" s="4">
        <v>3</v>
      </c>
      <c r="AN529" s="4">
        <v>0</v>
      </c>
      <c r="AO529" s="4">
        <v>0</v>
      </c>
      <c r="AP529" s="3" t="s">
        <v>59</v>
      </c>
      <c r="AQ529" s="3" t="s">
        <v>71</v>
      </c>
      <c r="AR529" s="6" t="str">
        <f>HYPERLINK("http://catalog.hathitrust.org/Record/004444820","HathiTrust Record")</f>
        <v>HathiTrust Record</v>
      </c>
      <c r="AS529" s="6" t="str">
        <f>HYPERLINK("https://creighton-primo.hosted.exlibrisgroup.com/primo-explore/search?tab=default_tab&amp;search_scope=EVERYTHING&amp;vid=01CRU&amp;lang=en_US&amp;offset=0&amp;query=any,contains,991000946799702656","Catalog Record")</f>
        <v>Catalog Record</v>
      </c>
      <c r="AT529" s="6" t="str">
        <f>HYPERLINK("http://www.worldcat.org/oclc/167297","WorldCat Record")</f>
        <v>WorldCat Record</v>
      </c>
      <c r="AU529" s="3" t="s">
        <v>6730</v>
      </c>
      <c r="AV529" s="3" t="s">
        <v>6731</v>
      </c>
      <c r="AW529" s="3" t="s">
        <v>6732</v>
      </c>
      <c r="AX529" s="3" t="s">
        <v>6732</v>
      </c>
      <c r="AY529" s="3" t="s">
        <v>6733</v>
      </c>
      <c r="AZ529" s="3" t="s">
        <v>76</v>
      </c>
      <c r="BB529" s="3" t="s">
        <v>6734</v>
      </c>
      <c r="BC529" s="3" t="s">
        <v>6735</v>
      </c>
      <c r="BD529" s="3" t="s">
        <v>6736</v>
      </c>
    </row>
    <row r="530" spans="1:56" ht="52.5" customHeight="1" x14ac:dyDescent="0.25">
      <c r="A530" s="7" t="s">
        <v>59</v>
      </c>
      <c r="B530" s="2" t="s">
        <v>6737</v>
      </c>
      <c r="C530" s="2" t="s">
        <v>6738</v>
      </c>
      <c r="D530" s="2" t="s">
        <v>6739</v>
      </c>
      <c r="F530" s="3" t="s">
        <v>59</v>
      </c>
      <c r="G530" s="3" t="s">
        <v>60</v>
      </c>
      <c r="H530" s="3" t="s">
        <v>59</v>
      </c>
      <c r="I530" s="3" t="s">
        <v>59</v>
      </c>
      <c r="J530" s="3" t="s">
        <v>61</v>
      </c>
      <c r="K530" s="2" t="s">
        <v>6740</v>
      </c>
      <c r="L530" s="2" t="s">
        <v>3001</v>
      </c>
      <c r="M530" s="3" t="s">
        <v>148</v>
      </c>
      <c r="O530" s="3" t="s">
        <v>65</v>
      </c>
      <c r="P530" s="3" t="s">
        <v>66</v>
      </c>
      <c r="R530" s="3" t="s">
        <v>68</v>
      </c>
      <c r="S530" s="4">
        <v>7</v>
      </c>
      <c r="T530" s="4">
        <v>7</v>
      </c>
      <c r="U530" s="5" t="s">
        <v>1306</v>
      </c>
      <c r="V530" s="5" t="s">
        <v>1306</v>
      </c>
      <c r="W530" s="5" t="s">
        <v>6154</v>
      </c>
      <c r="X530" s="5" t="s">
        <v>6154</v>
      </c>
      <c r="Y530" s="4">
        <v>872</v>
      </c>
      <c r="Z530" s="4">
        <v>797</v>
      </c>
      <c r="AA530" s="4">
        <v>801</v>
      </c>
      <c r="AB530" s="4">
        <v>5</v>
      </c>
      <c r="AC530" s="4">
        <v>5</v>
      </c>
      <c r="AD530" s="4">
        <v>27</v>
      </c>
      <c r="AE530" s="4">
        <v>27</v>
      </c>
      <c r="AF530" s="4">
        <v>13</v>
      </c>
      <c r="AG530" s="4">
        <v>13</v>
      </c>
      <c r="AH530" s="4">
        <v>5</v>
      </c>
      <c r="AI530" s="4">
        <v>5</v>
      </c>
      <c r="AJ530" s="4">
        <v>10</v>
      </c>
      <c r="AK530" s="4">
        <v>10</v>
      </c>
      <c r="AL530" s="4">
        <v>4</v>
      </c>
      <c r="AM530" s="4">
        <v>4</v>
      </c>
      <c r="AN530" s="4">
        <v>0</v>
      </c>
      <c r="AO530" s="4">
        <v>0</v>
      </c>
      <c r="AP530" s="3" t="s">
        <v>59</v>
      </c>
      <c r="AQ530" s="3" t="s">
        <v>59</v>
      </c>
      <c r="AS530" s="6" t="str">
        <f>HYPERLINK("https://creighton-primo.hosted.exlibrisgroup.com/primo-explore/search?tab=default_tab&amp;search_scope=EVERYTHING&amp;vid=01CRU&amp;lang=en_US&amp;offset=0&amp;query=any,contains,991003963589702656","Catalog Record")</f>
        <v>Catalog Record</v>
      </c>
      <c r="AT530" s="6" t="str">
        <f>HYPERLINK("http://www.worldcat.org/oclc/1976721","WorldCat Record")</f>
        <v>WorldCat Record</v>
      </c>
      <c r="AU530" s="3" t="s">
        <v>6741</v>
      </c>
      <c r="AV530" s="3" t="s">
        <v>6742</v>
      </c>
      <c r="AW530" s="3" t="s">
        <v>6743</v>
      </c>
      <c r="AX530" s="3" t="s">
        <v>6743</v>
      </c>
      <c r="AY530" s="3" t="s">
        <v>6744</v>
      </c>
      <c r="AZ530" s="3" t="s">
        <v>76</v>
      </c>
      <c r="BB530" s="3" t="s">
        <v>6745</v>
      </c>
      <c r="BC530" s="3" t="s">
        <v>6746</v>
      </c>
      <c r="BD530" s="3" t="s">
        <v>6747</v>
      </c>
    </row>
    <row r="531" spans="1:56" ht="52.5" customHeight="1" x14ac:dyDescent="0.25">
      <c r="A531" s="7" t="s">
        <v>59</v>
      </c>
      <c r="B531" s="2" t="s">
        <v>6748</v>
      </c>
      <c r="C531" s="2" t="s">
        <v>6749</v>
      </c>
      <c r="D531" s="2" t="s">
        <v>6750</v>
      </c>
      <c r="F531" s="3" t="s">
        <v>59</v>
      </c>
      <c r="G531" s="3" t="s">
        <v>60</v>
      </c>
      <c r="H531" s="3" t="s">
        <v>59</v>
      </c>
      <c r="I531" s="3" t="s">
        <v>59</v>
      </c>
      <c r="J531" s="3" t="s">
        <v>61</v>
      </c>
      <c r="K531" s="2" t="s">
        <v>6751</v>
      </c>
      <c r="L531" s="2" t="s">
        <v>6752</v>
      </c>
      <c r="M531" s="3" t="s">
        <v>1467</v>
      </c>
      <c r="O531" s="3" t="s">
        <v>65</v>
      </c>
      <c r="P531" s="3" t="s">
        <v>699</v>
      </c>
      <c r="Q531" s="2" t="s">
        <v>6753</v>
      </c>
      <c r="R531" s="3" t="s">
        <v>68</v>
      </c>
      <c r="S531" s="4">
        <v>2</v>
      </c>
      <c r="T531" s="4">
        <v>2</v>
      </c>
      <c r="U531" s="5" t="s">
        <v>1342</v>
      </c>
      <c r="V531" s="5" t="s">
        <v>1342</v>
      </c>
      <c r="W531" s="5" t="s">
        <v>6154</v>
      </c>
      <c r="X531" s="5" t="s">
        <v>6154</v>
      </c>
      <c r="Y531" s="4">
        <v>1754</v>
      </c>
      <c r="Z531" s="4">
        <v>1393</v>
      </c>
      <c r="AA531" s="4">
        <v>1453</v>
      </c>
      <c r="AB531" s="4">
        <v>11</v>
      </c>
      <c r="AC531" s="4">
        <v>12</v>
      </c>
      <c r="AD531" s="4">
        <v>52</v>
      </c>
      <c r="AE531" s="4">
        <v>54</v>
      </c>
      <c r="AF531" s="4">
        <v>23</v>
      </c>
      <c r="AG531" s="4">
        <v>24</v>
      </c>
      <c r="AH531" s="4">
        <v>11</v>
      </c>
      <c r="AI531" s="4">
        <v>11</v>
      </c>
      <c r="AJ531" s="4">
        <v>22</v>
      </c>
      <c r="AK531" s="4">
        <v>23</v>
      </c>
      <c r="AL531" s="4">
        <v>8</v>
      </c>
      <c r="AM531" s="4">
        <v>8</v>
      </c>
      <c r="AN531" s="4">
        <v>0</v>
      </c>
      <c r="AO531" s="4">
        <v>0</v>
      </c>
      <c r="AP531" s="3" t="s">
        <v>71</v>
      </c>
      <c r="AQ531" s="3" t="s">
        <v>59</v>
      </c>
      <c r="AR531" s="6" t="str">
        <f>HYPERLINK("http://catalog.hathitrust.org/Record/000356745","HathiTrust Record")</f>
        <v>HathiTrust Record</v>
      </c>
      <c r="AS531" s="6" t="str">
        <f>HYPERLINK("https://creighton-primo.hosted.exlibrisgroup.com/primo-explore/search?tab=default_tab&amp;search_scope=EVERYTHING&amp;vid=01CRU&amp;lang=en_US&amp;offset=0&amp;query=any,contains,991005264959702656","Catalog Record")</f>
        <v>Catalog Record</v>
      </c>
      <c r="AT531" s="6" t="str">
        <f>HYPERLINK("http://www.worldcat.org/oclc/223624","WorldCat Record")</f>
        <v>WorldCat Record</v>
      </c>
      <c r="AU531" s="3" t="s">
        <v>6754</v>
      </c>
      <c r="AV531" s="3" t="s">
        <v>6755</v>
      </c>
      <c r="AW531" s="3" t="s">
        <v>6756</v>
      </c>
      <c r="AX531" s="3" t="s">
        <v>6756</v>
      </c>
      <c r="AY531" s="3" t="s">
        <v>6757</v>
      </c>
      <c r="AZ531" s="3" t="s">
        <v>76</v>
      </c>
      <c r="BB531" s="3" t="s">
        <v>6758</v>
      </c>
      <c r="BC531" s="3" t="s">
        <v>6759</v>
      </c>
      <c r="BD531" s="3" t="s">
        <v>6760</v>
      </c>
    </row>
    <row r="532" spans="1:56" ht="52.5" customHeight="1" x14ac:dyDescent="0.25">
      <c r="A532" s="7" t="s">
        <v>59</v>
      </c>
      <c r="B532" s="2" t="s">
        <v>6761</v>
      </c>
      <c r="C532" s="2" t="s">
        <v>6762</v>
      </c>
      <c r="D532" s="2" t="s">
        <v>6763</v>
      </c>
      <c r="F532" s="3" t="s">
        <v>59</v>
      </c>
      <c r="G532" s="3" t="s">
        <v>60</v>
      </c>
      <c r="H532" s="3" t="s">
        <v>59</v>
      </c>
      <c r="I532" s="3" t="s">
        <v>59</v>
      </c>
      <c r="J532" s="3" t="s">
        <v>61</v>
      </c>
      <c r="K532" s="2" t="s">
        <v>3342</v>
      </c>
      <c r="L532" s="2" t="s">
        <v>6764</v>
      </c>
      <c r="M532" s="3" t="s">
        <v>1529</v>
      </c>
      <c r="O532" s="3" t="s">
        <v>65</v>
      </c>
      <c r="P532" s="3" t="s">
        <v>66</v>
      </c>
      <c r="R532" s="3" t="s">
        <v>68</v>
      </c>
      <c r="S532" s="4">
        <v>2</v>
      </c>
      <c r="T532" s="4">
        <v>2</v>
      </c>
      <c r="U532" s="5" t="s">
        <v>6765</v>
      </c>
      <c r="V532" s="5" t="s">
        <v>6765</v>
      </c>
      <c r="W532" s="5" t="s">
        <v>6154</v>
      </c>
      <c r="X532" s="5" t="s">
        <v>6154</v>
      </c>
      <c r="Y532" s="4">
        <v>282</v>
      </c>
      <c r="Z532" s="4">
        <v>253</v>
      </c>
      <c r="AA532" s="4">
        <v>256</v>
      </c>
      <c r="AB532" s="4">
        <v>2</v>
      </c>
      <c r="AC532" s="4">
        <v>3</v>
      </c>
      <c r="AD532" s="4">
        <v>10</v>
      </c>
      <c r="AE532" s="4">
        <v>11</v>
      </c>
      <c r="AF532" s="4">
        <v>3</v>
      </c>
      <c r="AG532" s="4">
        <v>3</v>
      </c>
      <c r="AH532" s="4">
        <v>2</v>
      </c>
      <c r="AI532" s="4">
        <v>2</v>
      </c>
      <c r="AJ532" s="4">
        <v>5</v>
      </c>
      <c r="AK532" s="4">
        <v>5</v>
      </c>
      <c r="AL532" s="4">
        <v>1</v>
      </c>
      <c r="AM532" s="4">
        <v>2</v>
      </c>
      <c r="AN532" s="4">
        <v>0</v>
      </c>
      <c r="AO532" s="4">
        <v>0</v>
      </c>
      <c r="AP532" s="3" t="s">
        <v>59</v>
      </c>
      <c r="AQ532" s="3" t="s">
        <v>71</v>
      </c>
      <c r="AR532" s="6" t="str">
        <f>HYPERLINK("http://catalog.hathitrust.org/Record/000384136","HathiTrust Record")</f>
        <v>HathiTrust Record</v>
      </c>
      <c r="AS532" s="6" t="str">
        <f>HYPERLINK("https://creighton-primo.hosted.exlibrisgroup.com/primo-explore/search?tab=default_tab&amp;search_scope=EVERYTHING&amp;vid=01CRU&amp;lang=en_US&amp;offset=0&amp;query=any,contains,991003540979702656","Catalog Record")</f>
        <v>Catalog Record</v>
      </c>
      <c r="AT532" s="6" t="str">
        <f>HYPERLINK("http://www.worldcat.org/oclc/1105169","WorldCat Record")</f>
        <v>WorldCat Record</v>
      </c>
      <c r="AU532" s="3" t="s">
        <v>6766</v>
      </c>
      <c r="AV532" s="3" t="s">
        <v>6767</v>
      </c>
      <c r="AW532" s="3" t="s">
        <v>6768</v>
      </c>
      <c r="AX532" s="3" t="s">
        <v>6768</v>
      </c>
      <c r="AY532" s="3" t="s">
        <v>6769</v>
      </c>
      <c r="AZ532" s="3" t="s">
        <v>76</v>
      </c>
      <c r="BC532" s="3" t="s">
        <v>6770</v>
      </c>
      <c r="BD532" s="3" t="s">
        <v>6771</v>
      </c>
    </row>
    <row r="533" spans="1:56" ht="52.5" customHeight="1" x14ac:dyDescent="0.25">
      <c r="A533" s="7" t="s">
        <v>59</v>
      </c>
      <c r="B533" s="2" t="s">
        <v>6772</v>
      </c>
      <c r="C533" s="2" t="s">
        <v>6773</v>
      </c>
      <c r="D533" s="2" t="s">
        <v>6774</v>
      </c>
      <c r="F533" s="3" t="s">
        <v>59</v>
      </c>
      <c r="G533" s="3" t="s">
        <v>60</v>
      </c>
      <c r="H533" s="3" t="s">
        <v>59</v>
      </c>
      <c r="I533" s="3" t="s">
        <v>59</v>
      </c>
      <c r="J533" s="3" t="s">
        <v>61</v>
      </c>
      <c r="K533" s="2" t="s">
        <v>6775</v>
      </c>
      <c r="L533" s="2" t="s">
        <v>6776</v>
      </c>
      <c r="M533" s="3" t="s">
        <v>131</v>
      </c>
      <c r="O533" s="3" t="s">
        <v>65</v>
      </c>
      <c r="P533" s="3" t="s">
        <v>66</v>
      </c>
      <c r="Q533" s="2" t="s">
        <v>6777</v>
      </c>
      <c r="R533" s="3" t="s">
        <v>68</v>
      </c>
      <c r="S533" s="4">
        <v>7</v>
      </c>
      <c r="T533" s="4">
        <v>7</v>
      </c>
      <c r="U533" s="5" t="s">
        <v>6778</v>
      </c>
      <c r="V533" s="5" t="s">
        <v>6778</v>
      </c>
      <c r="W533" s="5" t="s">
        <v>6779</v>
      </c>
      <c r="X533" s="5" t="s">
        <v>6779</v>
      </c>
      <c r="Y533" s="4">
        <v>327</v>
      </c>
      <c r="Z533" s="4">
        <v>249</v>
      </c>
      <c r="AA533" s="4">
        <v>251</v>
      </c>
      <c r="AB533" s="4">
        <v>3</v>
      </c>
      <c r="AC533" s="4">
        <v>3</v>
      </c>
      <c r="AD533" s="4">
        <v>11</v>
      </c>
      <c r="AE533" s="4">
        <v>11</v>
      </c>
      <c r="AF533" s="4">
        <v>2</v>
      </c>
      <c r="AG533" s="4">
        <v>2</v>
      </c>
      <c r="AH533" s="4">
        <v>3</v>
      </c>
      <c r="AI533" s="4">
        <v>3</v>
      </c>
      <c r="AJ533" s="4">
        <v>6</v>
      </c>
      <c r="AK533" s="4">
        <v>6</v>
      </c>
      <c r="AL533" s="4">
        <v>2</v>
      </c>
      <c r="AM533" s="4">
        <v>2</v>
      </c>
      <c r="AN533" s="4">
        <v>1</v>
      </c>
      <c r="AO533" s="4">
        <v>1</v>
      </c>
      <c r="AP533" s="3" t="s">
        <v>59</v>
      </c>
      <c r="AQ533" s="3" t="s">
        <v>59</v>
      </c>
      <c r="AS533" s="6" t="str">
        <f>HYPERLINK("https://creighton-primo.hosted.exlibrisgroup.com/primo-explore/search?tab=default_tab&amp;search_scope=EVERYTHING&amp;vid=01CRU&amp;lang=en_US&amp;offset=0&amp;query=any,contains,991003366669702656","Catalog Record")</f>
        <v>Catalog Record</v>
      </c>
      <c r="AT533" s="6" t="str">
        <f>HYPERLINK("http://www.worldcat.org/oclc/902428","WorldCat Record")</f>
        <v>WorldCat Record</v>
      </c>
      <c r="AU533" s="3" t="s">
        <v>6780</v>
      </c>
      <c r="AV533" s="3" t="s">
        <v>6781</v>
      </c>
      <c r="AW533" s="3" t="s">
        <v>6782</v>
      </c>
      <c r="AX533" s="3" t="s">
        <v>6782</v>
      </c>
      <c r="AY533" s="3" t="s">
        <v>6783</v>
      </c>
      <c r="AZ533" s="3" t="s">
        <v>76</v>
      </c>
      <c r="BB533" s="3" t="s">
        <v>6784</v>
      </c>
      <c r="BC533" s="3" t="s">
        <v>6785</v>
      </c>
      <c r="BD533" s="3" t="s">
        <v>6786</v>
      </c>
    </row>
    <row r="534" spans="1:56" ht="52.5" customHeight="1" x14ac:dyDescent="0.25">
      <c r="A534" s="7" t="s">
        <v>59</v>
      </c>
      <c r="B534" s="2" t="s">
        <v>6787</v>
      </c>
      <c r="C534" s="2" t="s">
        <v>6788</v>
      </c>
      <c r="D534" s="2" t="s">
        <v>6789</v>
      </c>
      <c r="F534" s="3" t="s">
        <v>59</v>
      </c>
      <c r="G534" s="3" t="s">
        <v>60</v>
      </c>
      <c r="H534" s="3" t="s">
        <v>59</v>
      </c>
      <c r="I534" s="3" t="s">
        <v>59</v>
      </c>
      <c r="J534" s="3" t="s">
        <v>61</v>
      </c>
      <c r="K534" s="2" t="s">
        <v>6790</v>
      </c>
      <c r="L534" s="2" t="s">
        <v>6791</v>
      </c>
      <c r="M534" s="3" t="s">
        <v>1467</v>
      </c>
      <c r="O534" s="3" t="s">
        <v>65</v>
      </c>
      <c r="P534" s="3" t="s">
        <v>66</v>
      </c>
      <c r="Q534" s="2" t="s">
        <v>6792</v>
      </c>
      <c r="R534" s="3" t="s">
        <v>68</v>
      </c>
      <c r="S534" s="4">
        <v>2</v>
      </c>
      <c r="T534" s="4">
        <v>2</v>
      </c>
      <c r="U534" s="5" t="s">
        <v>6793</v>
      </c>
      <c r="V534" s="5" t="s">
        <v>6793</v>
      </c>
      <c r="W534" s="5" t="s">
        <v>6154</v>
      </c>
      <c r="X534" s="5" t="s">
        <v>6154</v>
      </c>
      <c r="Y534" s="4">
        <v>768</v>
      </c>
      <c r="Z534" s="4">
        <v>679</v>
      </c>
      <c r="AA534" s="4">
        <v>759</v>
      </c>
      <c r="AB534" s="4">
        <v>6</v>
      </c>
      <c r="AC534" s="4">
        <v>6</v>
      </c>
      <c r="AD534" s="4">
        <v>34</v>
      </c>
      <c r="AE534" s="4">
        <v>36</v>
      </c>
      <c r="AF534" s="4">
        <v>14</v>
      </c>
      <c r="AG534" s="4">
        <v>16</v>
      </c>
      <c r="AH534" s="4">
        <v>7</v>
      </c>
      <c r="AI534" s="4">
        <v>8</v>
      </c>
      <c r="AJ534" s="4">
        <v>15</v>
      </c>
      <c r="AK534" s="4">
        <v>15</v>
      </c>
      <c r="AL534" s="4">
        <v>5</v>
      </c>
      <c r="AM534" s="4">
        <v>5</v>
      </c>
      <c r="AN534" s="4">
        <v>0</v>
      </c>
      <c r="AO534" s="4">
        <v>0</v>
      </c>
      <c r="AP534" s="3" t="s">
        <v>59</v>
      </c>
      <c r="AQ534" s="3" t="s">
        <v>59</v>
      </c>
      <c r="AS534" s="6" t="str">
        <f>HYPERLINK("https://creighton-primo.hosted.exlibrisgroup.com/primo-explore/search?tab=default_tab&amp;search_scope=EVERYTHING&amp;vid=01CRU&amp;lang=en_US&amp;offset=0&amp;query=any,contains,991003429359702656","Catalog Record")</f>
        <v>Catalog Record</v>
      </c>
      <c r="AT534" s="6" t="str">
        <f>HYPERLINK("http://www.worldcat.org/oclc/965224","WorldCat Record")</f>
        <v>WorldCat Record</v>
      </c>
      <c r="AU534" s="3" t="s">
        <v>6794</v>
      </c>
      <c r="AV534" s="3" t="s">
        <v>6795</v>
      </c>
      <c r="AW534" s="3" t="s">
        <v>6796</v>
      </c>
      <c r="AX534" s="3" t="s">
        <v>6796</v>
      </c>
      <c r="AY534" s="3" t="s">
        <v>6797</v>
      </c>
      <c r="AZ534" s="3" t="s">
        <v>76</v>
      </c>
      <c r="BC534" s="3" t="s">
        <v>6798</v>
      </c>
      <c r="BD534" s="3" t="s">
        <v>6799</v>
      </c>
    </row>
    <row r="535" spans="1:56" ht="52.5" customHeight="1" x14ac:dyDescent="0.25">
      <c r="A535" s="7" t="s">
        <v>59</v>
      </c>
      <c r="B535" s="2" t="s">
        <v>6800</v>
      </c>
      <c r="C535" s="2" t="s">
        <v>6801</v>
      </c>
      <c r="D535" s="2" t="s">
        <v>6802</v>
      </c>
      <c r="F535" s="3" t="s">
        <v>59</v>
      </c>
      <c r="G535" s="3" t="s">
        <v>60</v>
      </c>
      <c r="H535" s="3" t="s">
        <v>59</v>
      </c>
      <c r="I535" s="3" t="s">
        <v>59</v>
      </c>
      <c r="J535" s="3" t="s">
        <v>61</v>
      </c>
      <c r="K535" s="2" t="s">
        <v>6803</v>
      </c>
      <c r="L535" s="2" t="s">
        <v>6804</v>
      </c>
      <c r="M535" s="3" t="s">
        <v>1233</v>
      </c>
      <c r="N535" s="2" t="s">
        <v>435</v>
      </c>
      <c r="O535" s="3" t="s">
        <v>65</v>
      </c>
      <c r="P535" s="3" t="s">
        <v>283</v>
      </c>
      <c r="R535" s="3" t="s">
        <v>68</v>
      </c>
      <c r="S535" s="4">
        <v>5</v>
      </c>
      <c r="T535" s="4">
        <v>5</v>
      </c>
      <c r="U535" s="5" t="s">
        <v>6805</v>
      </c>
      <c r="V535" s="5" t="s">
        <v>6805</v>
      </c>
      <c r="W535" s="5" t="s">
        <v>6154</v>
      </c>
      <c r="X535" s="5" t="s">
        <v>6154</v>
      </c>
      <c r="Y535" s="4">
        <v>763</v>
      </c>
      <c r="Z535" s="4">
        <v>673</v>
      </c>
      <c r="AA535" s="4">
        <v>679</v>
      </c>
      <c r="AB535" s="4">
        <v>5</v>
      </c>
      <c r="AC535" s="4">
        <v>5</v>
      </c>
      <c r="AD535" s="4">
        <v>26</v>
      </c>
      <c r="AE535" s="4">
        <v>26</v>
      </c>
      <c r="AF535" s="4">
        <v>8</v>
      </c>
      <c r="AG535" s="4">
        <v>8</v>
      </c>
      <c r="AH535" s="4">
        <v>7</v>
      </c>
      <c r="AI535" s="4">
        <v>7</v>
      </c>
      <c r="AJ535" s="4">
        <v>16</v>
      </c>
      <c r="AK535" s="4">
        <v>16</v>
      </c>
      <c r="AL535" s="4">
        <v>3</v>
      </c>
      <c r="AM535" s="4">
        <v>3</v>
      </c>
      <c r="AN535" s="4">
        <v>0</v>
      </c>
      <c r="AO535" s="4">
        <v>0</v>
      </c>
      <c r="AP535" s="3" t="s">
        <v>59</v>
      </c>
      <c r="AQ535" s="3" t="s">
        <v>59</v>
      </c>
      <c r="AS535" s="6" t="str">
        <f>HYPERLINK("https://creighton-primo.hosted.exlibrisgroup.com/primo-explore/search?tab=default_tab&amp;search_scope=EVERYTHING&amp;vid=01CRU&amp;lang=en_US&amp;offset=0&amp;query=any,contains,991002979269702656","Catalog Record")</f>
        <v>Catalog Record</v>
      </c>
      <c r="AT535" s="6" t="str">
        <f>HYPERLINK("http://www.worldcat.org/oclc/554134","WorldCat Record")</f>
        <v>WorldCat Record</v>
      </c>
      <c r="AU535" s="3" t="s">
        <v>6806</v>
      </c>
      <c r="AV535" s="3" t="s">
        <v>6807</v>
      </c>
      <c r="AW535" s="3" t="s">
        <v>6808</v>
      </c>
      <c r="AX535" s="3" t="s">
        <v>6808</v>
      </c>
      <c r="AY535" s="3" t="s">
        <v>6809</v>
      </c>
      <c r="AZ535" s="3" t="s">
        <v>76</v>
      </c>
      <c r="BB535" s="3" t="s">
        <v>6810</v>
      </c>
      <c r="BC535" s="3" t="s">
        <v>6811</v>
      </c>
      <c r="BD535" s="3" t="s">
        <v>6812</v>
      </c>
    </row>
    <row r="536" spans="1:56" ht="52.5" customHeight="1" x14ac:dyDescent="0.25">
      <c r="A536" s="7" t="s">
        <v>59</v>
      </c>
      <c r="B536" s="2" t="s">
        <v>6813</v>
      </c>
      <c r="C536" s="2" t="s">
        <v>6814</v>
      </c>
      <c r="D536" s="2" t="s">
        <v>6815</v>
      </c>
      <c r="F536" s="3" t="s">
        <v>59</v>
      </c>
      <c r="G536" s="3" t="s">
        <v>60</v>
      </c>
      <c r="H536" s="3" t="s">
        <v>59</v>
      </c>
      <c r="I536" s="3" t="s">
        <v>59</v>
      </c>
      <c r="J536" s="3" t="s">
        <v>61</v>
      </c>
      <c r="K536" s="2" t="s">
        <v>6816</v>
      </c>
      <c r="L536" s="2" t="s">
        <v>6817</v>
      </c>
      <c r="M536" s="3" t="s">
        <v>6818</v>
      </c>
      <c r="O536" s="3" t="s">
        <v>65</v>
      </c>
      <c r="P536" s="3" t="s">
        <v>66</v>
      </c>
      <c r="Q536" s="2" t="s">
        <v>6819</v>
      </c>
      <c r="R536" s="3" t="s">
        <v>68</v>
      </c>
      <c r="S536" s="4">
        <v>2</v>
      </c>
      <c r="T536" s="4">
        <v>2</v>
      </c>
      <c r="U536" s="5" t="s">
        <v>6765</v>
      </c>
      <c r="V536" s="5" t="s">
        <v>6765</v>
      </c>
      <c r="W536" s="5" t="s">
        <v>6154</v>
      </c>
      <c r="X536" s="5" t="s">
        <v>6154</v>
      </c>
      <c r="Y536" s="4">
        <v>296</v>
      </c>
      <c r="Z536" s="4">
        <v>257</v>
      </c>
      <c r="AA536" s="4">
        <v>342</v>
      </c>
      <c r="AB536" s="4">
        <v>4</v>
      </c>
      <c r="AC536" s="4">
        <v>5</v>
      </c>
      <c r="AD536" s="4">
        <v>13</v>
      </c>
      <c r="AE536" s="4">
        <v>18</v>
      </c>
      <c r="AF536" s="4">
        <v>5</v>
      </c>
      <c r="AG536" s="4">
        <v>6</v>
      </c>
      <c r="AH536" s="4">
        <v>4</v>
      </c>
      <c r="AI536" s="4">
        <v>4</v>
      </c>
      <c r="AJ536" s="4">
        <v>5</v>
      </c>
      <c r="AK536" s="4">
        <v>8</v>
      </c>
      <c r="AL536" s="4">
        <v>3</v>
      </c>
      <c r="AM536" s="4">
        <v>4</v>
      </c>
      <c r="AN536" s="4">
        <v>0</v>
      </c>
      <c r="AO536" s="4">
        <v>0</v>
      </c>
      <c r="AP536" s="3" t="s">
        <v>71</v>
      </c>
      <c r="AQ536" s="3" t="s">
        <v>59</v>
      </c>
      <c r="AR536" s="6" t="str">
        <f>HYPERLINK("http://catalog.hathitrust.org/Record/000383313","HathiTrust Record")</f>
        <v>HathiTrust Record</v>
      </c>
      <c r="AS536" s="6" t="str">
        <f>HYPERLINK("https://creighton-primo.hosted.exlibrisgroup.com/primo-explore/search?tab=default_tab&amp;search_scope=EVERYTHING&amp;vid=01CRU&amp;lang=en_US&amp;offset=0&amp;query=any,contains,991003536079702656","Catalog Record")</f>
        <v>Catalog Record</v>
      </c>
      <c r="AT536" s="6" t="str">
        <f>HYPERLINK("http://www.worldcat.org/oclc/1100854","WorldCat Record")</f>
        <v>WorldCat Record</v>
      </c>
      <c r="AU536" s="3" t="s">
        <v>6820</v>
      </c>
      <c r="AV536" s="3" t="s">
        <v>6821</v>
      </c>
      <c r="AW536" s="3" t="s">
        <v>6822</v>
      </c>
      <c r="AX536" s="3" t="s">
        <v>6822</v>
      </c>
      <c r="AY536" s="3" t="s">
        <v>6823</v>
      </c>
      <c r="AZ536" s="3" t="s">
        <v>76</v>
      </c>
      <c r="BC536" s="3" t="s">
        <v>6824</v>
      </c>
      <c r="BD536" s="3" t="s">
        <v>6825</v>
      </c>
    </row>
    <row r="537" spans="1:56" ht="52.5" customHeight="1" x14ac:dyDescent="0.25">
      <c r="A537" s="7" t="s">
        <v>59</v>
      </c>
      <c r="B537" s="2" t="s">
        <v>6826</v>
      </c>
      <c r="C537" s="2" t="s">
        <v>6827</v>
      </c>
      <c r="D537" s="2" t="s">
        <v>6828</v>
      </c>
      <c r="F537" s="3" t="s">
        <v>59</v>
      </c>
      <c r="G537" s="3" t="s">
        <v>60</v>
      </c>
      <c r="H537" s="3" t="s">
        <v>59</v>
      </c>
      <c r="I537" s="3" t="s">
        <v>59</v>
      </c>
      <c r="J537" s="3" t="s">
        <v>61</v>
      </c>
      <c r="K537" s="2" t="s">
        <v>6829</v>
      </c>
      <c r="L537" s="2" t="s">
        <v>6830</v>
      </c>
      <c r="M537" s="3" t="s">
        <v>3780</v>
      </c>
      <c r="O537" s="3" t="s">
        <v>65</v>
      </c>
      <c r="P537" s="3" t="s">
        <v>491</v>
      </c>
      <c r="R537" s="3" t="s">
        <v>68</v>
      </c>
      <c r="S537" s="4">
        <v>1</v>
      </c>
      <c r="T537" s="4">
        <v>1</v>
      </c>
      <c r="U537" s="5" t="s">
        <v>6831</v>
      </c>
      <c r="V537" s="5" t="s">
        <v>6831</v>
      </c>
      <c r="W537" s="5" t="s">
        <v>6154</v>
      </c>
      <c r="X537" s="5" t="s">
        <v>6154</v>
      </c>
      <c r="Y537" s="4">
        <v>314</v>
      </c>
      <c r="Z537" s="4">
        <v>274</v>
      </c>
      <c r="AA537" s="4">
        <v>444</v>
      </c>
      <c r="AB537" s="4">
        <v>2</v>
      </c>
      <c r="AC537" s="4">
        <v>2</v>
      </c>
      <c r="AD537" s="4">
        <v>14</v>
      </c>
      <c r="AE537" s="4">
        <v>19</v>
      </c>
      <c r="AF537" s="4">
        <v>7</v>
      </c>
      <c r="AG537" s="4">
        <v>9</v>
      </c>
      <c r="AH537" s="4">
        <v>3</v>
      </c>
      <c r="AI537" s="4">
        <v>5</v>
      </c>
      <c r="AJ537" s="4">
        <v>5</v>
      </c>
      <c r="AK537" s="4">
        <v>7</v>
      </c>
      <c r="AL537" s="4">
        <v>1</v>
      </c>
      <c r="AM537" s="4">
        <v>1</v>
      </c>
      <c r="AN537" s="4">
        <v>0</v>
      </c>
      <c r="AO537" s="4">
        <v>0</v>
      </c>
      <c r="AP537" s="3" t="s">
        <v>59</v>
      </c>
      <c r="AQ537" s="3" t="s">
        <v>71</v>
      </c>
      <c r="AR537" s="6" t="str">
        <f>HYPERLINK("http://catalog.hathitrust.org/Record/000385513","HathiTrust Record")</f>
        <v>HathiTrust Record</v>
      </c>
      <c r="AS537" s="6" t="str">
        <f>HYPERLINK("https://creighton-primo.hosted.exlibrisgroup.com/primo-explore/search?tab=default_tab&amp;search_scope=EVERYTHING&amp;vid=01CRU&amp;lang=en_US&amp;offset=0&amp;query=any,contains,991003541039702656","Catalog Record")</f>
        <v>Catalog Record</v>
      </c>
      <c r="AT537" s="6" t="str">
        <f>HYPERLINK("http://www.worldcat.org/oclc/1105222","WorldCat Record")</f>
        <v>WorldCat Record</v>
      </c>
      <c r="AU537" s="3" t="s">
        <v>6832</v>
      </c>
      <c r="AV537" s="3" t="s">
        <v>6833</v>
      </c>
      <c r="AW537" s="3" t="s">
        <v>6834</v>
      </c>
      <c r="AX537" s="3" t="s">
        <v>6834</v>
      </c>
      <c r="AY537" s="3" t="s">
        <v>6835</v>
      </c>
      <c r="AZ537" s="3" t="s">
        <v>76</v>
      </c>
      <c r="BC537" s="3" t="s">
        <v>6836</v>
      </c>
      <c r="BD537" s="3" t="s">
        <v>6837</v>
      </c>
    </row>
    <row r="538" spans="1:56" ht="52.5" customHeight="1" x14ac:dyDescent="0.25">
      <c r="A538" s="7" t="s">
        <v>59</v>
      </c>
      <c r="B538" s="2" t="s">
        <v>6838</v>
      </c>
      <c r="C538" s="2" t="s">
        <v>6839</v>
      </c>
      <c r="D538" s="2" t="s">
        <v>6840</v>
      </c>
      <c r="F538" s="3" t="s">
        <v>59</v>
      </c>
      <c r="G538" s="3" t="s">
        <v>60</v>
      </c>
      <c r="H538" s="3" t="s">
        <v>59</v>
      </c>
      <c r="I538" s="3" t="s">
        <v>59</v>
      </c>
      <c r="J538" s="3" t="s">
        <v>61</v>
      </c>
      <c r="K538" s="2" t="s">
        <v>6841</v>
      </c>
      <c r="L538" s="2" t="s">
        <v>6842</v>
      </c>
      <c r="M538" s="3" t="s">
        <v>1233</v>
      </c>
      <c r="O538" s="3" t="s">
        <v>65</v>
      </c>
      <c r="P538" s="3" t="s">
        <v>771</v>
      </c>
      <c r="R538" s="3" t="s">
        <v>68</v>
      </c>
      <c r="S538" s="4">
        <v>2</v>
      </c>
      <c r="T538" s="4">
        <v>2</v>
      </c>
      <c r="U538" s="5" t="s">
        <v>6765</v>
      </c>
      <c r="V538" s="5" t="s">
        <v>6765</v>
      </c>
      <c r="W538" s="5" t="s">
        <v>6154</v>
      </c>
      <c r="X538" s="5" t="s">
        <v>6154</v>
      </c>
      <c r="Y538" s="4">
        <v>67</v>
      </c>
      <c r="Z538" s="4">
        <v>58</v>
      </c>
      <c r="AA538" s="4">
        <v>403</v>
      </c>
      <c r="AB538" s="4">
        <v>1</v>
      </c>
      <c r="AC538" s="4">
        <v>7</v>
      </c>
      <c r="AD538" s="4">
        <v>2</v>
      </c>
      <c r="AE538" s="4">
        <v>21</v>
      </c>
      <c r="AF538" s="4">
        <v>1</v>
      </c>
      <c r="AG538" s="4">
        <v>7</v>
      </c>
      <c r="AH538" s="4">
        <v>0</v>
      </c>
      <c r="AI538" s="4">
        <v>2</v>
      </c>
      <c r="AJ538" s="4">
        <v>2</v>
      </c>
      <c r="AK538" s="4">
        <v>8</v>
      </c>
      <c r="AL538" s="4">
        <v>0</v>
      </c>
      <c r="AM538" s="4">
        <v>6</v>
      </c>
      <c r="AN538" s="4">
        <v>0</v>
      </c>
      <c r="AO538" s="4">
        <v>0</v>
      </c>
      <c r="AP538" s="3" t="s">
        <v>59</v>
      </c>
      <c r="AQ538" s="3" t="s">
        <v>59</v>
      </c>
      <c r="AS538" s="6" t="str">
        <f>HYPERLINK("https://creighton-primo.hosted.exlibrisgroup.com/primo-explore/search?tab=default_tab&amp;search_scope=EVERYTHING&amp;vid=01CRU&amp;lang=en_US&amp;offset=0&amp;query=any,contains,991002908909702656","Catalog Record")</f>
        <v>Catalog Record</v>
      </c>
      <c r="AT538" s="6" t="str">
        <f>HYPERLINK("http://www.worldcat.org/oclc/520725","WorldCat Record")</f>
        <v>WorldCat Record</v>
      </c>
      <c r="AU538" s="3" t="s">
        <v>6843</v>
      </c>
      <c r="AV538" s="3" t="s">
        <v>6844</v>
      </c>
      <c r="AW538" s="3" t="s">
        <v>6845</v>
      </c>
      <c r="AX538" s="3" t="s">
        <v>6845</v>
      </c>
      <c r="AY538" s="3" t="s">
        <v>6846</v>
      </c>
      <c r="AZ538" s="3" t="s">
        <v>76</v>
      </c>
      <c r="BB538" s="3" t="s">
        <v>6847</v>
      </c>
      <c r="BC538" s="3" t="s">
        <v>6848</v>
      </c>
      <c r="BD538" s="3" t="s">
        <v>6849</v>
      </c>
    </row>
    <row r="539" spans="1:56" ht="52.5" customHeight="1" x14ac:dyDescent="0.25">
      <c r="A539" s="7" t="s">
        <v>59</v>
      </c>
      <c r="B539" s="2" t="s">
        <v>6850</v>
      </c>
      <c r="C539" s="2" t="s">
        <v>6851</v>
      </c>
      <c r="D539" s="2" t="s">
        <v>6852</v>
      </c>
      <c r="F539" s="3" t="s">
        <v>59</v>
      </c>
      <c r="G539" s="3" t="s">
        <v>60</v>
      </c>
      <c r="H539" s="3" t="s">
        <v>59</v>
      </c>
      <c r="I539" s="3" t="s">
        <v>59</v>
      </c>
      <c r="J539" s="3" t="s">
        <v>61</v>
      </c>
      <c r="K539" s="2" t="s">
        <v>6853</v>
      </c>
      <c r="L539" s="2" t="s">
        <v>6854</v>
      </c>
      <c r="M539" s="3" t="s">
        <v>549</v>
      </c>
      <c r="O539" s="3" t="s">
        <v>65</v>
      </c>
      <c r="P539" s="3" t="s">
        <v>66</v>
      </c>
      <c r="R539" s="3" t="s">
        <v>68</v>
      </c>
      <c r="S539" s="4">
        <v>3</v>
      </c>
      <c r="T539" s="4">
        <v>3</v>
      </c>
      <c r="U539" s="5" t="s">
        <v>6855</v>
      </c>
      <c r="V539" s="5" t="s">
        <v>6855</v>
      </c>
      <c r="W539" s="5" t="s">
        <v>6856</v>
      </c>
      <c r="X539" s="5" t="s">
        <v>6856</v>
      </c>
      <c r="Y539" s="4">
        <v>1189</v>
      </c>
      <c r="Z539" s="4">
        <v>1020</v>
      </c>
      <c r="AA539" s="4">
        <v>1196</v>
      </c>
      <c r="AB539" s="4">
        <v>5</v>
      </c>
      <c r="AC539" s="4">
        <v>6</v>
      </c>
      <c r="AD539" s="4">
        <v>25</v>
      </c>
      <c r="AE539" s="4">
        <v>31</v>
      </c>
      <c r="AF539" s="4">
        <v>9</v>
      </c>
      <c r="AG539" s="4">
        <v>11</v>
      </c>
      <c r="AH539" s="4">
        <v>7</v>
      </c>
      <c r="AI539" s="4">
        <v>7</v>
      </c>
      <c r="AJ539" s="4">
        <v>16</v>
      </c>
      <c r="AK539" s="4">
        <v>20</v>
      </c>
      <c r="AL539" s="4">
        <v>0</v>
      </c>
      <c r="AM539" s="4">
        <v>1</v>
      </c>
      <c r="AN539" s="4">
        <v>1</v>
      </c>
      <c r="AO539" s="4">
        <v>2</v>
      </c>
      <c r="AP539" s="3" t="s">
        <v>59</v>
      </c>
      <c r="AQ539" s="3" t="s">
        <v>71</v>
      </c>
      <c r="AR539" s="6" t="str">
        <f>HYPERLINK("http://catalog.hathitrust.org/Record/000804927","HathiTrust Record")</f>
        <v>HathiTrust Record</v>
      </c>
      <c r="AS539" s="6" t="str">
        <f>HYPERLINK("https://creighton-primo.hosted.exlibrisgroup.com/primo-explore/search?tab=default_tab&amp;search_scope=EVERYTHING&amp;vid=01CRU&amp;lang=en_US&amp;offset=0&amp;query=any,contains,991000905659702656","Catalog Record")</f>
        <v>Catalog Record</v>
      </c>
      <c r="AT539" s="6" t="str">
        <f>HYPERLINK("http://www.worldcat.org/oclc/14097999","WorldCat Record")</f>
        <v>WorldCat Record</v>
      </c>
      <c r="AU539" s="3" t="s">
        <v>6857</v>
      </c>
      <c r="AV539" s="3" t="s">
        <v>6858</v>
      </c>
      <c r="AW539" s="3" t="s">
        <v>6859</v>
      </c>
      <c r="AX539" s="3" t="s">
        <v>6859</v>
      </c>
      <c r="AY539" s="3" t="s">
        <v>6860</v>
      </c>
      <c r="AZ539" s="3" t="s">
        <v>76</v>
      </c>
      <c r="BB539" s="3" t="s">
        <v>6861</v>
      </c>
      <c r="BC539" s="3" t="s">
        <v>6862</v>
      </c>
      <c r="BD539" s="3" t="s">
        <v>6863</v>
      </c>
    </row>
    <row r="540" spans="1:56" ht="52.5" customHeight="1" x14ac:dyDescent="0.25">
      <c r="A540" s="7" t="s">
        <v>59</v>
      </c>
      <c r="B540" s="2" t="s">
        <v>6864</v>
      </c>
      <c r="C540" s="2" t="s">
        <v>6865</v>
      </c>
      <c r="D540" s="2" t="s">
        <v>6866</v>
      </c>
      <c r="F540" s="3" t="s">
        <v>59</v>
      </c>
      <c r="G540" s="3" t="s">
        <v>60</v>
      </c>
      <c r="H540" s="3" t="s">
        <v>71</v>
      </c>
      <c r="I540" s="3" t="s">
        <v>59</v>
      </c>
      <c r="J540" s="3" t="s">
        <v>61</v>
      </c>
      <c r="L540" s="2" t="s">
        <v>6867</v>
      </c>
      <c r="M540" s="3" t="s">
        <v>148</v>
      </c>
      <c r="O540" s="3" t="s">
        <v>65</v>
      </c>
      <c r="P540" s="3" t="s">
        <v>699</v>
      </c>
      <c r="R540" s="3" t="s">
        <v>68</v>
      </c>
      <c r="S540" s="4">
        <v>6</v>
      </c>
      <c r="T540" s="4">
        <v>6</v>
      </c>
      <c r="U540" s="5" t="s">
        <v>6868</v>
      </c>
      <c r="V540" s="5" t="s">
        <v>6868</v>
      </c>
      <c r="W540" s="5" t="s">
        <v>5375</v>
      </c>
      <c r="X540" s="5" t="s">
        <v>6869</v>
      </c>
      <c r="Y540" s="4">
        <v>736</v>
      </c>
      <c r="Z540" s="4">
        <v>562</v>
      </c>
      <c r="AA540" s="4">
        <v>562</v>
      </c>
      <c r="AB540" s="4">
        <v>4</v>
      </c>
      <c r="AC540" s="4">
        <v>4</v>
      </c>
      <c r="AD540" s="4">
        <v>28</v>
      </c>
      <c r="AE540" s="4">
        <v>28</v>
      </c>
      <c r="AF540" s="4">
        <v>13</v>
      </c>
      <c r="AG540" s="4">
        <v>13</v>
      </c>
      <c r="AH540" s="4">
        <v>8</v>
      </c>
      <c r="AI540" s="4">
        <v>8</v>
      </c>
      <c r="AJ540" s="4">
        <v>14</v>
      </c>
      <c r="AK540" s="4">
        <v>14</v>
      </c>
      <c r="AL540" s="4">
        <v>2</v>
      </c>
      <c r="AM540" s="4">
        <v>2</v>
      </c>
      <c r="AN540" s="4">
        <v>0</v>
      </c>
      <c r="AO540" s="4">
        <v>0</v>
      </c>
      <c r="AP540" s="3" t="s">
        <v>59</v>
      </c>
      <c r="AQ540" s="3" t="s">
        <v>59</v>
      </c>
      <c r="AS540" s="6" t="str">
        <f>HYPERLINK("https://creighton-primo.hosted.exlibrisgroup.com/primo-explore/search?tab=default_tab&amp;search_scope=EVERYTHING&amp;vid=01CRU&amp;lang=en_US&amp;offset=0&amp;query=any,contains,991001653719702656","Catalog Record")</f>
        <v>Catalog Record</v>
      </c>
      <c r="AT540" s="6" t="str">
        <f>HYPERLINK("http://www.worldcat.org/oclc/2310630","WorldCat Record")</f>
        <v>WorldCat Record</v>
      </c>
      <c r="AU540" s="3" t="s">
        <v>6870</v>
      </c>
      <c r="AV540" s="3" t="s">
        <v>6871</v>
      </c>
      <c r="AW540" s="3" t="s">
        <v>6872</v>
      </c>
      <c r="AX540" s="3" t="s">
        <v>6872</v>
      </c>
      <c r="AY540" s="3" t="s">
        <v>6873</v>
      </c>
      <c r="AZ540" s="3" t="s">
        <v>76</v>
      </c>
      <c r="BB540" s="3" t="s">
        <v>6874</v>
      </c>
      <c r="BC540" s="3" t="s">
        <v>6875</v>
      </c>
      <c r="BD540" s="3" t="s">
        <v>6876</v>
      </c>
    </row>
    <row r="541" spans="1:56" ht="52.5" customHeight="1" x14ac:dyDescent="0.25">
      <c r="A541" s="7" t="s">
        <v>59</v>
      </c>
      <c r="B541" s="2" t="s">
        <v>6877</v>
      </c>
      <c r="C541" s="2" t="s">
        <v>6878</v>
      </c>
      <c r="D541" s="2" t="s">
        <v>6879</v>
      </c>
      <c r="F541" s="3" t="s">
        <v>59</v>
      </c>
      <c r="G541" s="3" t="s">
        <v>60</v>
      </c>
      <c r="H541" s="3" t="s">
        <v>59</v>
      </c>
      <c r="I541" s="3" t="s">
        <v>59</v>
      </c>
      <c r="J541" s="3" t="s">
        <v>61</v>
      </c>
      <c r="K541" s="2" t="s">
        <v>6880</v>
      </c>
      <c r="L541" s="2" t="s">
        <v>6881</v>
      </c>
      <c r="M541" s="3" t="s">
        <v>254</v>
      </c>
      <c r="O541" s="3" t="s">
        <v>65</v>
      </c>
      <c r="P541" s="3" t="s">
        <v>771</v>
      </c>
      <c r="Q541" s="2" t="s">
        <v>6819</v>
      </c>
      <c r="R541" s="3" t="s">
        <v>68</v>
      </c>
      <c r="S541" s="4">
        <v>2</v>
      </c>
      <c r="T541" s="4">
        <v>2</v>
      </c>
      <c r="U541" s="5" t="s">
        <v>6882</v>
      </c>
      <c r="V541" s="5" t="s">
        <v>6882</v>
      </c>
      <c r="W541" s="5" t="s">
        <v>6154</v>
      </c>
      <c r="X541" s="5" t="s">
        <v>6154</v>
      </c>
      <c r="Y541" s="4">
        <v>203</v>
      </c>
      <c r="Z541" s="4">
        <v>174</v>
      </c>
      <c r="AA541" s="4">
        <v>476</v>
      </c>
      <c r="AB541" s="4">
        <v>2</v>
      </c>
      <c r="AC541" s="4">
        <v>3</v>
      </c>
      <c r="AD541" s="4">
        <v>8</v>
      </c>
      <c r="AE541" s="4">
        <v>19</v>
      </c>
      <c r="AF541" s="4">
        <v>4</v>
      </c>
      <c r="AG541" s="4">
        <v>7</v>
      </c>
      <c r="AH541" s="4">
        <v>3</v>
      </c>
      <c r="AI541" s="4">
        <v>5</v>
      </c>
      <c r="AJ541" s="4">
        <v>2</v>
      </c>
      <c r="AK541" s="4">
        <v>8</v>
      </c>
      <c r="AL541" s="4">
        <v>1</v>
      </c>
      <c r="AM541" s="4">
        <v>2</v>
      </c>
      <c r="AN541" s="4">
        <v>0</v>
      </c>
      <c r="AO541" s="4">
        <v>0</v>
      </c>
      <c r="AP541" s="3" t="s">
        <v>59</v>
      </c>
      <c r="AQ541" s="3" t="s">
        <v>59</v>
      </c>
      <c r="AS541" s="6" t="str">
        <f>HYPERLINK("https://creighton-primo.hosted.exlibrisgroup.com/primo-explore/search?tab=default_tab&amp;search_scope=EVERYTHING&amp;vid=01CRU&amp;lang=en_US&amp;offset=0&amp;query=any,contains,991000730559702656","Catalog Record")</f>
        <v>Catalog Record</v>
      </c>
      <c r="AT541" s="6" t="str">
        <f>HYPERLINK("http://www.worldcat.org/oclc/128424","WorldCat Record")</f>
        <v>WorldCat Record</v>
      </c>
      <c r="AU541" s="3" t="s">
        <v>6883</v>
      </c>
      <c r="AV541" s="3" t="s">
        <v>6884</v>
      </c>
      <c r="AW541" s="3" t="s">
        <v>6885</v>
      </c>
      <c r="AX541" s="3" t="s">
        <v>6885</v>
      </c>
      <c r="AY541" s="3" t="s">
        <v>6886</v>
      </c>
      <c r="AZ541" s="3" t="s">
        <v>76</v>
      </c>
      <c r="BB541" s="3" t="s">
        <v>6887</v>
      </c>
      <c r="BC541" s="3" t="s">
        <v>6888</v>
      </c>
      <c r="BD541" s="3" t="s">
        <v>6889</v>
      </c>
    </row>
    <row r="542" spans="1:56" ht="52.5" customHeight="1" x14ac:dyDescent="0.25">
      <c r="A542" s="7" t="s">
        <v>59</v>
      </c>
      <c r="B542" s="2" t="s">
        <v>6890</v>
      </c>
      <c r="C542" s="2" t="s">
        <v>6891</v>
      </c>
      <c r="D542" s="2" t="s">
        <v>6892</v>
      </c>
      <c r="F542" s="3" t="s">
        <v>59</v>
      </c>
      <c r="G542" s="3" t="s">
        <v>60</v>
      </c>
      <c r="H542" s="3" t="s">
        <v>59</v>
      </c>
      <c r="I542" s="3" t="s">
        <v>59</v>
      </c>
      <c r="J542" s="3" t="s">
        <v>61</v>
      </c>
      <c r="K542" s="2" t="s">
        <v>6893</v>
      </c>
      <c r="L542" s="2" t="s">
        <v>6894</v>
      </c>
      <c r="M542" s="3" t="s">
        <v>254</v>
      </c>
      <c r="O542" s="3" t="s">
        <v>65</v>
      </c>
      <c r="P542" s="3" t="s">
        <v>420</v>
      </c>
      <c r="Q542" s="2" t="s">
        <v>4107</v>
      </c>
      <c r="R542" s="3" t="s">
        <v>68</v>
      </c>
      <c r="S542" s="4">
        <v>1</v>
      </c>
      <c r="T542" s="4">
        <v>1</v>
      </c>
      <c r="U542" s="5" t="s">
        <v>6895</v>
      </c>
      <c r="V542" s="5" t="s">
        <v>6895</v>
      </c>
      <c r="W542" s="5" t="s">
        <v>5991</v>
      </c>
      <c r="X542" s="5" t="s">
        <v>5991</v>
      </c>
      <c r="Y542" s="4">
        <v>1206</v>
      </c>
      <c r="Z542" s="4">
        <v>987</v>
      </c>
      <c r="AA542" s="4">
        <v>1448</v>
      </c>
      <c r="AB542" s="4">
        <v>8</v>
      </c>
      <c r="AC542" s="4">
        <v>11</v>
      </c>
      <c r="AD542" s="4">
        <v>41</v>
      </c>
      <c r="AE542" s="4">
        <v>52</v>
      </c>
      <c r="AF542" s="4">
        <v>17</v>
      </c>
      <c r="AG542" s="4">
        <v>22</v>
      </c>
      <c r="AH542" s="4">
        <v>8</v>
      </c>
      <c r="AI542" s="4">
        <v>11</v>
      </c>
      <c r="AJ542" s="4">
        <v>18</v>
      </c>
      <c r="AK542" s="4">
        <v>23</v>
      </c>
      <c r="AL542" s="4">
        <v>5</v>
      </c>
      <c r="AM542" s="4">
        <v>8</v>
      </c>
      <c r="AN542" s="4">
        <v>0</v>
      </c>
      <c r="AO542" s="4">
        <v>0</v>
      </c>
      <c r="AP542" s="3" t="s">
        <v>59</v>
      </c>
      <c r="AQ542" s="3" t="s">
        <v>71</v>
      </c>
      <c r="AR542" s="6" t="str">
        <f>HYPERLINK("http://catalog.hathitrust.org/Record/000382428","HathiTrust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HYPERLINK("https://creighton-primo.hosted.exlibrisgroup.com/primo-explore/search?tab=default_tab&amp;search_scope=EVERYTHING&amp;vid=01CRU&amp;lang=en_US&amp;offset=0&amp;query=any,contains,991000050619702656","Catalog Record")</f>
        <v>Catalog Record</v>
      </c>
      <c r="AT542" s="6" t="str">
        <f>HYPERLINK("http://www.worldcat.org/oclc/22788","WorldCat Record")</f>
        <v>WorldCat Record</v>
      </c>
      <c r="AU542" s="3" t="s">
        <v>6896</v>
      </c>
      <c r="AV542" s="3" t="s">
        <v>6897</v>
      </c>
      <c r="AW542" s="3" t="s">
        <v>6898</v>
      </c>
      <c r="AX542" s="3" t="s">
        <v>6898</v>
      </c>
      <c r="AY542" s="3" t="s">
        <v>6899</v>
      </c>
      <c r="AZ542" s="3" t="s">
        <v>76</v>
      </c>
      <c r="BC542" s="3" t="s">
        <v>6900</v>
      </c>
      <c r="BD542" s="3" t="s">
        <v>6901</v>
      </c>
    </row>
    <row r="543" spans="1:56" ht="52.5" customHeight="1" x14ac:dyDescent="0.25">
      <c r="A543" s="7" t="s">
        <v>59</v>
      </c>
      <c r="B543" s="2" t="s">
        <v>6902</v>
      </c>
      <c r="C543" s="2" t="s">
        <v>6903</v>
      </c>
      <c r="D543" s="2" t="s">
        <v>6904</v>
      </c>
      <c r="F543" s="3" t="s">
        <v>59</v>
      </c>
      <c r="G543" s="3" t="s">
        <v>60</v>
      </c>
      <c r="H543" s="3" t="s">
        <v>59</v>
      </c>
      <c r="I543" s="3" t="s">
        <v>59</v>
      </c>
      <c r="J543" s="3" t="s">
        <v>61</v>
      </c>
      <c r="K543" s="2" t="s">
        <v>6905</v>
      </c>
      <c r="L543" s="2" t="s">
        <v>6906</v>
      </c>
      <c r="M543" s="3" t="s">
        <v>434</v>
      </c>
      <c r="O543" s="3" t="s">
        <v>65</v>
      </c>
      <c r="P543" s="3" t="s">
        <v>283</v>
      </c>
      <c r="Q543" s="2" t="s">
        <v>6907</v>
      </c>
      <c r="R543" s="3" t="s">
        <v>68</v>
      </c>
      <c r="S543" s="4">
        <v>1</v>
      </c>
      <c r="T543" s="4">
        <v>1</v>
      </c>
      <c r="U543" s="5" t="s">
        <v>6908</v>
      </c>
      <c r="V543" s="5" t="s">
        <v>6908</v>
      </c>
      <c r="W543" s="5" t="s">
        <v>6154</v>
      </c>
      <c r="X543" s="5" t="s">
        <v>6154</v>
      </c>
      <c r="Y543" s="4">
        <v>653</v>
      </c>
      <c r="Z543" s="4">
        <v>563</v>
      </c>
      <c r="AA543" s="4">
        <v>605</v>
      </c>
      <c r="AB543" s="4">
        <v>6</v>
      </c>
      <c r="AC543" s="4">
        <v>6</v>
      </c>
      <c r="AD543" s="4">
        <v>28</v>
      </c>
      <c r="AE543" s="4">
        <v>32</v>
      </c>
      <c r="AF543" s="4">
        <v>12</v>
      </c>
      <c r="AG543" s="4">
        <v>13</v>
      </c>
      <c r="AH543" s="4">
        <v>6</v>
      </c>
      <c r="AI543" s="4">
        <v>6</v>
      </c>
      <c r="AJ543" s="4">
        <v>13</v>
      </c>
      <c r="AK543" s="4">
        <v>16</v>
      </c>
      <c r="AL543" s="4">
        <v>5</v>
      </c>
      <c r="AM543" s="4">
        <v>5</v>
      </c>
      <c r="AN543" s="4">
        <v>0</v>
      </c>
      <c r="AO543" s="4">
        <v>0</v>
      </c>
      <c r="AP543" s="3" t="s">
        <v>59</v>
      </c>
      <c r="AQ543" s="3" t="s">
        <v>59</v>
      </c>
      <c r="AR543" s="6" t="str">
        <f>HYPERLINK("http://catalog.hathitrust.org/Record/000357997","HathiTrust Record")</f>
        <v>HathiTrust Record</v>
      </c>
      <c r="AS543" s="6" t="str">
        <f>HYPERLINK("https://creighton-primo.hosted.exlibrisgroup.com/primo-explore/search?tab=default_tab&amp;search_scope=EVERYTHING&amp;vid=01CRU&amp;lang=en_US&amp;offset=0&amp;query=any,contains,991001370969702656","Catalog Record")</f>
        <v>Catalog Record</v>
      </c>
      <c r="AT543" s="6" t="str">
        <f>HYPERLINK("http://www.worldcat.org/oclc/14621672","WorldCat Record")</f>
        <v>WorldCat Record</v>
      </c>
      <c r="AU543" s="3" t="s">
        <v>6909</v>
      </c>
      <c r="AV543" s="3" t="s">
        <v>6910</v>
      </c>
      <c r="AW543" s="3" t="s">
        <v>6911</v>
      </c>
      <c r="AX543" s="3" t="s">
        <v>6911</v>
      </c>
      <c r="AY543" s="3" t="s">
        <v>6912</v>
      </c>
      <c r="AZ543" s="3" t="s">
        <v>76</v>
      </c>
      <c r="BC543" s="3" t="s">
        <v>6913</v>
      </c>
      <c r="BD543" s="3" t="s">
        <v>6914</v>
      </c>
    </row>
    <row r="544" spans="1:56" ht="52.5" customHeight="1" x14ac:dyDescent="0.25">
      <c r="A544" s="7" t="s">
        <v>59</v>
      </c>
      <c r="B544" s="2" t="s">
        <v>6915</v>
      </c>
      <c r="C544" s="2" t="s">
        <v>6916</v>
      </c>
      <c r="D544" s="2" t="s">
        <v>6917</v>
      </c>
      <c r="F544" s="3" t="s">
        <v>59</v>
      </c>
      <c r="G544" s="3" t="s">
        <v>60</v>
      </c>
      <c r="H544" s="3" t="s">
        <v>59</v>
      </c>
      <c r="I544" s="3" t="s">
        <v>71</v>
      </c>
      <c r="J544" s="3" t="s">
        <v>61</v>
      </c>
      <c r="K544" s="2" t="s">
        <v>6918</v>
      </c>
      <c r="L544" s="2" t="s">
        <v>6919</v>
      </c>
      <c r="M544" s="3" t="s">
        <v>3456</v>
      </c>
      <c r="O544" s="3" t="s">
        <v>65</v>
      </c>
      <c r="P544" s="3" t="s">
        <v>66</v>
      </c>
      <c r="R544" s="3" t="s">
        <v>68</v>
      </c>
      <c r="S544" s="4">
        <v>1</v>
      </c>
      <c r="T544" s="4">
        <v>1</v>
      </c>
      <c r="U544" s="5" t="s">
        <v>730</v>
      </c>
      <c r="V544" s="5" t="s">
        <v>730</v>
      </c>
      <c r="W544" s="5" t="s">
        <v>6154</v>
      </c>
      <c r="X544" s="5" t="s">
        <v>6154</v>
      </c>
      <c r="Y544" s="4">
        <v>244</v>
      </c>
      <c r="Z544" s="4">
        <v>217</v>
      </c>
      <c r="AA544" s="4">
        <v>422</v>
      </c>
      <c r="AB544" s="4">
        <v>3</v>
      </c>
      <c r="AC544" s="4">
        <v>3</v>
      </c>
      <c r="AD544" s="4">
        <v>7</v>
      </c>
      <c r="AE544" s="4">
        <v>19</v>
      </c>
      <c r="AF544" s="4">
        <v>2</v>
      </c>
      <c r="AG544" s="4">
        <v>8</v>
      </c>
      <c r="AH544" s="4">
        <v>1</v>
      </c>
      <c r="AI544" s="4">
        <v>5</v>
      </c>
      <c r="AJ544" s="4">
        <v>3</v>
      </c>
      <c r="AK544" s="4">
        <v>9</v>
      </c>
      <c r="AL544" s="4">
        <v>2</v>
      </c>
      <c r="AM544" s="4">
        <v>2</v>
      </c>
      <c r="AN544" s="4">
        <v>0</v>
      </c>
      <c r="AO544" s="4">
        <v>0</v>
      </c>
      <c r="AP544" s="3" t="s">
        <v>71</v>
      </c>
      <c r="AQ544" s="3" t="s">
        <v>59</v>
      </c>
      <c r="AR544" s="6" t="str">
        <f>HYPERLINK("http://catalog.hathitrust.org/Record/006495743","HathiTrust Record")</f>
        <v>HathiTrust Record</v>
      </c>
      <c r="AS544" s="6" t="str">
        <f>HYPERLINK("https://creighton-primo.hosted.exlibrisgroup.com/primo-explore/search?tab=default_tab&amp;search_scope=EVERYTHING&amp;vid=01CRU&amp;lang=en_US&amp;offset=0&amp;query=any,contains,991001216359702656","Catalog Record")</f>
        <v>Catalog Record</v>
      </c>
      <c r="AT544" s="6" t="str">
        <f>HYPERLINK("http://www.worldcat.org/oclc/194220","WorldCat Record")</f>
        <v>WorldCat Record</v>
      </c>
      <c r="AU544" s="3" t="s">
        <v>6920</v>
      </c>
      <c r="AV544" s="3" t="s">
        <v>6921</v>
      </c>
      <c r="AW544" s="3" t="s">
        <v>6922</v>
      </c>
      <c r="AX544" s="3" t="s">
        <v>6922</v>
      </c>
      <c r="AY544" s="3" t="s">
        <v>6923</v>
      </c>
      <c r="AZ544" s="3" t="s">
        <v>76</v>
      </c>
      <c r="BC544" s="3" t="s">
        <v>6924</v>
      </c>
      <c r="BD544" s="3" t="s">
        <v>6925</v>
      </c>
    </row>
    <row r="545" spans="1:56" ht="52.5" customHeight="1" x14ac:dyDescent="0.25">
      <c r="A545" s="7" t="s">
        <v>59</v>
      </c>
      <c r="B545" s="2" t="s">
        <v>6926</v>
      </c>
      <c r="C545" s="2" t="s">
        <v>6927</v>
      </c>
      <c r="D545" s="2" t="s">
        <v>6928</v>
      </c>
      <c r="F545" s="3" t="s">
        <v>59</v>
      </c>
      <c r="G545" s="3" t="s">
        <v>60</v>
      </c>
      <c r="H545" s="3" t="s">
        <v>59</v>
      </c>
      <c r="I545" s="3" t="s">
        <v>71</v>
      </c>
      <c r="J545" s="3" t="s">
        <v>61</v>
      </c>
      <c r="K545" s="2" t="s">
        <v>6918</v>
      </c>
      <c r="L545" s="2" t="s">
        <v>6929</v>
      </c>
      <c r="M545" s="3" t="s">
        <v>2467</v>
      </c>
      <c r="N545" s="2" t="s">
        <v>6930</v>
      </c>
      <c r="O545" s="3" t="s">
        <v>65</v>
      </c>
      <c r="P545" s="3" t="s">
        <v>491</v>
      </c>
      <c r="R545" s="3" t="s">
        <v>68</v>
      </c>
      <c r="S545" s="4">
        <v>2</v>
      </c>
      <c r="T545" s="4">
        <v>2</v>
      </c>
      <c r="U545" s="5" t="s">
        <v>6882</v>
      </c>
      <c r="V545" s="5" t="s">
        <v>6882</v>
      </c>
      <c r="W545" s="5" t="s">
        <v>6154</v>
      </c>
      <c r="X545" s="5" t="s">
        <v>6154</v>
      </c>
      <c r="Y545" s="4">
        <v>266</v>
      </c>
      <c r="Z545" s="4">
        <v>244</v>
      </c>
      <c r="AA545" s="4">
        <v>422</v>
      </c>
      <c r="AB545" s="4">
        <v>2</v>
      </c>
      <c r="AC545" s="4">
        <v>3</v>
      </c>
      <c r="AD545" s="4">
        <v>13</v>
      </c>
      <c r="AE545" s="4">
        <v>19</v>
      </c>
      <c r="AF545" s="4">
        <v>6</v>
      </c>
      <c r="AG545" s="4">
        <v>8</v>
      </c>
      <c r="AH545" s="4">
        <v>2</v>
      </c>
      <c r="AI545" s="4">
        <v>5</v>
      </c>
      <c r="AJ545" s="4">
        <v>6</v>
      </c>
      <c r="AK545" s="4">
        <v>9</v>
      </c>
      <c r="AL545" s="4">
        <v>1</v>
      </c>
      <c r="AM545" s="4">
        <v>2</v>
      </c>
      <c r="AN545" s="4">
        <v>0</v>
      </c>
      <c r="AO545" s="4">
        <v>0</v>
      </c>
      <c r="AP545" s="3" t="s">
        <v>59</v>
      </c>
      <c r="AQ545" s="3" t="s">
        <v>71</v>
      </c>
      <c r="AR545" s="6" t="str">
        <f>HYPERLINK("http://catalog.hathitrust.org/Record/001280926","HathiTrust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HYPERLINK("https://creighton-primo.hosted.exlibrisgroup.com/primo-explore/search?tab=default_tab&amp;search_scope=EVERYTHING&amp;vid=01CRU&amp;lang=en_US&amp;offset=0&amp;query=any,contains,991000958229702656","Catalog Record")</f>
        <v>Catalog Record</v>
      </c>
      <c r="AT545" s="6" t="str">
        <f>HYPERLINK("http://www.worldcat.org/oclc/14737637","WorldCat Record")</f>
        <v>WorldCat Record</v>
      </c>
      <c r="AU545" s="3" t="s">
        <v>6920</v>
      </c>
      <c r="AV545" s="3" t="s">
        <v>6931</v>
      </c>
      <c r="AW545" s="3" t="s">
        <v>6932</v>
      </c>
      <c r="AX545" s="3" t="s">
        <v>6932</v>
      </c>
      <c r="AY545" s="3" t="s">
        <v>6933</v>
      </c>
      <c r="AZ545" s="3" t="s">
        <v>76</v>
      </c>
      <c r="BC545" s="3" t="s">
        <v>6934</v>
      </c>
      <c r="BD545" s="3" t="s">
        <v>6935</v>
      </c>
    </row>
    <row r="546" spans="1:56" ht="52.5" customHeight="1" x14ac:dyDescent="0.25">
      <c r="A546" s="7" t="s">
        <v>59</v>
      </c>
      <c r="B546" s="2" t="s">
        <v>6936</v>
      </c>
      <c r="C546" s="2" t="s">
        <v>6937</v>
      </c>
      <c r="D546" s="2" t="s">
        <v>6938</v>
      </c>
      <c r="F546" s="3" t="s">
        <v>59</v>
      </c>
      <c r="G546" s="3" t="s">
        <v>60</v>
      </c>
      <c r="H546" s="3" t="s">
        <v>59</v>
      </c>
      <c r="I546" s="3" t="s">
        <v>59</v>
      </c>
      <c r="J546" s="3" t="s">
        <v>61</v>
      </c>
      <c r="L546" s="2" t="s">
        <v>6939</v>
      </c>
      <c r="M546" s="3" t="s">
        <v>549</v>
      </c>
      <c r="O546" s="3" t="s">
        <v>65</v>
      </c>
      <c r="P546" s="3" t="s">
        <v>1262</v>
      </c>
      <c r="R546" s="3" t="s">
        <v>68</v>
      </c>
      <c r="S546" s="4">
        <v>7</v>
      </c>
      <c r="T546" s="4">
        <v>7</v>
      </c>
      <c r="U546" s="5" t="s">
        <v>6940</v>
      </c>
      <c r="V546" s="5" t="s">
        <v>6940</v>
      </c>
      <c r="W546" s="5" t="s">
        <v>6856</v>
      </c>
      <c r="X546" s="5" t="s">
        <v>6856</v>
      </c>
      <c r="Y546" s="4">
        <v>885</v>
      </c>
      <c r="Z546" s="4">
        <v>682</v>
      </c>
      <c r="AA546" s="4">
        <v>688</v>
      </c>
      <c r="AB546" s="4">
        <v>6</v>
      </c>
      <c r="AC546" s="4">
        <v>6</v>
      </c>
      <c r="AD546" s="4">
        <v>35</v>
      </c>
      <c r="AE546" s="4">
        <v>35</v>
      </c>
      <c r="AF546" s="4">
        <v>15</v>
      </c>
      <c r="AG546" s="4">
        <v>15</v>
      </c>
      <c r="AH546" s="4">
        <v>6</v>
      </c>
      <c r="AI546" s="4">
        <v>6</v>
      </c>
      <c r="AJ546" s="4">
        <v>18</v>
      </c>
      <c r="AK546" s="4">
        <v>18</v>
      </c>
      <c r="AL546" s="4">
        <v>5</v>
      </c>
      <c r="AM546" s="4">
        <v>5</v>
      </c>
      <c r="AN546" s="4">
        <v>0</v>
      </c>
      <c r="AO546" s="4">
        <v>0</v>
      </c>
      <c r="AP546" s="3" t="s">
        <v>59</v>
      </c>
      <c r="AQ546" s="3" t="s">
        <v>59</v>
      </c>
      <c r="AS546" s="6" t="str">
        <f>HYPERLINK("https://creighton-primo.hosted.exlibrisgroup.com/primo-explore/search?tab=default_tab&amp;search_scope=EVERYTHING&amp;vid=01CRU&amp;lang=en_US&amp;offset=0&amp;query=any,contains,991000762539702656","Catalog Record")</f>
        <v>Catalog Record</v>
      </c>
      <c r="AT546" s="6" t="str">
        <f>HYPERLINK("http://www.worldcat.org/oclc/12974798","WorldCat Record")</f>
        <v>WorldCat Record</v>
      </c>
      <c r="AU546" s="3" t="s">
        <v>6941</v>
      </c>
      <c r="AV546" s="3" t="s">
        <v>6942</v>
      </c>
      <c r="AW546" s="3" t="s">
        <v>6943</v>
      </c>
      <c r="AX546" s="3" t="s">
        <v>6943</v>
      </c>
      <c r="AY546" s="3" t="s">
        <v>6944</v>
      </c>
      <c r="AZ546" s="3" t="s">
        <v>76</v>
      </c>
      <c r="BB546" s="3" t="s">
        <v>6945</v>
      </c>
      <c r="BC546" s="3" t="s">
        <v>6946</v>
      </c>
      <c r="BD546" s="3" t="s">
        <v>6947</v>
      </c>
    </row>
    <row r="547" spans="1:56" ht="52.5" customHeight="1" x14ac:dyDescent="0.25">
      <c r="A547" s="7" t="s">
        <v>59</v>
      </c>
      <c r="B547" s="2" t="s">
        <v>6948</v>
      </c>
      <c r="C547" s="2" t="s">
        <v>6949</v>
      </c>
      <c r="D547" s="2" t="s">
        <v>6950</v>
      </c>
      <c r="F547" s="3" t="s">
        <v>59</v>
      </c>
      <c r="G547" s="3" t="s">
        <v>60</v>
      </c>
      <c r="H547" s="3" t="s">
        <v>59</v>
      </c>
      <c r="I547" s="3" t="s">
        <v>59</v>
      </c>
      <c r="J547" s="3" t="s">
        <v>61</v>
      </c>
      <c r="K547" s="2" t="s">
        <v>6951</v>
      </c>
      <c r="L547" s="2" t="s">
        <v>6952</v>
      </c>
      <c r="M547" s="3" t="s">
        <v>115</v>
      </c>
      <c r="O547" s="3" t="s">
        <v>65</v>
      </c>
      <c r="P547" s="3" t="s">
        <v>323</v>
      </c>
      <c r="Q547" s="2" t="s">
        <v>6953</v>
      </c>
      <c r="R547" s="3" t="s">
        <v>68</v>
      </c>
      <c r="S547" s="4">
        <v>4</v>
      </c>
      <c r="T547" s="4">
        <v>4</v>
      </c>
      <c r="U547" s="5" t="s">
        <v>2990</v>
      </c>
      <c r="V547" s="5" t="s">
        <v>2990</v>
      </c>
      <c r="W547" s="5" t="s">
        <v>6954</v>
      </c>
      <c r="X547" s="5" t="s">
        <v>6954</v>
      </c>
      <c r="Y547" s="4">
        <v>292</v>
      </c>
      <c r="Z547" s="4">
        <v>252</v>
      </c>
      <c r="AA547" s="4">
        <v>255</v>
      </c>
      <c r="AB547" s="4">
        <v>3</v>
      </c>
      <c r="AC547" s="4">
        <v>3</v>
      </c>
      <c r="AD547" s="4">
        <v>13</v>
      </c>
      <c r="AE547" s="4">
        <v>13</v>
      </c>
      <c r="AF547" s="4">
        <v>7</v>
      </c>
      <c r="AG547" s="4">
        <v>7</v>
      </c>
      <c r="AH547" s="4">
        <v>1</v>
      </c>
      <c r="AI547" s="4">
        <v>1</v>
      </c>
      <c r="AJ547" s="4">
        <v>5</v>
      </c>
      <c r="AK547" s="4">
        <v>5</v>
      </c>
      <c r="AL547" s="4">
        <v>2</v>
      </c>
      <c r="AM547" s="4">
        <v>2</v>
      </c>
      <c r="AN547" s="4">
        <v>0</v>
      </c>
      <c r="AO547" s="4">
        <v>0</v>
      </c>
      <c r="AP547" s="3" t="s">
        <v>59</v>
      </c>
      <c r="AQ547" s="3" t="s">
        <v>71</v>
      </c>
      <c r="AR547" s="6" t="str">
        <f>HYPERLINK("http://catalog.hathitrust.org/Record/009062900","HathiTrust Record")</f>
        <v>HathiTrust Record</v>
      </c>
      <c r="AS547" s="6" t="str">
        <f>HYPERLINK("https://creighton-primo.hosted.exlibrisgroup.com/primo-explore/search?tab=default_tab&amp;search_scope=EVERYTHING&amp;vid=01CRU&amp;lang=en_US&amp;offset=0&amp;query=any,contains,991002144649702656","Catalog Record")</f>
        <v>Catalog Record</v>
      </c>
      <c r="AT547" s="6" t="str">
        <f>HYPERLINK("http://www.worldcat.org/oclc/271296","WorldCat Record")</f>
        <v>WorldCat Record</v>
      </c>
      <c r="AU547" s="3" t="s">
        <v>6955</v>
      </c>
      <c r="AV547" s="3" t="s">
        <v>6956</v>
      </c>
      <c r="AW547" s="3" t="s">
        <v>6957</v>
      </c>
      <c r="AX547" s="3" t="s">
        <v>6957</v>
      </c>
      <c r="AY547" s="3" t="s">
        <v>6958</v>
      </c>
      <c r="AZ547" s="3" t="s">
        <v>76</v>
      </c>
      <c r="BB547" s="3" t="s">
        <v>6959</v>
      </c>
      <c r="BC547" s="3" t="s">
        <v>6960</v>
      </c>
      <c r="BD547" s="3" t="s">
        <v>6961</v>
      </c>
    </row>
    <row r="548" spans="1:56" ht="52.5" customHeight="1" x14ac:dyDescent="0.25">
      <c r="A548" s="7" t="s">
        <v>59</v>
      </c>
      <c r="B548" s="2" t="s">
        <v>6962</v>
      </c>
      <c r="C548" s="2" t="s">
        <v>6963</v>
      </c>
      <c r="D548" s="2" t="s">
        <v>6964</v>
      </c>
      <c r="F548" s="3" t="s">
        <v>59</v>
      </c>
      <c r="G548" s="3" t="s">
        <v>60</v>
      </c>
      <c r="H548" s="3" t="s">
        <v>59</v>
      </c>
      <c r="I548" s="3" t="s">
        <v>59</v>
      </c>
      <c r="J548" s="3" t="s">
        <v>61</v>
      </c>
      <c r="K548" s="2" t="s">
        <v>6965</v>
      </c>
      <c r="L548" s="2" t="s">
        <v>6966</v>
      </c>
      <c r="M548" s="3" t="s">
        <v>131</v>
      </c>
      <c r="O548" s="3" t="s">
        <v>65</v>
      </c>
      <c r="P548" s="3" t="s">
        <v>296</v>
      </c>
      <c r="R548" s="3" t="s">
        <v>68</v>
      </c>
      <c r="S548" s="4">
        <v>3</v>
      </c>
      <c r="T548" s="4">
        <v>3</v>
      </c>
      <c r="U548" s="5" t="s">
        <v>6967</v>
      </c>
      <c r="V548" s="5" t="s">
        <v>6967</v>
      </c>
      <c r="W548" s="5" t="s">
        <v>6968</v>
      </c>
      <c r="X548" s="5" t="s">
        <v>6968</v>
      </c>
      <c r="Y548" s="4">
        <v>413</v>
      </c>
      <c r="Z548" s="4">
        <v>273</v>
      </c>
      <c r="AA548" s="4">
        <v>280</v>
      </c>
      <c r="AB548" s="4">
        <v>3</v>
      </c>
      <c r="AC548" s="4">
        <v>3</v>
      </c>
      <c r="AD548" s="4">
        <v>14</v>
      </c>
      <c r="AE548" s="4">
        <v>14</v>
      </c>
      <c r="AF548" s="4">
        <v>3</v>
      </c>
      <c r="AG548" s="4">
        <v>3</v>
      </c>
      <c r="AH548" s="4">
        <v>4</v>
      </c>
      <c r="AI548" s="4">
        <v>4</v>
      </c>
      <c r="AJ548" s="4">
        <v>7</v>
      </c>
      <c r="AK548" s="4">
        <v>7</v>
      </c>
      <c r="AL548" s="4">
        <v>2</v>
      </c>
      <c r="AM548" s="4">
        <v>2</v>
      </c>
      <c r="AN548" s="4">
        <v>0</v>
      </c>
      <c r="AO548" s="4">
        <v>0</v>
      </c>
      <c r="AP548" s="3" t="s">
        <v>59</v>
      </c>
      <c r="AQ548" s="3" t="s">
        <v>71</v>
      </c>
      <c r="AR548" s="6" t="str">
        <f>HYPERLINK("http://catalog.hathitrust.org/Record/000358265","HathiTrust Record")</f>
        <v>HathiTrust Record</v>
      </c>
      <c r="AS548" s="6" t="str">
        <f>HYPERLINK("https://creighton-primo.hosted.exlibrisgroup.com/primo-explore/search?tab=default_tab&amp;search_scope=EVERYTHING&amp;vid=01CRU&amp;lang=en_US&amp;offset=0&amp;query=any,contains,991003497229702656","Catalog Record")</f>
        <v>Catalog Record</v>
      </c>
      <c r="AT548" s="6" t="str">
        <f>HYPERLINK("http://www.worldcat.org/oclc/1047986","WorldCat Record")</f>
        <v>WorldCat Record</v>
      </c>
      <c r="AU548" s="3" t="s">
        <v>6969</v>
      </c>
      <c r="AV548" s="3" t="s">
        <v>6970</v>
      </c>
      <c r="AW548" s="3" t="s">
        <v>6971</v>
      </c>
      <c r="AX548" s="3" t="s">
        <v>6971</v>
      </c>
      <c r="AY548" s="3" t="s">
        <v>6972</v>
      </c>
      <c r="AZ548" s="3" t="s">
        <v>76</v>
      </c>
      <c r="BB548" s="3" t="s">
        <v>6973</v>
      </c>
      <c r="BC548" s="3" t="s">
        <v>6974</v>
      </c>
      <c r="BD548" s="3" t="s">
        <v>6975</v>
      </c>
    </row>
    <row r="549" spans="1:56" ht="52.5" customHeight="1" x14ac:dyDescent="0.25">
      <c r="A549" s="7" t="s">
        <v>59</v>
      </c>
      <c r="B549" s="2" t="s">
        <v>6976</v>
      </c>
      <c r="C549" s="2" t="s">
        <v>6977</v>
      </c>
      <c r="D549" s="2" t="s">
        <v>6978</v>
      </c>
      <c r="F549" s="3" t="s">
        <v>59</v>
      </c>
      <c r="G549" s="3" t="s">
        <v>60</v>
      </c>
      <c r="H549" s="3" t="s">
        <v>59</v>
      </c>
      <c r="I549" s="3" t="s">
        <v>59</v>
      </c>
      <c r="J549" s="3" t="s">
        <v>61</v>
      </c>
      <c r="K549" s="2" t="s">
        <v>6979</v>
      </c>
      <c r="L549" s="2" t="s">
        <v>6980</v>
      </c>
      <c r="M549" s="3" t="s">
        <v>131</v>
      </c>
      <c r="O549" s="3" t="s">
        <v>65</v>
      </c>
      <c r="P549" s="3" t="s">
        <v>66</v>
      </c>
      <c r="R549" s="3" t="s">
        <v>68</v>
      </c>
      <c r="S549" s="4">
        <v>5</v>
      </c>
      <c r="T549" s="4">
        <v>5</v>
      </c>
      <c r="U549" s="5" t="s">
        <v>6981</v>
      </c>
      <c r="V549" s="5" t="s">
        <v>6981</v>
      </c>
      <c r="W549" s="5" t="s">
        <v>6982</v>
      </c>
      <c r="X549" s="5" t="s">
        <v>6982</v>
      </c>
      <c r="Y549" s="4">
        <v>256</v>
      </c>
      <c r="Z549" s="4">
        <v>239</v>
      </c>
      <c r="AA549" s="4">
        <v>362</v>
      </c>
      <c r="AB549" s="4">
        <v>1</v>
      </c>
      <c r="AC549" s="4">
        <v>3</v>
      </c>
      <c r="AD549" s="4">
        <v>8</v>
      </c>
      <c r="AE549" s="4">
        <v>15</v>
      </c>
      <c r="AF549" s="4">
        <v>2</v>
      </c>
      <c r="AG549" s="4">
        <v>2</v>
      </c>
      <c r="AH549" s="4">
        <v>2</v>
      </c>
      <c r="AI549" s="4">
        <v>5</v>
      </c>
      <c r="AJ549" s="4">
        <v>5</v>
      </c>
      <c r="AK549" s="4">
        <v>9</v>
      </c>
      <c r="AL549" s="4">
        <v>0</v>
      </c>
      <c r="AM549" s="4">
        <v>2</v>
      </c>
      <c r="AN549" s="4">
        <v>0</v>
      </c>
      <c r="AO549" s="4">
        <v>0</v>
      </c>
      <c r="AP549" s="3" t="s">
        <v>59</v>
      </c>
      <c r="AQ549" s="3" t="s">
        <v>71</v>
      </c>
      <c r="AR549" s="6" t="str">
        <f>HYPERLINK("http://catalog.hathitrust.org/Record/007135174","HathiTrust Record")</f>
        <v>HathiTrust Record</v>
      </c>
      <c r="AS549" s="6" t="str">
        <f>HYPERLINK("https://creighton-primo.hosted.exlibrisgroup.com/primo-explore/search?tab=default_tab&amp;search_scope=EVERYTHING&amp;vid=01CRU&amp;lang=en_US&amp;offset=0&amp;query=any,contains,991003506189702656","Catalog Record")</f>
        <v>Catalog Record</v>
      </c>
      <c r="AT549" s="6" t="str">
        <f>HYPERLINK("http://www.worldcat.org/oclc/1057540","WorldCat Record")</f>
        <v>WorldCat Record</v>
      </c>
      <c r="AU549" s="3" t="s">
        <v>6983</v>
      </c>
      <c r="AV549" s="3" t="s">
        <v>6984</v>
      </c>
      <c r="AW549" s="3" t="s">
        <v>6985</v>
      </c>
      <c r="AX549" s="3" t="s">
        <v>6985</v>
      </c>
      <c r="AY549" s="3" t="s">
        <v>6986</v>
      </c>
      <c r="AZ549" s="3" t="s">
        <v>76</v>
      </c>
      <c r="BB549" s="3" t="s">
        <v>6987</v>
      </c>
      <c r="BC549" s="3" t="s">
        <v>6988</v>
      </c>
      <c r="BD549" s="3" t="s">
        <v>6989</v>
      </c>
    </row>
    <row r="550" spans="1:56" ht="52.5" customHeight="1" x14ac:dyDescent="0.25">
      <c r="A550" s="7" t="s">
        <v>59</v>
      </c>
      <c r="B550" s="2" t="s">
        <v>6990</v>
      </c>
      <c r="C550" s="2" t="s">
        <v>6991</v>
      </c>
      <c r="D550" s="2" t="s">
        <v>6992</v>
      </c>
      <c r="F550" s="3" t="s">
        <v>59</v>
      </c>
      <c r="G550" s="3" t="s">
        <v>60</v>
      </c>
      <c r="H550" s="3" t="s">
        <v>59</v>
      </c>
      <c r="I550" s="3" t="s">
        <v>59</v>
      </c>
      <c r="J550" s="3" t="s">
        <v>61</v>
      </c>
      <c r="K550" s="2" t="s">
        <v>6993</v>
      </c>
      <c r="L550" s="2" t="s">
        <v>6994</v>
      </c>
      <c r="M550" s="3" t="s">
        <v>6995</v>
      </c>
      <c r="O550" s="3" t="s">
        <v>65</v>
      </c>
      <c r="P550" s="3" t="s">
        <v>66</v>
      </c>
      <c r="R550" s="3" t="s">
        <v>68</v>
      </c>
      <c r="S550" s="4">
        <v>2</v>
      </c>
      <c r="T550" s="4">
        <v>2</v>
      </c>
      <c r="U550" s="5" t="s">
        <v>6996</v>
      </c>
      <c r="V550" s="5" t="s">
        <v>6996</v>
      </c>
      <c r="W550" s="5" t="s">
        <v>6997</v>
      </c>
      <c r="X550" s="5" t="s">
        <v>6997</v>
      </c>
      <c r="Y550" s="4">
        <v>517</v>
      </c>
      <c r="Z550" s="4">
        <v>457</v>
      </c>
      <c r="AA550" s="4">
        <v>508</v>
      </c>
      <c r="AB550" s="4">
        <v>4</v>
      </c>
      <c r="AC550" s="4">
        <v>4</v>
      </c>
      <c r="AD550" s="4">
        <v>20</v>
      </c>
      <c r="AE550" s="4">
        <v>21</v>
      </c>
      <c r="AF550" s="4">
        <v>7</v>
      </c>
      <c r="AG550" s="4">
        <v>8</v>
      </c>
      <c r="AH550" s="4">
        <v>4</v>
      </c>
      <c r="AI550" s="4">
        <v>4</v>
      </c>
      <c r="AJ550" s="4">
        <v>10</v>
      </c>
      <c r="AK550" s="4">
        <v>10</v>
      </c>
      <c r="AL550" s="4">
        <v>3</v>
      </c>
      <c r="AM550" s="4">
        <v>3</v>
      </c>
      <c r="AN550" s="4">
        <v>0</v>
      </c>
      <c r="AO550" s="4">
        <v>0</v>
      </c>
      <c r="AP550" s="3" t="s">
        <v>71</v>
      </c>
      <c r="AQ550" s="3" t="s">
        <v>59</v>
      </c>
      <c r="AR550" s="6" t="str">
        <f>HYPERLINK("http://catalog.hathitrust.org/Record/000384409","HathiTrust Record")</f>
        <v>HathiTrust Record</v>
      </c>
      <c r="AS550" s="6" t="str">
        <f>HYPERLINK("https://creighton-primo.hosted.exlibrisgroup.com/primo-explore/search?tab=default_tab&amp;search_scope=EVERYTHING&amp;vid=01CRU&amp;lang=en_US&amp;offset=0&amp;query=any,contains,991003487099702656","Catalog Record")</f>
        <v>Catalog Record</v>
      </c>
      <c r="AT550" s="6" t="str">
        <f>HYPERLINK("http://www.worldcat.org/oclc/1034648","WorldCat Record")</f>
        <v>WorldCat Record</v>
      </c>
      <c r="AU550" s="3" t="s">
        <v>6998</v>
      </c>
      <c r="AV550" s="3" t="s">
        <v>6999</v>
      </c>
      <c r="AW550" s="3" t="s">
        <v>7000</v>
      </c>
      <c r="AX550" s="3" t="s">
        <v>7000</v>
      </c>
      <c r="AY550" s="3" t="s">
        <v>7001</v>
      </c>
      <c r="AZ550" s="3" t="s">
        <v>76</v>
      </c>
      <c r="BC550" s="3" t="s">
        <v>7002</v>
      </c>
      <c r="BD550" s="3" t="s">
        <v>7003</v>
      </c>
    </row>
    <row r="551" spans="1:56" ht="52.5" customHeight="1" x14ac:dyDescent="0.25">
      <c r="A551" s="7" t="s">
        <v>59</v>
      </c>
      <c r="B551" s="2" t="s">
        <v>7004</v>
      </c>
      <c r="C551" s="2" t="s">
        <v>7005</v>
      </c>
      <c r="D551" s="2" t="s">
        <v>7006</v>
      </c>
      <c r="F551" s="3" t="s">
        <v>59</v>
      </c>
      <c r="G551" s="3" t="s">
        <v>60</v>
      </c>
      <c r="H551" s="3" t="s">
        <v>59</v>
      </c>
      <c r="I551" s="3" t="s">
        <v>59</v>
      </c>
      <c r="J551" s="3" t="s">
        <v>61</v>
      </c>
      <c r="K551" s="2" t="s">
        <v>7007</v>
      </c>
      <c r="L551" s="2" t="s">
        <v>7008</v>
      </c>
      <c r="M551" s="3" t="s">
        <v>164</v>
      </c>
      <c r="O551" s="3" t="s">
        <v>65</v>
      </c>
      <c r="P551" s="3" t="s">
        <v>699</v>
      </c>
      <c r="R551" s="3" t="s">
        <v>68</v>
      </c>
      <c r="S551" s="4">
        <v>12</v>
      </c>
      <c r="T551" s="4">
        <v>12</v>
      </c>
      <c r="U551" s="5" t="s">
        <v>7009</v>
      </c>
      <c r="V551" s="5" t="s">
        <v>7009</v>
      </c>
      <c r="W551" s="5" t="s">
        <v>5799</v>
      </c>
      <c r="X551" s="5" t="s">
        <v>5799</v>
      </c>
      <c r="Y551" s="4">
        <v>543</v>
      </c>
      <c r="Z551" s="4">
        <v>479</v>
      </c>
      <c r="AA551" s="4">
        <v>480</v>
      </c>
      <c r="AB551" s="4">
        <v>2</v>
      </c>
      <c r="AC551" s="4">
        <v>2</v>
      </c>
      <c r="AD551" s="4">
        <v>18</v>
      </c>
      <c r="AE551" s="4">
        <v>18</v>
      </c>
      <c r="AF551" s="4">
        <v>5</v>
      </c>
      <c r="AG551" s="4">
        <v>5</v>
      </c>
      <c r="AH551" s="4">
        <v>7</v>
      </c>
      <c r="AI551" s="4">
        <v>7</v>
      </c>
      <c r="AJ551" s="4">
        <v>9</v>
      </c>
      <c r="AK551" s="4">
        <v>9</v>
      </c>
      <c r="AL551" s="4">
        <v>1</v>
      </c>
      <c r="AM551" s="4">
        <v>1</v>
      </c>
      <c r="AN551" s="4">
        <v>0</v>
      </c>
      <c r="AO551" s="4">
        <v>0</v>
      </c>
      <c r="AP551" s="3" t="s">
        <v>59</v>
      </c>
      <c r="AQ551" s="3" t="s">
        <v>71</v>
      </c>
      <c r="AR551" s="6" t="str">
        <f>HYPERLINK("http://catalog.hathitrust.org/Record/000735127","HathiTrust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HYPERLINK("https://creighton-primo.hosted.exlibrisgroup.com/primo-explore/search?tab=default_tab&amp;search_scope=EVERYTHING&amp;vid=01CRU&amp;lang=en_US&amp;offset=0&amp;query=any,contains,991004947989702656","Catalog Record")</f>
        <v>Catalog Record</v>
      </c>
      <c r="AT551" s="6" t="str">
        <f>HYPERLINK("http://www.worldcat.org/oclc/6223048","WorldCat Record")</f>
        <v>WorldCat Record</v>
      </c>
      <c r="AU551" s="3" t="s">
        <v>7010</v>
      </c>
      <c r="AV551" s="3" t="s">
        <v>7011</v>
      </c>
      <c r="AW551" s="3" t="s">
        <v>7012</v>
      </c>
      <c r="AX551" s="3" t="s">
        <v>7012</v>
      </c>
      <c r="AY551" s="3" t="s">
        <v>7013</v>
      </c>
      <c r="AZ551" s="3" t="s">
        <v>76</v>
      </c>
      <c r="BB551" s="3" t="s">
        <v>7014</v>
      </c>
      <c r="BC551" s="3" t="s">
        <v>7015</v>
      </c>
      <c r="BD551" s="3" t="s">
        <v>7016</v>
      </c>
    </row>
    <row r="552" spans="1:56" ht="52.5" customHeight="1" x14ac:dyDescent="0.25">
      <c r="A552" s="7" t="s">
        <v>59</v>
      </c>
      <c r="B552" s="2" t="s">
        <v>7017</v>
      </c>
      <c r="C552" s="2" t="s">
        <v>7018</v>
      </c>
      <c r="D552" s="2" t="s">
        <v>7019</v>
      </c>
      <c r="F552" s="3" t="s">
        <v>59</v>
      </c>
      <c r="G552" s="3" t="s">
        <v>60</v>
      </c>
      <c r="H552" s="3" t="s">
        <v>59</v>
      </c>
      <c r="I552" s="3" t="s">
        <v>59</v>
      </c>
      <c r="J552" s="3" t="s">
        <v>61</v>
      </c>
      <c r="K552" s="2" t="s">
        <v>7020</v>
      </c>
      <c r="L552" s="2" t="s">
        <v>7021</v>
      </c>
      <c r="M552" s="3" t="s">
        <v>180</v>
      </c>
      <c r="O552" s="3" t="s">
        <v>65</v>
      </c>
      <c r="P552" s="3" t="s">
        <v>66</v>
      </c>
      <c r="Q552" s="2" t="s">
        <v>7022</v>
      </c>
      <c r="R552" s="3" t="s">
        <v>68</v>
      </c>
      <c r="S552" s="4">
        <v>4</v>
      </c>
      <c r="T552" s="4">
        <v>4</v>
      </c>
      <c r="U552" s="5" t="s">
        <v>2441</v>
      </c>
      <c r="V552" s="5" t="s">
        <v>2441</v>
      </c>
      <c r="W552" s="5" t="s">
        <v>5936</v>
      </c>
      <c r="X552" s="5" t="s">
        <v>5936</v>
      </c>
      <c r="Y552" s="4">
        <v>372</v>
      </c>
      <c r="Z552" s="4">
        <v>351</v>
      </c>
      <c r="AA552" s="4">
        <v>359</v>
      </c>
      <c r="AB552" s="4">
        <v>3</v>
      </c>
      <c r="AC552" s="4">
        <v>3</v>
      </c>
      <c r="AD552" s="4">
        <v>15</v>
      </c>
      <c r="AE552" s="4">
        <v>15</v>
      </c>
      <c r="AF552" s="4">
        <v>5</v>
      </c>
      <c r="AG552" s="4">
        <v>5</v>
      </c>
      <c r="AH552" s="4">
        <v>2</v>
      </c>
      <c r="AI552" s="4">
        <v>2</v>
      </c>
      <c r="AJ552" s="4">
        <v>10</v>
      </c>
      <c r="AK552" s="4">
        <v>10</v>
      </c>
      <c r="AL552" s="4">
        <v>0</v>
      </c>
      <c r="AM552" s="4">
        <v>0</v>
      </c>
      <c r="AN552" s="4">
        <v>0</v>
      </c>
      <c r="AO552" s="4">
        <v>0</v>
      </c>
      <c r="AP552" s="3" t="s">
        <v>59</v>
      </c>
      <c r="AQ552" s="3" t="s">
        <v>71</v>
      </c>
      <c r="AR552" s="6" t="str">
        <f>HYPERLINK("http://catalog.hathitrust.org/Record/000358018","HathiTrust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HYPERLINK("https://creighton-primo.hosted.exlibrisgroup.com/primo-explore/search?tab=default_tab&amp;search_scope=EVERYTHING&amp;vid=01CRU&amp;lang=en_US&amp;offset=0&amp;query=any,contains,991002257879702656","Catalog Record")</f>
        <v>Catalog Record</v>
      </c>
      <c r="AT552" s="6" t="str">
        <f>HYPERLINK("http://www.worldcat.org/oclc/302536","WorldCat Record")</f>
        <v>WorldCat Record</v>
      </c>
      <c r="AU552" s="3" t="s">
        <v>7023</v>
      </c>
      <c r="AV552" s="3" t="s">
        <v>7024</v>
      </c>
      <c r="AW552" s="3" t="s">
        <v>7025</v>
      </c>
      <c r="AX552" s="3" t="s">
        <v>7025</v>
      </c>
      <c r="AY552" s="3" t="s">
        <v>7026</v>
      </c>
      <c r="AZ552" s="3" t="s">
        <v>76</v>
      </c>
      <c r="BC552" s="3" t="s">
        <v>7027</v>
      </c>
      <c r="BD552" s="3" t="s">
        <v>7028</v>
      </c>
    </row>
    <row r="553" spans="1:56" ht="52.5" customHeight="1" x14ac:dyDescent="0.25">
      <c r="A553" s="7" t="s">
        <v>59</v>
      </c>
      <c r="B553" s="2" t="s">
        <v>7029</v>
      </c>
      <c r="C553" s="2" t="s">
        <v>7030</v>
      </c>
      <c r="D553" s="2" t="s">
        <v>7031</v>
      </c>
      <c r="F553" s="3" t="s">
        <v>59</v>
      </c>
      <c r="G553" s="3" t="s">
        <v>60</v>
      </c>
      <c r="H553" s="3" t="s">
        <v>59</v>
      </c>
      <c r="I553" s="3" t="s">
        <v>59</v>
      </c>
      <c r="J553" s="3" t="s">
        <v>61</v>
      </c>
      <c r="K553" s="2" t="s">
        <v>7032</v>
      </c>
      <c r="L553" s="2" t="s">
        <v>7033</v>
      </c>
      <c r="M553" s="3" t="s">
        <v>115</v>
      </c>
      <c r="N553" s="2" t="s">
        <v>7034</v>
      </c>
      <c r="O553" s="3" t="s">
        <v>65</v>
      </c>
      <c r="P553" s="3" t="s">
        <v>829</v>
      </c>
      <c r="R553" s="3" t="s">
        <v>68</v>
      </c>
      <c r="S553" s="4">
        <v>4</v>
      </c>
      <c r="T553" s="4">
        <v>4</v>
      </c>
      <c r="U553" s="5" t="s">
        <v>7035</v>
      </c>
      <c r="V553" s="5" t="s">
        <v>7035</v>
      </c>
      <c r="W553" s="5" t="s">
        <v>7036</v>
      </c>
      <c r="X553" s="5" t="s">
        <v>7036</v>
      </c>
      <c r="Y553" s="4">
        <v>835</v>
      </c>
      <c r="Z553" s="4">
        <v>698</v>
      </c>
      <c r="AA553" s="4">
        <v>810</v>
      </c>
      <c r="AB553" s="4">
        <v>6</v>
      </c>
      <c r="AC553" s="4">
        <v>6</v>
      </c>
      <c r="AD553" s="4">
        <v>24</v>
      </c>
      <c r="AE553" s="4">
        <v>28</v>
      </c>
      <c r="AF553" s="4">
        <v>9</v>
      </c>
      <c r="AG553" s="4">
        <v>12</v>
      </c>
      <c r="AH553" s="4">
        <v>5</v>
      </c>
      <c r="AI553" s="4">
        <v>5</v>
      </c>
      <c r="AJ553" s="4">
        <v>13</v>
      </c>
      <c r="AK553" s="4">
        <v>15</v>
      </c>
      <c r="AL553" s="4">
        <v>2</v>
      </c>
      <c r="AM553" s="4">
        <v>2</v>
      </c>
      <c r="AN553" s="4">
        <v>0</v>
      </c>
      <c r="AO553" s="4">
        <v>0</v>
      </c>
      <c r="AP553" s="3" t="s">
        <v>59</v>
      </c>
      <c r="AQ553" s="3" t="s">
        <v>71</v>
      </c>
      <c r="AR553" s="6" t="str">
        <f>HYPERLINK("http://catalog.hathitrust.org/Record/000008231","HathiTrust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HYPERLINK("https://creighton-primo.hosted.exlibrisgroup.com/primo-explore/search?tab=default_tab&amp;search_scope=EVERYTHING&amp;vid=01CRU&amp;lang=en_US&amp;offset=0&amp;query=any,contains,991002977209702656","Catalog Record")</f>
        <v>Catalog Record</v>
      </c>
      <c r="AT553" s="6" t="str">
        <f>HYPERLINK("http://www.worldcat.org/oclc/552727","WorldCat Record")</f>
        <v>WorldCat Record</v>
      </c>
      <c r="AU553" s="3" t="s">
        <v>7037</v>
      </c>
      <c r="AV553" s="3" t="s">
        <v>7038</v>
      </c>
      <c r="AW553" s="3" t="s">
        <v>7039</v>
      </c>
      <c r="AX553" s="3" t="s">
        <v>7039</v>
      </c>
      <c r="AY553" s="3" t="s">
        <v>7040</v>
      </c>
      <c r="AZ553" s="3" t="s">
        <v>76</v>
      </c>
      <c r="BC553" s="3" t="s">
        <v>7041</v>
      </c>
      <c r="BD553" s="3" t="s">
        <v>7042</v>
      </c>
    </row>
    <row r="554" spans="1:56" ht="52.5" customHeight="1" x14ac:dyDescent="0.25">
      <c r="A554" s="7" t="s">
        <v>59</v>
      </c>
      <c r="B554" s="2" t="s">
        <v>7043</v>
      </c>
      <c r="C554" s="2" t="s">
        <v>7044</v>
      </c>
      <c r="D554" s="2" t="s">
        <v>7045</v>
      </c>
      <c r="F554" s="3" t="s">
        <v>59</v>
      </c>
      <c r="G554" s="3" t="s">
        <v>60</v>
      </c>
      <c r="H554" s="3" t="s">
        <v>59</v>
      </c>
      <c r="I554" s="3" t="s">
        <v>59</v>
      </c>
      <c r="J554" s="3" t="s">
        <v>61</v>
      </c>
      <c r="K554" s="2" t="s">
        <v>7032</v>
      </c>
      <c r="L554" s="2" t="s">
        <v>7046</v>
      </c>
      <c r="M554" s="3" t="s">
        <v>2582</v>
      </c>
      <c r="N554" s="2" t="s">
        <v>1289</v>
      </c>
      <c r="O554" s="3" t="s">
        <v>65</v>
      </c>
      <c r="P554" s="3" t="s">
        <v>829</v>
      </c>
      <c r="R554" s="3" t="s">
        <v>68</v>
      </c>
      <c r="S554" s="4">
        <v>1</v>
      </c>
      <c r="T554" s="4">
        <v>1</v>
      </c>
      <c r="U554" s="5" t="s">
        <v>7047</v>
      </c>
      <c r="V554" s="5" t="s">
        <v>7047</v>
      </c>
      <c r="W554" s="5" t="s">
        <v>2978</v>
      </c>
      <c r="X554" s="5" t="s">
        <v>2978</v>
      </c>
      <c r="Y554" s="4">
        <v>316</v>
      </c>
      <c r="Z554" s="4">
        <v>279</v>
      </c>
      <c r="AA554" s="4">
        <v>568</v>
      </c>
      <c r="AB554" s="4">
        <v>2</v>
      </c>
      <c r="AC554" s="4">
        <v>6</v>
      </c>
      <c r="AD554" s="4">
        <v>14</v>
      </c>
      <c r="AE554" s="4">
        <v>31</v>
      </c>
      <c r="AF554" s="4">
        <v>7</v>
      </c>
      <c r="AG554" s="4">
        <v>15</v>
      </c>
      <c r="AH554" s="4">
        <v>3</v>
      </c>
      <c r="AI554" s="4">
        <v>4</v>
      </c>
      <c r="AJ554" s="4">
        <v>6</v>
      </c>
      <c r="AK554" s="4">
        <v>14</v>
      </c>
      <c r="AL554" s="4">
        <v>1</v>
      </c>
      <c r="AM554" s="4">
        <v>5</v>
      </c>
      <c r="AN554" s="4">
        <v>0</v>
      </c>
      <c r="AO554" s="4">
        <v>0</v>
      </c>
      <c r="AP554" s="3" t="s">
        <v>71</v>
      </c>
      <c r="AQ554" s="3" t="s">
        <v>59</v>
      </c>
      <c r="AR554" s="6" t="str">
        <f>HYPERLINK("http://catalog.hathitrust.org/Record/000358698","HathiTrust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HYPERLINK("https://creighton-primo.hosted.exlibrisgroup.com/primo-explore/search?tab=default_tab&amp;search_scope=EVERYTHING&amp;vid=01CRU&amp;lang=en_US&amp;offset=0&amp;query=any,contains,991004057779702656","Catalog Record")</f>
        <v>Catalog Record</v>
      </c>
      <c r="AT554" s="6" t="str">
        <f>HYPERLINK("http://www.worldcat.org/oclc/2230860","WorldCat Record")</f>
        <v>WorldCat Record</v>
      </c>
      <c r="AU554" s="3" t="s">
        <v>7048</v>
      </c>
      <c r="AV554" s="3" t="s">
        <v>7049</v>
      </c>
      <c r="AW554" s="3" t="s">
        <v>7050</v>
      </c>
      <c r="AX554" s="3" t="s">
        <v>7050</v>
      </c>
      <c r="AY554" s="3" t="s">
        <v>7051</v>
      </c>
      <c r="AZ554" s="3" t="s">
        <v>76</v>
      </c>
      <c r="BC554" s="3" t="s">
        <v>7052</v>
      </c>
      <c r="BD554" s="3" t="s">
        <v>7053</v>
      </c>
    </row>
    <row r="555" spans="1:56" ht="52.5" customHeight="1" x14ac:dyDescent="0.25">
      <c r="A555" s="7" t="s">
        <v>59</v>
      </c>
      <c r="B555" s="2" t="s">
        <v>7054</v>
      </c>
      <c r="C555" s="2" t="s">
        <v>7055</v>
      </c>
      <c r="D555" s="2" t="s">
        <v>7056</v>
      </c>
      <c r="F555" s="3" t="s">
        <v>59</v>
      </c>
      <c r="G555" s="3" t="s">
        <v>60</v>
      </c>
      <c r="H555" s="3" t="s">
        <v>59</v>
      </c>
      <c r="I555" s="3" t="s">
        <v>59</v>
      </c>
      <c r="J555" s="3" t="s">
        <v>61</v>
      </c>
      <c r="K555" s="2" t="s">
        <v>7057</v>
      </c>
      <c r="L555" s="2" t="s">
        <v>7058</v>
      </c>
      <c r="M555" s="3" t="s">
        <v>224</v>
      </c>
      <c r="N555" s="2" t="s">
        <v>887</v>
      </c>
      <c r="O555" s="3" t="s">
        <v>65</v>
      </c>
      <c r="P555" s="3" t="s">
        <v>66</v>
      </c>
      <c r="R555" s="3" t="s">
        <v>68</v>
      </c>
      <c r="S555" s="4">
        <v>9</v>
      </c>
      <c r="T555" s="4">
        <v>9</v>
      </c>
      <c r="U555" s="5" t="s">
        <v>7059</v>
      </c>
      <c r="V555" s="5" t="s">
        <v>7059</v>
      </c>
      <c r="W555" s="5" t="s">
        <v>7060</v>
      </c>
      <c r="X555" s="5" t="s">
        <v>7060</v>
      </c>
      <c r="Y555" s="4">
        <v>723</v>
      </c>
      <c r="Z555" s="4">
        <v>657</v>
      </c>
      <c r="AA555" s="4">
        <v>743</v>
      </c>
      <c r="AB555" s="4">
        <v>5</v>
      </c>
      <c r="AC555" s="4">
        <v>6</v>
      </c>
      <c r="AD555" s="4">
        <v>21</v>
      </c>
      <c r="AE555" s="4">
        <v>23</v>
      </c>
      <c r="AF555" s="4">
        <v>5</v>
      </c>
      <c r="AG555" s="4">
        <v>5</v>
      </c>
      <c r="AH555" s="4">
        <v>4</v>
      </c>
      <c r="AI555" s="4">
        <v>4</v>
      </c>
      <c r="AJ555" s="4">
        <v>12</v>
      </c>
      <c r="AK555" s="4">
        <v>13</v>
      </c>
      <c r="AL555" s="4">
        <v>4</v>
      </c>
      <c r="AM555" s="4">
        <v>5</v>
      </c>
      <c r="AN555" s="4">
        <v>0</v>
      </c>
      <c r="AO555" s="4">
        <v>0</v>
      </c>
      <c r="AP555" s="3" t="s">
        <v>59</v>
      </c>
      <c r="AQ555" s="3" t="s">
        <v>71</v>
      </c>
      <c r="AR555" s="6" t="str">
        <f>HYPERLINK("http://catalog.hathitrust.org/Record/000032625","HathiTrust Record")</f>
        <v>HathiTrust Record</v>
      </c>
      <c r="AS555" s="6" t="str">
        <f>HYPERLINK("https://creighton-primo.hosted.exlibrisgroup.com/primo-explore/search?tab=default_tab&amp;search_scope=EVERYTHING&amp;vid=01CRU&amp;lang=en_US&amp;offset=0&amp;query=any,contains,991003538179702656","Catalog Record")</f>
        <v>Catalog Record</v>
      </c>
      <c r="AT555" s="6" t="str">
        <f>HYPERLINK("http://www.worldcat.org/oclc/1103253","WorldCat Record")</f>
        <v>WorldCat Record</v>
      </c>
      <c r="AU555" s="3" t="s">
        <v>7061</v>
      </c>
      <c r="AV555" s="3" t="s">
        <v>7062</v>
      </c>
      <c r="AW555" s="3" t="s">
        <v>7063</v>
      </c>
      <c r="AX555" s="3" t="s">
        <v>7063</v>
      </c>
      <c r="AY555" s="3" t="s">
        <v>7064</v>
      </c>
      <c r="AZ555" s="3" t="s">
        <v>76</v>
      </c>
      <c r="BB555" s="3" t="s">
        <v>7065</v>
      </c>
      <c r="BC555" s="3" t="s">
        <v>7066</v>
      </c>
      <c r="BD555" s="3" t="s">
        <v>7067</v>
      </c>
    </row>
    <row r="556" spans="1:56" ht="52.5" customHeight="1" x14ac:dyDescent="0.25">
      <c r="A556" s="7" t="s">
        <v>59</v>
      </c>
      <c r="B556" s="2" t="s">
        <v>7068</v>
      </c>
      <c r="C556" s="2" t="s">
        <v>7069</v>
      </c>
      <c r="D556" s="2" t="s">
        <v>7070</v>
      </c>
      <c r="F556" s="3" t="s">
        <v>59</v>
      </c>
      <c r="G556" s="3" t="s">
        <v>60</v>
      </c>
      <c r="H556" s="3" t="s">
        <v>59</v>
      </c>
      <c r="I556" s="3" t="s">
        <v>59</v>
      </c>
      <c r="J556" s="3" t="s">
        <v>61</v>
      </c>
      <c r="K556" s="2" t="s">
        <v>7071</v>
      </c>
      <c r="L556" s="2" t="s">
        <v>7072</v>
      </c>
      <c r="M556" s="3" t="s">
        <v>756</v>
      </c>
      <c r="O556" s="3" t="s">
        <v>65</v>
      </c>
      <c r="P556" s="3" t="s">
        <v>1262</v>
      </c>
      <c r="Q556" s="2" t="s">
        <v>7073</v>
      </c>
      <c r="R556" s="3" t="s">
        <v>68</v>
      </c>
      <c r="S556" s="4">
        <v>5</v>
      </c>
      <c r="T556" s="4">
        <v>5</v>
      </c>
      <c r="U556" s="5" t="s">
        <v>2441</v>
      </c>
      <c r="V556" s="5" t="s">
        <v>2441</v>
      </c>
      <c r="W556" s="5" t="s">
        <v>7036</v>
      </c>
      <c r="X556" s="5" t="s">
        <v>7036</v>
      </c>
      <c r="Y556" s="4">
        <v>171</v>
      </c>
      <c r="Z556" s="4">
        <v>71</v>
      </c>
      <c r="AA556" s="4">
        <v>309</v>
      </c>
      <c r="AB556" s="4">
        <v>1</v>
      </c>
      <c r="AC556" s="4">
        <v>4</v>
      </c>
      <c r="AD556" s="4">
        <v>2</v>
      </c>
      <c r="AE556" s="4">
        <v>14</v>
      </c>
      <c r="AF556" s="4">
        <v>1</v>
      </c>
      <c r="AG556" s="4">
        <v>2</v>
      </c>
      <c r="AH556" s="4">
        <v>0</v>
      </c>
      <c r="AI556" s="4">
        <v>2</v>
      </c>
      <c r="AJ556" s="4">
        <v>1</v>
      </c>
      <c r="AK556" s="4">
        <v>9</v>
      </c>
      <c r="AL556" s="4">
        <v>0</v>
      </c>
      <c r="AM556" s="4">
        <v>3</v>
      </c>
      <c r="AN556" s="4">
        <v>0</v>
      </c>
      <c r="AO556" s="4">
        <v>0</v>
      </c>
      <c r="AP556" s="3" t="s">
        <v>59</v>
      </c>
      <c r="AQ556" s="3" t="s">
        <v>71</v>
      </c>
      <c r="AR556" s="6" t="str">
        <f>HYPERLINK("http://catalog.hathitrust.org/Record/000358040","HathiTrust Record")</f>
        <v>HathiTrust Record</v>
      </c>
      <c r="AS556" s="6" t="str">
        <f>HYPERLINK("https://creighton-primo.hosted.exlibrisgroup.com/primo-explore/search?tab=default_tab&amp;search_scope=EVERYTHING&amp;vid=01CRU&amp;lang=en_US&amp;offset=0&amp;query=any,contains,991002643559702656","Catalog Record")</f>
        <v>Catalog Record</v>
      </c>
      <c r="AT556" s="6" t="str">
        <f>HYPERLINK("http://www.worldcat.org/oclc/385074","WorldCat Record")</f>
        <v>WorldCat Record</v>
      </c>
      <c r="AU556" s="3" t="s">
        <v>7074</v>
      </c>
      <c r="AV556" s="3" t="s">
        <v>7075</v>
      </c>
      <c r="AW556" s="3" t="s">
        <v>7076</v>
      </c>
      <c r="AX556" s="3" t="s">
        <v>7076</v>
      </c>
      <c r="AY556" s="3" t="s">
        <v>7077</v>
      </c>
      <c r="AZ556" s="3" t="s">
        <v>76</v>
      </c>
      <c r="BC556" s="3" t="s">
        <v>7078</v>
      </c>
      <c r="BD556" s="3" t="s">
        <v>7079</v>
      </c>
    </row>
    <row r="557" spans="1:56" ht="52.5" customHeight="1" x14ac:dyDescent="0.25">
      <c r="A557" s="7" t="s">
        <v>59</v>
      </c>
      <c r="B557" s="2" t="s">
        <v>7080</v>
      </c>
      <c r="C557" s="2" t="s">
        <v>7081</v>
      </c>
      <c r="D557" s="2" t="s">
        <v>7082</v>
      </c>
      <c r="F557" s="3" t="s">
        <v>59</v>
      </c>
      <c r="G557" s="3" t="s">
        <v>60</v>
      </c>
      <c r="H557" s="3" t="s">
        <v>59</v>
      </c>
      <c r="I557" s="3" t="s">
        <v>59</v>
      </c>
      <c r="J557" s="3" t="s">
        <v>61</v>
      </c>
      <c r="K557" s="2" t="s">
        <v>7083</v>
      </c>
      <c r="L557" s="2" t="s">
        <v>7084</v>
      </c>
      <c r="M557" s="3" t="s">
        <v>254</v>
      </c>
      <c r="O557" s="3" t="s">
        <v>65</v>
      </c>
      <c r="P557" s="3" t="s">
        <v>283</v>
      </c>
      <c r="Q557" s="2" t="s">
        <v>7085</v>
      </c>
      <c r="R557" s="3" t="s">
        <v>68</v>
      </c>
      <c r="S557" s="4">
        <v>1</v>
      </c>
      <c r="T557" s="4">
        <v>1</v>
      </c>
      <c r="U557" s="5" t="s">
        <v>7086</v>
      </c>
      <c r="V557" s="5" t="s">
        <v>7086</v>
      </c>
      <c r="W557" s="5" t="s">
        <v>7087</v>
      </c>
      <c r="X557" s="5" t="s">
        <v>7087</v>
      </c>
      <c r="Y557" s="4">
        <v>520</v>
      </c>
      <c r="Z557" s="4">
        <v>436</v>
      </c>
      <c r="AA557" s="4">
        <v>448</v>
      </c>
      <c r="AB557" s="4">
        <v>3</v>
      </c>
      <c r="AC557" s="4">
        <v>3</v>
      </c>
      <c r="AD557" s="4">
        <v>21</v>
      </c>
      <c r="AE557" s="4">
        <v>21</v>
      </c>
      <c r="AF557" s="4">
        <v>7</v>
      </c>
      <c r="AG557" s="4">
        <v>7</v>
      </c>
      <c r="AH557" s="4">
        <v>7</v>
      </c>
      <c r="AI557" s="4">
        <v>7</v>
      </c>
      <c r="AJ557" s="4">
        <v>10</v>
      </c>
      <c r="AK557" s="4">
        <v>10</v>
      </c>
      <c r="AL557" s="4">
        <v>2</v>
      </c>
      <c r="AM557" s="4">
        <v>2</v>
      </c>
      <c r="AN557" s="4">
        <v>0</v>
      </c>
      <c r="AO557" s="4">
        <v>0</v>
      </c>
      <c r="AP557" s="3" t="s">
        <v>59</v>
      </c>
      <c r="AQ557" s="3" t="s">
        <v>71</v>
      </c>
      <c r="AR557" s="6" t="str">
        <f>HYPERLINK("http://catalog.hathitrust.org/Record/000384024","HathiTrust Record")</f>
        <v>HathiTrust Record</v>
      </c>
      <c r="AS557" s="6" t="str">
        <f>HYPERLINK("https://creighton-primo.hosted.exlibrisgroup.com/primo-explore/search?tab=default_tab&amp;search_scope=EVERYTHING&amp;vid=01CRU&amp;lang=en_US&amp;offset=0&amp;query=any,contains,991000005039702656","Catalog Record")</f>
        <v>Catalog Record</v>
      </c>
      <c r="AT557" s="6" t="str">
        <f>HYPERLINK("http://www.worldcat.org/oclc/12907","WorldCat Record")</f>
        <v>WorldCat Record</v>
      </c>
      <c r="AU557" s="3" t="s">
        <v>7088</v>
      </c>
      <c r="AV557" s="3" t="s">
        <v>7089</v>
      </c>
      <c r="AW557" s="3" t="s">
        <v>7090</v>
      </c>
      <c r="AX557" s="3" t="s">
        <v>7090</v>
      </c>
      <c r="AY557" s="3" t="s">
        <v>7091</v>
      </c>
      <c r="AZ557" s="3" t="s">
        <v>76</v>
      </c>
      <c r="BC557" s="3" t="s">
        <v>7092</v>
      </c>
      <c r="BD557" s="3" t="s">
        <v>7093</v>
      </c>
    </row>
    <row r="558" spans="1:56" ht="52.5" customHeight="1" x14ac:dyDescent="0.25">
      <c r="A558" s="7" t="s">
        <v>59</v>
      </c>
      <c r="B558" s="2" t="s">
        <v>7094</v>
      </c>
      <c r="C558" s="2" t="s">
        <v>7095</v>
      </c>
      <c r="D558" s="2" t="s">
        <v>7096</v>
      </c>
      <c r="F558" s="3" t="s">
        <v>59</v>
      </c>
      <c r="G558" s="3" t="s">
        <v>60</v>
      </c>
      <c r="H558" s="3" t="s">
        <v>59</v>
      </c>
      <c r="I558" s="3" t="s">
        <v>59</v>
      </c>
      <c r="J558" s="3" t="s">
        <v>61</v>
      </c>
      <c r="K558" s="2" t="s">
        <v>7097</v>
      </c>
      <c r="L558" s="2" t="s">
        <v>7098</v>
      </c>
      <c r="M558" s="3" t="s">
        <v>1000</v>
      </c>
      <c r="O558" s="3" t="s">
        <v>65</v>
      </c>
      <c r="P558" s="3" t="s">
        <v>699</v>
      </c>
      <c r="R558" s="3" t="s">
        <v>68</v>
      </c>
      <c r="S558" s="4">
        <v>2</v>
      </c>
      <c r="T558" s="4">
        <v>2</v>
      </c>
      <c r="U558" s="5" t="s">
        <v>7099</v>
      </c>
      <c r="V558" s="5" t="s">
        <v>7099</v>
      </c>
      <c r="W558" s="5" t="s">
        <v>6856</v>
      </c>
      <c r="X558" s="5" t="s">
        <v>6856</v>
      </c>
      <c r="Y558" s="4">
        <v>474</v>
      </c>
      <c r="Z558" s="4">
        <v>371</v>
      </c>
      <c r="AA558" s="4">
        <v>378</v>
      </c>
      <c r="AB558" s="4">
        <v>2</v>
      </c>
      <c r="AC558" s="4">
        <v>2</v>
      </c>
      <c r="AD558" s="4">
        <v>12</v>
      </c>
      <c r="AE558" s="4">
        <v>12</v>
      </c>
      <c r="AF558" s="4">
        <v>3</v>
      </c>
      <c r="AG558" s="4">
        <v>3</v>
      </c>
      <c r="AH558" s="4">
        <v>4</v>
      </c>
      <c r="AI558" s="4">
        <v>4</v>
      </c>
      <c r="AJ558" s="4">
        <v>6</v>
      </c>
      <c r="AK558" s="4">
        <v>6</v>
      </c>
      <c r="AL558" s="4">
        <v>1</v>
      </c>
      <c r="AM558" s="4">
        <v>1</v>
      </c>
      <c r="AN558" s="4">
        <v>0</v>
      </c>
      <c r="AO558" s="4">
        <v>0</v>
      </c>
      <c r="AP558" s="3" t="s">
        <v>59</v>
      </c>
      <c r="AQ558" s="3" t="s">
        <v>59</v>
      </c>
      <c r="AS558" s="6" t="str">
        <f>HYPERLINK("https://creighton-primo.hosted.exlibrisgroup.com/primo-explore/search?tab=default_tab&amp;search_scope=EVERYTHING&amp;vid=01CRU&amp;lang=en_US&amp;offset=0&amp;query=any,contains,991004714569702656","Catalog Record")</f>
        <v>Catalog Record</v>
      </c>
      <c r="AT558" s="6" t="str">
        <f>HYPERLINK("http://www.worldcat.org/oclc/4775525","WorldCat Record")</f>
        <v>WorldCat Record</v>
      </c>
      <c r="AU558" s="3" t="s">
        <v>7100</v>
      </c>
      <c r="AV558" s="3" t="s">
        <v>7101</v>
      </c>
      <c r="AW558" s="3" t="s">
        <v>7102</v>
      </c>
      <c r="AX558" s="3" t="s">
        <v>7102</v>
      </c>
      <c r="AY558" s="3" t="s">
        <v>7103</v>
      </c>
      <c r="AZ558" s="3" t="s">
        <v>76</v>
      </c>
      <c r="BB558" s="3" t="s">
        <v>7104</v>
      </c>
      <c r="BC558" s="3" t="s">
        <v>7105</v>
      </c>
      <c r="BD558" s="3" t="s">
        <v>7106</v>
      </c>
    </row>
    <row r="559" spans="1:56" ht="52.5" customHeight="1" x14ac:dyDescent="0.25">
      <c r="A559" s="7" t="s">
        <v>59</v>
      </c>
      <c r="B559" s="2" t="s">
        <v>7107</v>
      </c>
      <c r="C559" s="2" t="s">
        <v>7108</v>
      </c>
      <c r="D559" s="2" t="s">
        <v>7109</v>
      </c>
      <c r="F559" s="3" t="s">
        <v>59</v>
      </c>
      <c r="G559" s="3" t="s">
        <v>60</v>
      </c>
      <c r="H559" s="3" t="s">
        <v>59</v>
      </c>
      <c r="I559" s="3" t="s">
        <v>59</v>
      </c>
      <c r="J559" s="3" t="s">
        <v>61</v>
      </c>
      <c r="K559" s="2" t="s">
        <v>7110</v>
      </c>
      <c r="L559" s="2" t="s">
        <v>7111</v>
      </c>
      <c r="M559" s="3" t="s">
        <v>195</v>
      </c>
      <c r="O559" s="3" t="s">
        <v>65</v>
      </c>
      <c r="P559" s="3" t="s">
        <v>66</v>
      </c>
      <c r="Q559" s="2" t="s">
        <v>7112</v>
      </c>
      <c r="R559" s="3" t="s">
        <v>68</v>
      </c>
      <c r="S559" s="4">
        <v>5</v>
      </c>
      <c r="T559" s="4">
        <v>5</v>
      </c>
      <c r="U559" s="5" t="s">
        <v>7113</v>
      </c>
      <c r="V559" s="5" t="s">
        <v>7113</v>
      </c>
      <c r="W559" s="5" t="s">
        <v>4164</v>
      </c>
      <c r="X559" s="5" t="s">
        <v>4164</v>
      </c>
      <c r="Y559" s="4">
        <v>373</v>
      </c>
      <c r="Z559" s="4">
        <v>289</v>
      </c>
      <c r="AA559" s="4">
        <v>327</v>
      </c>
      <c r="AB559" s="4">
        <v>3</v>
      </c>
      <c r="AC559" s="4">
        <v>3</v>
      </c>
      <c r="AD559" s="4">
        <v>13</v>
      </c>
      <c r="AE559" s="4">
        <v>15</v>
      </c>
      <c r="AF559" s="4">
        <v>3</v>
      </c>
      <c r="AG559" s="4">
        <v>4</v>
      </c>
      <c r="AH559" s="4">
        <v>3</v>
      </c>
      <c r="AI559" s="4">
        <v>4</v>
      </c>
      <c r="AJ559" s="4">
        <v>7</v>
      </c>
      <c r="AK559" s="4">
        <v>7</v>
      </c>
      <c r="AL559" s="4">
        <v>2</v>
      </c>
      <c r="AM559" s="4">
        <v>2</v>
      </c>
      <c r="AN559" s="4">
        <v>0</v>
      </c>
      <c r="AO559" s="4">
        <v>0</v>
      </c>
      <c r="AP559" s="3" t="s">
        <v>59</v>
      </c>
      <c r="AQ559" s="3" t="s">
        <v>71</v>
      </c>
      <c r="AR559" s="6" t="str">
        <f>HYPERLINK("http://catalog.hathitrust.org/Record/000146686","HathiTrust Record")</f>
        <v>HathiTrust Record</v>
      </c>
      <c r="AS559" s="6" t="str">
        <f>HYPERLINK("https://creighton-primo.hosted.exlibrisgroup.com/primo-explore/search?tab=default_tab&amp;search_scope=EVERYTHING&amp;vid=01CRU&amp;lang=en_US&amp;offset=0&amp;query=any,contains,991005210979702656","Catalog Record")</f>
        <v>Catalog Record</v>
      </c>
      <c r="AT559" s="6" t="str">
        <f>HYPERLINK("http://www.worldcat.org/oclc/8168936","WorldCat Record")</f>
        <v>WorldCat Record</v>
      </c>
      <c r="AU559" s="3" t="s">
        <v>7114</v>
      </c>
      <c r="AV559" s="3" t="s">
        <v>7115</v>
      </c>
      <c r="AW559" s="3" t="s">
        <v>7116</v>
      </c>
      <c r="AX559" s="3" t="s">
        <v>7116</v>
      </c>
      <c r="AY559" s="3" t="s">
        <v>7117</v>
      </c>
      <c r="AZ559" s="3" t="s">
        <v>76</v>
      </c>
      <c r="BB559" s="3" t="s">
        <v>7118</v>
      </c>
      <c r="BC559" s="3" t="s">
        <v>7119</v>
      </c>
      <c r="BD559" s="3" t="s">
        <v>7120</v>
      </c>
    </row>
    <row r="560" spans="1:56" ht="52.5" customHeight="1" x14ac:dyDescent="0.25">
      <c r="A560" s="7" t="s">
        <v>59</v>
      </c>
      <c r="B560" s="2" t="s">
        <v>7121</v>
      </c>
      <c r="C560" s="2" t="s">
        <v>7122</v>
      </c>
      <c r="D560" s="2" t="s">
        <v>7123</v>
      </c>
      <c r="F560" s="3" t="s">
        <v>59</v>
      </c>
      <c r="G560" s="3" t="s">
        <v>60</v>
      </c>
      <c r="H560" s="3" t="s">
        <v>59</v>
      </c>
      <c r="I560" s="3" t="s">
        <v>59</v>
      </c>
      <c r="J560" s="3" t="s">
        <v>61</v>
      </c>
      <c r="K560" s="2" t="s">
        <v>7124</v>
      </c>
      <c r="L560" s="2" t="s">
        <v>7125</v>
      </c>
      <c r="M560" s="3" t="s">
        <v>1233</v>
      </c>
      <c r="O560" s="3" t="s">
        <v>65</v>
      </c>
      <c r="P560" s="3" t="s">
        <v>66</v>
      </c>
      <c r="R560" s="3" t="s">
        <v>68</v>
      </c>
      <c r="S560" s="4">
        <v>4</v>
      </c>
      <c r="T560" s="4">
        <v>4</v>
      </c>
      <c r="U560" s="5" t="s">
        <v>7126</v>
      </c>
      <c r="V560" s="5" t="s">
        <v>7126</v>
      </c>
      <c r="W560" s="5" t="s">
        <v>7036</v>
      </c>
      <c r="X560" s="5" t="s">
        <v>7036</v>
      </c>
      <c r="Y560" s="4">
        <v>580</v>
      </c>
      <c r="Z560" s="4">
        <v>513</v>
      </c>
      <c r="AA560" s="4">
        <v>521</v>
      </c>
      <c r="AB560" s="4">
        <v>3</v>
      </c>
      <c r="AC560" s="4">
        <v>3</v>
      </c>
      <c r="AD560" s="4">
        <v>14</v>
      </c>
      <c r="AE560" s="4">
        <v>14</v>
      </c>
      <c r="AF560" s="4">
        <v>4</v>
      </c>
      <c r="AG560" s="4">
        <v>4</v>
      </c>
      <c r="AH560" s="4">
        <v>3</v>
      </c>
      <c r="AI560" s="4">
        <v>3</v>
      </c>
      <c r="AJ560" s="4">
        <v>8</v>
      </c>
      <c r="AK560" s="4">
        <v>8</v>
      </c>
      <c r="AL560" s="4">
        <v>2</v>
      </c>
      <c r="AM560" s="4">
        <v>2</v>
      </c>
      <c r="AN560" s="4">
        <v>0</v>
      </c>
      <c r="AO560" s="4">
        <v>0</v>
      </c>
      <c r="AP560" s="3" t="s">
        <v>59</v>
      </c>
      <c r="AQ560" s="3" t="s">
        <v>71</v>
      </c>
      <c r="AR560" s="6" t="str">
        <f>HYPERLINK("http://catalog.hathitrust.org/Record/000358734","HathiTrust Record")</f>
        <v>HathiTrust Record</v>
      </c>
      <c r="AS560" s="6" t="str">
        <f>HYPERLINK("https://creighton-primo.hosted.exlibrisgroup.com/primo-explore/search?tab=default_tab&amp;search_scope=EVERYTHING&amp;vid=01CRU&amp;lang=en_US&amp;offset=0&amp;query=any,contains,991003086189702656","Catalog Record")</f>
        <v>Catalog Record</v>
      </c>
      <c r="AT560" s="6" t="str">
        <f>HYPERLINK("http://www.worldcat.org/oclc/636457","WorldCat Record")</f>
        <v>WorldCat Record</v>
      </c>
      <c r="AU560" s="3" t="s">
        <v>7127</v>
      </c>
      <c r="AV560" s="3" t="s">
        <v>7128</v>
      </c>
      <c r="AW560" s="3" t="s">
        <v>7129</v>
      </c>
      <c r="AX560" s="3" t="s">
        <v>7129</v>
      </c>
      <c r="AY560" s="3" t="s">
        <v>7130</v>
      </c>
      <c r="AZ560" s="3" t="s">
        <v>76</v>
      </c>
      <c r="BB560" s="3" t="s">
        <v>7131</v>
      </c>
      <c r="BC560" s="3" t="s">
        <v>7132</v>
      </c>
      <c r="BD560" s="3" t="s">
        <v>7133</v>
      </c>
    </row>
    <row r="561" spans="1:56" ht="52.5" customHeight="1" x14ac:dyDescent="0.25">
      <c r="A561" s="7" t="s">
        <v>59</v>
      </c>
      <c r="B561" s="2" t="s">
        <v>7134</v>
      </c>
      <c r="C561" s="2" t="s">
        <v>7135</v>
      </c>
      <c r="D561" s="2" t="s">
        <v>7136</v>
      </c>
      <c r="F561" s="3" t="s">
        <v>59</v>
      </c>
      <c r="G561" s="3" t="s">
        <v>60</v>
      </c>
      <c r="H561" s="3" t="s">
        <v>59</v>
      </c>
      <c r="I561" s="3" t="s">
        <v>59</v>
      </c>
      <c r="J561" s="3" t="s">
        <v>61</v>
      </c>
      <c r="K561" s="2" t="s">
        <v>7137</v>
      </c>
      <c r="L561" s="2" t="s">
        <v>513</v>
      </c>
      <c r="M561" s="3" t="s">
        <v>514</v>
      </c>
      <c r="O561" s="3" t="s">
        <v>65</v>
      </c>
      <c r="P561" s="3" t="s">
        <v>296</v>
      </c>
      <c r="R561" s="3" t="s">
        <v>68</v>
      </c>
      <c r="S561" s="4">
        <v>1</v>
      </c>
      <c r="T561" s="4">
        <v>1</v>
      </c>
      <c r="U561" s="5" t="s">
        <v>6895</v>
      </c>
      <c r="V561" s="5" t="s">
        <v>6895</v>
      </c>
      <c r="W561" s="5" t="s">
        <v>7036</v>
      </c>
      <c r="X561" s="5" t="s">
        <v>7036</v>
      </c>
      <c r="Y561" s="4">
        <v>286</v>
      </c>
      <c r="Z561" s="4">
        <v>239</v>
      </c>
      <c r="AA561" s="4">
        <v>242</v>
      </c>
      <c r="AB561" s="4">
        <v>2</v>
      </c>
      <c r="AC561" s="4">
        <v>2</v>
      </c>
      <c r="AD561" s="4">
        <v>16</v>
      </c>
      <c r="AE561" s="4">
        <v>16</v>
      </c>
      <c r="AF561" s="4">
        <v>8</v>
      </c>
      <c r="AG561" s="4">
        <v>8</v>
      </c>
      <c r="AH561" s="4">
        <v>2</v>
      </c>
      <c r="AI561" s="4">
        <v>2</v>
      </c>
      <c r="AJ561" s="4">
        <v>8</v>
      </c>
      <c r="AK561" s="4">
        <v>8</v>
      </c>
      <c r="AL561" s="4">
        <v>1</v>
      </c>
      <c r="AM561" s="4">
        <v>1</v>
      </c>
      <c r="AN561" s="4">
        <v>0</v>
      </c>
      <c r="AO561" s="4">
        <v>0</v>
      </c>
      <c r="AP561" s="3" t="s">
        <v>59</v>
      </c>
      <c r="AQ561" s="3" t="s">
        <v>71</v>
      </c>
      <c r="AR561" s="6" t="str">
        <f>HYPERLINK("http://catalog.hathitrust.org/Record/000358752","HathiTrust Record")</f>
        <v>HathiTrust Record</v>
      </c>
      <c r="AS561" s="6" t="str">
        <f>HYPERLINK("https://creighton-primo.hosted.exlibrisgroup.com/primo-explore/search?tab=default_tab&amp;search_scope=EVERYTHING&amp;vid=01CRU&amp;lang=en_US&amp;offset=0&amp;query=any,contains,991003017239702656","Catalog Record")</f>
        <v>Catalog Record</v>
      </c>
      <c r="AT561" s="6" t="str">
        <f>HYPERLINK("http://www.worldcat.org/oclc/581973","WorldCat Record")</f>
        <v>WorldCat Record</v>
      </c>
      <c r="AU561" s="3" t="s">
        <v>7138</v>
      </c>
      <c r="AV561" s="3" t="s">
        <v>7139</v>
      </c>
      <c r="AW561" s="3" t="s">
        <v>7140</v>
      </c>
      <c r="AX561" s="3" t="s">
        <v>7140</v>
      </c>
      <c r="AY561" s="3" t="s">
        <v>7141</v>
      </c>
      <c r="AZ561" s="3" t="s">
        <v>76</v>
      </c>
      <c r="BC561" s="3" t="s">
        <v>7142</v>
      </c>
      <c r="BD561" s="3" t="s">
        <v>7143</v>
      </c>
    </row>
    <row r="562" spans="1:56" ht="52.5" customHeight="1" x14ac:dyDescent="0.25">
      <c r="A562" s="7" t="s">
        <v>59</v>
      </c>
      <c r="B562" s="2" t="s">
        <v>7144</v>
      </c>
      <c r="C562" s="2" t="s">
        <v>7145</v>
      </c>
      <c r="D562" s="2" t="s">
        <v>7146</v>
      </c>
      <c r="F562" s="3" t="s">
        <v>59</v>
      </c>
      <c r="G562" s="3" t="s">
        <v>60</v>
      </c>
      <c r="H562" s="3" t="s">
        <v>59</v>
      </c>
      <c r="I562" s="3" t="s">
        <v>59</v>
      </c>
      <c r="J562" s="3" t="s">
        <v>61</v>
      </c>
      <c r="K562" s="2" t="s">
        <v>7147</v>
      </c>
      <c r="L562" s="2" t="s">
        <v>7148</v>
      </c>
      <c r="M562" s="3" t="s">
        <v>1883</v>
      </c>
      <c r="O562" s="3" t="s">
        <v>65</v>
      </c>
      <c r="P562" s="3" t="s">
        <v>66</v>
      </c>
      <c r="R562" s="3" t="s">
        <v>68</v>
      </c>
      <c r="S562" s="4">
        <v>1</v>
      </c>
      <c r="T562" s="4">
        <v>1</v>
      </c>
      <c r="U562" s="5" t="s">
        <v>6831</v>
      </c>
      <c r="V562" s="5" t="s">
        <v>6831</v>
      </c>
      <c r="W562" s="5" t="s">
        <v>7036</v>
      </c>
      <c r="X562" s="5" t="s">
        <v>7036</v>
      </c>
      <c r="Y562" s="4">
        <v>679</v>
      </c>
      <c r="Z562" s="4">
        <v>600</v>
      </c>
      <c r="AA562" s="4">
        <v>658</v>
      </c>
      <c r="AB562" s="4">
        <v>2</v>
      </c>
      <c r="AC562" s="4">
        <v>2</v>
      </c>
      <c r="AD562" s="4">
        <v>29</v>
      </c>
      <c r="AE562" s="4">
        <v>29</v>
      </c>
      <c r="AF562" s="4">
        <v>14</v>
      </c>
      <c r="AG562" s="4">
        <v>14</v>
      </c>
      <c r="AH562" s="4">
        <v>6</v>
      </c>
      <c r="AI562" s="4">
        <v>6</v>
      </c>
      <c r="AJ562" s="4">
        <v>14</v>
      </c>
      <c r="AK562" s="4">
        <v>14</v>
      </c>
      <c r="AL562" s="4">
        <v>1</v>
      </c>
      <c r="AM562" s="4">
        <v>1</v>
      </c>
      <c r="AN562" s="4">
        <v>0</v>
      </c>
      <c r="AO562" s="4">
        <v>0</v>
      </c>
      <c r="AP562" s="3" t="s">
        <v>71</v>
      </c>
      <c r="AQ562" s="3" t="s">
        <v>59</v>
      </c>
      <c r="AR562" s="6" t="str">
        <f>HYPERLINK("http://catalog.hathitrust.org/Record/000387176","HathiTrust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HYPERLINK("https://creighton-primo.hosted.exlibrisgroup.com/primo-explore/search?tab=default_tab&amp;search_scope=EVERYTHING&amp;vid=01CRU&amp;lang=en_US&amp;offset=0&amp;query=any,contains,991001232649702656","Catalog Record")</f>
        <v>Catalog Record</v>
      </c>
      <c r="AT562" s="6" t="str">
        <f>HYPERLINK("http://www.worldcat.org/oclc/204108","WorldCat Record")</f>
        <v>WorldCat Record</v>
      </c>
      <c r="AU562" s="3" t="s">
        <v>7149</v>
      </c>
      <c r="AV562" s="3" t="s">
        <v>7150</v>
      </c>
      <c r="AW562" s="3" t="s">
        <v>7151</v>
      </c>
      <c r="AX562" s="3" t="s">
        <v>7151</v>
      </c>
      <c r="AY562" s="3" t="s">
        <v>7152</v>
      </c>
      <c r="AZ562" s="3" t="s">
        <v>76</v>
      </c>
      <c r="BC562" s="3" t="s">
        <v>7153</v>
      </c>
      <c r="BD562" s="3" t="s">
        <v>7154</v>
      </c>
    </row>
    <row r="563" spans="1:56" ht="52.5" customHeight="1" x14ac:dyDescent="0.25">
      <c r="A563" s="7" t="s">
        <v>59</v>
      </c>
      <c r="B563" s="2" t="s">
        <v>7155</v>
      </c>
      <c r="C563" s="2" t="s">
        <v>7156</v>
      </c>
      <c r="D563" s="2" t="s">
        <v>7157</v>
      </c>
      <c r="F563" s="3" t="s">
        <v>59</v>
      </c>
      <c r="G563" s="3" t="s">
        <v>60</v>
      </c>
      <c r="H563" s="3" t="s">
        <v>59</v>
      </c>
      <c r="I563" s="3" t="s">
        <v>59</v>
      </c>
      <c r="J563" s="3" t="s">
        <v>61</v>
      </c>
      <c r="K563" s="2" t="s">
        <v>7158</v>
      </c>
      <c r="L563" s="2" t="s">
        <v>7159</v>
      </c>
      <c r="M563" s="3" t="s">
        <v>1217</v>
      </c>
      <c r="O563" s="3" t="s">
        <v>65</v>
      </c>
      <c r="P563" s="3" t="s">
        <v>66</v>
      </c>
      <c r="Q563" s="2" t="s">
        <v>4107</v>
      </c>
      <c r="R563" s="3" t="s">
        <v>68</v>
      </c>
      <c r="S563" s="4">
        <v>8</v>
      </c>
      <c r="T563" s="4">
        <v>8</v>
      </c>
      <c r="U563" s="5" t="s">
        <v>7160</v>
      </c>
      <c r="V563" s="5" t="s">
        <v>7160</v>
      </c>
      <c r="W563" s="5" t="s">
        <v>7161</v>
      </c>
      <c r="X563" s="5" t="s">
        <v>7161</v>
      </c>
      <c r="Y563" s="4">
        <v>801</v>
      </c>
      <c r="Z563" s="4">
        <v>639</v>
      </c>
      <c r="AA563" s="4">
        <v>772</v>
      </c>
      <c r="AB563" s="4">
        <v>5</v>
      </c>
      <c r="AC563" s="4">
        <v>5</v>
      </c>
      <c r="AD563" s="4">
        <v>28</v>
      </c>
      <c r="AE563" s="4">
        <v>30</v>
      </c>
      <c r="AF563" s="4">
        <v>11</v>
      </c>
      <c r="AG563" s="4">
        <v>13</v>
      </c>
      <c r="AH563" s="4">
        <v>6</v>
      </c>
      <c r="AI563" s="4">
        <v>6</v>
      </c>
      <c r="AJ563" s="4">
        <v>15</v>
      </c>
      <c r="AK563" s="4">
        <v>16</v>
      </c>
      <c r="AL563" s="4">
        <v>3</v>
      </c>
      <c r="AM563" s="4">
        <v>3</v>
      </c>
      <c r="AN563" s="4">
        <v>0</v>
      </c>
      <c r="AO563" s="4">
        <v>0</v>
      </c>
      <c r="AP563" s="3" t="s">
        <v>59</v>
      </c>
      <c r="AQ563" s="3" t="s">
        <v>59</v>
      </c>
      <c r="AS563" s="6" t="str">
        <f>HYPERLINK("https://creighton-primo.hosted.exlibrisgroup.com/primo-explore/search?tab=default_tab&amp;search_scope=EVERYTHING&amp;vid=01CRU&amp;lang=en_US&amp;offset=0&amp;query=any,contains,991000439969702656","Catalog Record")</f>
        <v>Catalog Record</v>
      </c>
      <c r="AT563" s="6" t="str">
        <f>HYPERLINK("http://www.worldcat.org/oclc/10823510","WorldCat Record")</f>
        <v>WorldCat Record</v>
      </c>
      <c r="AU563" s="3" t="s">
        <v>7162</v>
      </c>
      <c r="AV563" s="3" t="s">
        <v>7163</v>
      </c>
      <c r="AW563" s="3" t="s">
        <v>7164</v>
      </c>
      <c r="AX563" s="3" t="s">
        <v>7164</v>
      </c>
      <c r="AY563" s="3" t="s">
        <v>7165</v>
      </c>
      <c r="AZ563" s="3" t="s">
        <v>76</v>
      </c>
      <c r="BB563" s="3" t="s">
        <v>7166</v>
      </c>
      <c r="BC563" s="3" t="s">
        <v>7167</v>
      </c>
      <c r="BD563" s="3" t="s">
        <v>7168</v>
      </c>
    </row>
    <row r="564" spans="1:56" ht="52.5" customHeight="1" x14ac:dyDescent="0.25">
      <c r="A564" s="7" t="s">
        <v>59</v>
      </c>
      <c r="B564" s="2" t="s">
        <v>7169</v>
      </c>
      <c r="C564" s="2" t="s">
        <v>7170</v>
      </c>
      <c r="D564" s="2" t="s">
        <v>7171</v>
      </c>
      <c r="F564" s="3" t="s">
        <v>59</v>
      </c>
      <c r="G564" s="3" t="s">
        <v>60</v>
      </c>
      <c r="H564" s="3" t="s">
        <v>59</v>
      </c>
      <c r="I564" s="3" t="s">
        <v>59</v>
      </c>
      <c r="J564" s="3" t="s">
        <v>61</v>
      </c>
      <c r="K564" s="2" t="s">
        <v>7172</v>
      </c>
      <c r="L564" s="2" t="s">
        <v>7173</v>
      </c>
      <c r="M564" s="3" t="s">
        <v>616</v>
      </c>
      <c r="O564" s="3" t="s">
        <v>65</v>
      </c>
      <c r="P564" s="3" t="s">
        <v>66</v>
      </c>
      <c r="R564" s="3" t="s">
        <v>68</v>
      </c>
      <c r="S564" s="4">
        <v>5</v>
      </c>
      <c r="T564" s="4">
        <v>5</v>
      </c>
      <c r="U564" s="5" t="s">
        <v>7174</v>
      </c>
      <c r="V564" s="5" t="s">
        <v>7174</v>
      </c>
      <c r="W564" s="5" t="s">
        <v>7175</v>
      </c>
      <c r="X564" s="5" t="s">
        <v>7175</v>
      </c>
      <c r="Y564" s="4">
        <v>422</v>
      </c>
      <c r="Z564" s="4">
        <v>345</v>
      </c>
      <c r="AA564" s="4">
        <v>352</v>
      </c>
      <c r="AB564" s="4">
        <v>4</v>
      </c>
      <c r="AC564" s="4">
        <v>4</v>
      </c>
      <c r="AD564" s="4">
        <v>13</v>
      </c>
      <c r="AE564" s="4">
        <v>13</v>
      </c>
      <c r="AF564" s="4">
        <v>6</v>
      </c>
      <c r="AG564" s="4">
        <v>6</v>
      </c>
      <c r="AH564" s="4">
        <v>1</v>
      </c>
      <c r="AI564" s="4">
        <v>1</v>
      </c>
      <c r="AJ564" s="4">
        <v>6</v>
      </c>
      <c r="AK564" s="4">
        <v>6</v>
      </c>
      <c r="AL564" s="4">
        <v>3</v>
      </c>
      <c r="AM564" s="4">
        <v>3</v>
      </c>
      <c r="AN564" s="4">
        <v>0</v>
      </c>
      <c r="AO564" s="4">
        <v>0</v>
      </c>
      <c r="AP564" s="3" t="s">
        <v>59</v>
      </c>
      <c r="AQ564" s="3" t="s">
        <v>71</v>
      </c>
      <c r="AR564" s="6" t="str">
        <f>HYPERLINK("http://catalog.hathitrust.org/Record/000921096","HathiTrust Record")</f>
        <v>HathiTrust Record</v>
      </c>
      <c r="AS564" s="6" t="str">
        <f>HYPERLINK("https://creighton-primo.hosted.exlibrisgroup.com/primo-explore/search?tab=default_tab&amp;search_scope=EVERYTHING&amp;vid=01CRU&amp;lang=en_US&amp;offset=0&amp;query=any,contains,991001173289702656","Catalog Record")</f>
        <v>Catalog Record</v>
      </c>
      <c r="AT564" s="6" t="str">
        <f>HYPERLINK("http://www.worldcat.org/oclc/16983670","WorldCat Record")</f>
        <v>WorldCat Record</v>
      </c>
      <c r="AU564" s="3" t="s">
        <v>7176</v>
      </c>
      <c r="AV564" s="3" t="s">
        <v>7177</v>
      </c>
      <c r="AW564" s="3" t="s">
        <v>7178</v>
      </c>
      <c r="AX564" s="3" t="s">
        <v>7178</v>
      </c>
      <c r="AY564" s="3" t="s">
        <v>7179</v>
      </c>
      <c r="AZ564" s="3" t="s">
        <v>76</v>
      </c>
      <c r="BB564" s="3" t="s">
        <v>7180</v>
      </c>
      <c r="BC564" s="3" t="s">
        <v>7181</v>
      </c>
      <c r="BD564" s="3" t="s">
        <v>7182</v>
      </c>
    </row>
    <row r="565" spans="1:56" ht="52.5" customHeight="1" x14ac:dyDescent="0.25">
      <c r="A565" s="7" t="s">
        <v>59</v>
      </c>
      <c r="B565" s="2" t="s">
        <v>7183</v>
      </c>
      <c r="C565" s="2" t="s">
        <v>7184</v>
      </c>
      <c r="D565" s="2" t="s">
        <v>7185</v>
      </c>
      <c r="F565" s="3" t="s">
        <v>59</v>
      </c>
      <c r="G565" s="3" t="s">
        <v>60</v>
      </c>
      <c r="H565" s="3" t="s">
        <v>59</v>
      </c>
      <c r="I565" s="3" t="s">
        <v>59</v>
      </c>
      <c r="J565" s="3" t="s">
        <v>61</v>
      </c>
      <c r="K565" s="2" t="s">
        <v>7186</v>
      </c>
      <c r="L565" s="2" t="s">
        <v>7187</v>
      </c>
      <c r="M565" s="3" t="s">
        <v>684</v>
      </c>
      <c r="O565" s="3" t="s">
        <v>65</v>
      </c>
      <c r="P565" s="3" t="s">
        <v>323</v>
      </c>
      <c r="R565" s="3" t="s">
        <v>68</v>
      </c>
      <c r="S565" s="4">
        <v>10</v>
      </c>
      <c r="T565" s="4">
        <v>10</v>
      </c>
      <c r="U565" s="5" t="s">
        <v>7188</v>
      </c>
      <c r="V565" s="5" t="s">
        <v>7188</v>
      </c>
      <c r="W565" s="5" t="s">
        <v>6856</v>
      </c>
      <c r="X565" s="5" t="s">
        <v>6856</v>
      </c>
      <c r="Y565" s="4">
        <v>710</v>
      </c>
      <c r="Z565" s="4">
        <v>633</v>
      </c>
      <c r="AA565" s="4">
        <v>832</v>
      </c>
      <c r="AB565" s="4">
        <v>4</v>
      </c>
      <c r="AC565" s="4">
        <v>4</v>
      </c>
      <c r="AD565" s="4">
        <v>29</v>
      </c>
      <c r="AE565" s="4">
        <v>34</v>
      </c>
      <c r="AF565" s="4">
        <v>12</v>
      </c>
      <c r="AG565" s="4">
        <v>16</v>
      </c>
      <c r="AH565" s="4">
        <v>7</v>
      </c>
      <c r="AI565" s="4">
        <v>8</v>
      </c>
      <c r="AJ565" s="4">
        <v>14</v>
      </c>
      <c r="AK565" s="4">
        <v>17</v>
      </c>
      <c r="AL565" s="4">
        <v>2</v>
      </c>
      <c r="AM565" s="4">
        <v>2</v>
      </c>
      <c r="AN565" s="4">
        <v>0</v>
      </c>
      <c r="AO565" s="4">
        <v>0</v>
      </c>
      <c r="AP565" s="3" t="s">
        <v>59</v>
      </c>
      <c r="AQ565" s="3" t="s">
        <v>71</v>
      </c>
      <c r="AR565" s="6" t="str">
        <f>HYPERLINK("http://catalog.hathitrust.org/Record/000265144","HathiTrust Record")</f>
        <v>HathiTrust Record</v>
      </c>
      <c r="AS565" s="6" t="str">
        <f>HYPERLINK("https://creighton-primo.hosted.exlibrisgroup.com/primo-explore/search?tab=default_tab&amp;search_scope=EVERYTHING&amp;vid=01CRU&amp;lang=en_US&amp;offset=0&amp;query=any,contains,991005112549702656","Catalog Record")</f>
        <v>Catalog Record</v>
      </c>
      <c r="AT565" s="6" t="str">
        <f>HYPERLINK("http://www.worldcat.org/oclc/7459453","WorldCat Record")</f>
        <v>WorldCat Record</v>
      </c>
      <c r="AU565" s="3" t="s">
        <v>7189</v>
      </c>
      <c r="AV565" s="3" t="s">
        <v>7190</v>
      </c>
      <c r="AW565" s="3" t="s">
        <v>7191</v>
      </c>
      <c r="AX565" s="3" t="s">
        <v>7191</v>
      </c>
      <c r="AY565" s="3" t="s">
        <v>7192</v>
      </c>
      <c r="AZ565" s="3" t="s">
        <v>76</v>
      </c>
      <c r="BB565" s="3" t="s">
        <v>7193</v>
      </c>
      <c r="BC565" s="3" t="s">
        <v>7194</v>
      </c>
      <c r="BD565" s="3" t="s">
        <v>7195</v>
      </c>
    </row>
    <row r="566" spans="1:56" ht="52.5" customHeight="1" x14ac:dyDescent="0.25">
      <c r="A566" s="7" t="s">
        <v>59</v>
      </c>
      <c r="B566" s="2" t="s">
        <v>7196</v>
      </c>
      <c r="C566" s="2" t="s">
        <v>7197</v>
      </c>
      <c r="D566" s="2" t="s">
        <v>7198</v>
      </c>
      <c r="F566" s="3" t="s">
        <v>59</v>
      </c>
      <c r="G566" s="3" t="s">
        <v>60</v>
      </c>
      <c r="H566" s="3" t="s">
        <v>59</v>
      </c>
      <c r="I566" s="3" t="s">
        <v>59</v>
      </c>
      <c r="J566" s="3" t="s">
        <v>61</v>
      </c>
      <c r="K566" s="2" t="s">
        <v>7199</v>
      </c>
      <c r="L566" s="2" t="s">
        <v>7200</v>
      </c>
      <c r="M566" s="3" t="s">
        <v>148</v>
      </c>
      <c r="O566" s="3" t="s">
        <v>65</v>
      </c>
      <c r="P566" s="3" t="s">
        <v>420</v>
      </c>
      <c r="R566" s="3" t="s">
        <v>68</v>
      </c>
      <c r="S566" s="4">
        <v>2</v>
      </c>
      <c r="T566" s="4">
        <v>2</v>
      </c>
      <c r="U566" s="5" t="s">
        <v>7201</v>
      </c>
      <c r="V566" s="5" t="s">
        <v>7201</v>
      </c>
      <c r="W566" s="5" t="s">
        <v>7202</v>
      </c>
      <c r="X566" s="5" t="s">
        <v>7202</v>
      </c>
      <c r="Y566" s="4">
        <v>255</v>
      </c>
      <c r="Z566" s="4">
        <v>208</v>
      </c>
      <c r="AA566" s="4">
        <v>370</v>
      </c>
      <c r="AB566" s="4">
        <v>2</v>
      </c>
      <c r="AC566" s="4">
        <v>5</v>
      </c>
      <c r="AD566" s="4">
        <v>6</v>
      </c>
      <c r="AE566" s="4">
        <v>13</v>
      </c>
      <c r="AF566" s="4">
        <v>1</v>
      </c>
      <c r="AG566" s="4">
        <v>2</v>
      </c>
      <c r="AH566" s="4">
        <v>1</v>
      </c>
      <c r="AI566" s="4">
        <v>3</v>
      </c>
      <c r="AJ566" s="4">
        <v>4</v>
      </c>
      <c r="AK566" s="4">
        <v>7</v>
      </c>
      <c r="AL566" s="4">
        <v>1</v>
      </c>
      <c r="AM566" s="4">
        <v>4</v>
      </c>
      <c r="AN566" s="4">
        <v>0</v>
      </c>
      <c r="AO566" s="4">
        <v>0</v>
      </c>
      <c r="AP566" s="3" t="s">
        <v>59</v>
      </c>
      <c r="AQ566" s="3" t="s">
        <v>71</v>
      </c>
      <c r="AR566" s="6" t="str">
        <f>HYPERLINK("http://catalog.hathitrust.org/Record/009912444","HathiTrust Record")</f>
        <v>HathiTrust Record</v>
      </c>
      <c r="AS566" s="6" t="str">
        <f>HYPERLINK("https://creighton-primo.hosted.exlibrisgroup.com/primo-explore/search?tab=default_tab&amp;search_scope=EVERYTHING&amp;vid=01CRU&amp;lang=en_US&amp;offset=0&amp;query=any,contains,991004119599702656","Catalog Record")</f>
        <v>Catalog Record</v>
      </c>
      <c r="AT566" s="6" t="str">
        <f>HYPERLINK("http://www.worldcat.org/oclc/2424328","WorldCat Record")</f>
        <v>WorldCat Record</v>
      </c>
      <c r="AU566" s="3" t="s">
        <v>7203</v>
      </c>
      <c r="AV566" s="3" t="s">
        <v>7204</v>
      </c>
      <c r="AW566" s="3" t="s">
        <v>7205</v>
      </c>
      <c r="AX566" s="3" t="s">
        <v>7205</v>
      </c>
      <c r="AY566" s="3" t="s">
        <v>7206</v>
      </c>
      <c r="AZ566" s="3" t="s">
        <v>76</v>
      </c>
      <c r="BB566" s="3" t="s">
        <v>7207</v>
      </c>
      <c r="BC566" s="3" t="s">
        <v>7208</v>
      </c>
      <c r="BD566" s="3" t="s">
        <v>7209</v>
      </c>
    </row>
    <row r="567" spans="1:56" ht="52.5" customHeight="1" x14ac:dyDescent="0.25">
      <c r="A567" s="7" t="s">
        <v>59</v>
      </c>
      <c r="B567" s="2" t="s">
        <v>7210</v>
      </c>
      <c r="C567" s="2" t="s">
        <v>7211</v>
      </c>
      <c r="D567" s="2" t="s">
        <v>7212</v>
      </c>
      <c r="F567" s="3" t="s">
        <v>59</v>
      </c>
      <c r="G567" s="3" t="s">
        <v>60</v>
      </c>
      <c r="H567" s="3" t="s">
        <v>59</v>
      </c>
      <c r="I567" s="3" t="s">
        <v>59</v>
      </c>
      <c r="J567" s="3" t="s">
        <v>61</v>
      </c>
      <c r="K567" s="2" t="s">
        <v>7213</v>
      </c>
      <c r="L567" s="2" t="s">
        <v>7214</v>
      </c>
      <c r="M567" s="3" t="s">
        <v>405</v>
      </c>
      <c r="O567" s="3" t="s">
        <v>65</v>
      </c>
      <c r="P567" s="3" t="s">
        <v>296</v>
      </c>
      <c r="R567" s="3" t="s">
        <v>68</v>
      </c>
      <c r="S567" s="4">
        <v>2</v>
      </c>
      <c r="T567" s="4">
        <v>2</v>
      </c>
      <c r="U567" s="5" t="s">
        <v>7215</v>
      </c>
      <c r="V567" s="5" t="s">
        <v>7215</v>
      </c>
      <c r="W567" s="5" t="s">
        <v>6856</v>
      </c>
      <c r="X567" s="5" t="s">
        <v>6856</v>
      </c>
      <c r="Y567" s="4">
        <v>686</v>
      </c>
      <c r="Z567" s="4">
        <v>521</v>
      </c>
      <c r="AA567" s="4">
        <v>525</v>
      </c>
      <c r="AB567" s="4">
        <v>5</v>
      </c>
      <c r="AC567" s="4">
        <v>5</v>
      </c>
      <c r="AD567" s="4">
        <v>28</v>
      </c>
      <c r="AE567" s="4">
        <v>28</v>
      </c>
      <c r="AF567" s="4">
        <v>10</v>
      </c>
      <c r="AG567" s="4">
        <v>10</v>
      </c>
      <c r="AH567" s="4">
        <v>6</v>
      </c>
      <c r="AI567" s="4">
        <v>6</v>
      </c>
      <c r="AJ567" s="4">
        <v>14</v>
      </c>
      <c r="AK567" s="4">
        <v>14</v>
      </c>
      <c r="AL567" s="4">
        <v>4</v>
      </c>
      <c r="AM567" s="4">
        <v>4</v>
      </c>
      <c r="AN567" s="4">
        <v>0</v>
      </c>
      <c r="AO567" s="4">
        <v>0</v>
      </c>
      <c r="AP567" s="3" t="s">
        <v>59</v>
      </c>
      <c r="AQ567" s="3" t="s">
        <v>59</v>
      </c>
      <c r="AS567" s="6" t="str">
        <f>HYPERLINK("https://creighton-primo.hosted.exlibrisgroup.com/primo-explore/search?tab=default_tab&amp;search_scope=EVERYTHING&amp;vid=01CRU&amp;lang=en_US&amp;offset=0&amp;query=any,contains,991001063729702656","Catalog Record")</f>
        <v>Catalog Record</v>
      </c>
      <c r="AT567" s="6" t="str">
        <f>HYPERLINK("http://www.worldcat.org/oclc/15792013","WorldCat Record")</f>
        <v>WorldCat Record</v>
      </c>
      <c r="AU567" s="3" t="s">
        <v>7216</v>
      </c>
      <c r="AV567" s="3" t="s">
        <v>7217</v>
      </c>
      <c r="AW567" s="3" t="s">
        <v>7218</v>
      </c>
      <c r="AX567" s="3" t="s">
        <v>7218</v>
      </c>
      <c r="AY567" s="3" t="s">
        <v>7219</v>
      </c>
      <c r="AZ567" s="3" t="s">
        <v>76</v>
      </c>
      <c r="BB567" s="3" t="s">
        <v>7220</v>
      </c>
      <c r="BC567" s="3" t="s">
        <v>7221</v>
      </c>
      <c r="BD567" s="3" t="s">
        <v>7222</v>
      </c>
    </row>
    <row r="568" spans="1:56" ht="52.5" customHeight="1" x14ac:dyDescent="0.25">
      <c r="A568" s="7" t="s">
        <v>59</v>
      </c>
      <c r="B568" s="2" t="s">
        <v>7223</v>
      </c>
      <c r="C568" s="2" t="s">
        <v>7224</v>
      </c>
      <c r="D568" s="2" t="s">
        <v>7225</v>
      </c>
      <c r="F568" s="3" t="s">
        <v>59</v>
      </c>
      <c r="G568" s="3" t="s">
        <v>60</v>
      </c>
      <c r="H568" s="3" t="s">
        <v>59</v>
      </c>
      <c r="I568" s="3" t="s">
        <v>59</v>
      </c>
      <c r="J568" s="3" t="s">
        <v>61</v>
      </c>
      <c r="L568" s="2" t="s">
        <v>7226</v>
      </c>
      <c r="M568" s="3" t="s">
        <v>1163</v>
      </c>
      <c r="O568" s="3" t="s">
        <v>65</v>
      </c>
      <c r="P568" s="3" t="s">
        <v>699</v>
      </c>
      <c r="R568" s="3" t="s">
        <v>68</v>
      </c>
      <c r="S568" s="4">
        <v>2</v>
      </c>
      <c r="T568" s="4">
        <v>2</v>
      </c>
      <c r="U568" s="5" t="s">
        <v>7227</v>
      </c>
      <c r="V568" s="5" t="s">
        <v>7227</v>
      </c>
      <c r="W568" s="5" t="s">
        <v>6856</v>
      </c>
      <c r="X568" s="5" t="s">
        <v>6856</v>
      </c>
      <c r="Y568" s="4">
        <v>502</v>
      </c>
      <c r="Z568" s="4">
        <v>415</v>
      </c>
      <c r="AA568" s="4">
        <v>434</v>
      </c>
      <c r="AB568" s="4">
        <v>5</v>
      </c>
      <c r="AC568" s="4">
        <v>5</v>
      </c>
      <c r="AD568" s="4">
        <v>21</v>
      </c>
      <c r="AE568" s="4">
        <v>22</v>
      </c>
      <c r="AF568" s="4">
        <v>4</v>
      </c>
      <c r="AG568" s="4">
        <v>5</v>
      </c>
      <c r="AH568" s="4">
        <v>7</v>
      </c>
      <c r="AI568" s="4">
        <v>7</v>
      </c>
      <c r="AJ568" s="4">
        <v>12</v>
      </c>
      <c r="AK568" s="4">
        <v>12</v>
      </c>
      <c r="AL568" s="4">
        <v>4</v>
      </c>
      <c r="AM568" s="4">
        <v>4</v>
      </c>
      <c r="AN568" s="4">
        <v>0</v>
      </c>
      <c r="AO568" s="4">
        <v>0</v>
      </c>
      <c r="AP568" s="3" t="s">
        <v>59</v>
      </c>
      <c r="AQ568" s="3" t="s">
        <v>71</v>
      </c>
      <c r="AR568" s="6" t="str">
        <f>HYPERLINK("http://catalog.hathitrust.org/Record/004444952","HathiTrust Record")</f>
        <v>HathiTrust Record</v>
      </c>
      <c r="AS568" s="6" t="str">
        <f>HYPERLINK("https://creighton-primo.hosted.exlibrisgroup.com/primo-explore/search?tab=default_tab&amp;search_scope=EVERYTHING&amp;vid=01CRU&amp;lang=en_US&amp;offset=0&amp;query=any,contains,991000589029702656","Catalog Record")</f>
        <v>Catalog Record</v>
      </c>
      <c r="AT568" s="6" t="str">
        <f>HYPERLINK("http://www.worldcat.org/oclc/11783613","WorldCat Record")</f>
        <v>WorldCat Record</v>
      </c>
      <c r="AU568" s="3" t="s">
        <v>7228</v>
      </c>
      <c r="AV568" s="3" t="s">
        <v>7229</v>
      </c>
      <c r="AW568" s="3" t="s">
        <v>7230</v>
      </c>
      <c r="AX568" s="3" t="s">
        <v>7230</v>
      </c>
      <c r="AY568" s="3" t="s">
        <v>7231</v>
      </c>
      <c r="AZ568" s="3" t="s">
        <v>76</v>
      </c>
      <c r="BB568" s="3" t="s">
        <v>7232</v>
      </c>
      <c r="BC568" s="3" t="s">
        <v>7233</v>
      </c>
      <c r="BD568" s="3" t="s">
        <v>7234</v>
      </c>
    </row>
    <row r="569" spans="1:56" ht="52.5" customHeight="1" x14ac:dyDescent="0.25">
      <c r="A569" s="7" t="s">
        <v>59</v>
      </c>
      <c r="B569" s="2" t="s">
        <v>7235</v>
      </c>
      <c r="C569" s="2" t="s">
        <v>7236</v>
      </c>
      <c r="D569" s="2" t="s">
        <v>7237</v>
      </c>
      <c r="F569" s="3" t="s">
        <v>59</v>
      </c>
      <c r="G569" s="3" t="s">
        <v>60</v>
      </c>
      <c r="H569" s="3" t="s">
        <v>59</v>
      </c>
      <c r="I569" s="3" t="s">
        <v>59</v>
      </c>
      <c r="J569" s="3" t="s">
        <v>61</v>
      </c>
      <c r="K569" s="2" t="s">
        <v>7238</v>
      </c>
      <c r="L569" s="2" t="s">
        <v>6939</v>
      </c>
      <c r="M569" s="3" t="s">
        <v>549</v>
      </c>
      <c r="O569" s="3" t="s">
        <v>65</v>
      </c>
      <c r="P569" s="3" t="s">
        <v>1262</v>
      </c>
      <c r="R569" s="3" t="s">
        <v>68</v>
      </c>
      <c r="S569" s="4">
        <v>4</v>
      </c>
      <c r="T569" s="4">
        <v>4</v>
      </c>
      <c r="U569" s="5" t="s">
        <v>7239</v>
      </c>
      <c r="V569" s="5" t="s">
        <v>7239</v>
      </c>
      <c r="W569" s="5" t="s">
        <v>2032</v>
      </c>
      <c r="X569" s="5" t="s">
        <v>2032</v>
      </c>
      <c r="Y569" s="4">
        <v>488</v>
      </c>
      <c r="Z569" s="4">
        <v>344</v>
      </c>
      <c r="AA569" s="4">
        <v>345</v>
      </c>
      <c r="AB569" s="4">
        <v>2</v>
      </c>
      <c r="AC569" s="4">
        <v>2</v>
      </c>
      <c r="AD569" s="4">
        <v>19</v>
      </c>
      <c r="AE569" s="4">
        <v>19</v>
      </c>
      <c r="AF569" s="4">
        <v>6</v>
      </c>
      <c r="AG569" s="4">
        <v>6</v>
      </c>
      <c r="AH569" s="4">
        <v>5</v>
      </c>
      <c r="AI569" s="4">
        <v>5</v>
      </c>
      <c r="AJ569" s="4">
        <v>10</v>
      </c>
      <c r="AK569" s="4">
        <v>10</v>
      </c>
      <c r="AL569" s="4">
        <v>1</v>
      </c>
      <c r="AM569" s="4">
        <v>1</v>
      </c>
      <c r="AN569" s="4">
        <v>1</v>
      </c>
      <c r="AO569" s="4">
        <v>1</v>
      </c>
      <c r="AP569" s="3" t="s">
        <v>59</v>
      </c>
      <c r="AQ569" s="3" t="s">
        <v>59</v>
      </c>
      <c r="AS569" s="6" t="str">
        <f>HYPERLINK("https://creighton-primo.hosted.exlibrisgroup.com/primo-explore/search?tab=default_tab&amp;search_scope=EVERYTHING&amp;vid=01CRU&amp;lang=en_US&amp;offset=0&amp;query=any,contains,991000768809702656","Catalog Record")</f>
        <v>Catalog Record</v>
      </c>
      <c r="AT569" s="6" t="str">
        <f>HYPERLINK("http://www.worldcat.org/oclc/13008763","WorldCat Record")</f>
        <v>WorldCat Record</v>
      </c>
      <c r="AU569" s="3" t="s">
        <v>7240</v>
      </c>
      <c r="AV569" s="3" t="s">
        <v>7241</v>
      </c>
      <c r="AW569" s="3" t="s">
        <v>7242</v>
      </c>
      <c r="AX569" s="3" t="s">
        <v>7242</v>
      </c>
      <c r="AY569" s="3" t="s">
        <v>7243</v>
      </c>
      <c r="AZ569" s="3" t="s">
        <v>76</v>
      </c>
      <c r="BB569" s="3" t="s">
        <v>7244</v>
      </c>
      <c r="BC569" s="3" t="s">
        <v>7245</v>
      </c>
      <c r="BD569" s="3" t="s">
        <v>7246</v>
      </c>
    </row>
    <row r="570" spans="1:56" ht="52.5" customHeight="1" x14ac:dyDescent="0.25">
      <c r="A570" s="7" t="s">
        <v>59</v>
      </c>
      <c r="B570" s="2" t="s">
        <v>7247</v>
      </c>
      <c r="C570" s="2" t="s">
        <v>7248</v>
      </c>
      <c r="D570" s="2" t="s">
        <v>7249</v>
      </c>
      <c r="F570" s="3" t="s">
        <v>59</v>
      </c>
      <c r="G570" s="3" t="s">
        <v>60</v>
      </c>
      <c r="H570" s="3" t="s">
        <v>59</v>
      </c>
      <c r="I570" s="3" t="s">
        <v>59</v>
      </c>
      <c r="J570" s="3" t="s">
        <v>61</v>
      </c>
      <c r="K570" s="2" t="s">
        <v>7250</v>
      </c>
      <c r="L570" s="2" t="s">
        <v>7251</v>
      </c>
      <c r="M570" s="3" t="s">
        <v>131</v>
      </c>
      <c r="N570" s="2" t="s">
        <v>435</v>
      </c>
      <c r="O570" s="3" t="s">
        <v>65</v>
      </c>
      <c r="P570" s="3" t="s">
        <v>66</v>
      </c>
      <c r="R570" s="3" t="s">
        <v>68</v>
      </c>
      <c r="S570" s="4">
        <v>4</v>
      </c>
      <c r="T570" s="4">
        <v>4</v>
      </c>
      <c r="U570" s="5" t="s">
        <v>7252</v>
      </c>
      <c r="V570" s="5" t="s">
        <v>7252</v>
      </c>
      <c r="W570" s="5" t="s">
        <v>7036</v>
      </c>
      <c r="X570" s="5" t="s">
        <v>7036</v>
      </c>
      <c r="Y570" s="4">
        <v>1101</v>
      </c>
      <c r="Z570" s="4">
        <v>863</v>
      </c>
      <c r="AA570" s="4">
        <v>912</v>
      </c>
      <c r="AB570" s="4">
        <v>5</v>
      </c>
      <c r="AC570" s="4">
        <v>5</v>
      </c>
      <c r="AD570" s="4">
        <v>40</v>
      </c>
      <c r="AE570" s="4">
        <v>41</v>
      </c>
      <c r="AF570" s="4">
        <v>18</v>
      </c>
      <c r="AG570" s="4">
        <v>19</v>
      </c>
      <c r="AH570" s="4">
        <v>7</v>
      </c>
      <c r="AI570" s="4">
        <v>7</v>
      </c>
      <c r="AJ570" s="4">
        <v>21</v>
      </c>
      <c r="AK570" s="4">
        <v>21</v>
      </c>
      <c r="AL570" s="4">
        <v>4</v>
      </c>
      <c r="AM570" s="4">
        <v>4</v>
      </c>
      <c r="AN570" s="4">
        <v>0</v>
      </c>
      <c r="AO570" s="4">
        <v>0</v>
      </c>
      <c r="AP570" s="3" t="s">
        <v>59</v>
      </c>
      <c r="AQ570" s="3" t="s">
        <v>59</v>
      </c>
      <c r="AS570" s="6" t="str">
        <f>HYPERLINK("https://creighton-primo.hosted.exlibrisgroup.com/primo-explore/search?tab=default_tab&amp;search_scope=EVERYTHING&amp;vid=01CRU&amp;lang=en_US&amp;offset=0&amp;query=any,contains,991005253629702656","Catalog Record")</f>
        <v>Catalog Record</v>
      </c>
      <c r="AT570" s="6" t="str">
        <f>HYPERLINK("http://www.worldcat.org/oclc/730810","WorldCat Record")</f>
        <v>WorldCat Record</v>
      </c>
      <c r="AU570" s="3" t="s">
        <v>7253</v>
      </c>
      <c r="AV570" s="3" t="s">
        <v>7254</v>
      </c>
      <c r="AW570" s="3" t="s">
        <v>7255</v>
      </c>
      <c r="AX570" s="3" t="s">
        <v>7255</v>
      </c>
      <c r="AY570" s="3" t="s">
        <v>7256</v>
      </c>
      <c r="AZ570" s="3" t="s">
        <v>76</v>
      </c>
      <c r="BB570" s="3" t="s">
        <v>7257</v>
      </c>
      <c r="BC570" s="3" t="s">
        <v>7258</v>
      </c>
      <c r="BD570" s="3" t="s">
        <v>7259</v>
      </c>
    </row>
    <row r="571" spans="1:56" ht="52.5" customHeight="1" x14ac:dyDescent="0.25">
      <c r="A571" s="7" t="s">
        <v>59</v>
      </c>
      <c r="B571" s="2" t="s">
        <v>7260</v>
      </c>
      <c r="C571" s="2" t="s">
        <v>7261</v>
      </c>
      <c r="D571" s="2" t="s">
        <v>7262</v>
      </c>
      <c r="F571" s="3" t="s">
        <v>59</v>
      </c>
      <c r="G571" s="3" t="s">
        <v>60</v>
      </c>
      <c r="H571" s="3" t="s">
        <v>59</v>
      </c>
      <c r="I571" s="3" t="s">
        <v>59</v>
      </c>
      <c r="J571" s="3" t="s">
        <v>61</v>
      </c>
      <c r="K571" s="2" t="s">
        <v>7057</v>
      </c>
      <c r="L571" s="2" t="s">
        <v>7263</v>
      </c>
      <c r="M571" s="3" t="s">
        <v>549</v>
      </c>
      <c r="N571" s="2" t="s">
        <v>7264</v>
      </c>
      <c r="O571" s="3" t="s">
        <v>65</v>
      </c>
      <c r="P571" s="3" t="s">
        <v>699</v>
      </c>
      <c r="R571" s="3" t="s">
        <v>68</v>
      </c>
      <c r="S571" s="4">
        <v>8</v>
      </c>
      <c r="T571" s="4">
        <v>8</v>
      </c>
      <c r="U571" s="5" t="s">
        <v>7265</v>
      </c>
      <c r="V571" s="5" t="s">
        <v>7265</v>
      </c>
      <c r="W571" s="5" t="s">
        <v>6856</v>
      </c>
      <c r="X571" s="5" t="s">
        <v>6856</v>
      </c>
      <c r="Y571" s="4">
        <v>389</v>
      </c>
      <c r="Z571" s="4">
        <v>347</v>
      </c>
      <c r="AA571" s="4">
        <v>1675</v>
      </c>
      <c r="AB571" s="4">
        <v>5</v>
      </c>
      <c r="AC571" s="4">
        <v>8</v>
      </c>
      <c r="AD571" s="4">
        <v>17</v>
      </c>
      <c r="AE571" s="4">
        <v>49</v>
      </c>
      <c r="AF571" s="4">
        <v>4</v>
      </c>
      <c r="AG571" s="4">
        <v>20</v>
      </c>
      <c r="AH571" s="4">
        <v>4</v>
      </c>
      <c r="AI571" s="4">
        <v>10</v>
      </c>
      <c r="AJ571" s="4">
        <v>8</v>
      </c>
      <c r="AK571" s="4">
        <v>23</v>
      </c>
      <c r="AL571" s="4">
        <v>4</v>
      </c>
      <c r="AM571" s="4">
        <v>7</v>
      </c>
      <c r="AN571" s="4">
        <v>0</v>
      </c>
      <c r="AO571" s="4">
        <v>1</v>
      </c>
      <c r="AP571" s="3" t="s">
        <v>59</v>
      </c>
      <c r="AQ571" s="3" t="s">
        <v>71</v>
      </c>
      <c r="AR571" s="6" t="str">
        <f>HYPERLINK("http://catalog.hathitrust.org/Record/000488211","HathiTrust Record")</f>
        <v>HathiTrust Record</v>
      </c>
      <c r="AS571" s="6" t="str">
        <f>HYPERLINK("https://creighton-primo.hosted.exlibrisgroup.com/primo-explore/search?tab=default_tab&amp;search_scope=EVERYTHING&amp;vid=01CRU&amp;lang=en_US&amp;offset=0&amp;query=any,contains,991000891229702656","Catalog Record")</f>
        <v>Catalog Record</v>
      </c>
      <c r="AT571" s="6" t="str">
        <f>HYPERLINK("http://www.worldcat.org/oclc/13914967","WorldCat Record")</f>
        <v>WorldCat Record</v>
      </c>
      <c r="AU571" s="3" t="s">
        <v>7266</v>
      </c>
      <c r="AV571" s="3" t="s">
        <v>7267</v>
      </c>
      <c r="AW571" s="3" t="s">
        <v>7268</v>
      </c>
      <c r="AX571" s="3" t="s">
        <v>7268</v>
      </c>
      <c r="AY571" s="3" t="s">
        <v>7269</v>
      </c>
      <c r="AZ571" s="3" t="s">
        <v>76</v>
      </c>
      <c r="BB571" s="3" t="s">
        <v>7270</v>
      </c>
      <c r="BC571" s="3" t="s">
        <v>7271</v>
      </c>
      <c r="BD571" s="3" t="s">
        <v>7272</v>
      </c>
    </row>
    <row r="572" spans="1:56" ht="52.5" customHeight="1" x14ac:dyDescent="0.25">
      <c r="A572" s="7" t="s">
        <v>59</v>
      </c>
      <c r="B572" s="2" t="s">
        <v>7273</v>
      </c>
      <c r="C572" s="2" t="s">
        <v>7274</v>
      </c>
      <c r="D572" s="2" t="s">
        <v>7275</v>
      </c>
      <c r="F572" s="3" t="s">
        <v>59</v>
      </c>
      <c r="G572" s="3" t="s">
        <v>60</v>
      </c>
      <c r="H572" s="3" t="s">
        <v>59</v>
      </c>
      <c r="I572" s="3" t="s">
        <v>59</v>
      </c>
      <c r="J572" s="3" t="s">
        <v>61</v>
      </c>
      <c r="L572" s="2" t="s">
        <v>7276</v>
      </c>
      <c r="M572" s="3" t="s">
        <v>365</v>
      </c>
      <c r="O572" s="3" t="s">
        <v>65</v>
      </c>
      <c r="P572" s="3" t="s">
        <v>699</v>
      </c>
      <c r="R572" s="3" t="s">
        <v>68</v>
      </c>
      <c r="S572" s="4">
        <v>4</v>
      </c>
      <c r="T572" s="4">
        <v>4</v>
      </c>
      <c r="U572" s="5" t="s">
        <v>7277</v>
      </c>
      <c r="V572" s="5" t="s">
        <v>7277</v>
      </c>
      <c r="W572" s="5" t="s">
        <v>7278</v>
      </c>
      <c r="X572" s="5" t="s">
        <v>7278</v>
      </c>
      <c r="Y572" s="4">
        <v>382</v>
      </c>
      <c r="Z572" s="4">
        <v>287</v>
      </c>
      <c r="AA572" s="4">
        <v>309</v>
      </c>
      <c r="AB572" s="4">
        <v>4</v>
      </c>
      <c r="AC572" s="4">
        <v>4</v>
      </c>
      <c r="AD572" s="4">
        <v>17</v>
      </c>
      <c r="AE572" s="4">
        <v>17</v>
      </c>
      <c r="AF572" s="4">
        <v>3</v>
      </c>
      <c r="AG572" s="4">
        <v>3</v>
      </c>
      <c r="AH572" s="4">
        <v>6</v>
      </c>
      <c r="AI572" s="4">
        <v>6</v>
      </c>
      <c r="AJ572" s="4">
        <v>9</v>
      </c>
      <c r="AK572" s="4">
        <v>9</v>
      </c>
      <c r="AL572" s="4">
        <v>3</v>
      </c>
      <c r="AM572" s="4">
        <v>3</v>
      </c>
      <c r="AN572" s="4">
        <v>0</v>
      </c>
      <c r="AO572" s="4">
        <v>0</v>
      </c>
      <c r="AP572" s="3" t="s">
        <v>59</v>
      </c>
      <c r="AQ572" s="3" t="s">
        <v>59</v>
      </c>
      <c r="AS572" s="6" t="str">
        <f>HYPERLINK("https://creighton-primo.hosted.exlibrisgroup.com/primo-explore/search?tab=default_tab&amp;search_scope=EVERYTHING&amp;vid=01CRU&amp;lang=en_US&amp;offset=0&amp;query=any,contains,991001378039702656","Catalog Record")</f>
        <v>Catalog Record</v>
      </c>
      <c r="AT572" s="6" t="str">
        <f>HYPERLINK("http://www.worldcat.org/oclc/18629251","WorldCat Record")</f>
        <v>WorldCat Record</v>
      </c>
      <c r="AU572" s="3" t="s">
        <v>7279</v>
      </c>
      <c r="AV572" s="3" t="s">
        <v>7280</v>
      </c>
      <c r="AW572" s="3" t="s">
        <v>7281</v>
      </c>
      <c r="AX572" s="3" t="s">
        <v>7281</v>
      </c>
      <c r="AY572" s="3" t="s">
        <v>7282</v>
      </c>
      <c r="AZ572" s="3" t="s">
        <v>76</v>
      </c>
      <c r="BB572" s="3" t="s">
        <v>7283</v>
      </c>
      <c r="BC572" s="3" t="s">
        <v>7284</v>
      </c>
      <c r="BD572" s="3" t="s">
        <v>7285</v>
      </c>
    </row>
    <row r="573" spans="1:56" ht="52.5" customHeight="1" x14ac:dyDescent="0.25">
      <c r="A573" s="7" t="s">
        <v>59</v>
      </c>
      <c r="B573" s="2" t="s">
        <v>7286</v>
      </c>
      <c r="C573" s="2" t="s">
        <v>7287</v>
      </c>
      <c r="D573" s="2" t="s">
        <v>7288</v>
      </c>
      <c r="F573" s="3" t="s">
        <v>59</v>
      </c>
      <c r="G573" s="3" t="s">
        <v>60</v>
      </c>
      <c r="H573" s="3" t="s">
        <v>59</v>
      </c>
      <c r="I573" s="3" t="s">
        <v>59</v>
      </c>
      <c r="J573" s="3" t="s">
        <v>61</v>
      </c>
      <c r="L573" s="2" t="s">
        <v>7289</v>
      </c>
      <c r="M573" s="3" t="s">
        <v>405</v>
      </c>
      <c r="O573" s="3" t="s">
        <v>65</v>
      </c>
      <c r="P573" s="3" t="s">
        <v>1262</v>
      </c>
      <c r="R573" s="3" t="s">
        <v>68</v>
      </c>
      <c r="S573" s="4">
        <v>3</v>
      </c>
      <c r="T573" s="4">
        <v>3</v>
      </c>
      <c r="U573" s="5" t="s">
        <v>7290</v>
      </c>
      <c r="V573" s="5" t="s">
        <v>7290</v>
      </c>
      <c r="W573" s="5" t="s">
        <v>5188</v>
      </c>
      <c r="X573" s="5" t="s">
        <v>5188</v>
      </c>
      <c r="Y573" s="4">
        <v>480</v>
      </c>
      <c r="Z573" s="4">
        <v>322</v>
      </c>
      <c r="AA573" s="4">
        <v>331</v>
      </c>
      <c r="AB573" s="4">
        <v>2</v>
      </c>
      <c r="AC573" s="4">
        <v>2</v>
      </c>
      <c r="AD573" s="4">
        <v>12</v>
      </c>
      <c r="AE573" s="4">
        <v>12</v>
      </c>
      <c r="AF573" s="4">
        <v>2</v>
      </c>
      <c r="AG573" s="4">
        <v>2</v>
      </c>
      <c r="AH573" s="4">
        <v>5</v>
      </c>
      <c r="AI573" s="4">
        <v>5</v>
      </c>
      <c r="AJ573" s="4">
        <v>8</v>
      </c>
      <c r="AK573" s="4">
        <v>8</v>
      </c>
      <c r="AL573" s="4">
        <v>1</v>
      </c>
      <c r="AM573" s="4">
        <v>1</v>
      </c>
      <c r="AN573" s="4">
        <v>0</v>
      </c>
      <c r="AO573" s="4">
        <v>0</v>
      </c>
      <c r="AP573" s="3" t="s">
        <v>59</v>
      </c>
      <c r="AQ573" s="3" t="s">
        <v>59</v>
      </c>
      <c r="AS573" s="6" t="str">
        <f>HYPERLINK("https://creighton-primo.hosted.exlibrisgroup.com/primo-explore/search?tab=default_tab&amp;search_scope=EVERYTHING&amp;vid=01CRU&amp;lang=en_US&amp;offset=0&amp;query=any,contains,991000987309702656","Catalog Record")</f>
        <v>Catalog Record</v>
      </c>
      <c r="AT573" s="6" t="str">
        <f>HYPERLINK("http://www.worldcat.org/oclc/15083148","WorldCat Record")</f>
        <v>WorldCat Record</v>
      </c>
      <c r="AU573" s="3" t="s">
        <v>7291</v>
      </c>
      <c r="AV573" s="3" t="s">
        <v>7292</v>
      </c>
      <c r="AW573" s="3" t="s">
        <v>7293</v>
      </c>
      <c r="AX573" s="3" t="s">
        <v>7293</v>
      </c>
      <c r="AY573" s="3" t="s">
        <v>7294</v>
      </c>
      <c r="AZ573" s="3" t="s">
        <v>76</v>
      </c>
      <c r="BB573" s="3" t="s">
        <v>7295</v>
      </c>
      <c r="BC573" s="3" t="s">
        <v>7296</v>
      </c>
      <c r="BD573" s="3" t="s">
        <v>7297</v>
      </c>
    </row>
    <row r="574" spans="1:56" ht="52.5" customHeight="1" x14ac:dyDescent="0.25">
      <c r="A574" s="7" t="s">
        <v>59</v>
      </c>
      <c r="B574" s="2" t="s">
        <v>7298</v>
      </c>
      <c r="C574" s="2" t="s">
        <v>7299</v>
      </c>
      <c r="D574" s="2" t="s">
        <v>7300</v>
      </c>
      <c r="F574" s="3" t="s">
        <v>59</v>
      </c>
      <c r="G574" s="3" t="s">
        <v>60</v>
      </c>
      <c r="H574" s="3" t="s">
        <v>59</v>
      </c>
      <c r="I574" s="3" t="s">
        <v>59</v>
      </c>
      <c r="J574" s="3" t="s">
        <v>61</v>
      </c>
      <c r="L574" s="2" t="s">
        <v>7301</v>
      </c>
      <c r="M574" s="3" t="s">
        <v>365</v>
      </c>
      <c r="N574" s="2" t="s">
        <v>7302</v>
      </c>
      <c r="O574" s="3" t="s">
        <v>65</v>
      </c>
      <c r="P574" s="3" t="s">
        <v>66</v>
      </c>
      <c r="Q574" s="2" t="s">
        <v>7303</v>
      </c>
      <c r="R574" s="3" t="s">
        <v>68</v>
      </c>
      <c r="S574" s="4">
        <v>5</v>
      </c>
      <c r="T574" s="4">
        <v>5</v>
      </c>
      <c r="U574" s="5" t="s">
        <v>5712</v>
      </c>
      <c r="V574" s="5" t="s">
        <v>5712</v>
      </c>
      <c r="W574" s="5" t="s">
        <v>7304</v>
      </c>
      <c r="X574" s="5" t="s">
        <v>7304</v>
      </c>
      <c r="Y574" s="4">
        <v>42</v>
      </c>
      <c r="Z574" s="4">
        <v>26</v>
      </c>
      <c r="AA574" s="4">
        <v>356</v>
      </c>
      <c r="AB574" s="4">
        <v>1</v>
      </c>
      <c r="AC574" s="4">
        <v>3</v>
      </c>
      <c r="AD574" s="4">
        <v>0</v>
      </c>
      <c r="AE574" s="4">
        <v>16</v>
      </c>
      <c r="AF574" s="4">
        <v>0</v>
      </c>
      <c r="AG574" s="4">
        <v>5</v>
      </c>
      <c r="AH574" s="4">
        <v>0</v>
      </c>
      <c r="AI574" s="4">
        <v>4</v>
      </c>
      <c r="AJ574" s="4">
        <v>0</v>
      </c>
      <c r="AK574" s="4">
        <v>9</v>
      </c>
      <c r="AL574" s="4">
        <v>0</v>
      </c>
      <c r="AM574" s="4">
        <v>2</v>
      </c>
      <c r="AN574" s="4">
        <v>0</v>
      </c>
      <c r="AO574" s="4">
        <v>0</v>
      </c>
      <c r="AP574" s="3" t="s">
        <v>59</v>
      </c>
      <c r="AQ574" s="3" t="s">
        <v>59</v>
      </c>
      <c r="AS574" s="6" t="str">
        <f>HYPERLINK("https://creighton-primo.hosted.exlibrisgroup.com/primo-explore/search?tab=default_tab&amp;search_scope=EVERYTHING&amp;vid=01CRU&amp;lang=en_US&amp;offset=0&amp;query=any,contains,991001748829702656","Catalog Record")</f>
        <v>Catalog Record</v>
      </c>
      <c r="AT574" s="6" t="str">
        <f>HYPERLINK("http://www.worldcat.org/oclc/22152542","WorldCat Record")</f>
        <v>WorldCat Record</v>
      </c>
      <c r="AU574" s="3" t="s">
        <v>7305</v>
      </c>
      <c r="AV574" s="3" t="s">
        <v>7306</v>
      </c>
      <c r="AW574" s="3" t="s">
        <v>7307</v>
      </c>
      <c r="AX574" s="3" t="s">
        <v>7307</v>
      </c>
      <c r="AY574" s="3" t="s">
        <v>7308</v>
      </c>
      <c r="AZ574" s="3" t="s">
        <v>76</v>
      </c>
      <c r="BB574" s="3" t="s">
        <v>7309</v>
      </c>
      <c r="BC574" s="3" t="s">
        <v>7310</v>
      </c>
      <c r="BD574" s="3" t="s">
        <v>7311</v>
      </c>
    </row>
    <row r="575" spans="1:56" ht="52.5" customHeight="1" x14ac:dyDescent="0.25">
      <c r="A575" s="7" t="s">
        <v>59</v>
      </c>
      <c r="B575" s="2" t="s">
        <v>7312</v>
      </c>
      <c r="C575" s="2" t="s">
        <v>7313</v>
      </c>
      <c r="D575" s="2" t="s">
        <v>7314</v>
      </c>
      <c r="F575" s="3" t="s">
        <v>59</v>
      </c>
      <c r="G575" s="3" t="s">
        <v>60</v>
      </c>
      <c r="H575" s="3" t="s">
        <v>59</v>
      </c>
      <c r="I575" s="3" t="s">
        <v>59</v>
      </c>
      <c r="J575" s="3" t="s">
        <v>61</v>
      </c>
      <c r="K575" s="2" t="s">
        <v>5234</v>
      </c>
      <c r="L575" s="2" t="s">
        <v>7315</v>
      </c>
      <c r="M575" s="3" t="s">
        <v>365</v>
      </c>
      <c r="O575" s="3" t="s">
        <v>65</v>
      </c>
      <c r="P575" s="3" t="s">
        <v>66</v>
      </c>
      <c r="Q575" s="2" t="s">
        <v>4107</v>
      </c>
      <c r="R575" s="3" t="s">
        <v>68</v>
      </c>
      <c r="S575" s="4">
        <v>5</v>
      </c>
      <c r="T575" s="4">
        <v>5</v>
      </c>
      <c r="U575" s="5" t="s">
        <v>7316</v>
      </c>
      <c r="V575" s="5" t="s">
        <v>7316</v>
      </c>
      <c r="W575" s="5" t="s">
        <v>7317</v>
      </c>
      <c r="X575" s="5" t="s">
        <v>7317</v>
      </c>
      <c r="Y575" s="4">
        <v>539</v>
      </c>
      <c r="Z575" s="4">
        <v>427</v>
      </c>
      <c r="AA575" s="4">
        <v>433</v>
      </c>
      <c r="AB575" s="4">
        <v>6</v>
      </c>
      <c r="AC575" s="4">
        <v>6</v>
      </c>
      <c r="AD575" s="4">
        <v>25</v>
      </c>
      <c r="AE575" s="4">
        <v>25</v>
      </c>
      <c r="AF575" s="4">
        <v>10</v>
      </c>
      <c r="AG575" s="4">
        <v>10</v>
      </c>
      <c r="AH575" s="4">
        <v>6</v>
      </c>
      <c r="AI575" s="4">
        <v>6</v>
      </c>
      <c r="AJ575" s="4">
        <v>11</v>
      </c>
      <c r="AK575" s="4">
        <v>11</v>
      </c>
      <c r="AL575" s="4">
        <v>5</v>
      </c>
      <c r="AM575" s="4">
        <v>5</v>
      </c>
      <c r="AN575" s="4">
        <v>0</v>
      </c>
      <c r="AO575" s="4">
        <v>0</v>
      </c>
      <c r="AP575" s="3" t="s">
        <v>59</v>
      </c>
      <c r="AQ575" s="3" t="s">
        <v>71</v>
      </c>
      <c r="AR575" s="6" t="str">
        <f>HYPERLINK("http://catalog.hathitrust.org/Record/001104976","HathiTrust Record")</f>
        <v>HathiTrust Record</v>
      </c>
      <c r="AS575" s="6" t="str">
        <f>HYPERLINK("https://creighton-primo.hosted.exlibrisgroup.com/primo-explore/search?tab=default_tab&amp;search_scope=EVERYTHING&amp;vid=01CRU&amp;lang=en_US&amp;offset=0&amp;query=any,contains,991001299179702656","Catalog Record")</f>
        <v>Catalog Record</v>
      </c>
      <c r="AT575" s="6" t="str">
        <f>HYPERLINK("http://www.worldcat.org/oclc/18052668","WorldCat Record")</f>
        <v>WorldCat Record</v>
      </c>
      <c r="AU575" s="3" t="s">
        <v>7318</v>
      </c>
      <c r="AV575" s="3" t="s">
        <v>7319</v>
      </c>
      <c r="AW575" s="3" t="s">
        <v>7320</v>
      </c>
      <c r="AX575" s="3" t="s">
        <v>7320</v>
      </c>
      <c r="AY575" s="3" t="s">
        <v>7321</v>
      </c>
      <c r="AZ575" s="3" t="s">
        <v>76</v>
      </c>
      <c r="BB575" s="3" t="s">
        <v>7322</v>
      </c>
      <c r="BC575" s="3" t="s">
        <v>7323</v>
      </c>
      <c r="BD575" s="3" t="s">
        <v>7324</v>
      </c>
    </row>
    <row r="576" spans="1:56" ht="52.5" customHeight="1" x14ac:dyDescent="0.25">
      <c r="A576" s="7" t="s">
        <v>59</v>
      </c>
      <c r="B576" s="2" t="s">
        <v>7325</v>
      </c>
      <c r="C576" s="2" t="s">
        <v>7326</v>
      </c>
      <c r="D576" s="2" t="s">
        <v>7327</v>
      </c>
      <c r="F576" s="3" t="s">
        <v>59</v>
      </c>
      <c r="G576" s="3" t="s">
        <v>60</v>
      </c>
      <c r="H576" s="3" t="s">
        <v>59</v>
      </c>
      <c r="I576" s="3" t="s">
        <v>59</v>
      </c>
      <c r="J576" s="3" t="s">
        <v>61</v>
      </c>
      <c r="K576" s="2" t="s">
        <v>7328</v>
      </c>
      <c r="L576" s="2" t="s">
        <v>7329</v>
      </c>
      <c r="M576" s="3" t="s">
        <v>1233</v>
      </c>
      <c r="O576" s="3" t="s">
        <v>65</v>
      </c>
      <c r="P576" s="3" t="s">
        <v>699</v>
      </c>
      <c r="Q576" s="2" t="s">
        <v>7330</v>
      </c>
      <c r="R576" s="3" t="s">
        <v>68</v>
      </c>
      <c r="S576" s="4">
        <v>5</v>
      </c>
      <c r="T576" s="4">
        <v>5</v>
      </c>
      <c r="U576" s="5" t="s">
        <v>7331</v>
      </c>
      <c r="V576" s="5" t="s">
        <v>7331</v>
      </c>
      <c r="W576" s="5" t="s">
        <v>974</v>
      </c>
      <c r="X576" s="5" t="s">
        <v>974</v>
      </c>
      <c r="Y576" s="4">
        <v>894</v>
      </c>
      <c r="Z576" s="4">
        <v>821</v>
      </c>
      <c r="AA576" s="4">
        <v>1119</v>
      </c>
      <c r="AB576" s="4">
        <v>4</v>
      </c>
      <c r="AC576" s="4">
        <v>6</v>
      </c>
      <c r="AD576" s="4">
        <v>27</v>
      </c>
      <c r="AE576" s="4">
        <v>33</v>
      </c>
      <c r="AF576" s="4">
        <v>16</v>
      </c>
      <c r="AG576" s="4">
        <v>16</v>
      </c>
      <c r="AH576" s="4">
        <v>3</v>
      </c>
      <c r="AI576" s="4">
        <v>6</v>
      </c>
      <c r="AJ576" s="4">
        <v>14</v>
      </c>
      <c r="AK576" s="4">
        <v>17</v>
      </c>
      <c r="AL576" s="4">
        <v>1</v>
      </c>
      <c r="AM576" s="4">
        <v>2</v>
      </c>
      <c r="AN576" s="4">
        <v>0</v>
      </c>
      <c r="AO576" s="4">
        <v>1</v>
      </c>
      <c r="AP576" s="3" t="s">
        <v>59</v>
      </c>
      <c r="AQ576" s="3" t="s">
        <v>59</v>
      </c>
      <c r="AS576" s="6" t="str">
        <f>HYPERLINK("https://creighton-primo.hosted.exlibrisgroup.com/primo-explore/search?tab=default_tab&amp;search_scope=EVERYTHING&amp;vid=01CRU&amp;lang=en_US&amp;offset=0&amp;query=any,contains,991002655959702656","Catalog Record")</f>
        <v>Catalog Record</v>
      </c>
      <c r="AT576" s="6" t="str">
        <f>HYPERLINK("http://www.worldcat.org/oclc/388753","WorldCat Record")</f>
        <v>WorldCat Record</v>
      </c>
      <c r="AU576" s="3" t="s">
        <v>7332</v>
      </c>
      <c r="AV576" s="3" t="s">
        <v>7333</v>
      </c>
      <c r="AW576" s="3" t="s">
        <v>7334</v>
      </c>
      <c r="AX576" s="3" t="s">
        <v>7334</v>
      </c>
      <c r="AY576" s="3" t="s">
        <v>7335</v>
      </c>
      <c r="AZ576" s="3" t="s">
        <v>76</v>
      </c>
      <c r="BB576" s="3" t="s">
        <v>7336</v>
      </c>
      <c r="BC576" s="3" t="s">
        <v>7337</v>
      </c>
      <c r="BD576" s="3" t="s">
        <v>7338</v>
      </c>
    </row>
    <row r="577" spans="1:56" ht="52.5" customHeight="1" x14ac:dyDescent="0.25">
      <c r="A577" s="7" t="s">
        <v>59</v>
      </c>
      <c r="B577" s="2" t="s">
        <v>7339</v>
      </c>
      <c r="C577" s="2" t="s">
        <v>7340</v>
      </c>
      <c r="D577" s="2" t="s">
        <v>7341</v>
      </c>
      <c r="F577" s="3" t="s">
        <v>59</v>
      </c>
      <c r="G577" s="3" t="s">
        <v>60</v>
      </c>
      <c r="H577" s="3" t="s">
        <v>59</v>
      </c>
      <c r="I577" s="3" t="s">
        <v>59</v>
      </c>
      <c r="J577" s="3" t="s">
        <v>61</v>
      </c>
      <c r="K577" s="2" t="s">
        <v>4092</v>
      </c>
      <c r="L577" s="2" t="s">
        <v>6216</v>
      </c>
      <c r="M577" s="3" t="s">
        <v>148</v>
      </c>
      <c r="O577" s="3" t="s">
        <v>65</v>
      </c>
      <c r="P577" s="3" t="s">
        <v>699</v>
      </c>
      <c r="Q577" s="2" t="s">
        <v>5989</v>
      </c>
      <c r="R577" s="3" t="s">
        <v>68</v>
      </c>
      <c r="S577" s="4">
        <v>4</v>
      </c>
      <c r="T577" s="4">
        <v>4</v>
      </c>
      <c r="U577" s="5" t="s">
        <v>7342</v>
      </c>
      <c r="V577" s="5" t="s">
        <v>7342</v>
      </c>
      <c r="W577" s="5" t="s">
        <v>7036</v>
      </c>
      <c r="X577" s="5" t="s">
        <v>7036</v>
      </c>
      <c r="Y577" s="4">
        <v>615</v>
      </c>
      <c r="Z577" s="4">
        <v>442</v>
      </c>
      <c r="AA577" s="4">
        <v>467</v>
      </c>
      <c r="AB577" s="4">
        <v>2</v>
      </c>
      <c r="AC577" s="4">
        <v>2</v>
      </c>
      <c r="AD577" s="4">
        <v>21</v>
      </c>
      <c r="AE577" s="4">
        <v>21</v>
      </c>
      <c r="AF577" s="4">
        <v>11</v>
      </c>
      <c r="AG577" s="4">
        <v>11</v>
      </c>
      <c r="AH577" s="4">
        <v>7</v>
      </c>
      <c r="AI577" s="4">
        <v>7</v>
      </c>
      <c r="AJ577" s="4">
        <v>9</v>
      </c>
      <c r="AK577" s="4">
        <v>9</v>
      </c>
      <c r="AL577" s="4">
        <v>1</v>
      </c>
      <c r="AM577" s="4">
        <v>1</v>
      </c>
      <c r="AN577" s="4">
        <v>0</v>
      </c>
      <c r="AO577" s="4">
        <v>0</v>
      </c>
      <c r="AP577" s="3" t="s">
        <v>59</v>
      </c>
      <c r="AQ577" s="3" t="s">
        <v>71</v>
      </c>
      <c r="AR577" s="6" t="str">
        <f>HYPERLINK("http://catalog.hathitrust.org/Record/000739220","HathiTrust Record")</f>
        <v>HathiTrust Record</v>
      </c>
      <c r="AS577" s="6" t="str">
        <f>HYPERLINK("https://creighton-primo.hosted.exlibrisgroup.com/primo-explore/search?tab=default_tab&amp;search_scope=EVERYTHING&amp;vid=01CRU&amp;lang=en_US&amp;offset=0&amp;query=any,contains,991004083549702656","Catalog Record")</f>
        <v>Catalog Record</v>
      </c>
      <c r="AT577" s="6" t="str">
        <f>HYPERLINK("http://www.worldcat.org/oclc/2331424","WorldCat Record")</f>
        <v>WorldCat Record</v>
      </c>
      <c r="AU577" s="3" t="s">
        <v>7343</v>
      </c>
      <c r="AV577" s="3" t="s">
        <v>7344</v>
      </c>
      <c r="AW577" s="3" t="s">
        <v>7345</v>
      </c>
      <c r="AX577" s="3" t="s">
        <v>7345</v>
      </c>
      <c r="AY577" s="3" t="s">
        <v>7346</v>
      </c>
      <c r="AZ577" s="3" t="s">
        <v>76</v>
      </c>
      <c r="BB577" s="3" t="s">
        <v>7347</v>
      </c>
      <c r="BC577" s="3" t="s">
        <v>7348</v>
      </c>
      <c r="BD577" s="3" t="s">
        <v>7349</v>
      </c>
    </row>
    <row r="578" spans="1:56" ht="52.5" customHeight="1" x14ac:dyDescent="0.25">
      <c r="A578" s="7" t="s">
        <v>59</v>
      </c>
      <c r="B578" s="2" t="s">
        <v>7350</v>
      </c>
      <c r="C578" s="2" t="s">
        <v>7351</v>
      </c>
      <c r="D578" s="2" t="s">
        <v>7352</v>
      </c>
      <c r="F578" s="3" t="s">
        <v>59</v>
      </c>
      <c r="G578" s="3" t="s">
        <v>60</v>
      </c>
      <c r="H578" s="3" t="s">
        <v>59</v>
      </c>
      <c r="I578" s="3" t="s">
        <v>59</v>
      </c>
      <c r="J578" s="3" t="s">
        <v>61</v>
      </c>
      <c r="K578" s="2" t="s">
        <v>7353</v>
      </c>
      <c r="L578" s="2" t="s">
        <v>7354</v>
      </c>
      <c r="M578" s="3" t="s">
        <v>1015</v>
      </c>
      <c r="N578" s="2" t="s">
        <v>435</v>
      </c>
      <c r="O578" s="3" t="s">
        <v>65</v>
      </c>
      <c r="P578" s="3" t="s">
        <v>66</v>
      </c>
      <c r="Q578" s="2" t="s">
        <v>7355</v>
      </c>
      <c r="R578" s="3" t="s">
        <v>68</v>
      </c>
      <c r="S578" s="4">
        <v>1</v>
      </c>
      <c r="T578" s="4">
        <v>1</v>
      </c>
      <c r="U578" s="5" t="s">
        <v>7356</v>
      </c>
      <c r="V578" s="5" t="s">
        <v>7356</v>
      </c>
      <c r="W578" s="5" t="s">
        <v>7036</v>
      </c>
      <c r="X578" s="5" t="s">
        <v>7036</v>
      </c>
      <c r="Y578" s="4">
        <v>1038</v>
      </c>
      <c r="Z578" s="4">
        <v>912</v>
      </c>
      <c r="AA578" s="4">
        <v>1031</v>
      </c>
      <c r="AB578" s="4">
        <v>5</v>
      </c>
      <c r="AC578" s="4">
        <v>5</v>
      </c>
      <c r="AD578" s="4">
        <v>42</v>
      </c>
      <c r="AE578" s="4">
        <v>43</v>
      </c>
      <c r="AF578" s="4">
        <v>17</v>
      </c>
      <c r="AG578" s="4">
        <v>18</v>
      </c>
      <c r="AH578" s="4">
        <v>9</v>
      </c>
      <c r="AI578" s="4">
        <v>9</v>
      </c>
      <c r="AJ578" s="4">
        <v>25</v>
      </c>
      <c r="AK578" s="4">
        <v>25</v>
      </c>
      <c r="AL578" s="4">
        <v>3</v>
      </c>
      <c r="AM578" s="4">
        <v>3</v>
      </c>
      <c r="AN578" s="4">
        <v>0</v>
      </c>
      <c r="AO578" s="4">
        <v>0</v>
      </c>
      <c r="AP578" s="3" t="s">
        <v>59</v>
      </c>
      <c r="AQ578" s="3" t="s">
        <v>71</v>
      </c>
      <c r="AR578" s="6" t="str">
        <f>HYPERLINK("http://catalog.hathitrust.org/Record/000358765","HathiTrust Record")</f>
        <v>HathiTrust Record</v>
      </c>
      <c r="AS578" s="6" t="str">
        <f>HYPERLINK("https://creighton-primo.hosted.exlibrisgroup.com/primo-explore/search?tab=default_tab&amp;search_scope=EVERYTHING&amp;vid=01CRU&amp;lang=en_US&amp;offset=0&amp;query=any,contains,991002158269702656","Catalog Record")</f>
        <v>Catalog Record</v>
      </c>
      <c r="AT578" s="6" t="str">
        <f>HYPERLINK("http://www.worldcat.org/oclc/273314","WorldCat Record")</f>
        <v>WorldCat Record</v>
      </c>
      <c r="AU578" s="3" t="s">
        <v>7357</v>
      </c>
      <c r="AV578" s="3" t="s">
        <v>7358</v>
      </c>
      <c r="AW578" s="3" t="s">
        <v>7359</v>
      </c>
      <c r="AX578" s="3" t="s">
        <v>7359</v>
      </c>
      <c r="AY578" s="3" t="s">
        <v>7360</v>
      </c>
      <c r="AZ578" s="3" t="s">
        <v>76</v>
      </c>
      <c r="BC578" s="3" t="s">
        <v>7361</v>
      </c>
      <c r="BD578" s="3" t="s">
        <v>7362</v>
      </c>
    </row>
    <row r="579" spans="1:56" ht="52.5" customHeight="1" x14ac:dyDescent="0.25">
      <c r="A579" s="7" t="s">
        <v>59</v>
      </c>
      <c r="B579" s="2" t="s">
        <v>7363</v>
      </c>
      <c r="C579" s="2" t="s">
        <v>7364</v>
      </c>
      <c r="D579" s="2" t="s">
        <v>7365</v>
      </c>
      <c r="F579" s="3" t="s">
        <v>59</v>
      </c>
      <c r="G579" s="3" t="s">
        <v>60</v>
      </c>
      <c r="H579" s="3" t="s">
        <v>71</v>
      </c>
      <c r="I579" s="3" t="s">
        <v>59</v>
      </c>
      <c r="J579" s="3" t="s">
        <v>61</v>
      </c>
      <c r="K579" s="2" t="s">
        <v>4606</v>
      </c>
      <c r="L579" s="2" t="s">
        <v>7366</v>
      </c>
      <c r="M579" s="3" t="s">
        <v>684</v>
      </c>
      <c r="O579" s="3" t="s">
        <v>65</v>
      </c>
      <c r="P579" s="3" t="s">
        <v>1218</v>
      </c>
      <c r="R579" s="3" t="s">
        <v>68</v>
      </c>
      <c r="S579" s="4">
        <v>5</v>
      </c>
      <c r="T579" s="4">
        <v>8</v>
      </c>
      <c r="U579" s="5" t="s">
        <v>7367</v>
      </c>
      <c r="V579" s="5" t="s">
        <v>1963</v>
      </c>
      <c r="W579" s="5" t="s">
        <v>7368</v>
      </c>
      <c r="X579" s="5" t="s">
        <v>7368</v>
      </c>
      <c r="Y579" s="4">
        <v>857</v>
      </c>
      <c r="Z579" s="4">
        <v>785</v>
      </c>
      <c r="AA579" s="4">
        <v>800</v>
      </c>
      <c r="AB579" s="4">
        <v>7</v>
      </c>
      <c r="AC579" s="4">
        <v>7</v>
      </c>
      <c r="AD579" s="4">
        <v>43</v>
      </c>
      <c r="AE579" s="4">
        <v>43</v>
      </c>
      <c r="AF579" s="4">
        <v>18</v>
      </c>
      <c r="AG579" s="4">
        <v>18</v>
      </c>
      <c r="AH579" s="4">
        <v>11</v>
      </c>
      <c r="AI579" s="4">
        <v>11</v>
      </c>
      <c r="AJ579" s="4">
        <v>21</v>
      </c>
      <c r="AK579" s="4">
        <v>21</v>
      </c>
      <c r="AL579" s="4">
        <v>5</v>
      </c>
      <c r="AM579" s="4">
        <v>5</v>
      </c>
      <c r="AN579" s="4">
        <v>0</v>
      </c>
      <c r="AO579" s="4">
        <v>0</v>
      </c>
      <c r="AP579" s="3" t="s">
        <v>59</v>
      </c>
      <c r="AQ579" s="3" t="s">
        <v>59</v>
      </c>
      <c r="AS579" s="6" t="str">
        <f>HYPERLINK("https://creighton-primo.hosted.exlibrisgroup.com/primo-explore/search?tab=default_tab&amp;search_scope=EVERYTHING&amp;vid=01CRU&amp;lang=en_US&amp;offset=0&amp;query=any,contains,991001762209702656","Catalog Record")</f>
        <v>Catalog Record</v>
      </c>
      <c r="AT579" s="6" t="str">
        <f>HYPERLINK("http://www.worldcat.org/oclc/8155099","WorldCat Record")</f>
        <v>WorldCat Record</v>
      </c>
      <c r="AU579" s="3" t="s">
        <v>7369</v>
      </c>
      <c r="AV579" s="3" t="s">
        <v>7370</v>
      </c>
      <c r="AW579" s="3" t="s">
        <v>7371</v>
      </c>
      <c r="AX579" s="3" t="s">
        <v>7371</v>
      </c>
      <c r="AY579" s="3" t="s">
        <v>7372</v>
      </c>
      <c r="AZ579" s="3" t="s">
        <v>76</v>
      </c>
      <c r="BB579" s="3" t="s">
        <v>7373</v>
      </c>
      <c r="BC579" s="3" t="s">
        <v>7374</v>
      </c>
      <c r="BD579" s="3" t="s">
        <v>7375</v>
      </c>
    </row>
    <row r="580" spans="1:56" ht="52.5" customHeight="1" x14ac:dyDescent="0.25">
      <c r="A580" s="7" t="s">
        <v>59</v>
      </c>
      <c r="B580" s="2" t="s">
        <v>7376</v>
      </c>
      <c r="C580" s="2" t="s">
        <v>7377</v>
      </c>
      <c r="D580" s="2" t="s">
        <v>7378</v>
      </c>
      <c r="F580" s="3" t="s">
        <v>59</v>
      </c>
      <c r="G580" s="3" t="s">
        <v>60</v>
      </c>
      <c r="H580" s="3" t="s">
        <v>59</v>
      </c>
      <c r="I580" s="3" t="s">
        <v>59</v>
      </c>
      <c r="J580" s="3" t="s">
        <v>61</v>
      </c>
      <c r="K580" s="2" t="s">
        <v>7379</v>
      </c>
      <c r="L580" s="2" t="s">
        <v>7380</v>
      </c>
      <c r="M580" s="3" t="s">
        <v>115</v>
      </c>
      <c r="O580" s="3" t="s">
        <v>65</v>
      </c>
      <c r="P580" s="3" t="s">
        <v>420</v>
      </c>
      <c r="R580" s="3" t="s">
        <v>68</v>
      </c>
      <c r="S580" s="4">
        <v>3</v>
      </c>
      <c r="T580" s="4">
        <v>3</v>
      </c>
      <c r="U580" s="5" t="s">
        <v>7381</v>
      </c>
      <c r="V580" s="5" t="s">
        <v>7381</v>
      </c>
      <c r="W580" s="5" t="s">
        <v>7036</v>
      </c>
      <c r="X580" s="5" t="s">
        <v>7036</v>
      </c>
      <c r="Y580" s="4">
        <v>638</v>
      </c>
      <c r="Z580" s="4">
        <v>529</v>
      </c>
      <c r="AA580" s="4">
        <v>879</v>
      </c>
      <c r="AB580" s="4">
        <v>3</v>
      </c>
      <c r="AC580" s="4">
        <v>3</v>
      </c>
      <c r="AD580" s="4">
        <v>16</v>
      </c>
      <c r="AE580" s="4">
        <v>24</v>
      </c>
      <c r="AF580" s="4">
        <v>7</v>
      </c>
      <c r="AG580" s="4">
        <v>11</v>
      </c>
      <c r="AH580" s="4">
        <v>4</v>
      </c>
      <c r="AI580" s="4">
        <v>4</v>
      </c>
      <c r="AJ580" s="4">
        <v>8</v>
      </c>
      <c r="AK580" s="4">
        <v>13</v>
      </c>
      <c r="AL580" s="4">
        <v>2</v>
      </c>
      <c r="AM580" s="4">
        <v>2</v>
      </c>
      <c r="AN580" s="4">
        <v>0</v>
      </c>
      <c r="AO580" s="4">
        <v>0</v>
      </c>
      <c r="AP580" s="3" t="s">
        <v>59</v>
      </c>
      <c r="AQ580" s="3" t="s">
        <v>71</v>
      </c>
      <c r="AR580" s="6" t="str">
        <f>HYPERLINK("http://catalog.hathitrust.org/Record/000359183","HathiTrust Record")</f>
        <v>HathiTrust Record</v>
      </c>
      <c r="AS580" s="6" t="str">
        <f>HYPERLINK("https://creighton-primo.hosted.exlibrisgroup.com/primo-explore/search?tab=default_tab&amp;search_scope=EVERYTHING&amp;vid=01CRU&amp;lang=en_US&amp;offset=0&amp;query=any,contains,991002552519702656","Catalog Record")</f>
        <v>Catalog Record</v>
      </c>
      <c r="AT580" s="6" t="str">
        <f>HYPERLINK("http://www.worldcat.org/oclc/370358","WorldCat Record")</f>
        <v>WorldCat Record</v>
      </c>
      <c r="AU580" s="3" t="s">
        <v>7382</v>
      </c>
      <c r="AV580" s="3" t="s">
        <v>7383</v>
      </c>
      <c r="AW580" s="3" t="s">
        <v>7384</v>
      </c>
      <c r="AX580" s="3" t="s">
        <v>7384</v>
      </c>
      <c r="AY580" s="3" t="s">
        <v>7385</v>
      </c>
      <c r="AZ580" s="3" t="s">
        <v>76</v>
      </c>
      <c r="BB580" s="3" t="s">
        <v>7386</v>
      </c>
      <c r="BC580" s="3" t="s">
        <v>7387</v>
      </c>
      <c r="BD580" s="3" t="s">
        <v>7388</v>
      </c>
    </row>
    <row r="581" spans="1:56" ht="52.5" customHeight="1" x14ac:dyDescent="0.25">
      <c r="A581" s="7" t="s">
        <v>59</v>
      </c>
      <c r="B581" s="2" t="s">
        <v>7389</v>
      </c>
      <c r="C581" s="2" t="s">
        <v>7390</v>
      </c>
      <c r="D581" s="2" t="s">
        <v>7391</v>
      </c>
      <c r="F581" s="3" t="s">
        <v>59</v>
      </c>
      <c r="G581" s="3" t="s">
        <v>60</v>
      </c>
      <c r="H581" s="3" t="s">
        <v>59</v>
      </c>
      <c r="I581" s="3" t="s">
        <v>59</v>
      </c>
      <c r="J581" s="3" t="s">
        <v>61</v>
      </c>
      <c r="K581" s="2" t="s">
        <v>7392</v>
      </c>
      <c r="L581" s="2" t="s">
        <v>7393</v>
      </c>
      <c r="M581" s="3" t="s">
        <v>64</v>
      </c>
      <c r="O581" s="3" t="s">
        <v>65</v>
      </c>
      <c r="P581" s="3" t="s">
        <v>66</v>
      </c>
      <c r="Q581" s="2" t="s">
        <v>3820</v>
      </c>
      <c r="R581" s="3" t="s">
        <v>68</v>
      </c>
      <c r="S581" s="4">
        <v>3</v>
      </c>
      <c r="T581" s="4">
        <v>3</v>
      </c>
      <c r="U581" s="5" t="s">
        <v>3925</v>
      </c>
      <c r="V581" s="5" t="s">
        <v>3925</v>
      </c>
      <c r="W581" s="5" t="s">
        <v>1098</v>
      </c>
      <c r="X581" s="5" t="s">
        <v>1098</v>
      </c>
      <c r="Y581" s="4">
        <v>684</v>
      </c>
      <c r="Z581" s="4">
        <v>569</v>
      </c>
      <c r="AA581" s="4">
        <v>575</v>
      </c>
      <c r="AB581" s="4">
        <v>6</v>
      </c>
      <c r="AC581" s="4">
        <v>6</v>
      </c>
      <c r="AD581" s="4">
        <v>28</v>
      </c>
      <c r="AE581" s="4">
        <v>28</v>
      </c>
      <c r="AF581" s="4">
        <v>12</v>
      </c>
      <c r="AG581" s="4">
        <v>12</v>
      </c>
      <c r="AH581" s="4">
        <v>5</v>
      </c>
      <c r="AI581" s="4">
        <v>5</v>
      </c>
      <c r="AJ581" s="4">
        <v>12</v>
      </c>
      <c r="AK581" s="4">
        <v>12</v>
      </c>
      <c r="AL581" s="4">
        <v>5</v>
      </c>
      <c r="AM581" s="4">
        <v>5</v>
      </c>
      <c r="AN581" s="4">
        <v>0</v>
      </c>
      <c r="AO581" s="4">
        <v>0</v>
      </c>
      <c r="AP581" s="3" t="s">
        <v>59</v>
      </c>
      <c r="AQ581" s="3" t="s">
        <v>71</v>
      </c>
      <c r="AR581" s="6" t="str">
        <f>HYPERLINK("http://catalog.hathitrust.org/Record/000384542","HathiTrust Record")</f>
        <v>HathiTrust Record</v>
      </c>
      <c r="AS581" s="6" t="str">
        <f>HYPERLINK("https://creighton-primo.hosted.exlibrisgroup.com/primo-explore/search?tab=default_tab&amp;search_scope=EVERYTHING&amp;vid=01CRU&amp;lang=en_US&amp;offset=0&amp;query=any,contains,991001371669702656","Catalog Record")</f>
        <v>Catalog Record</v>
      </c>
      <c r="AT581" s="6" t="str">
        <f>HYPERLINK("http://www.worldcat.org/oclc/223864","WorldCat Record")</f>
        <v>WorldCat Record</v>
      </c>
      <c r="AU581" s="3" t="s">
        <v>7394</v>
      </c>
      <c r="AV581" s="3" t="s">
        <v>7395</v>
      </c>
      <c r="AW581" s="3" t="s">
        <v>7396</v>
      </c>
      <c r="AX581" s="3" t="s">
        <v>7396</v>
      </c>
      <c r="AY581" s="3" t="s">
        <v>7397</v>
      </c>
      <c r="AZ581" s="3" t="s">
        <v>76</v>
      </c>
      <c r="BC581" s="3" t="s">
        <v>7398</v>
      </c>
      <c r="BD581" s="3" t="s">
        <v>7399</v>
      </c>
    </row>
    <row r="582" spans="1:56" ht="52.5" customHeight="1" x14ac:dyDescent="0.25">
      <c r="A582" s="7" t="s">
        <v>59</v>
      </c>
      <c r="B582" s="2" t="s">
        <v>7400</v>
      </c>
      <c r="C582" s="2" t="s">
        <v>7401</v>
      </c>
      <c r="D582" s="2" t="s">
        <v>7402</v>
      </c>
      <c r="F582" s="3" t="s">
        <v>59</v>
      </c>
      <c r="G582" s="3" t="s">
        <v>60</v>
      </c>
      <c r="H582" s="3" t="s">
        <v>59</v>
      </c>
      <c r="I582" s="3" t="s">
        <v>59</v>
      </c>
      <c r="J582" s="3" t="s">
        <v>61</v>
      </c>
      <c r="K582" s="2" t="s">
        <v>7403</v>
      </c>
      <c r="L582" s="2" t="s">
        <v>7404</v>
      </c>
      <c r="M582" s="3" t="s">
        <v>1163</v>
      </c>
      <c r="O582" s="3" t="s">
        <v>65</v>
      </c>
      <c r="P582" s="3" t="s">
        <v>699</v>
      </c>
      <c r="R582" s="3" t="s">
        <v>68</v>
      </c>
      <c r="S582" s="4">
        <v>5</v>
      </c>
      <c r="T582" s="4">
        <v>5</v>
      </c>
      <c r="U582" s="5" t="s">
        <v>7405</v>
      </c>
      <c r="V582" s="5" t="s">
        <v>7405</v>
      </c>
      <c r="W582" s="5" t="s">
        <v>7406</v>
      </c>
      <c r="X582" s="5" t="s">
        <v>7406</v>
      </c>
      <c r="Y582" s="4">
        <v>872</v>
      </c>
      <c r="Z582" s="4">
        <v>718</v>
      </c>
      <c r="AA582" s="4">
        <v>741</v>
      </c>
      <c r="AB582" s="4">
        <v>7</v>
      </c>
      <c r="AC582" s="4">
        <v>7</v>
      </c>
      <c r="AD582" s="4">
        <v>36</v>
      </c>
      <c r="AE582" s="4">
        <v>36</v>
      </c>
      <c r="AF582" s="4">
        <v>14</v>
      </c>
      <c r="AG582" s="4">
        <v>14</v>
      </c>
      <c r="AH582" s="4">
        <v>8</v>
      </c>
      <c r="AI582" s="4">
        <v>8</v>
      </c>
      <c r="AJ582" s="4">
        <v>17</v>
      </c>
      <c r="AK582" s="4">
        <v>17</v>
      </c>
      <c r="AL582" s="4">
        <v>6</v>
      </c>
      <c r="AM582" s="4">
        <v>6</v>
      </c>
      <c r="AN582" s="4">
        <v>0</v>
      </c>
      <c r="AO582" s="4">
        <v>0</v>
      </c>
      <c r="AP582" s="3" t="s">
        <v>59</v>
      </c>
      <c r="AQ582" s="3" t="s">
        <v>71</v>
      </c>
      <c r="AR582" s="6" t="str">
        <f>HYPERLINK("http://catalog.hathitrust.org/Record/000424530","HathiTrust Record")</f>
        <v>HathiTrust Record</v>
      </c>
      <c r="AS582" s="6" t="str">
        <f>HYPERLINK("https://creighton-primo.hosted.exlibrisgroup.com/primo-explore/search?tab=default_tab&amp;search_scope=EVERYTHING&amp;vid=01CRU&amp;lang=en_US&amp;offset=0&amp;query=any,contains,991000667059702656","Catalog Record")</f>
        <v>Catalog Record</v>
      </c>
      <c r="AT582" s="6" t="str">
        <f>HYPERLINK("http://www.worldcat.org/oclc/12285995","WorldCat Record")</f>
        <v>WorldCat Record</v>
      </c>
      <c r="AU582" s="3" t="s">
        <v>7407</v>
      </c>
      <c r="AV582" s="3" t="s">
        <v>7408</v>
      </c>
      <c r="AW582" s="3" t="s">
        <v>7409</v>
      </c>
      <c r="AX582" s="3" t="s">
        <v>7409</v>
      </c>
      <c r="AY582" s="3" t="s">
        <v>7410</v>
      </c>
      <c r="AZ582" s="3" t="s">
        <v>76</v>
      </c>
      <c r="BB582" s="3" t="s">
        <v>7411</v>
      </c>
      <c r="BC582" s="3" t="s">
        <v>7412</v>
      </c>
      <c r="BD582" s="3" t="s">
        <v>7413</v>
      </c>
    </row>
    <row r="583" spans="1:56" ht="52.5" customHeight="1" x14ac:dyDescent="0.25">
      <c r="A583" s="7" t="s">
        <v>59</v>
      </c>
      <c r="B583" s="2" t="s">
        <v>7414</v>
      </c>
      <c r="C583" s="2" t="s">
        <v>7415</v>
      </c>
      <c r="D583" s="2" t="s">
        <v>7416</v>
      </c>
      <c r="F583" s="3" t="s">
        <v>59</v>
      </c>
      <c r="G583" s="3" t="s">
        <v>60</v>
      </c>
      <c r="H583" s="3" t="s">
        <v>59</v>
      </c>
      <c r="I583" s="3" t="s">
        <v>59</v>
      </c>
      <c r="J583" s="3" t="s">
        <v>61</v>
      </c>
      <c r="K583" s="2" t="s">
        <v>7417</v>
      </c>
      <c r="L583" s="2" t="s">
        <v>7418</v>
      </c>
      <c r="M583" s="3" t="s">
        <v>7419</v>
      </c>
      <c r="N583" s="2" t="s">
        <v>5106</v>
      </c>
      <c r="O583" s="3" t="s">
        <v>65</v>
      </c>
      <c r="P583" s="3" t="s">
        <v>66</v>
      </c>
      <c r="Q583" s="2" t="s">
        <v>255</v>
      </c>
      <c r="R583" s="3" t="s">
        <v>68</v>
      </c>
      <c r="S583" s="4">
        <v>4</v>
      </c>
      <c r="T583" s="4">
        <v>4</v>
      </c>
      <c r="U583" s="5" t="s">
        <v>7420</v>
      </c>
      <c r="V583" s="5" t="s">
        <v>7420</v>
      </c>
      <c r="W583" s="5" t="s">
        <v>7421</v>
      </c>
      <c r="X583" s="5" t="s">
        <v>7421</v>
      </c>
      <c r="Y583" s="4">
        <v>85</v>
      </c>
      <c r="Z583" s="4">
        <v>81</v>
      </c>
      <c r="AA583" s="4">
        <v>1398</v>
      </c>
      <c r="AB583" s="4">
        <v>1</v>
      </c>
      <c r="AC583" s="4">
        <v>10</v>
      </c>
      <c r="AD583" s="4">
        <v>4</v>
      </c>
      <c r="AE583" s="4">
        <v>60</v>
      </c>
      <c r="AF583" s="4">
        <v>3</v>
      </c>
      <c r="AG583" s="4">
        <v>25</v>
      </c>
      <c r="AH583" s="4">
        <v>0</v>
      </c>
      <c r="AI583" s="4">
        <v>9</v>
      </c>
      <c r="AJ583" s="4">
        <v>3</v>
      </c>
      <c r="AK583" s="4">
        <v>24</v>
      </c>
      <c r="AL583" s="4">
        <v>0</v>
      </c>
      <c r="AM583" s="4">
        <v>9</v>
      </c>
      <c r="AN583" s="4">
        <v>0</v>
      </c>
      <c r="AO583" s="4">
        <v>5</v>
      </c>
      <c r="AP583" s="3" t="s">
        <v>59</v>
      </c>
      <c r="AQ583" s="3" t="s">
        <v>59</v>
      </c>
      <c r="AR583" s="6" t="str">
        <f>HYPERLINK("http://catalog.hathitrust.org/Record/102290694","HathiTrust Record")</f>
        <v>HathiTrust Record</v>
      </c>
      <c r="AS583" s="6" t="str">
        <f>HYPERLINK("https://creighton-primo.hosted.exlibrisgroup.com/primo-explore/search?tab=default_tab&amp;search_scope=EVERYTHING&amp;vid=01CRU&amp;lang=en_US&amp;offset=0&amp;query=any,contains,991003762829702656","Catalog Record")</f>
        <v>Catalog Record</v>
      </c>
      <c r="AT583" s="6" t="str">
        <f>HYPERLINK("http://www.worldcat.org/oclc/1452981","WorldCat Record")</f>
        <v>WorldCat Record</v>
      </c>
      <c r="AU583" s="3" t="s">
        <v>7422</v>
      </c>
      <c r="AV583" s="3" t="s">
        <v>7423</v>
      </c>
      <c r="AW583" s="3" t="s">
        <v>7424</v>
      </c>
      <c r="AX583" s="3" t="s">
        <v>7424</v>
      </c>
      <c r="AY583" s="3" t="s">
        <v>7425</v>
      </c>
      <c r="AZ583" s="3" t="s">
        <v>76</v>
      </c>
      <c r="BC583" s="3" t="s">
        <v>7426</v>
      </c>
      <c r="BD583" s="3" t="s">
        <v>7427</v>
      </c>
    </row>
    <row r="584" spans="1:56" ht="52.5" customHeight="1" x14ac:dyDescent="0.25">
      <c r="A584" s="7" t="s">
        <v>59</v>
      </c>
      <c r="B584" s="2" t="s">
        <v>7428</v>
      </c>
      <c r="C584" s="2" t="s">
        <v>7429</v>
      </c>
      <c r="D584" s="2" t="s">
        <v>7430</v>
      </c>
      <c r="F584" s="3" t="s">
        <v>59</v>
      </c>
      <c r="G584" s="3" t="s">
        <v>60</v>
      </c>
      <c r="H584" s="3" t="s">
        <v>59</v>
      </c>
      <c r="I584" s="3" t="s">
        <v>59</v>
      </c>
      <c r="J584" s="3" t="s">
        <v>61</v>
      </c>
      <c r="K584" s="2" t="s">
        <v>7417</v>
      </c>
      <c r="L584" s="2" t="s">
        <v>7431</v>
      </c>
      <c r="M584" s="3" t="s">
        <v>756</v>
      </c>
      <c r="N584" s="2" t="s">
        <v>7432</v>
      </c>
      <c r="O584" s="3" t="s">
        <v>65</v>
      </c>
      <c r="P584" s="3" t="s">
        <v>972</v>
      </c>
      <c r="R584" s="3" t="s">
        <v>68</v>
      </c>
      <c r="S584" s="4">
        <v>1</v>
      </c>
      <c r="T584" s="4">
        <v>1</v>
      </c>
      <c r="U584" s="5" t="s">
        <v>7433</v>
      </c>
      <c r="V584" s="5" t="s">
        <v>7433</v>
      </c>
      <c r="W584" s="5" t="s">
        <v>7036</v>
      </c>
      <c r="X584" s="5" t="s">
        <v>7036</v>
      </c>
      <c r="Y584" s="4">
        <v>443</v>
      </c>
      <c r="Z584" s="4">
        <v>353</v>
      </c>
      <c r="AA584" s="4">
        <v>380</v>
      </c>
      <c r="AB584" s="4">
        <v>5</v>
      </c>
      <c r="AC584" s="4">
        <v>5</v>
      </c>
      <c r="AD584" s="4">
        <v>20</v>
      </c>
      <c r="AE584" s="4">
        <v>21</v>
      </c>
      <c r="AF584" s="4">
        <v>4</v>
      </c>
      <c r="AG584" s="4">
        <v>4</v>
      </c>
      <c r="AH584" s="4">
        <v>6</v>
      </c>
      <c r="AI584" s="4">
        <v>6</v>
      </c>
      <c r="AJ584" s="4">
        <v>12</v>
      </c>
      <c r="AK584" s="4">
        <v>13</v>
      </c>
      <c r="AL584" s="4">
        <v>3</v>
      </c>
      <c r="AM584" s="4">
        <v>3</v>
      </c>
      <c r="AN584" s="4">
        <v>0</v>
      </c>
      <c r="AO584" s="4">
        <v>0</v>
      </c>
      <c r="AP584" s="3" t="s">
        <v>59</v>
      </c>
      <c r="AQ584" s="3" t="s">
        <v>71</v>
      </c>
      <c r="AR584" s="6" t="str">
        <f>HYPERLINK("http://catalog.hathitrust.org/Record/000030545","HathiTrust Record")</f>
        <v>HathiTrust Record</v>
      </c>
      <c r="AS584" s="6" t="str">
        <f>HYPERLINK("https://creighton-primo.hosted.exlibrisgroup.com/primo-explore/search?tab=default_tab&amp;search_scope=EVERYTHING&amp;vid=01CRU&amp;lang=en_US&amp;offset=0&amp;query=any,contains,991004001169702656","Catalog Record")</f>
        <v>Catalog Record</v>
      </c>
      <c r="AT584" s="6" t="str">
        <f>HYPERLINK("http://www.worldcat.org/oclc/2073808","WorldCat Record")</f>
        <v>WorldCat Record</v>
      </c>
      <c r="AU584" s="3" t="s">
        <v>7434</v>
      </c>
      <c r="AV584" s="3" t="s">
        <v>7435</v>
      </c>
      <c r="AW584" s="3" t="s">
        <v>7436</v>
      </c>
      <c r="AX584" s="3" t="s">
        <v>7436</v>
      </c>
      <c r="AY584" s="3" t="s">
        <v>7437</v>
      </c>
      <c r="AZ584" s="3" t="s">
        <v>76</v>
      </c>
      <c r="BC584" s="3" t="s">
        <v>7438</v>
      </c>
      <c r="BD584" s="3" t="s">
        <v>7439</v>
      </c>
    </row>
    <row r="585" spans="1:56" ht="52.5" customHeight="1" x14ac:dyDescent="0.25">
      <c r="A585" s="7" t="s">
        <v>59</v>
      </c>
      <c r="B585" s="2" t="s">
        <v>7440</v>
      </c>
      <c r="C585" s="2" t="s">
        <v>7441</v>
      </c>
      <c r="D585" s="2" t="s">
        <v>7442</v>
      </c>
      <c r="E585" s="3" t="s">
        <v>4503</v>
      </c>
      <c r="F585" s="3" t="s">
        <v>71</v>
      </c>
      <c r="G585" s="3" t="s">
        <v>60</v>
      </c>
      <c r="H585" s="3" t="s">
        <v>59</v>
      </c>
      <c r="I585" s="3" t="s">
        <v>59</v>
      </c>
      <c r="J585" s="3" t="s">
        <v>61</v>
      </c>
      <c r="K585" s="2" t="s">
        <v>7443</v>
      </c>
      <c r="L585" s="2" t="s">
        <v>7444</v>
      </c>
      <c r="M585" s="3" t="s">
        <v>549</v>
      </c>
      <c r="O585" s="3" t="s">
        <v>65</v>
      </c>
      <c r="P585" s="3" t="s">
        <v>283</v>
      </c>
      <c r="Q585" s="2" t="s">
        <v>7445</v>
      </c>
      <c r="R585" s="3" t="s">
        <v>68</v>
      </c>
      <c r="S585" s="4">
        <v>1</v>
      </c>
      <c r="T585" s="4">
        <v>7</v>
      </c>
      <c r="U585" s="5" t="s">
        <v>7446</v>
      </c>
      <c r="V585" s="5" t="s">
        <v>7447</v>
      </c>
      <c r="W585" s="5" t="s">
        <v>7448</v>
      </c>
      <c r="X585" s="5" t="s">
        <v>7448</v>
      </c>
      <c r="Y585" s="4">
        <v>978</v>
      </c>
      <c r="Z585" s="4">
        <v>763</v>
      </c>
      <c r="AA585" s="4">
        <v>800</v>
      </c>
      <c r="AB585" s="4">
        <v>6</v>
      </c>
      <c r="AC585" s="4">
        <v>6</v>
      </c>
      <c r="AD585" s="4">
        <v>36</v>
      </c>
      <c r="AE585" s="4">
        <v>36</v>
      </c>
      <c r="AF585" s="4">
        <v>17</v>
      </c>
      <c r="AG585" s="4">
        <v>17</v>
      </c>
      <c r="AH585" s="4">
        <v>9</v>
      </c>
      <c r="AI585" s="4">
        <v>9</v>
      </c>
      <c r="AJ585" s="4">
        <v>18</v>
      </c>
      <c r="AK585" s="4">
        <v>18</v>
      </c>
      <c r="AL585" s="4">
        <v>3</v>
      </c>
      <c r="AM585" s="4">
        <v>3</v>
      </c>
      <c r="AN585" s="4">
        <v>0</v>
      </c>
      <c r="AO585" s="4">
        <v>0</v>
      </c>
      <c r="AP585" s="3" t="s">
        <v>59</v>
      </c>
      <c r="AQ585" s="3" t="s">
        <v>59</v>
      </c>
      <c r="AS585" s="6" t="str">
        <f>HYPERLINK("https://creighton-primo.hosted.exlibrisgroup.com/primo-explore/search?tab=default_tab&amp;search_scope=EVERYTHING&amp;vid=01CRU&amp;lang=en_US&amp;offset=0&amp;query=any,contains,991001762259702656","Catalog Record")</f>
        <v>Catalog Record</v>
      </c>
      <c r="AT585" s="6" t="str">
        <f>HYPERLINK("http://www.worldcat.org/oclc/12837549","WorldCat Record")</f>
        <v>WorldCat Record</v>
      </c>
      <c r="AU585" s="3" t="s">
        <v>7449</v>
      </c>
      <c r="AV585" s="3" t="s">
        <v>7450</v>
      </c>
      <c r="AW585" s="3" t="s">
        <v>7451</v>
      </c>
      <c r="AX585" s="3" t="s">
        <v>7451</v>
      </c>
      <c r="AY585" s="3" t="s">
        <v>7452</v>
      </c>
      <c r="AZ585" s="3" t="s">
        <v>76</v>
      </c>
      <c r="BB585" s="3" t="s">
        <v>7453</v>
      </c>
      <c r="BC585" s="3" t="s">
        <v>7454</v>
      </c>
      <c r="BD585" s="3" t="s">
        <v>7455</v>
      </c>
    </row>
    <row r="586" spans="1:56" ht="52.5" customHeight="1" x14ac:dyDescent="0.25">
      <c r="A586" s="7" t="s">
        <v>59</v>
      </c>
      <c r="B586" s="2" t="s">
        <v>7440</v>
      </c>
      <c r="C586" s="2" t="s">
        <v>7441</v>
      </c>
      <c r="D586" s="2" t="s">
        <v>7442</v>
      </c>
      <c r="E586" s="3" t="s">
        <v>4495</v>
      </c>
      <c r="F586" s="3" t="s">
        <v>71</v>
      </c>
      <c r="G586" s="3" t="s">
        <v>60</v>
      </c>
      <c r="H586" s="3" t="s">
        <v>59</v>
      </c>
      <c r="I586" s="3" t="s">
        <v>59</v>
      </c>
      <c r="J586" s="3" t="s">
        <v>61</v>
      </c>
      <c r="K586" s="2" t="s">
        <v>7443</v>
      </c>
      <c r="L586" s="2" t="s">
        <v>7444</v>
      </c>
      <c r="M586" s="3" t="s">
        <v>549</v>
      </c>
      <c r="O586" s="3" t="s">
        <v>65</v>
      </c>
      <c r="P586" s="3" t="s">
        <v>283</v>
      </c>
      <c r="Q586" s="2" t="s">
        <v>7445</v>
      </c>
      <c r="R586" s="3" t="s">
        <v>68</v>
      </c>
      <c r="S586" s="4">
        <v>2</v>
      </c>
      <c r="T586" s="4">
        <v>7</v>
      </c>
      <c r="U586" s="5" t="s">
        <v>7446</v>
      </c>
      <c r="V586" s="5" t="s">
        <v>7447</v>
      </c>
      <c r="W586" s="5" t="s">
        <v>6856</v>
      </c>
      <c r="X586" s="5" t="s">
        <v>7448</v>
      </c>
      <c r="Y586" s="4">
        <v>978</v>
      </c>
      <c r="Z586" s="4">
        <v>763</v>
      </c>
      <c r="AA586" s="4">
        <v>800</v>
      </c>
      <c r="AB586" s="4">
        <v>6</v>
      </c>
      <c r="AC586" s="4">
        <v>6</v>
      </c>
      <c r="AD586" s="4">
        <v>36</v>
      </c>
      <c r="AE586" s="4">
        <v>36</v>
      </c>
      <c r="AF586" s="4">
        <v>17</v>
      </c>
      <c r="AG586" s="4">
        <v>17</v>
      </c>
      <c r="AH586" s="4">
        <v>9</v>
      </c>
      <c r="AI586" s="4">
        <v>9</v>
      </c>
      <c r="AJ586" s="4">
        <v>18</v>
      </c>
      <c r="AK586" s="4">
        <v>18</v>
      </c>
      <c r="AL586" s="4">
        <v>3</v>
      </c>
      <c r="AM586" s="4">
        <v>3</v>
      </c>
      <c r="AN586" s="4">
        <v>0</v>
      </c>
      <c r="AO586" s="4">
        <v>0</v>
      </c>
      <c r="AP586" s="3" t="s">
        <v>59</v>
      </c>
      <c r="AQ586" s="3" t="s">
        <v>59</v>
      </c>
      <c r="AS586" s="6" t="str">
        <f>HYPERLINK("https://creighton-primo.hosted.exlibrisgroup.com/primo-explore/search?tab=default_tab&amp;search_scope=EVERYTHING&amp;vid=01CRU&amp;lang=en_US&amp;offset=0&amp;query=any,contains,991001762259702656","Catalog Record")</f>
        <v>Catalog Record</v>
      </c>
      <c r="AT586" s="6" t="str">
        <f>HYPERLINK("http://www.worldcat.org/oclc/12837549","WorldCat Record")</f>
        <v>WorldCat Record</v>
      </c>
      <c r="AU586" s="3" t="s">
        <v>7449</v>
      </c>
      <c r="AV586" s="3" t="s">
        <v>7450</v>
      </c>
      <c r="AW586" s="3" t="s">
        <v>7451</v>
      </c>
      <c r="AX586" s="3" t="s">
        <v>7451</v>
      </c>
      <c r="AY586" s="3" t="s">
        <v>7452</v>
      </c>
      <c r="AZ586" s="3" t="s">
        <v>76</v>
      </c>
      <c r="BB586" s="3" t="s">
        <v>7453</v>
      </c>
      <c r="BC586" s="3" t="s">
        <v>7456</v>
      </c>
      <c r="BD586" s="3" t="s">
        <v>7457</v>
      </c>
    </row>
    <row r="587" spans="1:56" ht="52.5" customHeight="1" x14ac:dyDescent="0.25">
      <c r="A587" s="7" t="s">
        <v>59</v>
      </c>
      <c r="B587" s="2" t="s">
        <v>7458</v>
      </c>
      <c r="C587" s="2" t="s">
        <v>7459</v>
      </c>
      <c r="D587" s="2" t="s">
        <v>7460</v>
      </c>
      <c r="F587" s="3" t="s">
        <v>59</v>
      </c>
      <c r="G587" s="3" t="s">
        <v>60</v>
      </c>
      <c r="H587" s="3" t="s">
        <v>59</v>
      </c>
      <c r="I587" s="3" t="s">
        <v>59</v>
      </c>
      <c r="J587" s="3" t="s">
        <v>61</v>
      </c>
      <c r="L587" s="2" t="s">
        <v>7461</v>
      </c>
      <c r="M587" s="3" t="s">
        <v>475</v>
      </c>
      <c r="O587" s="3" t="s">
        <v>65</v>
      </c>
      <c r="P587" s="3" t="s">
        <v>1262</v>
      </c>
      <c r="Q587" s="2" t="s">
        <v>4470</v>
      </c>
      <c r="R587" s="3" t="s">
        <v>68</v>
      </c>
      <c r="S587" s="4">
        <v>3</v>
      </c>
      <c r="T587" s="4">
        <v>3</v>
      </c>
      <c r="U587" s="5" t="s">
        <v>4633</v>
      </c>
      <c r="V587" s="5" t="s">
        <v>4633</v>
      </c>
      <c r="W587" s="5" t="s">
        <v>6856</v>
      </c>
      <c r="X587" s="5" t="s">
        <v>6856</v>
      </c>
      <c r="Y587" s="4">
        <v>320</v>
      </c>
      <c r="Z587" s="4">
        <v>198</v>
      </c>
      <c r="AA587" s="4">
        <v>222</v>
      </c>
      <c r="AB587" s="4">
        <v>2</v>
      </c>
      <c r="AC587" s="4">
        <v>2</v>
      </c>
      <c r="AD587" s="4">
        <v>7</v>
      </c>
      <c r="AE587" s="4">
        <v>7</v>
      </c>
      <c r="AF587" s="4">
        <v>1</v>
      </c>
      <c r="AG587" s="4">
        <v>1</v>
      </c>
      <c r="AH587" s="4">
        <v>2</v>
      </c>
      <c r="AI587" s="4">
        <v>2</v>
      </c>
      <c r="AJ587" s="4">
        <v>6</v>
      </c>
      <c r="AK587" s="4">
        <v>6</v>
      </c>
      <c r="AL587" s="4">
        <v>1</v>
      </c>
      <c r="AM587" s="4">
        <v>1</v>
      </c>
      <c r="AN587" s="4">
        <v>0</v>
      </c>
      <c r="AO587" s="4">
        <v>0</v>
      </c>
      <c r="AP587" s="3" t="s">
        <v>59</v>
      </c>
      <c r="AQ587" s="3" t="s">
        <v>59</v>
      </c>
      <c r="AS587" s="6" t="str">
        <f>HYPERLINK("https://creighton-primo.hosted.exlibrisgroup.com/primo-explore/search?tab=default_tab&amp;search_scope=EVERYTHING&amp;vid=01CRU&amp;lang=en_US&amp;offset=0&amp;query=any,contains,991000165209702656","Catalog Record")</f>
        <v>Catalog Record</v>
      </c>
      <c r="AT587" s="6" t="str">
        <f>HYPERLINK("http://www.worldcat.org/oclc/9282855","WorldCat Record")</f>
        <v>WorldCat Record</v>
      </c>
      <c r="AU587" s="3" t="s">
        <v>7462</v>
      </c>
      <c r="AV587" s="3" t="s">
        <v>7463</v>
      </c>
      <c r="AW587" s="3" t="s">
        <v>7464</v>
      </c>
      <c r="AX587" s="3" t="s">
        <v>7464</v>
      </c>
      <c r="AY587" s="3" t="s">
        <v>7465</v>
      </c>
      <c r="AZ587" s="3" t="s">
        <v>76</v>
      </c>
      <c r="BB587" s="3" t="s">
        <v>7466</v>
      </c>
      <c r="BC587" s="3" t="s">
        <v>7467</v>
      </c>
      <c r="BD587" s="3" t="s">
        <v>7468</v>
      </c>
    </row>
    <row r="588" spans="1:56" ht="52.5" customHeight="1" x14ac:dyDescent="0.25">
      <c r="A588" s="7" t="s">
        <v>59</v>
      </c>
      <c r="B588" s="2" t="s">
        <v>7469</v>
      </c>
      <c r="C588" s="2" t="s">
        <v>7470</v>
      </c>
      <c r="D588" s="2" t="s">
        <v>7471</v>
      </c>
      <c r="F588" s="3" t="s">
        <v>59</v>
      </c>
      <c r="G588" s="3" t="s">
        <v>60</v>
      </c>
      <c r="H588" s="3" t="s">
        <v>59</v>
      </c>
      <c r="I588" s="3" t="s">
        <v>59</v>
      </c>
      <c r="J588" s="3" t="s">
        <v>61</v>
      </c>
      <c r="L588" s="2" t="s">
        <v>7472</v>
      </c>
      <c r="M588" s="3" t="s">
        <v>475</v>
      </c>
      <c r="O588" s="3" t="s">
        <v>65</v>
      </c>
      <c r="P588" s="3" t="s">
        <v>323</v>
      </c>
      <c r="R588" s="3" t="s">
        <v>68</v>
      </c>
      <c r="S588" s="4">
        <v>3</v>
      </c>
      <c r="T588" s="4">
        <v>3</v>
      </c>
      <c r="U588" s="5" t="s">
        <v>2977</v>
      </c>
      <c r="V588" s="5" t="s">
        <v>2977</v>
      </c>
      <c r="W588" s="5" t="s">
        <v>6856</v>
      </c>
      <c r="X588" s="5" t="s">
        <v>6856</v>
      </c>
      <c r="Y588" s="4">
        <v>369</v>
      </c>
      <c r="Z588" s="4">
        <v>322</v>
      </c>
      <c r="AA588" s="4">
        <v>323</v>
      </c>
      <c r="AB588" s="4">
        <v>5</v>
      </c>
      <c r="AC588" s="4">
        <v>5</v>
      </c>
      <c r="AD588" s="4">
        <v>18</v>
      </c>
      <c r="AE588" s="4">
        <v>18</v>
      </c>
      <c r="AF588" s="4">
        <v>4</v>
      </c>
      <c r="AG588" s="4">
        <v>4</v>
      </c>
      <c r="AH588" s="4">
        <v>3</v>
      </c>
      <c r="AI588" s="4">
        <v>3</v>
      </c>
      <c r="AJ588" s="4">
        <v>9</v>
      </c>
      <c r="AK588" s="4">
        <v>9</v>
      </c>
      <c r="AL588" s="4">
        <v>4</v>
      </c>
      <c r="AM588" s="4">
        <v>4</v>
      </c>
      <c r="AN588" s="4">
        <v>0</v>
      </c>
      <c r="AO588" s="4">
        <v>0</v>
      </c>
      <c r="AP588" s="3" t="s">
        <v>59</v>
      </c>
      <c r="AQ588" s="3" t="s">
        <v>71</v>
      </c>
      <c r="AR588" s="6" t="str">
        <f>HYPERLINK("http://catalog.hathitrust.org/Record/007177773","HathiTrust Record")</f>
        <v>HathiTrust Record</v>
      </c>
      <c r="AS588" s="6" t="str">
        <f>HYPERLINK("https://creighton-primo.hosted.exlibrisgroup.com/primo-explore/search?tab=default_tab&amp;search_scope=EVERYTHING&amp;vid=01CRU&amp;lang=en_US&amp;offset=0&amp;query=any,contains,991000162669702656","Catalog Record")</f>
        <v>Catalog Record</v>
      </c>
      <c r="AT588" s="6" t="str">
        <f>HYPERLINK("http://www.worldcat.org/oclc/9280856","WorldCat Record")</f>
        <v>WorldCat Record</v>
      </c>
      <c r="AU588" s="3" t="s">
        <v>7473</v>
      </c>
      <c r="AV588" s="3" t="s">
        <v>7474</v>
      </c>
      <c r="AW588" s="3" t="s">
        <v>7475</v>
      </c>
      <c r="AX588" s="3" t="s">
        <v>7475</v>
      </c>
      <c r="AY588" s="3" t="s">
        <v>7476</v>
      </c>
      <c r="AZ588" s="3" t="s">
        <v>76</v>
      </c>
      <c r="BB588" s="3" t="s">
        <v>7477</v>
      </c>
      <c r="BC588" s="3" t="s">
        <v>7478</v>
      </c>
      <c r="BD588" s="3" t="s">
        <v>7479</v>
      </c>
    </row>
    <row r="589" spans="1:56" ht="52.5" customHeight="1" x14ac:dyDescent="0.25">
      <c r="A589" s="7" t="s">
        <v>59</v>
      </c>
      <c r="B589" s="2" t="s">
        <v>7480</v>
      </c>
      <c r="C589" s="2" t="s">
        <v>7481</v>
      </c>
      <c r="D589" s="2" t="s">
        <v>7482</v>
      </c>
      <c r="F589" s="3" t="s">
        <v>59</v>
      </c>
      <c r="G589" s="3" t="s">
        <v>60</v>
      </c>
      <c r="H589" s="3" t="s">
        <v>59</v>
      </c>
      <c r="I589" s="3" t="s">
        <v>59</v>
      </c>
      <c r="J589" s="3" t="s">
        <v>61</v>
      </c>
      <c r="K589" s="2" t="s">
        <v>7483</v>
      </c>
      <c r="L589" s="2" t="s">
        <v>7484</v>
      </c>
      <c r="M589" s="3" t="s">
        <v>549</v>
      </c>
      <c r="O589" s="3" t="s">
        <v>65</v>
      </c>
      <c r="P589" s="3" t="s">
        <v>972</v>
      </c>
      <c r="Q589" s="2" t="s">
        <v>7485</v>
      </c>
      <c r="R589" s="3" t="s">
        <v>68</v>
      </c>
      <c r="S589" s="4">
        <v>3</v>
      </c>
      <c r="T589" s="4">
        <v>3</v>
      </c>
      <c r="U589" s="5" t="s">
        <v>4031</v>
      </c>
      <c r="V589" s="5" t="s">
        <v>4031</v>
      </c>
      <c r="W589" s="5" t="s">
        <v>6856</v>
      </c>
      <c r="X589" s="5" t="s">
        <v>6856</v>
      </c>
      <c r="Y589" s="4">
        <v>245</v>
      </c>
      <c r="Z589" s="4">
        <v>227</v>
      </c>
      <c r="AA589" s="4">
        <v>235</v>
      </c>
      <c r="AB589" s="4">
        <v>4</v>
      </c>
      <c r="AC589" s="4">
        <v>4</v>
      </c>
      <c r="AD589" s="4">
        <v>8</v>
      </c>
      <c r="AE589" s="4">
        <v>8</v>
      </c>
      <c r="AF589" s="4">
        <v>2</v>
      </c>
      <c r="AG589" s="4">
        <v>2</v>
      </c>
      <c r="AH589" s="4">
        <v>2</v>
      </c>
      <c r="AI589" s="4">
        <v>2</v>
      </c>
      <c r="AJ589" s="4">
        <v>3</v>
      </c>
      <c r="AK589" s="4">
        <v>3</v>
      </c>
      <c r="AL589" s="4">
        <v>3</v>
      </c>
      <c r="AM589" s="4">
        <v>3</v>
      </c>
      <c r="AN589" s="4">
        <v>0</v>
      </c>
      <c r="AO589" s="4">
        <v>0</v>
      </c>
      <c r="AP589" s="3" t="s">
        <v>59</v>
      </c>
      <c r="AQ589" s="3" t="s">
        <v>71</v>
      </c>
      <c r="AR589" s="6" t="str">
        <f>HYPERLINK("http://catalog.hathitrust.org/Record/009919155","HathiTrust Record")</f>
        <v>HathiTrust Record</v>
      </c>
      <c r="AS589" s="6" t="str">
        <f>HYPERLINK("https://creighton-primo.hosted.exlibrisgroup.com/primo-explore/search?tab=default_tab&amp;search_scope=EVERYTHING&amp;vid=01CRU&amp;lang=en_US&amp;offset=0&amp;query=any,contains,991000844289702656","Catalog Record")</f>
        <v>Catalog Record</v>
      </c>
      <c r="AT589" s="6" t="str">
        <f>HYPERLINK("http://www.worldcat.org/oclc/13556135","WorldCat Record")</f>
        <v>WorldCat Record</v>
      </c>
      <c r="AU589" s="3" t="s">
        <v>7486</v>
      </c>
      <c r="AV589" s="3" t="s">
        <v>7487</v>
      </c>
      <c r="AW589" s="3" t="s">
        <v>7488</v>
      </c>
      <c r="AX589" s="3" t="s">
        <v>7488</v>
      </c>
      <c r="AY589" s="3" t="s">
        <v>7489</v>
      </c>
      <c r="AZ589" s="3" t="s">
        <v>76</v>
      </c>
      <c r="BB589" s="3" t="s">
        <v>7490</v>
      </c>
      <c r="BC589" s="3" t="s">
        <v>7491</v>
      </c>
      <c r="BD589" s="3" t="s">
        <v>7492</v>
      </c>
    </row>
    <row r="590" spans="1:56" ht="52.5" customHeight="1" x14ac:dyDescent="0.25">
      <c r="A590" s="7" t="s">
        <v>59</v>
      </c>
      <c r="B590" s="2" t="s">
        <v>7493</v>
      </c>
      <c r="C590" s="2" t="s">
        <v>7494</v>
      </c>
      <c r="D590" s="2" t="s">
        <v>7495</v>
      </c>
      <c r="F590" s="3" t="s">
        <v>59</v>
      </c>
      <c r="G590" s="3" t="s">
        <v>60</v>
      </c>
      <c r="H590" s="3" t="s">
        <v>59</v>
      </c>
      <c r="I590" s="3" t="s">
        <v>59</v>
      </c>
      <c r="J590" s="3" t="s">
        <v>61</v>
      </c>
      <c r="K590" s="2" t="s">
        <v>7496</v>
      </c>
      <c r="L590" s="2" t="s">
        <v>7497</v>
      </c>
      <c r="M590" s="3" t="s">
        <v>350</v>
      </c>
      <c r="O590" s="3" t="s">
        <v>65</v>
      </c>
      <c r="P590" s="3" t="s">
        <v>420</v>
      </c>
      <c r="R590" s="3" t="s">
        <v>68</v>
      </c>
      <c r="S590" s="4">
        <v>10</v>
      </c>
      <c r="T590" s="4">
        <v>10</v>
      </c>
      <c r="U590" s="5" t="s">
        <v>1715</v>
      </c>
      <c r="V590" s="5" t="s">
        <v>1715</v>
      </c>
      <c r="W590" s="5" t="s">
        <v>7498</v>
      </c>
      <c r="X590" s="5" t="s">
        <v>7498</v>
      </c>
      <c r="Y590" s="4">
        <v>671</v>
      </c>
      <c r="Z590" s="4">
        <v>582</v>
      </c>
      <c r="AA590" s="4">
        <v>625</v>
      </c>
      <c r="AB590" s="4">
        <v>6</v>
      </c>
      <c r="AC590" s="4">
        <v>6</v>
      </c>
      <c r="AD590" s="4">
        <v>18</v>
      </c>
      <c r="AE590" s="4">
        <v>18</v>
      </c>
      <c r="AF590" s="4">
        <v>9</v>
      </c>
      <c r="AG590" s="4">
        <v>9</v>
      </c>
      <c r="AH590" s="4">
        <v>2</v>
      </c>
      <c r="AI590" s="4">
        <v>2</v>
      </c>
      <c r="AJ590" s="4">
        <v>7</v>
      </c>
      <c r="AK590" s="4">
        <v>7</v>
      </c>
      <c r="AL590" s="4">
        <v>4</v>
      </c>
      <c r="AM590" s="4">
        <v>4</v>
      </c>
      <c r="AN590" s="4">
        <v>0</v>
      </c>
      <c r="AO590" s="4">
        <v>0</v>
      </c>
      <c r="AP590" s="3" t="s">
        <v>59</v>
      </c>
      <c r="AQ590" s="3" t="s">
        <v>71</v>
      </c>
      <c r="AR590" s="6" t="str">
        <f>HYPERLINK("http://catalog.hathitrust.org/Record/000739175","HathiTrust Record")</f>
        <v>HathiTrust Record</v>
      </c>
      <c r="AS590" s="6" t="str">
        <f>HYPERLINK("https://creighton-primo.hosted.exlibrisgroup.com/primo-explore/search?tab=default_tab&amp;search_scope=EVERYTHING&amp;vid=01CRU&amp;lang=en_US&amp;offset=0&amp;query=any,contains,991004281579702656","Catalog Record")</f>
        <v>Catalog Record</v>
      </c>
      <c r="AT590" s="6" t="str">
        <f>HYPERLINK("http://www.worldcat.org/oclc/2912069","WorldCat Record")</f>
        <v>WorldCat Record</v>
      </c>
      <c r="AU590" s="3" t="s">
        <v>7499</v>
      </c>
      <c r="AV590" s="3" t="s">
        <v>7500</v>
      </c>
      <c r="AW590" s="3" t="s">
        <v>7501</v>
      </c>
      <c r="AX590" s="3" t="s">
        <v>7501</v>
      </c>
      <c r="AY590" s="3" t="s">
        <v>7502</v>
      </c>
      <c r="AZ590" s="3" t="s">
        <v>76</v>
      </c>
      <c r="BB590" s="3" t="s">
        <v>7503</v>
      </c>
      <c r="BC590" s="3" t="s">
        <v>7504</v>
      </c>
      <c r="BD590" s="3" t="s">
        <v>7505</v>
      </c>
    </row>
    <row r="591" spans="1:56" ht="52.5" customHeight="1" x14ac:dyDescent="0.25">
      <c r="A591" s="7" t="s">
        <v>59</v>
      </c>
      <c r="B591" s="2" t="s">
        <v>7506</v>
      </c>
      <c r="C591" s="2" t="s">
        <v>7507</v>
      </c>
      <c r="D591" s="2" t="s">
        <v>7508</v>
      </c>
      <c r="F591" s="3" t="s">
        <v>59</v>
      </c>
      <c r="G591" s="3" t="s">
        <v>60</v>
      </c>
      <c r="H591" s="3" t="s">
        <v>59</v>
      </c>
      <c r="I591" s="3" t="s">
        <v>59</v>
      </c>
      <c r="J591" s="3" t="s">
        <v>61</v>
      </c>
      <c r="K591" s="2" t="s">
        <v>7509</v>
      </c>
      <c r="L591" s="2" t="s">
        <v>7510</v>
      </c>
      <c r="M591" s="3" t="s">
        <v>1467</v>
      </c>
      <c r="O591" s="3" t="s">
        <v>65</v>
      </c>
      <c r="P591" s="3" t="s">
        <v>66</v>
      </c>
      <c r="R591" s="3" t="s">
        <v>68</v>
      </c>
      <c r="S591" s="4">
        <v>6</v>
      </c>
      <c r="T591" s="4">
        <v>6</v>
      </c>
      <c r="U591" s="5" t="s">
        <v>7511</v>
      </c>
      <c r="V591" s="5" t="s">
        <v>7511</v>
      </c>
      <c r="W591" s="5" t="s">
        <v>7512</v>
      </c>
      <c r="X591" s="5" t="s">
        <v>7512</v>
      </c>
      <c r="Y591" s="4">
        <v>1038</v>
      </c>
      <c r="Z591" s="4">
        <v>832</v>
      </c>
      <c r="AA591" s="4">
        <v>838</v>
      </c>
      <c r="AB591" s="4">
        <v>7</v>
      </c>
      <c r="AC591" s="4">
        <v>7</v>
      </c>
      <c r="AD591" s="4">
        <v>32</v>
      </c>
      <c r="AE591" s="4">
        <v>32</v>
      </c>
      <c r="AF591" s="4">
        <v>15</v>
      </c>
      <c r="AG591" s="4">
        <v>15</v>
      </c>
      <c r="AH591" s="4">
        <v>5</v>
      </c>
      <c r="AI591" s="4">
        <v>5</v>
      </c>
      <c r="AJ591" s="4">
        <v>14</v>
      </c>
      <c r="AK591" s="4">
        <v>14</v>
      </c>
      <c r="AL591" s="4">
        <v>4</v>
      </c>
      <c r="AM591" s="4">
        <v>4</v>
      </c>
      <c r="AN591" s="4">
        <v>0</v>
      </c>
      <c r="AO591" s="4">
        <v>0</v>
      </c>
      <c r="AP591" s="3" t="s">
        <v>59</v>
      </c>
      <c r="AQ591" s="3" t="s">
        <v>71</v>
      </c>
      <c r="AR591" s="6" t="str">
        <f>HYPERLINK("http://catalog.hathitrust.org/Record/000003295","HathiTrust Record")</f>
        <v>HathiTrust Record</v>
      </c>
      <c r="AS591" s="6" t="str">
        <f>HYPERLINK("https://creighton-primo.hosted.exlibrisgroup.com/primo-explore/search?tab=default_tab&amp;search_scope=EVERYTHING&amp;vid=01CRU&amp;lang=en_US&amp;offset=0&amp;query=any,contains,991001380139702656","Catalog Record")</f>
        <v>Catalog Record</v>
      </c>
      <c r="AT591" s="6" t="str">
        <f>HYPERLINK("http://www.worldcat.org/oclc/226026","WorldCat Record")</f>
        <v>WorldCat Record</v>
      </c>
      <c r="AU591" s="3" t="s">
        <v>7513</v>
      </c>
      <c r="AV591" s="3" t="s">
        <v>7514</v>
      </c>
      <c r="AW591" s="3" t="s">
        <v>7515</v>
      </c>
      <c r="AX591" s="3" t="s">
        <v>7515</v>
      </c>
      <c r="AY591" s="3" t="s">
        <v>7516</v>
      </c>
      <c r="AZ591" s="3" t="s">
        <v>76</v>
      </c>
      <c r="BC591" s="3" t="s">
        <v>7517</v>
      </c>
      <c r="BD591" s="3" t="s">
        <v>7518</v>
      </c>
    </row>
    <row r="592" spans="1:56" ht="52.5" customHeight="1" x14ac:dyDescent="0.25">
      <c r="A592" s="7" t="s">
        <v>59</v>
      </c>
      <c r="B592" s="2" t="s">
        <v>7519</v>
      </c>
      <c r="C592" s="2" t="s">
        <v>7520</v>
      </c>
      <c r="D592" s="2" t="s">
        <v>7521</v>
      </c>
      <c r="F592" s="3" t="s">
        <v>59</v>
      </c>
      <c r="G592" s="3" t="s">
        <v>60</v>
      </c>
      <c r="H592" s="3" t="s">
        <v>59</v>
      </c>
      <c r="I592" s="3" t="s">
        <v>59</v>
      </c>
      <c r="J592" s="3" t="s">
        <v>61</v>
      </c>
      <c r="K592" s="2" t="s">
        <v>7522</v>
      </c>
      <c r="L592" s="2" t="s">
        <v>7523</v>
      </c>
      <c r="M592" s="3" t="s">
        <v>1601</v>
      </c>
      <c r="O592" s="3" t="s">
        <v>65</v>
      </c>
      <c r="P592" s="3" t="s">
        <v>66</v>
      </c>
      <c r="R592" s="3" t="s">
        <v>68</v>
      </c>
      <c r="S592" s="4">
        <v>1</v>
      </c>
      <c r="T592" s="4">
        <v>1</v>
      </c>
      <c r="U592" s="5" t="s">
        <v>7524</v>
      </c>
      <c r="V592" s="5" t="s">
        <v>7524</v>
      </c>
      <c r="W592" s="5" t="s">
        <v>7036</v>
      </c>
      <c r="X592" s="5" t="s">
        <v>7036</v>
      </c>
      <c r="Y592" s="4">
        <v>299</v>
      </c>
      <c r="Z592" s="4">
        <v>273</v>
      </c>
      <c r="AA592" s="4">
        <v>349</v>
      </c>
      <c r="AB592" s="4">
        <v>3</v>
      </c>
      <c r="AC592" s="4">
        <v>3</v>
      </c>
      <c r="AD592" s="4">
        <v>10</v>
      </c>
      <c r="AE592" s="4">
        <v>14</v>
      </c>
      <c r="AF592" s="4">
        <v>2</v>
      </c>
      <c r="AG592" s="4">
        <v>5</v>
      </c>
      <c r="AH592" s="4">
        <v>3</v>
      </c>
      <c r="AI592" s="4">
        <v>4</v>
      </c>
      <c r="AJ592" s="4">
        <v>6</v>
      </c>
      <c r="AK592" s="4">
        <v>8</v>
      </c>
      <c r="AL592" s="4">
        <v>2</v>
      </c>
      <c r="AM592" s="4">
        <v>2</v>
      </c>
      <c r="AN592" s="4">
        <v>0</v>
      </c>
      <c r="AO592" s="4">
        <v>0</v>
      </c>
      <c r="AP592" s="3" t="s">
        <v>59</v>
      </c>
      <c r="AQ592" s="3" t="s">
        <v>71</v>
      </c>
      <c r="AR592" s="6" t="str">
        <f>HYPERLINK("http://catalog.hathitrust.org/Record/000387067","HathiTrust Record")</f>
        <v>HathiTrust Record</v>
      </c>
      <c r="AS592" s="6" t="str">
        <f>HYPERLINK("https://creighton-primo.hosted.exlibrisgroup.com/primo-explore/search?tab=default_tab&amp;search_scope=EVERYTHING&amp;vid=01CRU&amp;lang=en_US&amp;offset=0&amp;query=any,contains,991001378969702656","Catalog Record")</f>
        <v>Catalog Record</v>
      </c>
      <c r="AT592" s="6" t="str">
        <f>HYPERLINK("http://www.worldcat.org/oclc/225765","WorldCat Record")</f>
        <v>WorldCat Record</v>
      </c>
      <c r="AU592" s="3" t="s">
        <v>7525</v>
      </c>
      <c r="AV592" s="3" t="s">
        <v>7526</v>
      </c>
      <c r="AW592" s="3" t="s">
        <v>7527</v>
      </c>
      <c r="AX592" s="3" t="s">
        <v>7527</v>
      </c>
      <c r="AY592" s="3" t="s">
        <v>7528</v>
      </c>
      <c r="AZ592" s="3" t="s">
        <v>76</v>
      </c>
      <c r="BC592" s="3" t="s">
        <v>7529</v>
      </c>
      <c r="BD592" s="3" t="s">
        <v>7530</v>
      </c>
    </row>
    <row r="593" spans="1:56" ht="52.5" customHeight="1" x14ac:dyDescent="0.25">
      <c r="A593" s="7" t="s">
        <v>59</v>
      </c>
      <c r="B593" s="2" t="s">
        <v>7531</v>
      </c>
      <c r="C593" s="2" t="s">
        <v>7532</v>
      </c>
      <c r="D593" s="2" t="s">
        <v>7533</v>
      </c>
      <c r="F593" s="3" t="s">
        <v>59</v>
      </c>
      <c r="G593" s="3" t="s">
        <v>60</v>
      </c>
      <c r="H593" s="3" t="s">
        <v>59</v>
      </c>
      <c r="I593" s="3" t="s">
        <v>59</v>
      </c>
      <c r="J593" s="3" t="s">
        <v>61</v>
      </c>
      <c r="K593" s="2" t="s">
        <v>7534</v>
      </c>
      <c r="L593" s="2" t="s">
        <v>5386</v>
      </c>
      <c r="M593" s="3" t="s">
        <v>475</v>
      </c>
      <c r="O593" s="3" t="s">
        <v>65</v>
      </c>
      <c r="P593" s="3" t="s">
        <v>66</v>
      </c>
      <c r="R593" s="3" t="s">
        <v>68</v>
      </c>
      <c r="S593" s="4">
        <v>4</v>
      </c>
      <c r="T593" s="4">
        <v>4</v>
      </c>
      <c r="U593" s="5" t="s">
        <v>4136</v>
      </c>
      <c r="V593" s="5" t="s">
        <v>4136</v>
      </c>
      <c r="W593" s="5" t="s">
        <v>6856</v>
      </c>
      <c r="X593" s="5" t="s">
        <v>6856</v>
      </c>
      <c r="Y593" s="4">
        <v>431</v>
      </c>
      <c r="Z593" s="4">
        <v>302</v>
      </c>
      <c r="AA593" s="4">
        <v>339</v>
      </c>
      <c r="AB593" s="4">
        <v>4</v>
      </c>
      <c r="AC593" s="4">
        <v>4</v>
      </c>
      <c r="AD593" s="4">
        <v>14</v>
      </c>
      <c r="AE593" s="4">
        <v>16</v>
      </c>
      <c r="AF593" s="4">
        <v>5</v>
      </c>
      <c r="AG593" s="4">
        <v>6</v>
      </c>
      <c r="AH593" s="4">
        <v>2</v>
      </c>
      <c r="AI593" s="4">
        <v>3</v>
      </c>
      <c r="AJ593" s="4">
        <v>7</v>
      </c>
      <c r="AK593" s="4">
        <v>7</v>
      </c>
      <c r="AL593" s="4">
        <v>3</v>
      </c>
      <c r="AM593" s="4">
        <v>3</v>
      </c>
      <c r="AN593" s="4">
        <v>0</v>
      </c>
      <c r="AO593" s="4">
        <v>0</v>
      </c>
      <c r="AP593" s="3" t="s">
        <v>59</v>
      </c>
      <c r="AQ593" s="3" t="s">
        <v>71</v>
      </c>
      <c r="AR593" s="6" t="str">
        <f>HYPERLINK("http://catalog.hathitrust.org/Record/000201789","HathiTrust Record")</f>
        <v>HathiTrust Record</v>
      </c>
      <c r="AS593" s="6" t="str">
        <f>HYPERLINK("https://creighton-primo.hosted.exlibrisgroup.com/primo-explore/search?tab=default_tab&amp;search_scope=EVERYTHING&amp;vid=01CRU&amp;lang=en_US&amp;offset=0&amp;query=any,contains,991000221619702656","Catalog Record")</f>
        <v>Catalog Record</v>
      </c>
      <c r="AT593" s="6" t="str">
        <f>HYPERLINK("http://www.worldcat.org/oclc/9576583","WorldCat Record")</f>
        <v>WorldCat Record</v>
      </c>
      <c r="AU593" s="3" t="s">
        <v>7535</v>
      </c>
      <c r="AV593" s="3" t="s">
        <v>7536</v>
      </c>
      <c r="AW593" s="3" t="s">
        <v>7537</v>
      </c>
      <c r="AX593" s="3" t="s">
        <v>7537</v>
      </c>
      <c r="AY593" s="3" t="s">
        <v>7538</v>
      </c>
      <c r="AZ593" s="3" t="s">
        <v>76</v>
      </c>
      <c r="BB593" s="3" t="s">
        <v>7539</v>
      </c>
      <c r="BC593" s="3" t="s">
        <v>7540</v>
      </c>
      <c r="BD593" s="3" t="s">
        <v>7541</v>
      </c>
    </row>
    <row r="594" spans="1:56" ht="52.5" customHeight="1" x14ac:dyDescent="0.25">
      <c r="A594" s="7" t="s">
        <v>59</v>
      </c>
      <c r="B594" s="2" t="s">
        <v>7542</v>
      </c>
      <c r="C594" s="2" t="s">
        <v>7543</v>
      </c>
      <c r="D594" s="2" t="s">
        <v>7544</v>
      </c>
      <c r="F594" s="3" t="s">
        <v>59</v>
      </c>
      <c r="G594" s="3" t="s">
        <v>60</v>
      </c>
      <c r="H594" s="3" t="s">
        <v>59</v>
      </c>
      <c r="I594" s="3" t="s">
        <v>59</v>
      </c>
      <c r="J594" s="3" t="s">
        <v>61</v>
      </c>
      <c r="L594" s="2" t="s">
        <v>5037</v>
      </c>
      <c r="M594" s="3" t="s">
        <v>164</v>
      </c>
      <c r="O594" s="3" t="s">
        <v>65</v>
      </c>
      <c r="P594" s="3" t="s">
        <v>1262</v>
      </c>
      <c r="R594" s="3" t="s">
        <v>68</v>
      </c>
      <c r="S594" s="4">
        <v>6</v>
      </c>
      <c r="T594" s="4">
        <v>6</v>
      </c>
      <c r="U594" s="5" t="s">
        <v>7545</v>
      </c>
      <c r="V594" s="5" t="s">
        <v>7545</v>
      </c>
      <c r="W594" s="5" t="s">
        <v>6856</v>
      </c>
      <c r="X594" s="5" t="s">
        <v>6856</v>
      </c>
      <c r="Y594" s="4">
        <v>586</v>
      </c>
      <c r="Z594" s="4">
        <v>370</v>
      </c>
      <c r="AA594" s="4">
        <v>373</v>
      </c>
      <c r="AB594" s="4">
        <v>2</v>
      </c>
      <c r="AC594" s="4">
        <v>2</v>
      </c>
      <c r="AD594" s="4">
        <v>10</v>
      </c>
      <c r="AE594" s="4">
        <v>10</v>
      </c>
      <c r="AF594" s="4">
        <v>2</v>
      </c>
      <c r="AG594" s="4">
        <v>2</v>
      </c>
      <c r="AH594" s="4">
        <v>3</v>
      </c>
      <c r="AI594" s="4">
        <v>3</v>
      </c>
      <c r="AJ594" s="4">
        <v>6</v>
      </c>
      <c r="AK594" s="4">
        <v>6</v>
      </c>
      <c r="AL594" s="4">
        <v>1</v>
      </c>
      <c r="AM594" s="4">
        <v>1</v>
      </c>
      <c r="AN594" s="4">
        <v>0</v>
      </c>
      <c r="AO594" s="4">
        <v>0</v>
      </c>
      <c r="AP594" s="3" t="s">
        <v>59</v>
      </c>
      <c r="AQ594" s="3" t="s">
        <v>71</v>
      </c>
      <c r="AR594" s="6" t="str">
        <f>HYPERLINK("http://catalog.hathitrust.org/Record/000040037","HathiTrust Record")</f>
        <v>HathiTrust Record</v>
      </c>
      <c r="AS594" s="6" t="str">
        <f>HYPERLINK("https://creighton-primo.hosted.exlibrisgroup.com/primo-explore/search?tab=default_tab&amp;search_scope=EVERYTHING&amp;vid=01CRU&amp;lang=en_US&amp;offset=0&amp;query=any,contains,991004830829702656","Catalog Record")</f>
        <v>Catalog Record</v>
      </c>
      <c r="AT594" s="6" t="str">
        <f>HYPERLINK("http://www.worldcat.org/oclc/5410493","WorldCat Record")</f>
        <v>WorldCat Record</v>
      </c>
      <c r="AU594" s="3" t="s">
        <v>7546</v>
      </c>
      <c r="AV594" s="3" t="s">
        <v>7547</v>
      </c>
      <c r="AW594" s="3" t="s">
        <v>7548</v>
      </c>
      <c r="AX594" s="3" t="s">
        <v>7548</v>
      </c>
      <c r="AY594" s="3" t="s">
        <v>7549</v>
      </c>
      <c r="AZ594" s="3" t="s">
        <v>76</v>
      </c>
      <c r="BB594" s="3" t="s">
        <v>7550</v>
      </c>
      <c r="BC594" s="3" t="s">
        <v>7551</v>
      </c>
      <c r="BD594" s="3" t="s">
        <v>7552</v>
      </c>
    </row>
    <row r="595" spans="1:56" ht="52.5" customHeight="1" x14ac:dyDescent="0.25">
      <c r="A595" s="7" t="s">
        <v>59</v>
      </c>
      <c r="B595" s="2" t="s">
        <v>7553</v>
      </c>
      <c r="C595" s="2" t="s">
        <v>7554</v>
      </c>
      <c r="D595" s="2" t="s">
        <v>7555</v>
      </c>
      <c r="F595" s="3" t="s">
        <v>59</v>
      </c>
      <c r="G595" s="3" t="s">
        <v>60</v>
      </c>
      <c r="H595" s="3" t="s">
        <v>59</v>
      </c>
      <c r="I595" s="3" t="s">
        <v>59</v>
      </c>
      <c r="J595" s="3" t="s">
        <v>61</v>
      </c>
      <c r="K595" s="2" t="s">
        <v>7556</v>
      </c>
      <c r="L595" s="2" t="s">
        <v>7557</v>
      </c>
      <c r="M595" s="3" t="s">
        <v>7558</v>
      </c>
      <c r="O595" s="3" t="s">
        <v>65</v>
      </c>
      <c r="P595" s="3" t="s">
        <v>699</v>
      </c>
      <c r="R595" s="3" t="s">
        <v>68</v>
      </c>
      <c r="S595" s="4">
        <v>4</v>
      </c>
      <c r="T595" s="4">
        <v>4</v>
      </c>
      <c r="U595" s="5" t="s">
        <v>7559</v>
      </c>
      <c r="V595" s="5" t="s">
        <v>7559</v>
      </c>
      <c r="W595" s="5" t="s">
        <v>7036</v>
      </c>
      <c r="X595" s="5" t="s">
        <v>7036</v>
      </c>
      <c r="Y595" s="4">
        <v>385</v>
      </c>
      <c r="Z595" s="4">
        <v>349</v>
      </c>
      <c r="AA595" s="4">
        <v>454</v>
      </c>
      <c r="AB595" s="4">
        <v>3</v>
      </c>
      <c r="AC595" s="4">
        <v>3</v>
      </c>
      <c r="AD595" s="4">
        <v>20</v>
      </c>
      <c r="AE595" s="4">
        <v>22</v>
      </c>
      <c r="AF595" s="4">
        <v>6</v>
      </c>
      <c r="AG595" s="4">
        <v>8</v>
      </c>
      <c r="AH595" s="4">
        <v>6</v>
      </c>
      <c r="AI595" s="4">
        <v>6</v>
      </c>
      <c r="AJ595" s="4">
        <v>13</v>
      </c>
      <c r="AK595" s="4">
        <v>14</v>
      </c>
      <c r="AL595" s="4">
        <v>2</v>
      </c>
      <c r="AM595" s="4">
        <v>2</v>
      </c>
      <c r="AN595" s="4">
        <v>0</v>
      </c>
      <c r="AO595" s="4">
        <v>0</v>
      </c>
      <c r="AP595" s="3" t="s">
        <v>59</v>
      </c>
      <c r="AQ595" s="3" t="s">
        <v>71</v>
      </c>
      <c r="AR595" s="6" t="str">
        <f>HYPERLINK("http://catalog.hathitrust.org/Record/000360230","HathiTrust Record")</f>
        <v>HathiTrust Record</v>
      </c>
      <c r="AS595" s="6" t="str">
        <f>HYPERLINK("https://creighton-primo.hosted.exlibrisgroup.com/primo-explore/search?tab=default_tab&amp;search_scope=EVERYTHING&amp;vid=01CRU&amp;lang=en_US&amp;offset=0&amp;query=any,contains,991001935589702656","Catalog Record")</f>
        <v>Catalog Record</v>
      </c>
      <c r="AT595" s="6" t="str">
        <f>HYPERLINK("http://www.worldcat.org/oclc/250449","WorldCat Record")</f>
        <v>WorldCat Record</v>
      </c>
      <c r="AU595" s="3" t="s">
        <v>7560</v>
      </c>
      <c r="AV595" s="3" t="s">
        <v>7561</v>
      </c>
      <c r="AW595" s="3" t="s">
        <v>7562</v>
      </c>
      <c r="AX595" s="3" t="s">
        <v>7562</v>
      </c>
      <c r="AY595" s="3" t="s">
        <v>7563</v>
      </c>
      <c r="AZ595" s="3" t="s">
        <v>76</v>
      </c>
      <c r="BC595" s="3" t="s">
        <v>7564</v>
      </c>
      <c r="BD595" s="3" t="s">
        <v>7565</v>
      </c>
    </row>
    <row r="596" spans="1:56" ht="52.5" customHeight="1" x14ac:dyDescent="0.25">
      <c r="A596" s="7" t="s">
        <v>59</v>
      </c>
      <c r="B596" s="2" t="s">
        <v>7566</v>
      </c>
      <c r="C596" s="2" t="s">
        <v>7567</v>
      </c>
      <c r="D596" s="2" t="s">
        <v>7568</v>
      </c>
      <c r="F596" s="3" t="s">
        <v>59</v>
      </c>
      <c r="G596" s="3" t="s">
        <v>60</v>
      </c>
      <c r="H596" s="3" t="s">
        <v>59</v>
      </c>
      <c r="I596" s="3" t="s">
        <v>59</v>
      </c>
      <c r="J596" s="3" t="s">
        <v>61</v>
      </c>
      <c r="K596" s="2" t="s">
        <v>2213</v>
      </c>
      <c r="L596" s="2" t="s">
        <v>7569</v>
      </c>
      <c r="M596" s="3" t="s">
        <v>1601</v>
      </c>
      <c r="O596" s="3" t="s">
        <v>65</v>
      </c>
      <c r="P596" s="3" t="s">
        <v>66</v>
      </c>
      <c r="R596" s="3" t="s">
        <v>68</v>
      </c>
      <c r="S596" s="4">
        <v>4</v>
      </c>
      <c r="T596" s="4">
        <v>4</v>
      </c>
      <c r="U596" s="5" t="s">
        <v>7570</v>
      </c>
      <c r="V596" s="5" t="s">
        <v>7570</v>
      </c>
      <c r="W596" s="5" t="s">
        <v>1652</v>
      </c>
      <c r="X596" s="5" t="s">
        <v>1652</v>
      </c>
      <c r="Y596" s="4">
        <v>1287</v>
      </c>
      <c r="Z596" s="4">
        <v>1167</v>
      </c>
      <c r="AA596" s="4">
        <v>1184</v>
      </c>
      <c r="AB596" s="4">
        <v>7</v>
      </c>
      <c r="AC596" s="4">
        <v>7</v>
      </c>
      <c r="AD596" s="4">
        <v>50</v>
      </c>
      <c r="AE596" s="4">
        <v>50</v>
      </c>
      <c r="AF596" s="4">
        <v>25</v>
      </c>
      <c r="AG596" s="4">
        <v>25</v>
      </c>
      <c r="AH596" s="4">
        <v>9</v>
      </c>
      <c r="AI596" s="4">
        <v>9</v>
      </c>
      <c r="AJ596" s="4">
        <v>23</v>
      </c>
      <c r="AK596" s="4">
        <v>23</v>
      </c>
      <c r="AL596" s="4">
        <v>6</v>
      </c>
      <c r="AM596" s="4">
        <v>6</v>
      </c>
      <c r="AN596" s="4">
        <v>0</v>
      </c>
      <c r="AO596" s="4">
        <v>0</v>
      </c>
      <c r="AP596" s="3" t="s">
        <v>59</v>
      </c>
      <c r="AQ596" s="3" t="s">
        <v>59</v>
      </c>
      <c r="AR596" s="6" t="str">
        <f>HYPERLINK("http://catalog.hathitrust.org/Record/000450632","HathiTrust Record")</f>
        <v>HathiTrust Record</v>
      </c>
      <c r="AS596" s="6" t="str">
        <f>HYPERLINK("https://creighton-primo.hosted.exlibrisgroup.com/primo-explore/search?tab=default_tab&amp;search_scope=EVERYTHING&amp;vid=01CRU&amp;lang=en_US&amp;offset=0&amp;query=any,contains,991004383629702656","Catalog Record")</f>
        <v>Catalog Record</v>
      </c>
      <c r="AT596" s="6" t="str">
        <f>HYPERLINK("http://www.worldcat.org/oclc/3234538","WorldCat Record")</f>
        <v>WorldCat Record</v>
      </c>
      <c r="AU596" s="3" t="s">
        <v>7571</v>
      </c>
      <c r="AV596" s="3" t="s">
        <v>7572</v>
      </c>
      <c r="AW596" s="3" t="s">
        <v>7573</v>
      </c>
      <c r="AX596" s="3" t="s">
        <v>7573</v>
      </c>
      <c r="AY596" s="3" t="s">
        <v>7574</v>
      </c>
      <c r="AZ596" s="3" t="s">
        <v>76</v>
      </c>
      <c r="BC596" s="3" t="s">
        <v>7575</v>
      </c>
      <c r="BD596" s="3" t="s">
        <v>7576</v>
      </c>
    </row>
    <row r="597" spans="1:56" ht="52.5" customHeight="1" x14ac:dyDescent="0.25">
      <c r="A597" s="7" t="s">
        <v>59</v>
      </c>
      <c r="B597" s="2" t="s">
        <v>7577</v>
      </c>
      <c r="C597" s="2" t="s">
        <v>7578</v>
      </c>
      <c r="D597" s="2" t="s">
        <v>7579</v>
      </c>
      <c r="F597" s="3" t="s">
        <v>59</v>
      </c>
      <c r="G597" s="3" t="s">
        <v>60</v>
      </c>
      <c r="H597" s="3" t="s">
        <v>59</v>
      </c>
      <c r="I597" s="3" t="s">
        <v>59</v>
      </c>
      <c r="J597" s="3" t="s">
        <v>61</v>
      </c>
      <c r="K597" s="2" t="s">
        <v>2213</v>
      </c>
      <c r="L597" s="2" t="s">
        <v>7580</v>
      </c>
      <c r="M597" s="3" t="s">
        <v>756</v>
      </c>
      <c r="N597" s="2" t="s">
        <v>7581</v>
      </c>
      <c r="O597" s="3" t="s">
        <v>65</v>
      </c>
      <c r="P597" s="3" t="s">
        <v>283</v>
      </c>
      <c r="R597" s="3" t="s">
        <v>68</v>
      </c>
      <c r="S597" s="4">
        <v>1</v>
      </c>
      <c r="T597" s="4">
        <v>1</v>
      </c>
      <c r="U597" s="5" t="s">
        <v>7582</v>
      </c>
      <c r="V597" s="5" t="s">
        <v>7582</v>
      </c>
      <c r="W597" s="5" t="s">
        <v>7036</v>
      </c>
      <c r="X597" s="5" t="s">
        <v>7036</v>
      </c>
      <c r="Y597" s="4">
        <v>84</v>
      </c>
      <c r="Z597" s="4">
        <v>73</v>
      </c>
      <c r="AA597" s="4">
        <v>1516</v>
      </c>
      <c r="AB597" s="4">
        <v>1</v>
      </c>
      <c r="AC597" s="4">
        <v>7</v>
      </c>
      <c r="AD597" s="4">
        <v>8</v>
      </c>
      <c r="AE597" s="4">
        <v>53</v>
      </c>
      <c r="AF597" s="4">
        <v>3</v>
      </c>
      <c r="AG597" s="4">
        <v>25</v>
      </c>
      <c r="AH597" s="4">
        <v>2</v>
      </c>
      <c r="AI597" s="4">
        <v>11</v>
      </c>
      <c r="AJ597" s="4">
        <v>5</v>
      </c>
      <c r="AK597" s="4">
        <v>25</v>
      </c>
      <c r="AL597" s="4">
        <v>0</v>
      </c>
      <c r="AM597" s="4">
        <v>5</v>
      </c>
      <c r="AN597" s="4">
        <v>0</v>
      </c>
      <c r="AO597" s="4">
        <v>0</v>
      </c>
      <c r="AP597" s="3" t="s">
        <v>59</v>
      </c>
      <c r="AQ597" s="3" t="s">
        <v>59</v>
      </c>
      <c r="AS597" s="6" t="str">
        <f>HYPERLINK("https://creighton-primo.hosted.exlibrisgroup.com/primo-explore/search?tab=default_tab&amp;search_scope=EVERYTHING&amp;vid=01CRU&amp;lang=en_US&amp;offset=0&amp;query=any,contains,991004221549702656","Catalog Record")</f>
        <v>Catalog Record</v>
      </c>
      <c r="AT597" s="6" t="str">
        <f>HYPERLINK("http://www.worldcat.org/oclc/2714142","WorldCat Record")</f>
        <v>WorldCat Record</v>
      </c>
      <c r="AU597" s="3" t="s">
        <v>7583</v>
      </c>
      <c r="AV597" s="3" t="s">
        <v>7584</v>
      </c>
      <c r="AW597" s="3" t="s">
        <v>7585</v>
      </c>
      <c r="AX597" s="3" t="s">
        <v>7585</v>
      </c>
      <c r="AY597" s="3" t="s">
        <v>7586</v>
      </c>
      <c r="AZ597" s="3" t="s">
        <v>76</v>
      </c>
      <c r="BC597" s="3" t="s">
        <v>7587</v>
      </c>
      <c r="BD597" s="3" t="s">
        <v>7588</v>
      </c>
    </row>
    <row r="598" spans="1:56" ht="52.5" customHeight="1" x14ac:dyDescent="0.25">
      <c r="A598" s="7" t="s">
        <v>59</v>
      </c>
      <c r="B598" s="2" t="s">
        <v>7589</v>
      </c>
      <c r="C598" s="2" t="s">
        <v>7590</v>
      </c>
      <c r="D598" s="2" t="s">
        <v>7591</v>
      </c>
      <c r="F598" s="3" t="s">
        <v>59</v>
      </c>
      <c r="G598" s="3" t="s">
        <v>60</v>
      </c>
      <c r="H598" s="3" t="s">
        <v>59</v>
      </c>
      <c r="I598" s="3" t="s">
        <v>59</v>
      </c>
      <c r="J598" s="3" t="s">
        <v>61</v>
      </c>
      <c r="K598" s="2" t="s">
        <v>7592</v>
      </c>
      <c r="L598" s="2" t="s">
        <v>7593</v>
      </c>
      <c r="M598" s="3" t="s">
        <v>224</v>
      </c>
      <c r="O598" s="3" t="s">
        <v>65</v>
      </c>
      <c r="P598" s="3" t="s">
        <v>1262</v>
      </c>
      <c r="Q598" s="2" t="s">
        <v>7594</v>
      </c>
      <c r="R598" s="3" t="s">
        <v>68</v>
      </c>
      <c r="S598" s="4">
        <v>2</v>
      </c>
      <c r="T598" s="4">
        <v>2</v>
      </c>
      <c r="U598" s="5" t="s">
        <v>7595</v>
      </c>
      <c r="V598" s="5" t="s">
        <v>7595</v>
      </c>
      <c r="W598" s="5" t="s">
        <v>7036</v>
      </c>
      <c r="X598" s="5" t="s">
        <v>7036</v>
      </c>
      <c r="Y598" s="4">
        <v>812</v>
      </c>
      <c r="Z598" s="4">
        <v>608</v>
      </c>
      <c r="AA598" s="4">
        <v>629</v>
      </c>
      <c r="AB598" s="4">
        <v>4</v>
      </c>
      <c r="AC598" s="4">
        <v>5</v>
      </c>
      <c r="AD598" s="4">
        <v>25</v>
      </c>
      <c r="AE598" s="4">
        <v>26</v>
      </c>
      <c r="AF598" s="4">
        <v>7</v>
      </c>
      <c r="AG598" s="4">
        <v>7</v>
      </c>
      <c r="AH598" s="4">
        <v>7</v>
      </c>
      <c r="AI598" s="4">
        <v>7</v>
      </c>
      <c r="AJ598" s="4">
        <v>15</v>
      </c>
      <c r="AK598" s="4">
        <v>15</v>
      </c>
      <c r="AL598" s="4">
        <v>3</v>
      </c>
      <c r="AM598" s="4">
        <v>4</v>
      </c>
      <c r="AN598" s="4">
        <v>0</v>
      </c>
      <c r="AO598" s="4">
        <v>0</v>
      </c>
      <c r="AP598" s="3" t="s">
        <v>59</v>
      </c>
      <c r="AQ598" s="3" t="s">
        <v>71</v>
      </c>
      <c r="AR598" s="6" t="str">
        <f>HYPERLINK("http://catalog.hathitrust.org/Record/000690480","HathiTrust Record")</f>
        <v>HathiTrust Record</v>
      </c>
      <c r="AS598" s="6" t="str">
        <f>HYPERLINK("https://creighton-primo.hosted.exlibrisgroup.com/primo-explore/search?tab=default_tab&amp;search_scope=EVERYTHING&amp;vid=01CRU&amp;lang=en_US&amp;offset=0&amp;query=any,contains,991003911639702656","Catalog Record")</f>
        <v>Catalog Record</v>
      </c>
      <c r="AT598" s="6" t="str">
        <f>HYPERLINK("http://www.worldcat.org/oclc/1853071","WorldCat Record")</f>
        <v>WorldCat Record</v>
      </c>
      <c r="AU598" s="3" t="s">
        <v>7596</v>
      </c>
      <c r="AV598" s="3" t="s">
        <v>7597</v>
      </c>
      <c r="AW598" s="3" t="s">
        <v>7598</v>
      </c>
      <c r="AX598" s="3" t="s">
        <v>7598</v>
      </c>
      <c r="AY598" s="3" t="s">
        <v>7599</v>
      </c>
      <c r="AZ598" s="3" t="s">
        <v>76</v>
      </c>
      <c r="BB598" s="3" t="s">
        <v>7600</v>
      </c>
      <c r="BC598" s="3" t="s">
        <v>7601</v>
      </c>
      <c r="BD598" s="3" t="s">
        <v>7602</v>
      </c>
    </row>
    <row r="599" spans="1:56" ht="52.5" customHeight="1" x14ac:dyDescent="0.25">
      <c r="A599" s="7" t="s">
        <v>59</v>
      </c>
      <c r="B599" s="2" t="s">
        <v>7603</v>
      </c>
      <c r="C599" s="2" t="s">
        <v>7604</v>
      </c>
      <c r="D599" s="2" t="s">
        <v>7605</v>
      </c>
      <c r="F599" s="3" t="s">
        <v>59</v>
      </c>
      <c r="G599" s="3" t="s">
        <v>60</v>
      </c>
      <c r="H599" s="3" t="s">
        <v>59</v>
      </c>
      <c r="I599" s="3" t="s">
        <v>59</v>
      </c>
      <c r="J599" s="3" t="s">
        <v>61</v>
      </c>
      <c r="K599" s="2" t="s">
        <v>7606</v>
      </c>
      <c r="L599" s="2" t="s">
        <v>7607</v>
      </c>
      <c r="M599" s="3" t="s">
        <v>85</v>
      </c>
      <c r="O599" s="3" t="s">
        <v>65</v>
      </c>
      <c r="P599" s="3" t="s">
        <v>66</v>
      </c>
      <c r="Q599" s="2" t="s">
        <v>7608</v>
      </c>
      <c r="R599" s="3" t="s">
        <v>68</v>
      </c>
      <c r="S599" s="4">
        <v>8</v>
      </c>
      <c r="T599" s="4">
        <v>8</v>
      </c>
      <c r="U599" s="5" t="s">
        <v>1480</v>
      </c>
      <c r="V599" s="5" t="s">
        <v>1480</v>
      </c>
      <c r="W599" s="5" t="s">
        <v>7609</v>
      </c>
      <c r="X599" s="5" t="s">
        <v>7609</v>
      </c>
      <c r="Y599" s="4">
        <v>563</v>
      </c>
      <c r="Z599" s="4">
        <v>508</v>
      </c>
      <c r="AA599" s="4">
        <v>945</v>
      </c>
      <c r="AB599" s="4">
        <v>4</v>
      </c>
      <c r="AC599" s="4">
        <v>5</v>
      </c>
      <c r="AD599" s="4">
        <v>28</v>
      </c>
      <c r="AE599" s="4">
        <v>43</v>
      </c>
      <c r="AF599" s="4">
        <v>13</v>
      </c>
      <c r="AG599" s="4">
        <v>21</v>
      </c>
      <c r="AH599" s="4">
        <v>4</v>
      </c>
      <c r="AI599" s="4">
        <v>7</v>
      </c>
      <c r="AJ599" s="4">
        <v>15</v>
      </c>
      <c r="AK599" s="4">
        <v>22</v>
      </c>
      <c r="AL599" s="4">
        <v>3</v>
      </c>
      <c r="AM599" s="4">
        <v>4</v>
      </c>
      <c r="AN599" s="4">
        <v>0</v>
      </c>
      <c r="AO599" s="4">
        <v>0</v>
      </c>
      <c r="AP599" s="3" t="s">
        <v>59</v>
      </c>
      <c r="AQ599" s="3" t="s">
        <v>71</v>
      </c>
      <c r="AR599" s="6" t="str">
        <f>HYPERLINK("http://catalog.hathitrust.org/Record/000386746","HathiTrust Record")</f>
        <v>HathiTrust Record</v>
      </c>
      <c r="AS599" s="6" t="str">
        <f>HYPERLINK("https://creighton-primo.hosted.exlibrisgroup.com/primo-explore/search?tab=default_tab&amp;search_scope=EVERYTHING&amp;vid=01CRU&amp;lang=en_US&amp;offset=0&amp;query=any,contains,991001372669702656","Catalog Record")</f>
        <v>Catalog Record</v>
      </c>
      <c r="AT599" s="6" t="str">
        <f>HYPERLINK("http://www.worldcat.org/oclc/224098","WorldCat Record")</f>
        <v>WorldCat Record</v>
      </c>
      <c r="AU599" s="3" t="s">
        <v>7610</v>
      </c>
      <c r="AV599" s="3" t="s">
        <v>7611</v>
      </c>
      <c r="AW599" s="3" t="s">
        <v>7612</v>
      </c>
      <c r="AX599" s="3" t="s">
        <v>7612</v>
      </c>
      <c r="AY599" s="3" t="s">
        <v>7613</v>
      </c>
      <c r="AZ599" s="3" t="s">
        <v>76</v>
      </c>
      <c r="BC599" s="3" t="s">
        <v>7614</v>
      </c>
      <c r="BD599" s="3" t="s">
        <v>7615</v>
      </c>
    </row>
    <row r="600" spans="1:56" ht="52.5" customHeight="1" x14ac:dyDescent="0.25">
      <c r="A600" s="7" t="s">
        <v>59</v>
      </c>
      <c r="B600" s="2" t="s">
        <v>7616</v>
      </c>
      <c r="C600" s="2" t="s">
        <v>7617</v>
      </c>
      <c r="D600" s="2" t="s">
        <v>7618</v>
      </c>
      <c r="F600" s="3" t="s">
        <v>59</v>
      </c>
      <c r="G600" s="3" t="s">
        <v>60</v>
      </c>
      <c r="H600" s="3" t="s">
        <v>59</v>
      </c>
      <c r="I600" s="3" t="s">
        <v>59</v>
      </c>
      <c r="J600" s="3" t="s">
        <v>61</v>
      </c>
      <c r="K600" s="2" t="s">
        <v>7619</v>
      </c>
      <c r="L600" s="2" t="s">
        <v>7620</v>
      </c>
      <c r="M600" s="3" t="s">
        <v>254</v>
      </c>
      <c r="O600" s="3" t="s">
        <v>65</v>
      </c>
      <c r="P600" s="3" t="s">
        <v>296</v>
      </c>
      <c r="R600" s="3" t="s">
        <v>68</v>
      </c>
      <c r="S600" s="4">
        <v>1</v>
      </c>
      <c r="T600" s="4">
        <v>1</v>
      </c>
      <c r="U600" s="5" t="s">
        <v>7621</v>
      </c>
      <c r="V600" s="5" t="s">
        <v>7621</v>
      </c>
      <c r="W600" s="5" t="s">
        <v>7036</v>
      </c>
      <c r="X600" s="5" t="s">
        <v>7036</v>
      </c>
      <c r="Y600" s="4">
        <v>665</v>
      </c>
      <c r="Z600" s="4">
        <v>525</v>
      </c>
      <c r="AA600" s="4">
        <v>533</v>
      </c>
      <c r="AB600" s="4">
        <v>3</v>
      </c>
      <c r="AC600" s="4">
        <v>3</v>
      </c>
      <c r="AD600" s="4">
        <v>28</v>
      </c>
      <c r="AE600" s="4">
        <v>28</v>
      </c>
      <c r="AF600" s="4">
        <v>11</v>
      </c>
      <c r="AG600" s="4">
        <v>11</v>
      </c>
      <c r="AH600" s="4">
        <v>7</v>
      </c>
      <c r="AI600" s="4">
        <v>7</v>
      </c>
      <c r="AJ600" s="4">
        <v>17</v>
      </c>
      <c r="AK600" s="4">
        <v>17</v>
      </c>
      <c r="AL600" s="4">
        <v>2</v>
      </c>
      <c r="AM600" s="4">
        <v>2</v>
      </c>
      <c r="AN600" s="4">
        <v>0</v>
      </c>
      <c r="AO600" s="4">
        <v>0</v>
      </c>
      <c r="AP600" s="3" t="s">
        <v>59</v>
      </c>
      <c r="AQ600" s="3" t="s">
        <v>71</v>
      </c>
      <c r="AR600" s="6" t="str">
        <f>HYPERLINK("http://catalog.hathitrust.org/Record/000359445","HathiTrust Record")</f>
        <v>HathiTrust Record</v>
      </c>
      <c r="AS600" s="6" t="str">
        <f>HYPERLINK("https://creighton-primo.hosted.exlibrisgroup.com/primo-explore/search?tab=default_tab&amp;search_scope=EVERYTHING&amp;vid=01CRU&amp;lang=en_US&amp;offset=0&amp;query=any,contains,991000001429702656","Catalog Record")</f>
        <v>Catalog Record</v>
      </c>
      <c r="AT600" s="6" t="str">
        <f>HYPERLINK("http://www.worldcat.org/oclc/10379","WorldCat Record")</f>
        <v>WorldCat Record</v>
      </c>
      <c r="AU600" s="3" t="s">
        <v>7622</v>
      </c>
      <c r="AV600" s="3" t="s">
        <v>7623</v>
      </c>
      <c r="AW600" s="3" t="s">
        <v>7624</v>
      </c>
      <c r="AX600" s="3" t="s">
        <v>7624</v>
      </c>
      <c r="AY600" s="3" t="s">
        <v>7625</v>
      </c>
      <c r="AZ600" s="3" t="s">
        <v>76</v>
      </c>
      <c r="BC600" s="3" t="s">
        <v>7626</v>
      </c>
      <c r="BD600" s="3" t="s">
        <v>7627</v>
      </c>
    </row>
    <row r="601" spans="1:56" ht="52.5" customHeight="1" x14ac:dyDescent="0.25">
      <c r="A601" s="7" t="s">
        <v>59</v>
      </c>
      <c r="B601" s="2" t="s">
        <v>7628</v>
      </c>
      <c r="C601" s="2" t="s">
        <v>7629</v>
      </c>
      <c r="D601" s="2" t="s">
        <v>7630</v>
      </c>
      <c r="F601" s="3" t="s">
        <v>59</v>
      </c>
      <c r="G601" s="3" t="s">
        <v>60</v>
      </c>
      <c r="H601" s="3" t="s">
        <v>59</v>
      </c>
      <c r="I601" s="3" t="s">
        <v>59</v>
      </c>
      <c r="J601" s="3" t="s">
        <v>61</v>
      </c>
      <c r="K601" s="2" t="s">
        <v>7631</v>
      </c>
      <c r="L601" s="2" t="s">
        <v>7632</v>
      </c>
      <c r="M601" s="3" t="s">
        <v>148</v>
      </c>
      <c r="O601" s="3" t="s">
        <v>65</v>
      </c>
      <c r="P601" s="3" t="s">
        <v>66</v>
      </c>
      <c r="R601" s="3" t="s">
        <v>68</v>
      </c>
      <c r="S601" s="4">
        <v>3</v>
      </c>
      <c r="T601" s="4">
        <v>3</v>
      </c>
      <c r="U601" s="5" t="s">
        <v>6670</v>
      </c>
      <c r="V601" s="5" t="s">
        <v>6670</v>
      </c>
      <c r="W601" s="5" t="s">
        <v>7633</v>
      </c>
      <c r="X601" s="5" t="s">
        <v>7633</v>
      </c>
      <c r="Y601" s="4">
        <v>409</v>
      </c>
      <c r="Z601" s="4">
        <v>320</v>
      </c>
      <c r="AA601" s="4">
        <v>325</v>
      </c>
      <c r="AB601" s="4">
        <v>3</v>
      </c>
      <c r="AC601" s="4">
        <v>3</v>
      </c>
      <c r="AD601" s="4">
        <v>16</v>
      </c>
      <c r="AE601" s="4">
        <v>16</v>
      </c>
      <c r="AF601" s="4">
        <v>5</v>
      </c>
      <c r="AG601" s="4">
        <v>5</v>
      </c>
      <c r="AH601" s="4">
        <v>5</v>
      </c>
      <c r="AI601" s="4">
        <v>5</v>
      </c>
      <c r="AJ601" s="4">
        <v>8</v>
      </c>
      <c r="AK601" s="4">
        <v>8</v>
      </c>
      <c r="AL601" s="4">
        <v>1</v>
      </c>
      <c r="AM601" s="4">
        <v>1</v>
      </c>
      <c r="AN601" s="4">
        <v>0</v>
      </c>
      <c r="AO601" s="4">
        <v>0</v>
      </c>
      <c r="AP601" s="3" t="s">
        <v>59</v>
      </c>
      <c r="AQ601" s="3" t="s">
        <v>71</v>
      </c>
      <c r="AR601" s="6" t="str">
        <f>HYPERLINK("http://catalog.hathitrust.org/Record/000729660","HathiTrust Record")</f>
        <v>HathiTrust Record</v>
      </c>
      <c r="AS601" s="6" t="str">
        <f>HYPERLINK("https://creighton-primo.hosted.exlibrisgroup.com/primo-explore/search?tab=default_tab&amp;search_scope=EVERYTHING&amp;vid=01CRU&amp;lang=en_US&amp;offset=0&amp;query=any,contains,991004076239702656","Catalog Record")</f>
        <v>Catalog Record</v>
      </c>
      <c r="AT601" s="6" t="str">
        <f>HYPERLINK("http://www.worldcat.org/oclc/2318114","WorldCat Record")</f>
        <v>WorldCat Record</v>
      </c>
      <c r="AU601" s="3" t="s">
        <v>7634</v>
      </c>
      <c r="AV601" s="3" t="s">
        <v>7635</v>
      </c>
      <c r="AW601" s="3" t="s">
        <v>7636</v>
      </c>
      <c r="AX601" s="3" t="s">
        <v>7636</v>
      </c>
      <c r="AY601" s="3" t="s">
        <v>7637</v>
      </c>
      <c r="AZ601" s="3" t="s">
        <v>76</v>
      </c>
      <c r="BB601" s="3" t="s">
        <v>7638</v>
      </c>
      <c r="BC601" s="3" t="s">
        <v>7639</v>
      </c>
      <c r="BD601" s="3" t="s">
        <v>7640</v>
      </c>
    </row>
    <row r="602" spans="1:56" ht="52.5" customHeight="1" x14ac:dyDescent="0.25">
      <c r="A602" s="7" t="s">
        <v>59</v>
      </c>
      <c r="B602" s="2" t="s">
        <v>7641</v>
      </c>
      <c r="C602" s="2" t="s">
        <v>7642</v>
      </c>
      <c r="D602" s="2" t="s">
        <v>7643</v>
      </c>
      <c r="F602" s="3" t="s">
        <v>59</v>
      </c>
      <c r="G602" s="3" t="s">
        <v>60</v>
      </c>
      <c r="H602" s="3" t="s">
        <v>59</v>
      </c>
      <c r="I602" s="3" t="s">
        <v>59</v>
      </c>
      <c r="J602" s="3" t="s">
        <v>61</v>
      </c>
      <c r="K602" s="2" t="s">
        <v>7644</v>
      </c>
      <c r="L602" s="2" t="s">
        <v>7645</v>
      </c>
      <c r="M602" s="3" t="s">
        <v>1467</v>
      </c>
      <c r="O602" s="3" t="s">
        <v>65</v>
      </c>
      <c r="P602" s="3" t="s">
        <v>66</v>
      </c>
      <c r="R602" s="3" t="s">
        <v>68</v>
      </c>
      <c r="S602" s="4">
        <v>3</v>
      </c>
      <c r="T602" s="4">
        <v>3</v>
      </c>
      <c r="U602" s="5" t="s">
        <v>7646</v>
      </c>
      <c r="V602" s="5" t="s">
        <v>7646</v>
      </c>
      <c r="W602" s="5" t="s">
        <v>7633</v>
      </c>
      <c r="X602" s="5" t="s">
        <v>7633</v>
      </c>
      <c r="Y602" s="4">
        <v>552</v>
      </c>
      <c r="Z602" s="4">
        <v>472</v>
      </c>
      <c r="AA602" s="4">
        <v>631</v>
      </c>
      <c r="AB602" s="4">
        <v>3</v>
      </c>
      <c r="AC602" s="4">
        <v>5</v>
      </c>
      <c r="AD602" s="4">
        <v>23</v>
      </c>
      <c r="AE602" s="4">
        <v>29</v>
      </c>
      <c r="AF602" s="4">
        <v>7</v>
      </c>
      <c r="AG602" s="4">
        <v>9</v>
      </c>
      <c r="AH602" s="4">
        <v>6</v>
      </c>
      <c r="AI602" s="4">
        <v>7</v>
      </c>
      <c r="AJ602" s="4">
        <v>15</v>
      </c>
      <c r="AK602" s="4">
        <v>19</v>
      </c>
      <c r="AL602" s="4">
        <v>2</v>
      </c>
      <c r="AM602" s="4">
        <v>3</v>
      </c>
      <c r="AN602" s="4">
        <v>0</v>
      </c>
      <c r="AO602" s="4">
        <v>0</v>
      </c>
      <c r="AP602" s="3" t="s">
        <v>59</v>
      </c>
      <c r="AQ602" s="3" t="s">
        <v>71</v>
      </c>
      <c r="AR602" s="6" t="str">
        <f>HYPERLINK("http://catalog.hathitrust.org/Record/000359525","HathiTrust Record")</f>
        <v>HathiTrust Record</v>
      </c>
      <c r="AS602" s="6" t="str">
        <f>HYPERLINK("https://creighton-primo.hosted.exlibrisgroup.com/primo-explore/search?tab=default_tab&amp;search_scope=EVERYTHING&amp;vid=01CRU&amp;lang=en_US&amp;offset=0&amp;query=any,contains,991001231739702656","Catalog Record")</f>
        <v>Catalog Record</v>
      </c>
      <c r="AT602" s="6" t="str">
        <f>HYPERLINK("http://www.worldcat.org/oclc/203764","WorldCat Record")</f>
        <v>WorldCat Record</v>
      </c>
      <c r="AU602" s="3" t="s">
        <v>7647</v>
      </c>
      <c r="AV602" s="3" t="s">
        <v>7648</v>
      </c>
      <c r="AW602" s="3" t="s">
        <v>7649</v>
      </c>
      <c r="AX602" s="3" t="s">
        <v>7649</v>
      </c>
      <c r="AY602" s="3" t="s">
        <v>7650</v>
      </c>
      <c r="AZ602" s="3" t="s">
        <v>76</v>
      </c>
      <c r="BC602" s="3" t="s">
        <v>7651</v>
      </c>
      <c r="BD602" s="3" t="s">
        <v>7652</v>
      </c>
    </row>
    <row r="603" spans="1:56" ht="52.5" customHeight="1" x14ac:dyDescent="0.25">
      <c r="A603" s="7" t="s">
        <v>59</v>
      </c>
      <c r="B603" s="2" t="s">
        <v>7653</v>
      </c>
      <c r="C603" s="2" t="s">
        <v>7654</v>
      </c>
      <c r="D603" s="2" t="s">
        <v>7655</v>
      </c>
      <c r="F603" s="3" t="s">
        <v>59</v>
      </c>
      <c r="G603" s="3" t="s">
        <v>60</v>
      </c>
      <c r="H603" s="3" t="s">
        <v>59</v>
      </c>
      <c r="I603" s="3" t="s">
        <v>59</v>
      </c>
      <c r="J603" s="3" t="s">
        <v>61</v>
      </c>
      <c r="K603" s="2" t="s">
        <v>7656</v>
      </c>
      <c r="L603" s="2" t="s">
        <v>7657</v>
      </c>
      <c r="M603" s="3" t="s">
        <v>1233</v>
      </c>
      <c r="O603" s="3" t="s">
        <v>65</v>
      </c>
      <c r="P603" s="3" t="s">
        <v>296</v>
      </c>
      <c r="R603" s="3" t="s">
        <v>68</v>
      </c>
      <c r="S603" s="4">
        <v>4</v>
      </c>
      <c r="T603" s="4">
        <v>4</v>
      </c>
      <c r="U603" s="5" t="s">
        <v>7658</v>
      </c>
      <c r="V603" s="5" t="s">
        <v>7658</v>
      </c>
      <c r="W603" s="5" t="s">
        <v>7036</v>
      </c>
      <c r="X603" s="5" t="s">
        <v>7036</v>
      </c>
      <c r="Y603" s="4">
        <v>748</v>
      </c>
      <c r="Z603" s="4">
        <v>576</v>
      </c>
      <c r="AA603" s="4">
        <v>626</v>
      </c>
      <c r="AB603" s="4">
        <v>5</v>
      </c>
      <c r="AC603" s="4">
        <v>5</v>
      </c>
      <c r="AD603" s="4">
        <v>23</v>
      </c>
      <c r="AE603" s="4">
        <v>25</v>
      </c>
      <c r="AF603" s="4">
        <v>7</v>
      </c>
      <c r="AG603" s="4">
        <v>8</v>
      </c>
      <c r="AH603" s="4">
        <v>6</v>
      </c>
      <c r="AI603" s="4">
        <v>6</v>
      </c>
      <c r="AJ603" s="4">
        <v>10</v>
      </c>
      <c r="AK603" s="4">
        <v>12</v>
      </c>
      <c r="AL603" s="4">
        <v>4</v>
      </c>
      <c r="AM603" s="4">
        <v>4</v>
      </c>
      <c r="AN603" s="4">
        <v>1</v>
      </c>
      <c r="AO603" s="4">
        <v>1</v>
      </c>
      <c r="AP603" s="3" t="s">
        <v>59</v>
      </c>
      <c r="AQ603" s="3" t="s">
        <v>71</v>
      </c>
      <c r="AR603" s="6" t="str">
        <f>HYPERLINK("http://catalog.hathitrust.org/Record/000359871","HathiTrust Record")</f>
        <v>HathiTrust Record</v>
      </c>
      <c r="AS603" s="6" t="str">
        <f>HYPERLINK("https://creighton-primo.hosted.exlibrisgroup.com/primo-explore/search?tab=default_tab&amp;search_scope=EVERYTHING&amp;vid=01CRU&amp;lang=en_US&amp;offset=0&amp;query=any,contains,991003254629702656","Catalog Record")</f>
        <v>Catalog Record</v>
      </c>
      <c r="AT603" s="6" t="str">
        <f>HYPERLINK("http://www.worldcat.org/oclc/779458","WorldCat Record")</f>
        <v>WorldCat Record</v>
      </c>
      <c r="AU603" s="3" t="s">
        <v>7659</v>
      </c>
      <c r="AV603" s="3" t="s">
        <v>7660</v>
      </c>
      <c r="AW603" s="3" t="s">
        <v>7661</v>
      </c>
      <c r="AX603" s="3" t="s">
        <v>7661</v>
      </c>
      <c r="AY603" s="3" t="s">
        <v>7662</v>
      </c>
      <c r="AZ603" s="3" t="s">
        <v>76</v>
      </c>
      <c r="BB603" s="3" t="s">
        <v>7663</v>
      </c>
      <c r="BC603" s="3" t="s">
        <v>7664</v>
      </c>
      <c r="BD603" s="3" t="s">
        <v>7665</v>
      </c>
    </row>
    <row r="604" spans="1:56" ht="52.5" customHeight="1" x14ac:dyDescent="0.25">
      <c r="A604" s="7" t="s">
        <v>59</v>
      </c>
      <c r="B604" s="2" t="s">
        <v>7666</v>
      </c>
      <c r="C604" s="2" t="s">
        <v>7667</v>
      </c>
      <c r="D604" s="2" t="s">
        <v>7668</v>
      </c>
      <c r="F604" s="3" t="s">
        <v>59</v>
      </c>
      <c r="G604" s="3" t="s">
        <v>60</v>
      </c>
      <c r="H604" s="3" t="s">
        <v>59</v>
      </c>
      <c r="I604" s="3" t="s">
        <v>59</v>
      </c>
      <c r="J604" s="3" t="s">
        <v>61</v>
      </c>
      <c r="L604" s="2" t="s">
        <v>7669</v>
      </c>
      <c r="M604" s="3" t="s">
        <v>164</v>
      </c>
      <c r="O604" s="3" t="s">
        <v>65</v>
      </c>
      <c r="P604" s="3" t="s">
        <v>66</v>
      </c>
      <c r="Q604" s="2" t="s">
        <v>7670</v>
      </c>
      <c r="R604" s="3" t="s">
        <v>68</v>
      </c>
      <c r="S604" s="4">
        <v>2</v>
      </c>
      <c r="T604" s="4">
        <v>2</v>
      </c>
      <c r="U604" s="5" t="s">
        <v>7671</v>
      </c>
      <c r="V604" s="5" t="s">
        <v>7671</v>
      </c>
      <c r="W604" s="5" t="s">
        <v>7672</v>
      </c>
      <c r="X604" s="5" t="s">
        <v>7672</v>
      </c>
      <c r="Y604" s="4">
        <v>360</v>
      </c>
      <c r="Z604" s="4">
        <v>252</v>
      </c>
      <c r="AA604" s="4">
        <v>261</v>
      </c>
      <c r="AB604" s="4">
        <v>2</v>
      </c>
      <c r="AC604" s="4">
        <v>2</v>
      </c>
      <c r="AD604" s="4">
        <v>13</v>
      </c>
      <c r="AE604" s="4">
        <v>13</v>
      </c>
      <c r="AF604" s="4">
        <v>3</v>
      </c>
      <c r="AG604" s="4">
        <v>3</v>
      </c>
      <c r="AH604" s="4">
        <v>5</v>
      </c>
      <c r="AI604" s="4">
        <v>5</v>
      </c>
      <c r="AJ604" s="4">
        <v>8</v>
      </c>
      <c r="AK604" s="4">
        <v>8</v>
      </c>
      <c r="AL604" s="4">
        <v>1</v>
      </c>
      <c r="AM604" s="4">
        <v>1</v>
      </c>
      <c r="AN604" s="4">
        <v>0</v>
      </c>
      <c r="AO604" s="4">
        <v>0</v>
      </c>
      <c r="AP604" s="3" t="s">
        <v>59</v>
      </c>
      <c r="AQ604" s="3" t="s">
        <v>71</v>
      </c>
      <c r="AR604" s="6" t="str">
        <f>HYPERLINK("http://catalog.hathitrust.org/Record/000082682","HathiTrust Record")</f>
        <v>HathiTrust Record</v>
      </c>
      <c r="AS604" s="6" t="str">
        <f>HYPERLINK("https://creighton-primo.hosted.exlibrisgroup.com/primo-explore/search?tab=default_tab&amp;search_scope=EVERYTHING&amp;vid=01CRU&amp;lang=en_US&amp;offset=0&amp;query=any,contains,991005064049702656","Catalog Record")</f>
        <v>Catalog Record</v>
      </c>
      <c r="AT604" s="6" t="str">
        <f>HYPERLINK("http://www.worldcat.org/oclc/6942901","WorldCat Record")</f>
        <v>WorldCat Record</v>
      </c>
      <c r="AU604" s="3" t="s">
        <v>7673</v>
      </c>
      <c r="AV604" s="3" t="s">
        <v>7674</v>
      </c>
      <c r="AW604" s="3" t="s">
        <v>7675</v>
      </c>
      <c r="AX604" s="3" t="s">
        <v>7675</v>
      </c>
      <c r="AY604" s="3" t="s">
        <v>7676</v>
      </c>
      <c r="AZ604" s="3" t="s">
        <v>76</v>
      </c>
      <c r="BB604" s="3" t="s">
        <v>7677</v>
      </c>
      <c r="BC604" s="3" t="s">
        <v>7678</v>
      </c>
      <c r="BD604" s="3" t="s">
        <v>7679</v>
      </c>
    </row>
    <row r="605" spans="1:56" ht="52.5" customHeight="1" x14ac:dyDescent="0.25">
      <c r="A605" s="7" t="s">
        <v>59</v>
      </c>
      <c r="B605" s="2" t="s">
        <v>7680</v>
      </c>
      <c r="C605" s="2" t="s">
        <v>7681</v>
      </c>
      <c r="D605" s="2" t="s">
        <v>7682</v>
      </c>
      <c r="F605" s="3" t="s">
        <v>59</v>
      </c>
      <c r="G605" s="3" t="s">
        <v>60</v>
      </c>
      <c r="H605" s="3" t="s">
        <v>59</v>
      </c>
      <c r="I605" s="3" t="s">
        <v>59</v>
      </c>
      <c r="J605" s="3" t="s">
        <v>61</v>
      </c>
      <c r="K605" s="2" t="s">
        <v>7683</v>
      </c>
      <c r="L605" s="2" t="s">
        <v>5598</v>
      </c>
      <c r="M605" s="3" t="s">
        <v>115</v>
      </c>
      <c r="O605" s="3" t="s">
        <v>65</v>
      </c>
      <c r="P605" s="3" t="s">
        <v>66</v>
      </c>
      <c r="R605" s="3" t="s">
        <v>68</v>
      </c>
      <c r="S605" s="4">
        <v>2</v>
      </c>
      <c r="T605" s="4">
        <v>2</v>
      </c>
      <c r="U605" s="5" t="s">
        <v>7252</v>
      </c>
      <c r="V605" s="5" t="s">
        <v>7252</v>
      </c>
      <c r="W605" s="5" t="s">
        <v>7672</v>
      </c>
      <c r="X605" s="5" t="s">
        <v>7672</v>
      </c>
      <c r="Y605" s="4">
        <v>460</v>
      </c>
      <c r="Z605" s="4">
        <v>412</v>
      </c>
      <c r="AA605" s="4">
        <v>412</v>
      </c>
      <c r="AB605" s="4">
        <v>5</v>
      </c>
      <c r="AC605" s="4">
        <v>5</v>
      </c>
      <c r="AD605" s="4">
        <v>16</v>
      </c>
      <c r="AE605" s="4">
        <v>16</v>
      </c>
      <c r="AF605" s="4">
        <v>5</v>
      </c>
      <c r="AG605" s="4">
        <v>5</v>
      </c>
      <c r="AH605" s="4">
        <v>6</v>
      </c>
      <c r="AI605" s="4">
        <v>6</v>
      </c>
      <c r="AJ605" s="4">
        <v>6</v>
      </c>
      <c r="AK605" s="4">
        <v>6</v>
      </c>
      <c r="AL605" s="4">
        <v>3</v>
      </c>
      <c r="AM605" s="4">
        <v>3</v>
      </c>
      <c r="AN605" s="4">
        <v>0</v>
      </c>
      <c r="AO605" s="4">
        <v>0</v>
      </c>
      <c r="AP605" s="3" t="s">
        <v>59</v>
      </c>
      <c r="AQ605" s="3" t="s">
        <v>59</v>
      </c>
      <c r="AS605" s="6" t="str">
        <f>HYPERLINK("https://creighton-primo.hosted.exlibrisgroup.com/primo-explore/search?tab=default_tab&amp;search_scope=EVERYTHING&amp;vid=01CRU&amp;lang=en_US&amp;offset=0&amp;query=any,contains,991002712989702656","Catalog Record")</f>
        <v>Catalog Record</v>
      </c>
      <c r="AT605" s="6" t="str">
        <f>HYPERLINK("http://www.worldcat.org/oclc/410397","WorldCat Record")</f>
        <v>WorldCat Record</v>
      </c>
      <c r="AU605" s="3" t="s">
        <v>7684</v>
      </c>
      <c r="AV605" s="3" t="s">
        <v>7685</v>
      </c>
      <c r="AW605" s="3" t="s">
        <v>7686</v>
      </c>
      <c r="AX605" s="3" t="s">
        <v>7686</v>
      </c>
      <c r="AY605" s="3" t="s">
        <v>7687</v>
      </c>
      <c r="AZ605" s="3" t="s">
        <v>76</v>
      </c>
      <c r="BB605" s="3" t="s">
        <v>7688</v>
      </c>
      <c r="BC605" s="3" t="s">
        <v>7689</v>
      </c>
      <c r="BD605" s="3" t="s">
        <v>7690</v>
      </c>
    </row>
    <row r="606" spans="1:56" ht="52.5" customHeight="1" x14ac:dyDescent="0.25">
      <c r="A606" s="7" t="s">
        <v>59</v>
      </c>
      <c r="B606" s="2" t="s">
        <v>7691</v>
      </c>
      <c r="C606" s="2" t="s">
        <v>7692</v>
      </c>
      <c r="D606" s="2" t="s">
        <v>7693</v>
      </c>
      <c r="F606" s="3" t="s">
        <v>59</v>
      </c>
      <c r="G606" s="3" t="s">
        <v>60</v>
      </c>
      <c r="H606" s="3" t="s">
        <v>59</v>
      </c>
      <c r="I606" s="3" t="s">
        <v>59</v>
      </c>
      <c r="J606" s="3" t="s">
        <v>61</v>
      </c>
      <c r="K606" s="2" t="s">
        <v>7694</v>
      </c>
      <c r="L606" s="2" t="s">
        <v>7695</v>
      </c>
      <c r="M606" s="3" t="s">
        <v>1163</v>
      </c>
      <c r="N606" s="2" t="s">
        <v>1975</v>
      </c>
      <c r="O606" s="3" t="s">
        <v>65</v>
      </c>
      <c r="P606" s="3" t="s">
        <v>66</v>
      </c>
      <c r="R606" s="3" t="s">
        <v>68</v>
      </c>
      <c r="S606" s="4">
        <v>4</v>
      </c>
      <c r="T606" s="4">
        <v>4</v>
      </c>
      <c r="U606" s="5" t="s">
        <v>7696</v>
      </c>
      <c r="V606" s="5" t="s">
        <v>7696</v>
      </c>
      <c r="W606" s="5" t="s">
        <v>7672</v>
      </c>
      <c r="X606" s="5" t="s">
        <v>7672</v>
      </c>
      <c r="Y606" s="4">
        <v>570</v>
      </c>
      <c r="Z606" s="4">
        <v>467</v>
      </c>
      <c r="AA606" s="4">
        <v>968</v>
      </c>
      <c r="AB606" s="4">
        <v>4</v>
      </c>
      <c r="AC606" s="4">
        <v>6</v>
      </c>
      <c r="AD606" s="4">
        <v>24</v>
      </c>
      <c r="AE606" s="4">
        <v>45</v>
      </c>
      <c r="AF606" s="4">
        <v>8</v>
      </c>
      <c r="AG606" s="4">
        <v>21</v>
      </c>
      <c r="AH606" s="4">
        <v>6</v>
      </c>
      <c r="AI606" s="4">
        <v>11</v>
      </c>
      <c r="AJ606" s="4">
        <v>11</v>
      </c>
      <c r="AK606" s="4">
        <v>20</v>
      </c>
      <c r="AL606" s="4">
        <v>3</v>
      </c>
      <c r="AM606" s="4">
        <v>5</v>
      </c>
      <c r="AN606" s="4">
        <v>0</v>
      </c>
      <c r="AO606" s="4">
        <v>0</v>
      </c>
      <c r="AP606" s="3" t="s">
        <v>59</v>
      </c>
      <c r="AQ606" s="3" t="s">
        <v>59</v>
      </c>
      <c r="AS606" s="6" t="str">
        <f>HYPERLINK("https://creighton-primo.hosted.exlibrisgroup.com/primo-explore/search?tab=default_tab&amp;search_scope=EVERYTHING&amp;vid=01CRU&amp;lang=en_US&amp;offset=0&amp;query=any,contains,991000566949702656","Catalog Record")</f>
        <v>Catalog Record</v>
      </c>
      <c r="AT606" s="6" t="str">
        <f>HYPERLINK("http://www.worldcat.org/oclc/11622624","WorldCat Record")</f>
        <v>WorldCat Record</v>
      </c>
      <c r="AU606" s="3" t="s">
        <v>7697</v>
      </c>
      <c r="AV606" s="3" t="s">
        <v>7698</v>
      </c>
      <c r="AW606" s="3" t="s">
        <v>7699</v>
      </c>
      <c r="AX606" s="3" t="s">
        <v>7699</v>
      </c>
      <c r="AY606" s="3" t="s">
        <v>7700</v>
      </c>
      <c r="AZ606" s="3" t="s">
        <v>76</v>
      </c>
      <c r="BB606" s="3" t="s">
        <v>7701</v>
      </c>
      <c r="BC606" s="3" t="s">
        <v>7702</v>
      </c>
      <c r="BD606" s="3" t="s">
        <v>7703</v>
      </c>
    </row>
    <row r="607" spans="1:56" ht="52.5" customHeight="1" x14ac:dyDescent="0.25">
      <c r="A607" s="7" t="s">
        <v>59</v>
      </c>
      <c r="B607" s="2" t="s">
        <v>7704</v>
      </c>
      <c r="C607" s="2" t="s">
        <v>7705</v>
      </c>
      <c r="D607" s="2" t="s">
        <v>7706</v>
      </c>
      <c r="F607" s="3" t="s">
        <v>59</v>
      </c>
      <c r="G607" s="3" t="s">
        <v>60</v>
      </c>
      <c r="H607" s="3" t="s">
        <v>59</v>
      </c>
      <c r="I607" s="3" t="s">
        <v>59</v>
      </c>
      <c r="J607" s="3" t="s">
        <v>61</v>
      </c>
      <c r="L607" s="2" t="s">
        <v>7707</v>
      </c>
      <c r="M607" s="3" t="s">
        <v>475</v>
      </c>
      <c r="O607" s="3" t="s">
        <v>65</v>
      </c>
      <c r="P607" s="3" t="s">
        <v>1262</v>
      </c>
      <c r="Q607" s="2" t="s">
        <v>7708</v>
      </c>
      <c r="R607" s="3" t="s">
        <v>68</v>
      </c>
      <c r="S607" s="4">
        <v>6</v>
      </c>
      <c r="T607" s="4">
        <v>6</v>
      </c>
      <c r="U607" s="5" t="s">
        <v>7709</v>
      </c>
      <c r="V607" s="5" t="s">
        <v>7709</v>
      </c>
      <c r="W607" s="5" t="s">
        <v>3251</v>
      </c>
      <c r="X607" s="5" t="s">
        <v>3251</v>
      </c>
      <c r="Y607" s="4">
        <v>674</v>
      </c>
      <c r="Z607" s="4">
        <v>504</v>
      </c>
      <c r="AA607" s="4">
        <v>512</v>
      </c>
      <c r="AB607" s="4">
        <v>5</v>
      </c>
      <c r="AC607" s="4">
        <v>5</v>
      </c>
      <c r="AD607" s="4">
        <v>28</v>
      </c>
      <c r="AE607" s="4">
        <v>28</v>
      </c>
      <c r="AF607" s="4">
        <v>13</v>
      </c>
      <c r="AG607" s="4">
        <v>13</v>
      </c>
      <c r="AH607" s="4">
        <v>6</v>
      </c>
      <c r="AI607" s="4">
        <v>6</v>
      </c>
      <c r="AJ607" s="4">
        <v>11</v>
      </c>
      <c r="AK607" s="4">
        <v>11</v>
      </c>
      <c r="AL607" s="4">
        <v>4</v>
      </c>
      <c r="AM607" s="4">
        <v>4</v>
      </c>
      <c r="AN607" s="4">
        <v>0</v>
      </c>
      <c r="AO607" s="4">
        <v>0</v>
      </c>
      <c r="AP607" s="3" t="s">
        <v>59</v>
      </c>
      <c r="AQ607" s="3" t="s">
        <v>71</v>
      </c>
      <c r="AR607" s="6" t="str">
        <f>HYPERLINK("http://catalog.hathitrust.org/Record/000314044","HathiTrust Record")</f>
        <v>HathiTrust Record</v>
      </c>
      <c r="AS607" s="6" t="str">
        <f>HYPERLINK("https://creighton-primo.hosted.exlibrisgroup.com/primo-explore/search?tab=default_tab&amp;search_scope=EVERYTHING&amp;vid=01CRU&amp;lang=en_US&amp;offset=0&amp;query=any,contains,991000055149702656","Catalog Record")</f>
        <v>Catalog Record</v>
      </c>
      <c r="AT607" s="6" t="str">
        <f>HYPERLINK("http://www.worldcat.org/oclc/8708729","WorldCat Record")</f>
        <v>WorldCat Record</v>
      </c>
      <c r="AU607" s="3" t="s">
        <v>7710</v>
      </c>
      <c r="AV607" s="3" t="s">
        <v>7711</v>
      </c>
      <c r="AW607" s="3" t="s">
        <v>7712</v>
      </c>
      <c r="AX607" s="3" t="s">
        <v>7712</v>
      </c>
      <c r="AY607" s="3" t="s">
        <v>7713</v>
      </c>
      <c r="AZ607" s="3" t="s">
        <v>76</v>
      </c>
      <c r="BB607" s="3" t="s">
        <v>7714</v>
      </c>
      <c r="BC607" s="3" t="s">
        <v>7715</v>
      </c>
      <c r="BD607" s="3" t="s">
        <v>7716</v>
      </c>
    </row>
    <row r="608" spans="1:56" ht="52.5" customHeight="1" x14ac:dyDescent="0.25">
      <c r="A608" s="7" t="s">
        <v>59</v>
      </c>
      <c r="B608" s="2" t="s">
        <v>7717</v>
      </c>
      <c r="C608" s="2" t="s">
        <v>7718</v>
      </c>
      <c r="D608" s="2" t="s">
        <v>7719</v>
      </c>
      <c r="F608" s="3" t="s">
        <v>59</v>
      </c>
      <c r="G608" s="3" t="s">
        <v>60</v>
      </c>
      <c r="H608" s="3" t="s">
        <v>59</v>
      </c>
      <c r="I608" s="3" t="s">
        <v>59</v>
      </c>
      <c r="J608" s="3" t="s">
        <v>61</v>
      </c>
      <c r="K608" s="2" t="s">
        <v>7720</v>
      </c>
      <c r="L608" s="2" t="s">
        <v>615</v>
      </c>
      <c r="M608" s="3" t="s">
        <v>616</v>
      </c>
      <c r="N608" s="2" t="s">
        <v>1587</v>
      </c>
      <c r="O608" s="3" t="s">
        <v>65</v>
      </c>
      <c r="P608" s="3" t="s">
        <v>66</v>
      </c>
      <c r="R608" s="3" t="s">
        <v>68</v>
      </c>
      <c r="S608" s="4">
        <v>6</v>
      </c>
      <c r="T608" s="4">
        <v>6</v>
      </c>
      <c r="U608" s="5" t="s">
        <v>7721</v>
      </c>
      <c r="V608" s="5" t="s">
        <v>7721</v>
      </c>
      <c r="W608" s="5" t="s">
        <v>7722</v>
      </c>
      <c r="X608" s="5" t="s">
        <v>7722</v>
      </c>
      <c r="Y608" s="4">
        <v>226</v>
      </c>
      <c r="Z608" s="4">
        <v>182</v>
      </c>
      <c r="AA608" s="4">
        <v>453</v>
      </c>
      <c r="AB608" s="4">
        <v>4</v>
      </c>
      <c r="AC608" s="4">
        <v>5</v>
      </c>
      <c r="AD608" s="4">
        <v>10</v>
      </c>
      <c r="AE608" s="4">
        <v>21</v>
      </c>
      <c r="AF608" s="4">
        <v>3</v>
      </c>
      <c r="AG608" s="4">
        <v>7</v>
      </c>
      <c r="AH608" s="4">
        <v>1</v>
      </c>
      <c r="AI608" s="4">
        <v>3</v>
      </c>
      <c r="AJ608" s="4">
        <v>6</v>
      </c>
      <c r="AK608" s="4">
        <v>11</v>
      </c>
      <c r="AL608" s="4">
        <v>3</v>
      </c>
      <c r="AM608" s="4">
        <v>4</v>
      </c>
      <c r="AN608" s="4">
        <v>0</v>
      </c>
      <c r="AO608" s="4">
        <v>0</v>
      </c>
      <c r="AP608" s="3" t="s">
        <v>59</v>
      </c>
      <c r="AQ608" s="3" t="s">
        <v>71</v>
      </c>
      <c r="AR608" s="6" t="str">
        <f>HYPERLINK("http://catalog.hathitrust.org/Record/001093576","HathiTrust Record")</f>
        <v>HathiTrust Record</v>
      </c>
      <c r="AS608" s="6" t="str">
        <f>HYPERLINK("https://creighton-primo.hosted.exlibrisgroup.com/primo-explore/search?tab=default_tab&amp;search_scope=EVERYTHING&amp;vid=01CRU&amp;lang=en_US&amp;offset=0&amp;query=any,contains,991001383609702656","Catalog Record")</f>
        <v>Catalog Record</v>
      </c>
      <c r="AT608" s="6" t="str">
        <f>HYPERLINK("http://www.worldcat.org/oclc/19522154","WorldCat Record")</f>
        <v>WorldCat Record</v>
      </c>
      <c r="AU608" s="3" t="s">
        <v>7723</v>
      </c>
      <c r="AV608" s="3" t="s">
        <v>7724</v>
      </c>
      <c r="AW608" s="3" t="s">
        <v>7725</v>
      </c>
      <c r="AX608" s="3" t="s">
        <v>7725</v>
      </c>
      <c r="AY608" s="3" t="s">
        <v>7726</v>
      </c>
      <c r="AZ608" s="3" t="s">
        <v>76</v>
      </c>
      <c r="BB608" s="3" t="s">
        <v>7727</v>
      </c>
      <c r="BC608" s="3" t="s">
        <v>7728</v>
      </c>
      <c r="BD608" s="3" t="s">
        <v>7729</v>
      </c>
    </row>
    <row r="609" spans="1:56" ht="52.5" customHeight="1" x14ac:dyDescent="0.25">
      <c r="A609" s="7" t="s">
        <v>59</v>
      </c>
      <c r="B609" s="2" t="s">
        <v>7730</v>
      </c>
      <c r="C609" s="2" t="s">
        <v>7731</v>
      </c>
      <c r="D609" s="2" t="s">
        <v>7732</v>
      </c>
      <c r="F609" s="3" t="s">
        <v>59</v>
      </c>
      <c r="G609" s="3" t="s">
        <v>60</v>
      </c>
      <c r="H609" s="3" t="s">
        <v>59</v>
      </c>
      <c r="I609" s="3" t="s">
        <v>59</v>
      </c>
      <c r="J609" s="3" t="s">
        <v>61</v>
      </c>
      <c r="K609" s="2" t="s">
        <v>7733</v>
      </c>
      <c r="L609" s="2" t="s">
        <v>7734</v>
      </c>
      <c r="M609" s="3" t="s">
        <v>684</v>
      </c>
      <c r="O609" s="3" t="s">
        <v>65</v>
      </c>
      <c r="P609" s="3" t="s">
        <v>283</v>
      </c>
      <c r="R609" s="3" t="s">
        <v>68</v>
      </c>
      <c r="S609" s="4">
        <v>1</v>
      </c>
      <c r="T609" s="4">
        <v>1</v>
      </c>
      <c r="U609" s="5" t="s">
        <v>6981</v>
      </c>
      <c r="V609" s="5" t="s">
        <v>6981</v>
      </c>
      <c r="W609" s="5" t="s">
        <v>7672</v>
      </c>
      <c r="X609" s="5" t="s">
        <v>7672</v>
      </c>
      <c r="Y609" s="4">
        <v>278</v>
      </c>
      <c r="Z609" s="4">
        <v>218</v>
      </c>
      <c r="AA609" s="4">
        <v>221</v>
      </c>
      <c r="AB609" s="4">
        <v>2</v>
      </c>
      <c r="AC609" s="4">
        <v>2</v>
      </c>
      <c r="AD609" s="4">
        <v>11</v>
      </c>
      <c r="AE609" s="4">
        <v>11</v>
      </c>
      <c r="AF609" s="4">
        <v>7</v>
      </c>
      <c r="AG609" s="4">
        <v>7</v>
      </c>
      <c r="AH609" s="4">
        <v>3</v>
      </c>
      <c r="AI609" s="4">
        <v>3</v>
      </c>
      <c r="AJ609" s="4">
        <v>3</v>
      </c>
      <c r="AK609" s="4">
        <v>3</v>
      </c>
      <c r="AL609" s="4">
        <v>1</v>
      </c>
      <c r="AM609" s="4">
        <v>1</v>
      </c>
      <c r="AN609" s="4">
        <v>0</v>
      </c>
      <c r="AO609" s="4">
        <v>0</v>
      </c>
      <c r="AP609" s="3" t="s">
        <v>59</v>
      </c>
      <c r="AQ609" s="3" t="s">
        <v>71</v>
      </c>
      <c r="AR609" s="6" t="str">
        <f>HYPERLINK("http://catalog.hathitrust.org/Record/000181149","HathiTrust Record")</f>
        <v>HathiTrust Record</v>
      </c>
      <c r="AS609" s="6" t="str">
        <f>HYPERLINK("https://creighton-primo.hosted.exlibrisgroup.com/primo-explore/search?tab=default_tab&amp;search_scope=EVERYTHING&amp;vid=01CRU&amp;lang=en_US&amp;offset=0&amp;query=any,contains,991005134589702656","Catalog Record")</f>
        <v>Catalog Record</v>
      </c>
      <c r="AT609" s="6" t="str">
        <f>HYPERLINK("http://www.worldcat.org/oclc/7575632","WorldCat Record")</f>
        <v>WorldCat Record</v>
      </c>
      <c r="AU609" s="3" t="s">
        <v>7735</v>
      </c>
      <c r="AV609" s="3" t="s">
        <v>7736</v>
      </c>
      <c r="AW609" s="3" t="s">
        <v>7737</v>
      </c>
      <c r="AX609" s="3" t="s">
        <v>7737</v>
      </c>
      <c r="AY609" s="3" t="s">
        <v>7738</v>
      </c>
      <c r="AZ609" s="3" t="s">
        <v>76</v>
      </c>
      <c r="BB609" s="3" t="s">
        <v>7739</v>
      </c>
      <c r="BC609" s="3" t="s">
        <v>7740</v>
      </c>
      <c r="BD609" s="3" t="s">
        <v>7741</v>
      </c>
    </row>
    <row r="610" spans="1:56" ht="52.5" customHeight="1" x14ac:dyDescent="0.25">
      <c r="A610" s="7" t="s">
        <v>59</v>
      </c>
      <c r="B610" s="2" t="s">
        <v>7742</v>
      </c>
      <c r="C610" s="2" t="s">
        <v>7743</v>
      </c>
      <c r="D610" s="2" t="s">
        <v>7744</v>
      </c>
      <c r="F610" s="3" t="s">
        <v>59</v>
      </c>
      <c r="G610" s="3" t="s">
        <v>60</v>
      </c>
      <c r="H610" s="3" t="s">
        <v>71</v>
      </c>
      <c r="I610" s="3" t="s">
        <v>59</v>
      </c>
      <c r="J610" s="3" t="s">
        <v>61</v>
      </c>
      <c r="K610" s="2" t="s">
        <v>7745</v>
      </c>
      <c r="L610" s="2" t="s">
        <v>7746</v>
      </c>
      <c r="M610" s="3" t="s">
        <v>475</v>
      </c>
      <c r="O610" s="3" t="s">
        <v>65</v>
      </c>
      <c r="P610" s="3" t="s">
        <v>1262</v>
      </c>
      <c r="R610" s="3" t="s">
        <v>68</v>
      </c>
      <c r="S610" s="4">
        <v>3</v>
      </c>
      <c r="T610" s="4">
        <v>3</v>
      </c>
      <c r="U610" s="5" t="s">
        <v>7747</v>
      </c>
      <c r="V610" s="5" t="s">
        <v>7747</v>
      </c>
      <c r="W610" s="5" t="s">
        <v>2164</v>
      </c>
      <c r="X610" s="5" t="s">
        <v>2164</v>
      </c>
      <c r="Y610" s="4">
        <v>419</v>
      </c>
      <c r="Z610" s="4">
        <v>290</v>
      </c>
      <c r="AA610" s="4">
        <v>297</v>
      </c>
      <c r="AB610" s="4">
        <v>3</v>
      </c>
      <c r="AC610" s="4">
        <v>3</v>
      </c>
      <c r="AD610" s="4">
        <v>11</v>
      </c>
      <c r="AE610" s="4">
        <v>11</v>
      </c>
      <c r="AF610" s="4">
        <v>3</v>
      </c>
      <c r="AG610" s="4">
        <v>3</v>
      </c>
      <c r="AH610" s="4">
        <v>4</v>
      </c>
      <c r="AI610" s="4">
        <v>4</v>
      </c>
      <c r="AJ610" s="4">
        <v>7</v>
      </c>
      <c r="AK610" s="4">
        <v>7</v>
      </c>
      <c r="AL610" s="4">
        <v>1</v>
      </c>
      <c r="AM610" s="4">
        <v>1</v>
      </c>
      <c r="AN610" s="4">
        <v>0</v>
      </c>
      <c r="AO610" s="4">
        <v>0</v>
      </c>
      <c r="AP610" s="3" t="s">
        <v>59</v>
      </c>
      <c r="AQ610" s="3" t="s">
        <v>71</v>
      </c>
      <c r="AR610" s="6" t="str">
        <f>HYPERLINK("http://catalog.hathitrust.org/Record/000275363","HathiTrust Record")</f>
        <v>HathiTrust Record</v>
      </c>
      <c r="AS610" s="6" t="str">
        <f>HYPERLINK("https://creighton-primo.hosted.exlibrisgroup.com/primo-explore/search?tab=default_tab&amp;search_scope=EVERYTHING&amp;vid=01CRU&amp;lang=en_US&amp;offset=0&amp;query=any,contains,991000059489702656","Catalog Record")</f>
        <v>Catalog Record</v>
      </c>
      <c r="AT610" s="6" t="str">
        <f>HYPERLINK("http://www.worldcat.org/oclc/8727871","WorldCat Record")</f>
        <v>WorldCat Record</v>
      </c>
      <c r="AU610" s="3" t="s">
        <v>7748</v>
      </c>
      <c r="AV610" s="3" t="s">
        <v>7749</v>
      </c>
      <c r="AW610" s="3" t="s">
        <v>7750</v>
      </c>
      <c r="AX610" s="3" t="s">
        <v>7750</v>
      </c>
      <c r="AY610" s="3" t="s">
        <v>7751</v>
      </c>
      <c r="AZ610" s="3" t="s">
        <v>76</v>
      </c>
      <c r="BB610" s="3" t="s">
        <v>7752</v>
      </c>
      <c r="BC610" s="3" t="s">
        <v>7753</v>
      </c>
      <c r="BD610" s="3" t="s">
        <v>7754</v>
      </c>
    </row>
    <row r="611" spans="1:56" ht="52.5" customHeight="1" x14ac:dyDescent="0.25">
      <c r="A611" s="7" t="s">
        <v>59</v>
      </c>
      <c r="B611" s="2" t="s">
        <v>7755</v>
      </c>
      <c r="C611" s="2" t="s">
        <v>7756</v>
      </c>
      <c r="D611" s="2" t="s">
        <v>7757</v>
      </c>
      <c r="F611" s="3" t="s">
        <v>59</v>
      </c>
      <c r="G611" s="3" t="s">
        <v>60</v>
      </c>
      <c r="H611" s="3" t="s">
        <v>59</v>
      </c>
      <c r="I611" s="3" t="s">
        <v>71</v>
      </c>
      <c r="J611" s="3" t="s">
        <v>61</v>
      </c>
      <c r="K611" s="2" t="s">
        <v>7758</v>
      </c>
      <c r="L611" s="2" t="s">
        <v>7759</v>
      </c>
      <c r="M611" s="3" t="s">
        <v>405</v>
      </c>
      <c r="O611" s="3" t="s">
        <v>65</v>
      </c>
      <c r="P611" s="3" t="s">
        <v>1262</v>
      </c>
      <c r="R611" s="3" t="s">
        <v>68</v>
      </c>
      <c r="S611" s="4">
        <v>8</v>
      </c>
      <c r="T611" s="4">
        <v>8</v>
      </c>
      <c r="U611" s="5" t="s">
        <v>7760</v>
      </c>
      <c r="V611" s="5" t="s">
        <v>7760</v>
      </c>
      <c r="W611" s="5" t="s">
        <v>7761</v>
      </c>
      <c r="X611" s="5" t="s">
        <v>7761</v>
      </c>
      <c r="Y611" s="4">
        <v>253</v>
      </c>
      <c r="Z611" s="4">
        <v>137</v>
      </c>
      <c r="AA611" s="4">
        <v>514</v>
      </c>
      <c r="AB611" s="4">
        <v>1</v>
      </c>
      <c r="AC611" s="4">
        <v>4</v>
      </c>
      <c r="AD611" s="4">
        <v>7</v>
      </c>
      <c r="AE611" s="4">
        <v>23</v>
      </c>
      <c r="AF611" s="4">
        <v>1</v>
      </c>
      <c r="AG611" s="4">
        <v>6</v>
      </c>
      <c r="AH611" s="4">
        <v>3</v>
      </c>
      <c r="AI611" s="4">
        <v>7</v>
      </c>
      <c r="AJ611" s="4">
        <v>4</v>
      </c>
      <c r="AK611" s="4">
        <v>13</v>
      </c>
      <c r="AL611" s="4">
        <v>0</v>
      </c>
      <c r="AM611" s="4">
        <v>3</v>
      </c>
      <c r="AN611" s="4">
        <v>0</v>
      </c>
      <c r="AO611" s="4">
        <v>0</v>
      </c>
      <c r="AP611" s="3" t="s">
        <v>59</v>
      </c>
      <c r="AQ611" s="3" t="s">
        <v>59</v>
      </c>
      <c r="AS611" s="6" t="str">
        <f>HYPERLINK("https://creighton-primo.hosted.exlibrisgroup.com/primo-explore/search?tab=default_tab&amp;search_scope=EVERYTHING&amp;vid=01CRU&amp;lang=en_US&amp;offset=0&amp;query=any,contains,991001363019702656","Catalog Record")</f>
        <v>Catalog Record</v>
      </c>
      <c r="AT611" s="6" t="str">
        <f>HYPERLINK("http://www.worldcat.org/oclc/18530087","WorldCat Record")</f>
        <v>WorldCat Record</v>
      </c>
      <c r="AU611" s="3" t="s">
        <v>7762</v>
      </c>
      <c r="AV611" s="3" t="s">
        <v>7763</v>
      </c>
      <c r="AW611" s="3" t="s">
        <v>7764</v>
      </c>
      <c r="AX611" s="3" t="s">
        <v>7764</v>
      </c>
      <c r="AY611" s="3" t="s">
        <v>7765</v>
      </c>
      <c r="AZ611" s="3" t="s">
        <v>76</v>
      </c>
      <c r="BB611" s="3" t="s">
        <v>7766</v>
      </c>
      <c r="BC611" s="3" t="s">
        <v>7767</v>
      </c>
      <c r="BD611" s="3" t="s">
        <v>7768</v>
      </c>
    </row>
    <row r="612" spans="1:56" ht="52.5" customHeight="1" x14ac:dyDescent="0.25">
      <c r="A612" s="7" t="s">
        <v>59</v>
      </c>
      <c r="B612" s="2" t="s">
        <v>7769</v>
      </c>
      <c r="C612" s="2" t="s">
        <v>7770</v>
      </c>
      <c r="D612" s="2" t="s">
        <v>7771</v>
      </c>
      <c r="F612" s="3" t="s">
        <v>59</v>
      </c>
      <c r="G612" s="3" t="s">
        <v>60</v>
      </c>
      <c r="H612" s="3" t="s">
        <v>59</v>
      </c>
      <c r="I612" s="3" t="s">
        <v>59</v>
      </c>
      <c r="J612" s="3" t="s">
        <v>61</v>
      </c>
      <c r="K612" s="2" t="s">
        <v>7772</v>
      </c>
      <c r="L612" s="2" t="s">
        <v>7773</v>
      </c>
      <c r="M612" s="3" t="s">
        <v>5648</v>
      </c>
      <c r="O612" s="3" t="s">
        <v>65</v>
      </c>
      <c r="P612" s="3" t="s">
        <v>7774</v>
      </c>
      <c r="Q612" s="2" t="s">
        <v>7775</v>
      </c>
      <c r="R612" s="3" t="s">
        <v>68</v>
      </c>
      <c r="S612" s="4">
        <v>1</v>
      </c>
      <c r="T612" s="4">
        <v>1</v>
      </c>
      <c r="U612" s="5" t="s">
        <v>7776</v>
      </c>
      <c r="V612" s="5" t="s">
        <v>7776</v>
      </c>
      <c r="W612" s="5" t="s">
        <v>7777</v>
      </c>
      <c r="X612" s="5" t="s">
        <v>7777</v>
      </c>
      <c r="Y612" s="4">
        <v>717</v>
      </c>
      <c r="Z612" s="4">
        <v>715</v>
      </c>
      <c r="AA612" s="4">
        <v>1055</v>
      </c>
      <c r="AB612" s="4">
        <v>6</v>
      </c>
      <c r="AC612" s="4">
        <v>7</v>
      </c>
      <c r="AD612" s="4">
        <v>32</v>
      </c>
      <c r="AE612" s="4">
        <v>34</v>
      </c>
      <c r="AF612" s="4">
        <v>15</v>
      </c>
      <c r="AG612" s="4">
        <v>15</v>
      </c>
      <c r="AH612" s="4">
        <v>5</v>
      </c>
      <c r="AI612" s="4">
        <v>6</v>
      </c>
      <c r="AJ612" s="4">
        <v>19</v>
      </c>
      <c r="AK612" s="4">
        <v>20</v>
      </c>
      <c r="AL612" s="4">
        <v>4</v>
      </c>
      <c r="AM612" s="4">
        <v>4</v>
      </c>
      <c r="AN612" s="4">
        <v>0</v>
      </c>
      <c r="AO612" s="4">
        <v>0</v>
      </c>
      <c r="AP612" s="3" t="s">
        <v>59</v>
      </c>
      <c r="AQ612" s="3" t="s">
        <v>59</v>
      </c>
      <c r="AS612" s="6" t="str">
        <f>HYPERLINK("https://creighton-primo.hosted.exlibrisgroup.com/primo-explore/search?tab=default_tab&amp;search_scope=EVERYTHING&amp;vid=01CRU&amp;lang=en_US&amp;offset=0&amp;query=any,contains,991001829259702656","Catalog Record")</f>
        <v>Catalog Record</v>
      </c>
      <c r="AT612" s="6" t="str">
        <f>HYPERLINK("http://www.worldcat.org/oclc/22983105","WorldCat Record")</f>
        <v>WorldCat Record</v>
      </c>
      <c r="AU612" s="3" t="s">
        <v>7778</v>
      </c>
      <c r="AV612" s="3" t="s">
        <v>7779</v>
      </c>
      <c r="AW612" s="3" t="s">
        <v>7780</v>
      </c>
      <c r="AX612" s="3" t="s">
        <v>7780</v>
      </c>
      <c r="AY612" s="3" t="s">
        <v>7781</v>
      </c>
      <c r="AZ612" s="3" t="s">
        <v>76</v>
      </c>
      <c r="BB612" s="3" t="s">
        <v>7782</v>
      </c>
      <c r="BC612" s="3" t="s">
        <v>7783</v>
      </c>
      <c r="BD612" s="3" t="s">
        <v>7784</v>
      </c>
    </row>
    <row r="613" spans="1:56" ht="52.5" customHeight="1" x14ac:dyDescent="0.25">
      <c r="A613" s="7" t="s">
        <v>59</v>
      </c>
      <c r="B613" s="2" t="s">
        <v>7785</v>
      </c>
      <c r="C613" s="2" t="s">
        <v>7786</v>
      </c>
      <c r="D613" s="2" t="s">
        <v>7787</v>
      </c>
      <c r="F613" s="3" t="s">
        <v>59</v>
      </c>
      <c r="G613" s="3" t="s">
        <v>60</v>
      </c>
      <c r="H613" s="3" t="s">
        <v>59</v>
      </c>
      <c r="I613" s="3" t="s">
        <v>59</v>
      </c>
      <c r="J613" s="3" t="s">
        <v>61</v>
      </c>
      <c r="K613" s="2" t="s">
        <v>7788</v>
      </c>
      <c r="L613" s="2" t="s">
        <v>7789</v>
      </c>
      <c r="M613" s="3" t="s">
        <v>254</v>
      </c>
      <c r="O613" s="3" t="s">
        <v>65</v>
      </c>
      <c r="P613" s="3" t="s">
        <v>296</v>
      </c>
      <c r="Q613" s="2" t="s">
        <v>7790</v>
      </c>
      <c r="R613" s="3" t="s">
        <v>68</v>
      </c>
      <c r="S613" s="4">
        <v>4</v>
      </c>
      <c r="T613" s="4">
        <v>4</v>
      </c>
      <c r="U613" s="5" t="s">
        <v>7791</v>
      </c>
      <c r="V613" s="5" t="s">
        <v>7791</v>
      </c>
      <c r="W613" s="5" t="s">
        <v>6657</v>
      </c>
      <c r="X613" s="5" t="s">
        <v>6657</v>
      </c>
      <c r="Y613" s="4">
        <v>499</v>
      </c>
      <c r="Z613" s="4">
        <v>410</v>
      </c>
      <c r="AA613" s="4">
        <v>424</v>
      </c>
      <c r="AB613" s="4">
        <v>3</v>
      </c>
      <c r="AC613" s="4">
        <v>3</v>
      </c>
      <c r="AD613" s="4">
        <v>15</v>
      </c>
      <c r="AE613" s="4">
        <v>16</v>
      </c>
      <c r="AF613" s="4">
        <v>1</v>
      </c>
      <c r="AG613" s="4">
        <v>2</v>
      </c>
      <c r="AH613" s="4">
        <v>5</v>
      </c>
      <c r="AI613" s="4">
        <v>5</v>
      </c>
      <c r="AJ613" s="4">
        <v>10</v>
      </c>
      <c r="AK613" s="4">
        <v>10</v>
      </c>
      <c r="AL613" s="4">
        <v>2</v>
      </c>
      <c r="AM613" s="4">
        <v>2</v>
      </c>
      <c r="AN613" s="4">
        <v>0</v>
      </c>
      <c r="AO613" s="4">
        <v>0</v>
      </c>
      <c r="AP613" s="3" t="s">
        <v>59</v>
      </c>
      <c r="AQ613" s="3" t="s">
        <v>71</v>
      </c>
      <c r="AR613" s="6" t="str">
        <f>HYPERLINK("http://catalog.hathitrust.org/Record/000000679","HathiTrust Record")</f>
        <v>HathiTrust Record</v>
      </c>
      <c r="AS613" s="6" t="str">
        <f>HYPERLINK("https://creighton-primo.hosted.exlibrisgroup.com/primo-explore/search?tab=default_tab&amp;search_scope=EVERYTHING&amp;vid=01CRU&amp;lang=en_US&amp;offset=0&amp;query=any,contains,991000158009702656","Catalog Record")</f>
        <v>Catalog Record</v>
      </c>
      <c r="AT613" s="6" t="str">
        <f>HYPERLINK("http://www.worldcat.org/oclc/60599","WorldCat Record")</f>
        <v>WorldCat Record</v>
      </c>
      <c r="AU613" s="3" t="s">
        <v>7792</v>
      </c>
      <c r="AV613" s="3" t="s">
        <v>7793</v>
      </c>
      <c r="AW613" s="3" t="s">
        <v>7794</v>
      </c>
      <c r="AX613" s="3" t="s">
        <v>7794</v>
      </c>
      <c r="AY613" s="3" t="s">
        <v>7795</v>
      </c>
      <c r="AZ613" s="3" t="s">
        <v>76</v>
      </c>
      <c r="BC613" s="3" t="s">
        <v>7796</v>
      </c>
      <c r="BD613" s="3" t="s">
        <v>7797</v>
      </c>
    </row>
    <row r="614" spans="1:56" ht="52.5" customHeight="1" x14ac:dyDescent="0.25">
      <c r="A614" s="7" t="s">
        <v>59</v>
      </c>
      <c r="B614" s="2" t="s">
        <v>7798</v>
      </c>
      <c r="C614" s="2" t="s">
        <v>7799</v>
      </c>
      <c r="D614" s="2" t="s">
        <v>7800</v>
      </c>
      <c r="F614" s="3" t="s">
        <v>59</v>
      </c>
      <c r="G614" s="3" t="s">
        <v>60</v>
      </c>
      <c r="H614" s="3" t="s">
        <v>59</v>
      </c>
      <c r="I614" s="3" t="s">
        <v>59</v>
      </c>
      <c r="J614" s="3" t="s">
        <v>61</v>
      </c>
      <c r="K614" s="2" t="s">
        <v>7801</v>
      </c>
      <c r="L614" s="2" t="s">
        <v>7802</v>
      </c>
      <c r="M614" s="3" t="s">
        <v>434</v>
      </c>
      <c r="O614" s="3" t="s">
        <v>65</v>
      </c>
      <c r="P614" s="3" t="s">
        <v>1262</v>
      </c>
      <c r="R614" s="3" t="s">
        <v>68</v>
      </c>
      <c r="S614" s="4">
        <v>4</v>
      </c>
      <c r="T614" s="4">
        <v>4</v>
      </c>
      <c r="U614" s="5" t="s">
        <v>7803</v>
      </c>
      <c r="V614" s="5" t="s">
        <v>7803</v>
      </c>
      <c r="W614" s="5" t="s">
        <v>7804</v>
      </c>
      <c r="X614" s="5" t="s">
        <v>7804</v>
      </c>
      <c r="Y614" s="4">
        <v>131</v>
      </c>
      <c r="Z614" s="4">
        <v>85</v>
      </c>
      <c r="AA614" s="4">
        <v>420</v>
      </c>
      <c r="AB614" s="4">
        <v>1</v>
      </c>
      <c r="AC614" s="4">
        <v>2</v>
      </c>
      <c r="AD614" s="4">
        <v>2</v>
      </c>
      <c r="AE614" s="4">
        <v>18</v>
      </c>
      <c r="AF614" s="4">
        <v>1</v>
      </c>
      <c r="AG614" s="4">
        <v>5</v>
      </c>
      <c r="AH614" s="4">
        <v>0</v>
      </c>
      <c r="AI614" s="4">
        <v>4</v>
      </c>
      <c r="AJ614" s="4">
        <v>1</v>
      </c>
      <c r="AK614" s="4">
        <v>11</v>
      </c>
      <c r="AL614" s="4">
        <v>0</v>
      </c>
      <c r="AM614" s="4">
        <v>1</v>
      </c>
      <c r="AN614" s="4">
        <v>0</v>
      </c>
      <c r="AO614" s="4">
        <v>0</v>
      </c>
      <c r="AP614" s="3" t="s">
        <v>59</v>
      </c>
      <c r="AQ614" s="3" t="s">
        <v>59</v>
      </c>
      <c r="AS614" s="6" t="str">
        <f>HYPERLINK("https://creighton-primo.hosted.exlibrisgroup.com/primo-explore/search?tab=default_tab&amp;search_scope=EVERYTHING&amp;vid=01CRU&amp;lang=en_US&amp;offset=0&amp;query=any,contains,991004310219702656","Catalog Record")</f>
        <v>Catalog Record</v>
      </c>
      <c r="AT614" s="6" t="str">
        <f>HYPERLINK("http://www.worldcat.org/oclc/2990225","WorldCat Record")</f>
        <v>WorldCat Record</v>
      </c>
      <c r="AU614" s="3" t="s">
        <v>7805</v>
      </c>
      <c r="AV614" s="3" t="s">
        <v>7806</v>
      </c>
      <c r="AW614" s="3" t="s">
        <v>7807</v>
      </c>
      <c r="AX614" s="3" t="s">
        <v>7807</v>
      </c>
      <c r="AY614" s="3" t="s">
        <v>7808</v>
      </c>
      <c r="AZ614" s="3" t="s">
        <v>76</v>
      </c>
      <c r="BC614" s="3" t="s">
        <v>7809</v>
      </c>
      <c r="BD614" s="3" t="s">
        <v>7810</v>
      </c>
    </row>
    <row r="615" spans="1:56" ht="52.5" customHeight="1" x14ac:dyDescent="0.25">
      <c r="A615" s="7" t="s">
        <v>59</v>
      </c>
      <c r="B615" s="2" t="s">
        <v>7811</v>
      </c>
      <c r="C615" s="2" t="s">
        <v>7812</v>
      </c>
      <c r="D615" s="2" t="s">
        <v>7813</v>
      </c>
      <c r="F615" s="3" t="s">
        <v>59</v>
      </c>
      <c r="G615" s="3" t="s">
        <v>60</v>
      </c>
      <c r="H615" s="3" t="s">
        <v>59</v>
      </c>
      <c r="I615" s="3" t="s">
        <v>59</v>
      </c>
      <c r="J615" s="3" t="s">
        <v>61</v>
      </c>
      <c r="K615" s="2" t="s">
        <v>7814</v>
      </c>
      <c r="L615" s="2" t="s">
        <v>7815</v>
      </c>
      <c r="M615" s="3" t="s">
        <v>224</v>
      </c>
      <c r="N615" s="2" t="s">
        <v>887</v>
      </c>
      <c r="O615" s="3" t="s">
        <v>65</v>
      </c>
      <c r="P615" s="3" t="s">
        <v>420</v>
      </c>
      <c r="Q615" s="2" t="s">
        <v>7816</v>
      </c>
      <c r="R615" s="3" t="s">
        <v>68</v>
      </c>
      <c r="S615" s="4">
        <v>8</v>
      </c>
      <c r="T615" s="4">
        <v>8</v>
      </c>
      <c r="U615" s="5" t="s">
        <v>7817</v>
      </c>
      <c r="V615" s="5" t="s">
        <v>7817</v>
      </c>
      <c r="W615" s="5" t="s">
        <v>7804</v>
      </c>
      <c r="X615" s="5" t="s">
        <v>7804</v>
      </c>
      <c r="Y615" s="4">
        <v>648</v>
      </c>
      <c r="Z615" s="4">
        <v>516</v>
      </c>
      <c r="AA615" s="4">
        <v>684</v>
      </c>
      <c r="AB615" s="4">
        <v>4</v>
      </c>
      <c r="AC615" s="4">
        <v>5</v>
      </c>
      <c r="AD615" s="4">
        <v>19</v>
      </c>
      <c r="AE615" s="4">
        <v>25</v>
      </c>
      <c r="AF615" s="4">
        <v>10</v>
      </c>
      <c r="AG615" s="4">
        <v>11</v>
      </c>
      <c r="AH615" s="4">
        <v>4</v>
      </c>
      <c r="AI615" s="4">
        <v>7</v>
      </c>
      <c r="AJ615" s="4">
        <v>9</v>
      </c>
      <c r="AK615" s="4">
        <v>12</v>
      </c>
      <c r="AL615" s="4">
        <v>2</v>
      </c>
      <c r="AM615" s="4">
        <v>3</v>
      </c>
      <c r="AN615" s="4">
        <v>0</v>
      </c>
      <c r="AO615" s="4">
        <v>0</v>
      </c>
      <c r="AP615" s="3" t="s">
        <v>59</v>
      </c>
      <c r="AQ615" s="3" t="s">
        <v>71</v>
      </c>
      <c r="AR615" s="6" t="str">
        <f>HYPERLINK("http://catalog.hathitrust.org/Record/000706756","HathiTrust Record")</f>
        <v>HathiTrust Record</v>
      </c>
      <c r="AS615" s="6" t="str">
        <f>HYPERLINK("https://creighton-primo.hosted.exlibrisgroup.com/primo-explore/search?tab=default_tab&amp;search_scope=EVERYTHING&amp;vid=01CRU&amp;lang=en_US&amp;offset=0&amp;query=any,contains,991004321209702656","Catalog Record")</f>
        <v>Catalog Record</v>
      </c>
      <c r="AT615" s="6" t="str">
        <f>HYPERLINK("http://www.worldcat.org/oclc/3017986","WorldCat Record")</f>
        <v>WorldCat Record</v>
      </c>
      <c r="AU615" s="3" t="s">
        <v>7818</v>
      </c>
      <c r="AV615" s="3" t="s">
        <v>7819</v>
      </c>
      <c r="AW615" s="3" t="s">
        <v>7820</v>
      </c>
      <c r="AX615" s="3" t="s">
        <v>7820</v>
      </c>
      <c r="AY615" s="3" t="s">
        <v>7821</v>
      </c>
      <c r="AZ615" s="3" t="s">
        <v>76</v>
      </c>
      <c r="BB615" s="3" t="s">
        <v>7822</v>
      </c>
      <c r="BC615" s="3" t="s">
        <v>7823</v>
      </c>
      <c r="BD615" s="3" t="s">
        <v>7824</v>
      </c>
    </row>
    <row r="616" spans="1:56" ht="52.5" customHeight="1" x14ac:dyDescent="0.25">
      <c r="A616" s="7" t="s">
        <v>59</v>
      </c>
      <c r="B616" s="2" t="s">
        <v>7825</v>
      </c>
      <c r="C616" s="2" t="s">
        <v>7826</v>
      </c>
      <c r="D616" s="2" t="s">
        <v>7827</v>
      </c>
      <c r="F616" s="3" t="s">
        <v>59</v>
      </c>
      <c r="G616" s="3" t="s">
        <v>60</v>
      </c>
      <c r="H616" s="3" t="s">
        <v>71</v>
      </c>
      <c r="I616" s="3" t="s">
        <v>59</v>
      </c>
      <c r="J616" s="3" t="s">
        <v>61</v>
      </c>
      <c r="L616" s="2" t="s">
        <v>7828</v>
      </c>
      <c r="M616" s="3" t="s">
        <v>309</v>
      </c>
      <c r="O616" s="3" t="s">
        <v>65</v>
      </c>
      <c r="P616" s="3" t="s">
        <v>66</v>
      </c>
      <c r="R616" s="3" t="s">
        <v>68</v>
      </c>
      <c r="S616" s="4">
        <v>6</v>
      </c>
      <c r="T616" s="4">
        <v>18</v>
      </c>
      <c r="U616" s="5" t="s">
        <v>7829</v>
      </c>
      <c r="V616" s="5" t="s">
        <v>7830</v>
      </c>
      <c r="W616" s="5" t="s">
        <v>1454</v>
      </c>
      <c r="X616" s="5" t="s">
        <v>1454</v>
      </c>
      <c r="Y616" s="4">
        <v>487</v>
      </c>
      <c r="Z616" s="4">
        <v>358</v>
      </c>
      <c r="AA616" s="4">
        <v>501</v>
      </c>
      <c r="AB616" s="4">
        <v>4</v>
      </c>
      <c r="AC616" s="4">
        <v>4</v>
      </c>
      <c r="AD616" s="4">
        <v>22</v>
      </c>
      <c r="AE616" s="4">
        <v>27</v>
      </c>
      <c r="AF616" s="4">
        <v>10</v>
      </c>
      <c r="AG616" s="4">
        <v>12</v>
      </c>
      <c r="AH616" s="4">
        <v>6</v>
      </c>
      <c r="AI616" s="4">
        <v>6</v>
      </c>
      <c r="AJ616" s="4">
        <v>10</v>
      </c>
      <c r="AK616" s="4">
        <v>15</v>
      </c>
      <c r="AL616" s="4">
        <v>2</v>
      </c>
      <c r="AM616" s="4">
        <v>2</v>
      </c>
      <c r="AN616" s="4">
        <v>0</v>
      </c>
      <c r="AO616" s="4">
        <v>0</v>
      </c>
      <c r="AP616" s="3" t="s">
        <v>59</v>
      </c>
      <c r="AQ616" s="3" t="s">
        <v>71</v>
      </c>
      <c r="AR616" s="6" t="str">
        <f>HYPERLINK("http://catalog.hathitrust.org/Record/000214651","HathiTrust Record")</f>
        <v>HathiTrust Record</v>
      </c>
      <c r="AS616" s="6" t="str">
        <f>HYPERLINK("https://creighton-primo.hosted.exlibrisgroup.com/primo-explore/search?tab=default_tab&amp;search_scope=EVERYTHING&amp;vid=01CRU&amp;lang=en_US&amp;offset=0&amp;query=any,contains,991001791419702656","Catalog Record")</f>
        <v>Catalog Record</v>
      </c>
      <c r="AT616" s="6" t="str">
        <f>HYPERLINK("http://www.worldcat.org/oclc/4136788","WorldCat Record")</f>
        <v>WorldCat Record</v>
      </c>
      <c r="AU616" s="3" t="s">
        <v>7831</v>
      </c>
      <c r="AV616" s="3" t="s">
        <v>7832</v>
      </c>
      <c r="AW616" s="3" t="s">
        <v>7833</v>
      </c>
      <c r="AX616" s="3" t="s">
        <v>7833</v>
      </c>
      <c r="AY616" s="3" t="s">
        <v>7834</v>
      </c>
      <c r="AZ616" s="3" t="s">
        <v>76</v>
      </c>
      <c r="BB616" s="3" t="s">
        <v>7835</v>
      </c>
      <c r="BC616" s="3" t="s">
        <v>7836</v>
      </c>
      <c r="BD616" s="3" t="s">
        <v>7837</v>
      </c>
    </row>
    <row r="617" spans="1:56" ht="52.5" customHeight="1" x14ac:dyDescent="0.25">
      <c r="A617" s="7" t="s">
        <v>59</v>
      </c>
      <c r="B617" s="2" t="s">
        <v>7838</v>
      </c>
      <c r="C617" s="2" t="s">
        <v>7839</v>
      </c>
      <c r="D617" s="2" t="s">
        <v>7840</v>
      </c>
      <c r="F617" s="3" t="s">
        <v>59</v>
      </c>
      <c r="G617" s="3" t="s">
        <v>60</v>
      </c>
      <c r="H617" s="3" t="s">
        <v>59</v>
      </c>
      <c r="I617" s="3" t="s">
        <v>59</v>
      </c>
      <c r="J617" s="3" t="s">
        <v>61</v>
      </c>
      <c r="K617" s="2" t="s">
        <v>7841</v>
      </c>
      <c r="L617" s="2" t="s">
        <v>7842</v>
      </c>
      <c r="M617" s="3" t="s">
        <v>309</v>
      </c>
      <c r="O617" s="3" t="s">
        <v>65</v>
      </c>
      <c r="P617" s="3" t="s">
        <v>66</v>
      </c>
      <c r="R617" s="3" t="s">
        <v>68</v>
      </c>
      <c r="S617" s="4">
        <v>6</v>
      </c>
      <c r="T617" s="4">
        <v>6</v>
      </c>
      <c r="U617" s="5" t="s">
        <v>7843</v>
      </c>
      <c r="V617" s="5" t="s">
        <v>7843</v>
      </c>
      <c r="W617" s="5" t="s">
        <v>7672</v>
      </c>
      <c r="X617" s="5" t="s">
        <v>7672</v>
      </c>
      <c r="Y617" s="4">
        <v>558</v>
      </c>
      <c r="Z617" s="4">
        <v>432</v>
      </c>
      <c r="AA617" s="4">
        <v>434</v>
      </c>
      <c r="AB617" s="4">
        <v>3</v>
      </c>
      <c r="AC617" s="4">
        <v>3</v>
      </c>
      <c r="AD617" s="4">
        <v>17</v>
      </c>
      <c r="AE617" s="4">
        <v>17</v>
      </c>
      <c r="AF617" s="4">
        <v>5</v>
      </c>
      <c r="AG617" s="4">
        <v>5</v>
      </c>
      <c r="AH617" s="4">
        <v>4</v>
      </c>
      <c r="AI617" s="4">
        <v>4</v>
      </c>
      <c r="AJ617" s="4">
        <v>8</v>
      </c>
      <c r="AK617" s="4">
        <v>8</v>
      </c>
      <c r="AL617" s="4">
        <v>2</v>
      </c>
      <c r="AM617" s="4">
        <v>2</v>
      </c>
      <c r="AN617" s="4">
        <v>0</v>
      </c>
      <c r="AO617" s="4">
        <v>0</v>
      </c>
      <c r="AP617" s="3" t="s">
        <v>59</v>
      </c>
      <c r="AQ617" s="3" t="s">
        <v>71</v>
      </c>
      <c r="AR617" s="6" t="str">
        <f>HYPERLINK("http://catalog.hathitrust.org/Record/000136589","HathiTrust Record")</f>
        <v>HathiTrust Record</v>
      </c>
      <c r="AS617" s="6" t="str">
        <f>HYPERLINK("https://creighton-primo.hosted.exlibrisgroup.com/primo-explore/search?tab=default_tab&amp;search_scope=EVERYTHING&amp;vid=01CRU&amp;lang=en_US&amp;offset=0&amp;query=any,contains,991004535829702656","Catalog Record")</f>
        <v>Catalog Record</v>
      </c>
      <c r="AT617" s="6" t="str">
        <f>HYPERLINK("http://www.worldcat.org/oclc/3869712","WorldCat Record")</f>
        <v>WorldCat Record</v>
      </c>
      <c r="AU617" s="3" t="s">
        <v>7844</v>
      </c>
      <c r="AV617" s="3" t="s">
        <v>7845</v>
      </c>
      <c r="AW617" s="3" t="s">
        <v>7846</v>
      </c>
      <c r="AX617" s="3" t="s">
        <v>7846</v>
      </c>
      <c r="AY617" s="3" t="s">
        <v>7847</v>
      </c>
      <c r="AZ617" s="3" t="s">
        <v>76</v>
      </c>
      <c r="BB617" s="3" t="s">
        <v>7848</v>
      </c>
      <c r="BC617" s="3" t="s">
        <v>7849</v>
      </c>
      <c r="BD617" s="3" t="s">
        <v>7850</v>
      </c>
    </row>
    <row r="618" spans="1:56" ht="52.5" customHeight="1" x14ac:dyDescent="0.25">
      <c r="A618" s="7" t="s">
        <v>59</v>
      </c>
      <c r="B618" s="2" t="s">
        <v>7851</v>
      </c>
      <c r="C618" s="2" t="s">
        <v>7852</v>
      </c>
      <c r="D618" s="2" t="s">
        <v>7853</v>
      </c>
      <c r="F618" s="3" t="s">
        <v>59</v>
      </c>
      <c r="G618" s="3" t="s">
        <v>60</v>
      </c>
      <c r="H618" s="3" t="s">
        <v>59</v>
      </c>
      <c r="I618" s="3" t="s">
        <v>59</v>
      </c>
      <c r="J618" s="3" t="s">
        <v>61</v>
      </c>
      <c r="K618" s="2" t="s">
        <v>7854</v>
      </c>
      <c r="L618" s="2" t="s">
        <v>7855</v>
      </c>
      <c r="M618" s="3" t="s">
        <v>195</v>
      </c>
      <c r="O618" s="3" t="s">
        <v>65</v>
      </c>
      <c r="P618" s="3" t="s">
        <v>66</v>
      </c>
      <c r="R618" s="3" t="s">
        <v>68</v>
      </c>
      <c r="S618" s="4">
        <v>3</v>
      </c>
      <c r="T618" s="4">
        <v>3</v>
      </c>
      <c r="U618" s="5" t="s">
        <v>7856</v>
      </c>
      <c r="V618" s="5" t="s">
        <v>7856</v>
      </c>
      <c r="W618" s="5" t="s">
        <v>7804</v>
      </c>
      <c r="X618" s="5" t="s">
        <v>7804</v>
      </c>
      <c r="Y618" s="4">
        <v>693</v>
      </c>
      <c r="Z618" s="4">
        <v>630</v>
      </c>
      <c r="AA618" s="4">
        <v>669</v>
      </c>
      <c r="AB618" s="4">
        <v>2</v>
      </c>
      <c r="AC618" s="4">
        <v>2</v>
      </c>
      <c r="AD618" s="4">
        <v>23</v>
      </c>
      <c r="AE618" s="4">
        <v>23</v>
      </c>
      <c r="AF618" s="4">
        <v>10</v>
      </c>
      <c r="AG618" s="4">
        <v>10</v>
      </c>
      <c r="AH618" s="4">
        <v>6</v>
      </c>
      <c r="AI618" s="4">
        <v>6</v>
      </c>
      <c r="AJ618" s="4">
        <v>15</v>
      </c>
      <c r="AK618" s="4">
        <v>15</v>
      </c>
      <c r="AL618" s="4">
        <v>0</v>
      </c>
      <c r="AM618" s="4">
        <v>0</v>
      </c>
      <c r="AN618" s="4">
        <v>1</v>
      </c>
      <c r="AO618" s="4">
        <v>1</v>
      </c>
      <c r="AP618" s="3" t="s">
        <v>59</v>
      </c>
      <c r="AQ618" s="3" t="s">
        <v>71</v>
      </c>
      <c r="AR618" s="6" t="str">
        <f>HYPERLINK("http://catalog.hathitrust.org/Record/000147881","HathiTrust Record")</f>
        <v>HathiTrust Record</v>
      </c>
      <c r="AS618" s="6" t="str">
        <f>HYPERLINK("https://creighton-primo.hosted.exlibrisgroup.com/primo-explore/search?tab=default_tab&amp;search_scope=EVERYTHING&amp;vid=01CRU&amp;lang=en_US&amp;offset=0&amp;query=any,contains,991005203289702656","Catalog Record")</f>
        <v>Catalog Record</v>
      </c>
      <c r="AT618" s="6" t="str">
        <f>HYPERLINK("http://www.worldcat.org/oclc/8109631","WorldCat Record")</f>
        <v>WorldCat Record</v>
      </c>
      <c r="AU618" s="3" t="s">
        <v>7857</v>
      </c>
      <c r="AV618" s="3" t="s">
        <v>7858</v>
      </c>
      <c r="AW618" s="3" t="s">
        <v>7859</v>
      </c>
      <c r="AX618" s="3" t="s">
        <v>7859</v>
      </c>
      <c r="AY618" s="3" t="s">
        <v>7860</v>
      </c>
      <c r="AZ618" s="3" t="s">
        <v>76</v>
      </c>
      <c r="BB618" s="3" t="s">
        <v>7861</v>
      </c>
      <c r="BC618" s="3" t="s">
        <v>7862</v>
      </c>
      <c r="BD618" s="3" t="s">
        <v>7863</v>
      </c>
    </row>
    <row r="619" spans="1:56" ht="52.5" customHeight="1" x14ac:dyDescent="0.25">
      <c r="A619" s="7" t="s">
        <v>59</v>
      </c>
      <c r="B619" s="2" t="s">
        <v>7864</v>
      </c>
      <c r="C619" s="2" t="s">
        <v>7865</v>
      </c>
      <c r="D619" s="2" t="s">
        <v>7866</v>
      </c>
      <c r="F619" s="3" t="s">
        <v>59</v>
      </c>
      <c r="G619" s="3" t="s">
        <v>60</v>
      </c>
      <c r="H619" s="3" t="s">
        <v>59</v>
      </c>
      <c r="I619" s="3" t="s">
        <v>59</v>
      </c>
      <c r="J619" s="3" t="s">
        <v>61</v>
      </c>
      <c r="K619" s="2" t="s">
        <v>7867</v>
      </c>
      <c r="L619" s="2" t="s">
        <v>4121</v>
      </c>
      <c r="M619" s="3" t="s">
        <v>616</v>
      </c>
      <c r="O619" s="3" t="s">
        <v>65</v>
      </c>
      <c r="P619" s="3" t="s">
        <v>1262</v>
      </c>
      <c r="R619" s="3" t="s">
        <v>68</v>
      </c>
      <c r="S619" s="4">
        <v>4</v>
      </c>
      <c r="T619" s="4">
        <v>4</v>
      </c>
      <c r="U619" s="5" t="s">
        <v>7868</v>
      </c>
      <c r="V619" s="5" t="s">
        <v>7868</v>
      </c>
      <c r="W619" s="5" t="s">
        <v>7869</v>
      </c>
      <c r="X619" s="5" t="s">
        <v>7869</v>
      </c>
      <c r="Y619" s="4">
        <v>693</v>
      </c>
      <c r="Z619" s="4">
        <v>520</v>
      </c>
      <c r="AA619" s="4">
        <v>560</v>
      </c>
      <c r="AB619" s="4">
        <v>4</v>
      </c>
      <c r="AC619" s="4">
        <v>4</v>
      </c>
      <c r="AD619" s="4">
        <v>26</v>
      </c>
      <c r="AE619" s="4">
        <v>28</v>
      </c>
      <c r="AF619" s="4">
        <v>10</v>
      </c>
      <c r="AG619" s="4">
        <v>11</v>
      </c>
      <c r="AH619" s="4">
        <v>6</v>
      </c>
      <c r="AI619" s="4">
        <v>7</v>
      </c>
      <c r="AJ619" s="4">
        <v>14</v>
      </c>
      <c r="AK619" s="4">
        <v>16</v>
      </c>
      <c r="AL619" s="4">
        <v>3</v>
      </c>
      <c r="AM619" s="4">
        <v>3</v>
      </c>
      <c r="AN619" s="4">
        <v>0</v>
      </c>
      <c r="AO619" s="4">
        <v>0</v>
      </c>
      <c r="AP619" s="3" t="s">
        <v>59</v>
      </c>
      <c r="AQ619" s="3" t="s">
        <v>59</v>
      </c>
      <c r="AS619" s="6" t="str">
        <f>HYPERLINK("https://creighton-primo.hosted.exlibrisgroup.com/primo-explore/search?tab=default_tab&amp;search_scope=EVERYTHING&amp;vid=01CRU&amp;lang=en_US&amp;offset=0&amp;query=any,contains,991001179239702656","Catalog Record")</f>
        <v>Catalog Record</v>
      </c>
      <c r="AT619" s="6" t="str">
        <f>HYPERLINK("http://www.worldcat.org/oclc/17106202","WorldCat Record")</f>
        <v>WorldCat Record</v>
      </c>
      <c r="AU619" s="3" t="s">
        <v>7870</v>
      </c>
      <c r="AV619" s="3" t="s">
        <v>7871</v>
      </c>
      <c r="AW619" s="3" t="s">
        <v>7872</v>
      </c>
      <c r="AX619" s="3" t="s">
        <v>7872</v>
      </c>
      <c r="AY619" s="3" t="s">
        <v>7873</v>
      </c>
      <c r="AZ619" s="3" t="s">
        <v>76</v>
      </c>
      <c r="BB619" s="3" t="s">
        <v>7874</v>
      </c>
      <c r="BC619" s="3" t="s">
        <v>7875</v>
      </c>
      <c r="BD619" s="3" t="s">
        <v>7876</v>
      </c>
    </row>
    <row r="620" spans="1:56" ht="52.5" customHeight="1" x14ac:dyDescent="0.25">
      <c r="A620" s="7" t="s">
        <v>59</v>
      </c>
      <c r="B620" s="2" t="s">
        <v>7877</v>
      </c>
      <c r="C620" s="2" t="s">
        <v>7878</v>
      </c>
      <c r="D620" s="2" t="s">
        <v>7879</v>
      </c>
      <c r="F620" s="3" t="s">
        <v>59</v>
      </c>
      <c r="G620" s="3" t="s">
        <v>60</v>
      </c>
      <c r="H620" s="3" t="s">
        <v>59</v>
      </c>
      <c r="I620" s="3" t="s">
        <v>59</v>
      </c>
      <c r="J620" s="3" t="s">
        <v>61</v>
      </c>
      <c r="K620" s="2" t="s">
        <v>7880</v>
      </c>
      <c r="L620" s="2" t="s">
        <v>2741</v>
      </c>
      <c r="M620" s="3" t="s">
        <v>164</v>
      </c>
      <c r="O620" s="3" t="s">
        <v>65</v>
      </c>
      <c r="P620" s="3" t="s">
        <v>66</v>
      </c>
      <c r="R620" s="3" t="s">
        <v>68</v>
      </c>
      <c r="S620" s="4">
        <v>4</v>
      </c>
      <c r="T620" s="4">
        <v>4</v>
      </c>
      <c r="U620" s="5" t="s">
        <v>7881</v>
      </c>
      <c r="V620" s="5" t="s">
        <v>7881</v>
      </c>
      <c r="W620" s="5" t="s">
        <v>7672</v>
      </c>
      <c r="X620" s="5" t="s">
        <v>7672</v>
      </c>
      <c r="Y620" s="4">
        <v>417</v>
      </c>
      <c r="Z620" s="4">
        <v>296</v>
      </c>
      <c r="AA620" s="4">
        <v>297</v>
      </c>
      <c r="AB620" s="4">
        <v>1</v>
      </c>
      <c r="AC620" s="4">
        <v>1</v>
      </c>
      <c r="AD620" s="4">
        <v>14</v>
      </c>
      <c r="AE620" s="4">
        <v>14</v>
      </c>
      <c r="AF620" s="4">
        <v>6</v>
      </c>
      <c r="AG620" s="4">
        <v>6</v>
      </c>
      <c r="AH620" s="4">
        <v>3</v>
      </c>
      <c r="AI620" s="4">
        <v>3</v>
      </c>
      <c r="AJ620" s="4">
        <v>9</v>
      </c>
      <c r="AK620" s="4">
        <v>9</v>
      </c>
      <c r="AL620" s="4">
        <v>0</v>
      </c>
      <c r="AM620" s="4">
        <v>0</v>
      </c>
      <c r="AN620" s="4">
        <v>0</v>
      </c>
      <c r="AO620" s="4">
        <v>0</v>
      </c>
      <c r="AP620" s="3" t="s">
        <v>59</v>
      </c>
      <c r="AQ620" s="3" t="s">
        <v>71</v>
      </c>
      <c r="AR620" s="6" t="str">
        <f>HYPERLINK("http://catalog.hathitrust.org/Record/000756537","HathiTrust Record")</f>
        <v>HathiTrust Record</v>
      </c>
      <c r="AS620" s="6" t="str">
        <f>HYPERLINK("https://creighton-primo.hosted.exlibrisgroup.com/primo-explore/search?tab=default_tab&amp;search_scope=EVERYTHING&amp;vid=01CRU&amp;lang=en_US&amp;offset=0&amp;query=any,contains,991004815799702656","Catalog Record")</f>
        <v>Catalog Record</v>
      </c>
      <c r="AT620" s="6" t="str">
        <f>HYPERLINK("http://www.worldcat.org/oclc/5310120","WorldCat Record")</f>
        <v>WorldCat Record</v>
      </c>
      <c r="AU620" s="3" t="s">
        <v>7882</v>
      </c>
      <c r="AV620" s="3" t="s">
        <v>7883</v>
      </c>
      <c r="AW620" s="3" t="s">
        <v>7884</v>
      </c>
      <c r="AX620" s="3" t="s">
        <v>7884</v>
      </c>
      <c r="AY620" s="3" t="s">
        <v>7885</v>
      </c>
      <c r="AZ620" s="3" t="s">
        <v>76</v>
      </c>
      <c r="BB620" s="3" t="s">
        <v>7886</v>
      </c>
      <c r="BC620" s="3" t="s">
        <v>7887</v>
      </c>
      <c r="BD620" s="3" t="s">
        <v>7888</v>
      </c>
    </row>
    <row r="621" spans="1:56" ht="52.5" customHeight="1" x14ac:dyDescent="0.25">
      <c r="A621" s="7" t="s">
        <v>59</v>
      </c>
      <c r="B621" s="2" t="s">
        <v>7889</v>
      </c>
      <c r="C621" s="2" t="s">
        <v>7890</v>
      </c>
      <c r="D621" s="2" t="s">
        <v>7891</v>
      </c>
      <c r="F621" s="3" t="s">
        <v>59</v>
      </c>
      <c r="G621" s="3" t="s">
        <v>60</v>
      </c>
      <c r="H621" s="3" t="s">
        <v>59</v>
      </c>
      <c r="I621" s="3" t="s">
        <v>59</v>
      </c>
      <c r="J621" s="3" t="s">
        <v>61</v>
      </c>
      <c r="K621" s="2" t="s">
        <v>7892</v>
      </c>
      <c r="L621" s="2" t="s">
        <v>7893</v>
      </c>
      <c r="M621" s="3" t="s">
        <v>434</v>
      </c>
      <c r="N621" s="2" t="s">
        <v>7894</v>
      </c>
      <c r="O621" s="3" t="s">
        <v>65</v>
      </c>
      <c r="P621" s="3" t="s">
        <v>66</v>
      </c>
      <c r="Q621" s="2" t="s">
        <v>7895</v>
      </c>
      <c r="R621" s="3" t="s">
        <v>68</v>
      </c>
      <c r="S621" s="4">
        <v>1</v>
      </c>
      <c r="T621" s="4">
        <v>1</v>
      </c>
      <c r="U621" s="5" t="s">
        <v>7896</v>
      </c>
      <c r="V621" s="5" t="s">
        <v>7896</v>
      </c>
      <c r="W621" s="5" t="s">
        <v>3081</v>
      </c>
      <c r="X621" s="5" t="s">
        <v>3081</v>
      </c>
      <c r="Y621" s="4">
        <v>126</v>
      </c>
      <c r="Z621" s="4">
        <v>94</v>
      </c>
      <c r="AA621" s="4">
        <v>844</v>
      </c>
      <c r="AB621" s="4">
        <v>1</v>
      </c>
      <c r="AC621" s="4">
        <v>3</v>
      </c>
      <c r="AD621" s="4">
        <v>3</v>
      </c>
      <c r="AE621" s="4">
        <v>30</v>
      </c>
      <c r="AF621" s="4">
        <v>2</v>
      </c>
      <c r="AG621" s="4">
        <v>15</v>
      </c>
      <c r="AH621" s="4">
        <v>0</v>
      </c>
      <c r="AI621" s="4">
        <v>5</v>
      </c>
      <c r="AJ621" s="4">
        <v>3</v>
      </c>
      <c r="AK621" s="4">
        <v>17</v>
      </c>
      <c r="AL621" s="4">
        <v>0</v>
      </c>
      <c r="AM621" s="4">
        <v>2</v>
      </c>
      <c r="AN621" s="4">
        <v>0</v>
      </c>
      <c r="AO621" s="4">
        <v>0</v>
      </c>
      <c r="AP621" s="3" t="s">
        <v>59</v>
      </c>
      <c r="AQ621" s="3" t="s">
        <v>71</v>
      </c>
      <c r="AR621" s="6" t="str">
        <f>HYPERLINK("http://catalog.hathitrust.org/Record/009904992","HathiTrust Record")</f>
        <v>HathiTrust Record</v>
      </c>
      <c r="AS621" s="6" t="str">
        <f>HYPERLINK("https://creighton-primo.hosted.exlibrisgroup.com/primo-explore/search?tab=default_tab&amp;search_scope=EVERYTHING&amp;vid=01CRU&amp;lang=en_US&amp;offset=0&amp;query=any,contains,991004881679702656","Catalog Record")</f>
        <v>Catalog Record</v>
      </c>
      <c r="AT621" s="6" t="str">
        <f>HYPERLINK("http://www.worldcat.org/oclc/5822214","WorldCat Record")</f>
        <v>WorldCat Record</v>
      </c>
      <c r="AU621" s="3" t="s">
        <v>7897</v>
      </c>
      <c r="AV621" s="3" t="s">
        <v>7898</v>
      </c>
      <c r="AW621" s="3" t="s">
        <v>7899</v>
      </c>
      <c r="AX621" s="3" t="s">
        <v>7899</v>
      </c>
      <c r="AY621" s="3" t="s">
        <v>7900</v>
      </c>
      <c r="AZ621" s="3" t="s">
        <v>76</v>
      </c>
      <c r="BC621" s="3" t="s">
        <v>7901</v>
      </c>
      <c r="BD621" s="3" t="s">
        <v>7902</v>
      </c>
    </row>
    <row r="622" spans="1:56" ht="52.5" customHeight="1" x14ac:dyDescent="0.25">
      <c r="A622" s="7" t="s">
        <v>59</v>
      </c>
      <c r="B622" s="2" t="s">
        <v>7903</v>
      </c>
      <c r="C622" s="2" t="s">
        <v>7904</v>
      </c>
      <c r="D622" s="2" t="s">
        <v>7905</v>
      </c>
      <c r="F622" s="3" t="s">
        <v>59</v>
      </c>
      <c r="G622" s="3" t="s">
        <v>60</v>
      </c>
      <c r="H622" s="3" t="s">
        <v>59</v>
      </c>
      <c r="I622" s="3" t="s">
        <v>59</v>
      </c>
      <c r="J622" s="3" t="s">
        <v>61</v>
      </c>
      <c r="K622" s="2" t="s">
        <v>6624</v>
      </c>
      <c r="L622" s="2" t="s">
        <v>7906</v>
      </c>
      <c r="M622" s="3" t="s">
        <v>1404</v>
      </c>
      <c r="O622" s="3" t="s">
        <v>65</v>
      </c>
      <c r="P622" s="3" t="s">
        <v>66</v>
      </c>
      <c r="R622" s="3" t="s">
        <v>68</v>
      </c>
      <c r="S622" s="4">
        <v>1</v>
      </c>
      <c r="T622" s="4">
        <v>1</v>
      </c>
      <c r="U622" s="5" t="s">
        <v>7907</v>
      </c>
      <c r="V622" s="5" t="s">
        <v>7907</v>
      </c>
      <c r="W622" s="5" t="s">
        <v>6243</v>
      </c>
      <c r="X622" s="5" t="s">
        <v>6243</v>
      </c>
      <c r="Y622" s="4">
        <v>644</v>
      </c>
      <c r="Z622" s="4">
        <v>580</v>
      </c>
      <c r="AA622" s="4">
        <v>1050</v>
      </c>
      <c r="AB622" s="4">
        <v>6</v>
      </c>
      <c r="AC622" s="4">
        <v>6</v>
      </c>
      <c r="AD622" s="4">
        <v>26</v>
      </c>
      <c r="AE622" s="4">
        <v>42</v>
      </c>
      <c r="AF622" s="4">
        <v>11</v>
      </c>
      <c r="AG622" s="4">
        <v>18</v>
      </c>
      <c r="AH622" s="4">
        <v>7</v>
      </c>
      <c r="AI622" s="4">
        <v>10</v>
      </c>
      <c r="AJ622" s="4">
        <v>12</v>
      </c>
      <c r="AK622" s="4">
        <v>21</v>
      </c>
      <c r="AL622" s="4">
        <v>4</v>
      </c>
      <c r="AM622" s="4">
        <v>4</v>
      </c>
      <c r="AN622" s="4">
        <v>0</v>
      </c>
      <c r="AO622" s="4">
        <v>1</v>
      </c>
      <c r="AP622" s="3" t="s">
        <v>59</v>
      </c>
      <c r="AQ622" s="3" t="s">
        <v>71</v>
      </c>
      <c r="AR622" s="6" t="str">
        <f>HYPERLINK("http://catalog.hathitrust.org/Record/000471991","HathiTrust Record")</f>
        <v>HathiTrust Record</v>
      </c>
      <c r="AS622" s="6" t="str">
        <f>HYPERLINK("https://creighton-primo.hosted.exlibrisgroup.com/primo-explore/search?tab=default_tab&amp;search_scope=EVERYTHING&amp;vid=01CRU&amp;lang=en_US&amp;offset=0&amp;query=any,contains,991002235649702656","Catalog Record")</f>
        <v>Catalog Record</v>
      </c>
      <c r="AT622" s="6" t="str">
        <f>HYPERLINK("http://www.worldcat.org/oclc/295811","WorldCat Record")</f>
        <v>WorldCat Record</v>
      </c>
      <c r="AU622" s="3" t="s">
        <v>7908</v>
      </c>
      <c r="AV622" s="3" t="s">
        <v>7909</v>
      </c>
      <c r="AW622" s="3" t="s">
        <v>7910</v>
      </c>
      <c r="AX622" s="3" t="s">
        <v>7910</v>
      </c>
      <c r="AY622" s="3" t="s">
        <v>7911</v>
      </c>
      <c r="AZ622" s="3" t="s">
        <v>76</v>
      </c>
      <c r="BC622" s="3" t="s">
        <v>7912</v>
      </c>
      <c r="BD622" s="3" t="s">
        <v>7913</v>
      </c>
    </row>
    <row r="623" spans="1:56" ht="52.5" customHeight="1" x14ac:dyDescent="0.25">
      <c r="A623" s="7" t="s">
        <v>59</v>
      </c>
      <c r="B623" s="2" t="s">
        <v>7914</v>
      </c>
      <c r="C623" s="2" t="s">
        <v>7915</v>
      </c>
      <c r="D623" s="2" t="s">
        <v>7916</v>
      </c>
      <c r="F623" s="3" t="s">
        <v>59</v>
      </c>
      <c r="G623" s="3" t="s">
        <v>60</v>
      </c>
      <c r="H623" s="3" t="s">
        <v>59</v>
      </c>
      <c r="I623" s="3" t="s">
        <v>59</v>
      </c>
      <c r="J623" s="3" t="s">
        <v>61</v>
      </c>
      <c r="K623" s="2" t="s">
        <v>7917</v>
      </c>
      <c r="L623" s="2" t="s">
        <v>7918</v>
      </c>
      <c r="M623" s="3" t="s">
        <v>131</v>
      </c>
      <c r="O623" s="3" t="s">
        <v>65</v>
      </c>
      <c r="P623" s="3" t="s">
        <v>1530</v>
      </c>
      <c r="R623" s="3" t="s">
        <v>68</v>
      </c>
      <c r="S623" s="4">
        <v>3</v>
      </c>
      <c r="T623" s="4">
        <v>3</v>
      </c>
      <c r="U623" s="5" t="s">
        <v>7919</v>
      </c>
      <c r="V623" s="5" t="s">
        <v>7919</v>
      </c>
      <c r="W623" s="5" t="s">
        <v>7804</v>
      </c>
      <c r="X623" s="5" t="s">
        <v>7804</v>
      </c>
      <c r="Y623" s="4">
        <v>374</v>
      </c>
      <c r="Z623" s="4">
        <v>287</v>
      </c>
      <c r="AA623" s="4">
        <v>289</v>
      </c>
      <c r="AB623" s="4">
        <v>6</v>
      </c>
      <c r="AC623" s="4">
        <v>6</v>
      </c>
      <c r="AD623" s="4">
        <v>16</v>
      </c>
      <c r="AE623" s="4">
        <v>16</v>
      </c>
      <c r="AF623" s="4">
        <v>5</v>
      </c>
      <c r="AG623" s="4">
        <v>5</v>
      </c>
      <c r="AH623" s="4">
        <v>2</v>
      </c>
      <c r="AI623" s="4">
        <v>2</v>
      </c>
      <c r="AJ623" s="4">
        <v>7</v>
      </c>
      <c r="AK623" s="4">
        <v>7</v>
      </c>
      <c r="AL623" s="4">
        <v>5</v>
      </c>
      <c r="AM623" s="4">
        <v>5</v>
      </c>
      <c r="AN623" s="4">
        <v>0</v>
      </c>
      <c r="AO623" s="4">
        <v>0</v>
      </c>
      <c r="AP623" s="3" t="s">
        <v>59</v>
      </c>
      <c r="AQ623" s="3" t="s">
        <v>71</v>
      </c>
      <c r="AR623" s="6" t="str">
        <f>HYPERLINK("http://catalog.hathitrust.org/Record/000027981","HathiTrust Record")</f>
        <v>HathiTrust Record</v>
      </c>
      <c r="AS623" s="6" t="str">
        <f>HYPERLINK("https://creighton-primo.hosted.exlibrisgroup.com/primo-explore/search?tab=default_tab&amp;search_scope=EVERYTHING&amp;vid=01CRU&amp;lang=en_US&amp;offset=0&amp;query=any,contains,991003525039702656","Catalog Record")</f>
        <v>Catalog Record</v>
      </c>
      <c r="AT623" s="6" t="str">
        <f>HYPERLINK("http://www.worldcat.org/oclc/1087087","WorldCat Record")</f>
        <v>WorldCat Record</v>
      </c>
      <c r="AU623" s="3" t="s">
        <v>7920</v>
      </c>
      <c r="AV623" s="3" t="s">
        <v>7921</v>
      </c>
      <c r="AW623" s="3" t="s">
        <v>7922</v>
      </c>
      <c r="AX623" s="3" t="s">
        <v>7922</v>
      </c>
      <c r="AY623" s="3" t="s">
        <v>7923</v>
      </c>
      <c r="AZ623" s="3" t="s">
        <v>76</v>
      </c>
      <c r="BB623" s="3" t="s">
        <v>7924</v>
      </c>
      <c r="BC623" s="3" t="s">
        <v>7925</v>
      </c>
      <c r="BD623" s="3" t="s">
        <v>7926</v>
      </c>
    </row>
    <row r="624" spans="1:56" ht="52.5" customHeight="1" x14ac:dyDescent="0.25">
      <c r="A624" s="7" t="s">
        <v>59</v>
      </c>
      <c r="B624" s="2" t="s">
        <v>7927</v>
      </c>
      <c r="C624" s="2" t="s">
        <v>7928</v>
      </c>
      <c r="D624" s="2" t="s">
        <v>7929</v>
      </c>
      <c r="F624" s="3" t="s">
        <v>59</v>
      </c>
      <c r="G624" s="3" t="s">
        <v>60</v>
      </c>
      <c r="H624" s="3" t="s">
        <v>59</v>
      </c>
      <c r="I624" s="3" t="s">
        <v>59</v>
      </c>
      <c r="J624" s="3" t="s">
        <v>61</v>
      </c>
      <c r="K624" s="2" t="s">
        <v>7930</v>
      </c>
      <c r="L624" s="2" t="s">
        <v>3793</v>
      </c>
      <c r="M624" s="3" t="s">
        <v>1000</v>
      </c>
      <c r="N624" s="2" t="s">
        <v>887</v>
      </c>
      <c r="O624" s="3" t="s">
        <v>65</v>
      </c>
      <c r="P624" s="3" t="s">
        <v>66</v>
      </c>
      <c r="R624" s="3" t="s">
        <v>68</v>
      </c>
      <c r="S624" s="4">
        <v>3</v>
      </c>
      <c r="T624" s="4">
        <v>3</v>
      </c>
      <c r="U624" s="5" t="s">
        <v>212</v>
      </c>
      <c r="V624" s="5" t="s">
        <v>212</v>
      </c>
      <c r="W624" s="5" t="s">
        <v>7931</v>
      </c>
      <c r="X624" s="5" t="s">
        <v>7931</v>
      </c>
      <c r="Y624" s="4">
        <v>985</v>
      </c>
      <c r="Z624" s="4">
        <v>931</v>
      </c>
      <c r="AA624" s="4">
        <v>1091</v>
      </c>
      <c r="AB624" s="4">
        <v>2</v>
      </c>
      <c r="AC624" s="4">
        <v>3</v>
      </c>
      <c r="AD624" s="4">
        <v>21</v>
      </c>
      <c r="AE624" s="4">
        <v>22</v>
      </c>
      <c r="AF624" s="4">
        <v>8</v>
      </c>
      <c r="AG624" s="4">
        <v>8</v>
      </c>
      <c r="AH624" s="4">
        <v>4</v>
      </c>
      <c r="AI624" s="4">
        <v>4</v>
      </c>
      <c r="AJ624" s="4">
        <v>14</v>
      </c>
      <c r="AK624" s="4">
        <v>15</v>
      </c>
      <c r="AL624" s="4">
        <v>1</v>
      </c>
      <c r="AM624" s="4">
        <v>1</v>
      </c>
      <c r="AN624" s="4">
        <v>0</v>
      </c>
      <c r="AO624" s="4">
        <v>0</v>
      </c>
      <c r="AP624" s="3" t="s">
        <v>59</v>
      </c>
      <c r="AQ624" s="3" t="s">
        <v>71</v>
      </c>
      <c r="AR624" s="6" t="str">
        <f>HYPERLINK("http://catalog.hathitrust.org/Record/000178961","HathiTrust Record")</f>
        <v>HathiTrust Record</v>
      </c>
      <c r="AS624" s="6" t="str">
        <f>HYPERLINK("https://creighton-primo.hosted.exlibrisgroup.com/primo-explore/search?tab=default_tab&amp;search_scope=EVERYTHING&amp;vid=01CRU&amp;lang=en_US&amp;offset=0&amp;query=any,contains,991004584329702656","Catalog Record")</f>
        <v>Catalog Record</v>
      </c>
      <c r="AT624" s="6" t="str">
        <f>HYPERLINK("http://www.worldcat.org/oclc/4076853","WorldCat Record")</f>
        <v>WorldCat Record</v>
      </c>
      <c r="AU624" s="3" t="s">
        <v>7932</v>
      </c>
      <c r="AV624" s="3" t="s">
        <v>7933</v>
      </c>
      <c r="AW624" s="3" t="s">
        <v>7934</v>
      </c>
      <c r="AX624" s="3" t="s">
        <v>7934</v>
      </c>
      <c r="AY624" s="3" t="s">
        <v>7935</v>
      </c>
      <c r="AZ624" s="3" t="s">
        <v>76</v>
      </c>
      <c r="BB624" s="3" t="s">
        <v>7936</v>
      </c>
      <c r="BC624" s="3" t="s">
        <v>7937</v>
      </c>
      <c r="BD624" s="3" t="s">
        <v>7938</v>
      </c>
    </row>
    <row r="625" spans="1:56" ht="52.5" customHeight="1" x14ac:dyDescent="0.25">
      <c r="A625" s="7" t="s">
        <v>59</v>
      </c>
      <c r="B625" s="2" t="s">
        <v>7939</v>
      </c>
      <c r="C625" s="2" t="s">
        <v>7940</v>
      </c>
      <c r="D625" s="2" t="s">
        <v>7941</v>
      </c>
      <c r="F625" s="3" t="s">
        <v>59</v>
      </c>
      <c r="G625" s="3" t="s">
        <v>60</v>
      </c>
      <c r="H625" s="3" t="s">
        <v>59</v>
      </c>
      <c r="I625" s="3" t="s">
        <v>59</v>
      </c>
      <c r="J625" s="3" t="s">
        <v>61</v>
      </c>
      <c r="L625" s="2" t="s">
        <v>7942</v>
      </c>
      <c r="M625" s="3" t="s">
        <v>131</v>
      </c>
      <c r="O625" s="3" t="s">
        <v>65</v>
      </c>
      <c r="P625" s="3" t="s">
        <v>699</v>
      </c>
      <c r="Q625" s="2" t="s">
        <v>2938</v>
      </c>
      <c r="R625" s="3" t="s">
        <v>68</v>
      </c>
      <c r="S625" s="4">
        <v>12</v>
      </c>
      <c r="T625" s="4">
        <v>12</v>
      </c>
      <c r="U625" s="5" t="s">
        <v>7943</v>
      </c>
      <c r="V625" s="5" t="s">
        <v>7943</v>
      </c>
      <c r="W625" s="5" t="s">
        <v>7060</v>
      </c>
      <c r="X625" s="5" t="s">
        <v>7060</v>
      </c>
      <c r="Y625" s="4">
        <v>341</v>
      </c>
      <c r="Z625" s="4">
        <v>298</v>
      </c>
      <c r="AA625" s="4">
        <v>303</v>
      </c>
      <c r="AB625" s="4">
        <v>3</v>
      </c>
      <c r="AC625" s="4">
        <v>3</v>
      </c>
      <c r="AD625" s="4">
        <v>8</v>
      </c>
      <c r="AE625" s="4">
        <v>8</v>
      </c>
      <c r="AF625" s="4">
        <v>2</v>
      </c>
      <c r="AG625" s="4">
        <v>2</v>
      </c>
      <c r="AH625" s="4">
        <v>1</v>
      </c>
      <c r="AI625" s="4">
        <v>1</v>
      </c>
      <c r="AJ625" s="4">
        <v>3</v>
      </c>
      <c r="AK625" s="4">
        <v>3</v>
      </c>
      <c r="AL625" s="4">
        <v>2</v>
      </c>
      <c r="AM625" s="4">
        <v>2</v>
      </c>
      <c r="AN625" s="4">
        <v>0</v>
      </c>
      <c r="AO625" s="4">
        <v>0</v>
      </c>
      <c r="AP625" s="3" t="s">
        <v>59</v>
      </c>
      <c r="AQ625" s="3" t="s">
        <v>59</v>
      </c>
      <c r="AS625" s="6" t="str">
        <f>HYPERLINK("https://creighton-primo.hosted.exlibrisgroup.com/primo-explore/search?tab=default_tab&amp;search_scope=EVERYTHING&amp;vid=01CRU&amp;lang=en_US&amp;offset=0&amp;query=any,contains,991003275229702656","Catalog Record")</f>
        <v>Catalog Record</v>
      </c>
      <c r="AT625" s="6" t="str">
        <f>HYPERLINK("http://www.worldcat.org/oclc/799624","WorldCat Record")</f>
        <v>WorldCat Record</v>
      </c>
      <c r="AU625" s="3" t="s">
        <v>7944</v>
      </c>
      <c r="AV625" s="3" t="s">
        <v>7945</v>
      </c>
      <c r="AW625" s="3" t="s">
        <v>7946</v>
      </c>
      <c r="AX625" s="3" t="s">
        <v>7946</v>
      </c>
      <c r="AY625" s="3" t="s">
        <v>7947</v>
      </c>
      <c r="AZ625" s="3" t="s">
        <v>76</v>
      </c>
      <c r="BB625" s="3" t="s">
        <v>7948</v>
      </c>
      <c r="BC625" s="3" t="s">
        <v>7949</v>
      </c>
      <c r="BD625" s="3" t="s">
        <v>7950</v>
      </c>
    </row>
    <row r="626" spans="1:56" ht="52.5" customHeight="1" x14ac:dyDescent="0.25">
      <c r="A626" s="7" t="s">
        <v>59</v>
      </c>
      <c r="B626" s="2" t="s">
        <v>7951</v>
      </c>
      <c r="C626" s="2" t="s">
        <v>7952</v>
      </c>
      <c r="D626" s="2" t="s">
        <v>7953</v>
      </c>
      <c r="F626" s="3" t="s">
        <v>59</v>
      </c>
      <c r="G626" s="3" t="s">
        <v>60</v>
      </c>
      <c r="H626" s="3" t="s">
        <v>59</v>
      </c>
      <c r="I626" s="3" t="s">
        <v>59</v>
      </c>
      <c r="J626" s="3" t="s">
        <v>61</v>
      </c>
      <c r="K626" s="2" t="s">
        <v>7954</v>
      </c>
      <c r="L626" s="2" t="s">
        <v>7955</v>
      </c>
      <c r="M626" s="3" t="s">
        <v>756</v>
      </c>
      <c r="O626" s="3" t="s">
        <v>65</v>
      </c>
      <c r="P626" s="3" t="s">
        <v>296</v>
      </c>
      <c r="R626" s="3" t="s">
        <v>68</v>
      </c>
      <c r="S626" s="4">
        <v>2</v>
      </c>
      <c r="T626" s="4">
        <v>2</v>
      </c>
      <c r="U626" s="5" t="s">
        <v>3861</v>
      </c>
      <c r="V626" s="5" t="s">
        <v>3861</v>
      </c>
      <c r="W626" s="5" t="s">
        <v>7804</v>
      </c>
      <c r="X626" s="5" t="s">
        <v>7804</v>
      </c>
      <c r="Y626" s="4">
        <v>377</v>
      </c>
      <c r="Z626" s="4">
        <v>321</v>
      </c>
      <c r="AA626" s="4">
        <v>324</v>
      </c>
      <c r="AB626" s="4">
        <v>1</v>
      </c>
      <c r="AC626" s="4">
        <v>1</v>
      </c>
      <c r="AD626" s="4">
        <v>14</v>
      </c>
      <c r="AE626" s="4">
        <v>14</v>
      </c>
      <c r="AF626" s="4">
        <v>5</v>
      </c>
      <c r="AG626" s="4">
        <v>5</v>
      </c>
      <c r="AH626" s="4">
        <v>2</v>
      </c>
      <c r="AI626" s="4">
        <v>2</v>
      </c>
      <c r="AJ626" s="4">
        <v>10</v>
      </c>
      <c r="AK626" s="4">
        <v>10</v>
      </c>
      <c r="AL626" s="4">
        <v>0</v>
      </c>
      <c r="AM626" s="4">
        <v>0</v>
      </c>
      <c r="AN626" s="4">
        <v>0</v>
      </c>
      <c r="AO626" s="4">
        <v>0</v>
      </c>
      <c r="AP626" s="3" t="s">
        <v>59</v>
      </c>
      <c r="AQ626" s="3" t="s">
        <v>71</v>
      </c>
      <c r="AR626" s="6" t="str">
        <f>HYPERLINK("http://catalog.hathitrust.org/Record/000387360","HathiTrust Record")</f>
        <v>HathiTrust Record</v>
      </c>
      <c r="AS626" s="6" t="str">
        <f>HYPERLINK("https://creighton-primo.hosted.exlibrisgroup.com/primo-explore/search?tab=default_tab&amp;search_scope=EVERYTHING&amp;vid=01CRU&amp;lang=en_US&amp;offset=0&amp;query=any,contains,991003296859702656","Catalog Record")</f>
        <v>Catalog Record</v>
      </c>
      <c r="AT626" s="6" t="str">
        <f>HYPERLINK("http://www.worldcat.org/oclc/819518","WorldCat Record")</f>
        <v>WorldCat Record</v>
      </c>
      <c r="AU626" s="3" t="s">
        <v>7956</v>
      </c>
      <c r="AV626" s="3" t="s">
        <v>7957</v>
      </c>
      <c r="AW626" s="3" t="s">
        <v>7958</v>
      </c>
      <c r="AX626" s="3" t="s">
        <v>7958</v>
      </c>
      <c r="AY626" s="3" t="s">
        <v>7959</v>
      </c>
      <c r="AZ626" s="3" t="s">
        <v>76</v>
      </c>
      <c r="BC626" s="3" t="s">
        <v>7960</v>
      </c>
      <c r="BD626" s="3" t="s">
        <v>7961</v>
      </c>
    </row>
    <row r="627" spans="1:56" ht="52.5" customHeight="1" x14ac:dyDescent="0.25">
      <c r="A627" s="7" t="s">
        <v>59</v>
      </c>
      <c r="B627" s="2" t="s">
        <v>7962</v>
      </c>
      <c r="C627" s="2" t="s">
        <v>7963</v>
      </c>
      <c r="D627" s="2" t="s">
        <v>7964</v>
      </c>
      <c r="F627" s="3" t="s">
        <v>59</v>
      </c>
      <c r="G627" s="3" t="s">
        <v>60</v>
      </c>
      <c r="H627" s="3" t="s">
        <v>59</v>
      </c>
      <c r="I627" s="3" t="s">
        <v>59</v>
      </c>
      <c r="J627" s="3" t="s">
        <v>61</v>
      </c>
      <c r="K627" s="2" t="s">
        <v>7880</v>
      </c>
      <c r="L627" s="2" t="s">
        <v>7965</v>
      </c>
      <c r="M627" s="3" t="s">
        <v>2389</v>
      </c>
      <c r="O627" s="3" t="s">
        <v>65</v>
      </c>
      <c r="P627" s="3" t="s">
        <v>66</v>
      </c>
      <c r="Q627" s="2" t="s">
        <v>7966</v>
      </c>
      <c r="R627" s="3" t="s">
        <v>68</v>
      </c>
      <c r="S627" s="4">
        <v>7</v>
      </c>
      <c r="T627" s="4">
        <v>7</v>
      </c>
      <c r="U627" s="5" t="s">
        <v>7967</v>
      </c>
      <c r="V627" s="5" t="s">
        <v>7967</v>
      </c>
      <c r="W627" s="5" t="s">
        <v>7968</v>
      </c>
      <c r="X627" s="5" t="s">
        <v>7968</v>
      </c>
      <c r="Y627" s="4">
        <v>482</v>
      </c>
      <c r="Z627" s="4">
        <v>414</v>
      </c>
      <c r="AA627" s="4">
        <v>423</v>
      </c>
      <c r="AB627" s="4">
        <v>5</v>
      </c>
      <c r="AC627" s="4">
        <v>5</v>
      </c>
      <c r="AD627" s="4">
        <v>25</v>
      </c>
      <c r="AE627" s="4">
        <v>25</v>
      </c>
      <c r="AF627" s="4">
        <v>12</v>
      </c>
      <c r="AG627" s="4">
        <v>12</v>
      </c>
      <c r="AH627" s="4">
        <v>4</v>
      </c>
      <c r="AI627" s="4">
        <v>4</v>
      </c>
      <c r="AJ627" s="4">
        <v>11</v>
      </c>
      <c r="AK627" s="4">
        <v>11</v>
      </c>
      <c r="AL627" s="4">
        <v>3</v>
      </c>
      <c r="AM627" s="4">
        <v>3</v>
      </c>
      <c r="AN627" s="4">
        <v>0</v>
      </c>
      <c r="AO627" s="4">
        <v>0</v>
      </c>
      <c r="AP627" s="3" t="s">
        <v>59</v>
      </c>
      <c r="AQ627" s="3" t="s">
        <v>71</v>
      </c>
      <c r="AR627" s="6" t="str">
        <f>HYPERLINK("http://catalog.hathitrust.org/Record/000381918","HathiTrust Record")</f>
        <v>HathiTrust Record</v>
      </c>
      <c r="AS627" s="6" t="str">
        <f>HYPERLINK("https://creighton-primo.hosted.exlibrisgroup.com/primo-explore/search?tab=default_tab&amp;search_scope=EVERYTHING&amp;vid=01CRU&amp;lang=en_US&amp;offset=0&amp;query=any,contains,991001366909702656","Catalog Record")</f>
        <v>Catalog Record</v>
      </c>
      <c r="AT627" s="6" t="str">
        <f>HYPERLINK("http://www.worldcat.org/oclc/222745","WorldCat Record")</f>
        <v>WorldCat Record</v>
      </c>
      <c r="AU627" s="3" t="s">
        <v>7969</v>
      </c>
      <c r="AV627" s="3" t="s">
        <v>7970</v>
      </c>
      <c r="AW627" s="3" t="s">
        <v>7971</v>
      </c>
      <c r="AX627" s="3" t="s">
        <v>7971</v>
      </c>
      <c r="AY627" s="3" t="s">
        <v>7972</v>
      </c>
      <c r="AZ627" s="3" t="s">
        <v>76</v>
      </c>
      <c r="BC627" s="3" t="s">
        <v>7973</v>
      </c>
      <c r="BD627" s="3" t="s">
        <v>7974</v>
      </c>
    </row>
    <row r="628" spans="1:56" ht="52.5" customHeight="1" x14ac:dyDescent="0.25">
      <c r="A628" s="7" t="s">
        <v>59</v>
      </c>
      <c r="B628" s="2" t="s">
        <v>7975</v>
      </c>
      <c r="C628" s="2" t="s">
        <v>7976</v>
      </c>
      <c r="D628" s="2" t="s">
        <v>7977</v>
      </c>
      <c r="F628" s="3" t="s">
        <v>59</v>
      </c>
      <c r="G628" s="3" t="s">
        <v>60</v>
      </c>
      <c r="H628" s="3" t="s">
        <v>59</v>
      </c>
      <c r="I628" s="3" t="s">
        <v>59</v>
      </c>
      <c r="J628" s="3" t="s">
        <v>61</v>
      </c>
      <c r="L628" s="2" t="s">
        <v>7978</v>
      </c>
      <c r="M628" s="3" t="s">
        <v>365</v>
      </c>
      <c r="O628" s="3" t="s">
        <v>65</v>
      </c>
      <c r="P628" s="3" t="s">
        <v>1262</v>
      </c>
      <c r="R628" s="3" t="s">
        <v>68</v>
      </c>
      <c r="S628" s="4">
        <v>9</v>
      </c>
      <c r="T628" s="4">
        <v>9</v>
      </c>
      <c r="U628" s="5" t="s">
        <v>7979</v>
      </c>
      <c r="V628" s="5" t="s">
        <v>7979</v>
      </c>
      <c r="W628" s="5" t="s">
        <v>645</v>
      </c>
      <c r="X628" s="5" t="s">
        <v>645</v>
      </c>
      <c r="Y628" s="4">
        <v>724</v>
      </c>
      <c r="Z628" s="4">
        <v>567</v>
      </c>
      <c r="AA628" s="4">
        <v>569</v>
      </c>
      <c r="AB628" s="4">
        <v>6</v>
      </c>
      <c r="AC628" s="4">
        <v>6</v>
      </c>
      <c r="AD628" s="4">
        <v>32</v>
      </c>
      <c r="AE628" s="4">
        <v>32</v>
      </c>
      <c r="AF628" s="4">
        <v>14</v>
      </c>
      <c r="AG628" s="4">
        <v>14</v>
      </c>
      <c r="AH628" s="4">
        <v>8</v>
      </c>
      <c r="AI628" s="4">
        <v>8</v>
      </c>
      <c r="AJ628" s="4">
        <v>13</v>
      </c>
      <c r="AK628" s="4">
        <v>13</v>
      </c>
      <c r="AL628" s="4">
        <v>5</v>
      </c>
      <c r="AM628" s="4">
        <v>5</v>
      </c>
      <c r="AN628" s="4">
        <v>0</v>
      </c>
      <c r="AO628" s="4">
        <v>0</v>
      </c>
      <c r="AP628" s="3" t="s">
        <v>59</v>
      </c>
      <c r="AQ628" s="3" t="s">
        <v>71</v>
      </c>
      <c r="AR628" s="6" t="str">
        <f>HYPERLINK("http://catalog.hathitrust.org/Record/001093466","HathiTrust Record")</f>
        <v>HathiTrust Record</v>
      </c>
      <c r="AS628" s="6" t="str">
        <f>HYPERLINK("https://creighton-primo.hosted.exlibrisgroup.com/primo-explore/search?tab=default_tab&amp;search_scope=EVERYTHING&amp;vid=01CRU&amp;lang=en_US&amp;offset=0&amp;query=any,contains,991001323739702656","Catalog Record")</f>
        <v>Catalog Record</v>
      </c>
      <c r="AT628" s="6" t="str">
        <f>HYPERLINK("http://www.worldcat.org/oclc/18257235","WorldCat Record")</f>
        <v>WorldCat Record</v>
      </c>
      <c r="AU628" s="3" t="s">
        <v>7980</v>
      </c>
      <c r="AV628" s="3" t="s">
        <v>7981</v>
      </c>
      <c r="AW628" s="3" t="s">
        <v>7982</v>
      </c>
      <c r="AX628" s="3" t="s">
        <v>7982</v>
      </c>
      <c r="AY628" s="3" t="s">
        <v>7983</v>
      </c>
      <c r="AZ628" s="3" t="s">
        <v>76</v>
      </c>
      <c r="BB628" s="3" t="s">
        <v>7984</v>
      </c>
      <c r="BC628" s="3" t="s">
        <v>7985</v>
      </c>
      <c r="BD628" s="3" t="s">
        <v>7986</v>
      </c>
    </row>
    <row r="629" spans="1:56" ht="52.5" customHeight="1" x14ac:dyDescent="0.25">
      <c r="A629" s="7" t="s">
        <v>59</v>
      </c>
      <c r="B629" s="2" t="s">
        <v>7987</v>
      </c>
      <c r="C629" s="2" t="s">
        <v>7988</v>
      </c>
      <c r="D629" s="2" t="s">
        <v>7989</v>
      </c>
      <c r="E629" s="3" t="s">
        <v>781</v>
      </c>
      <c r="F629" s="3" t="s">
        <v>71</v>
      </c>
      <c r="G629" s="3" t="s">
        <v>60</v>
      </c>
      <c r="H629" s="3" t="s">
        <v>59</v>
      </c>
      <c r="I629" s="3" t="s">
        <v>59</v>
      </c>
      <c r="J629" s="3" t="s">
        <v>61</v>
      </c>
      <c r="L629" s="2" t="s">
        <v>4564</v>
      </c>
      <c r="M629" s="3" t="s">
        <v>475</v>
      </c>
      <c r="O629" s="3" t="s">
        <v>65</v>
      </c>
      <c r="P629" s="3" t="s">
        <v>66</v>
      </c>
      <c r="R629" s="3" t="s">
        <v>68</v>
      </c>
      <c r="S629" s="4">
        <v>5</v>
      </c>
      <c r="T629" s="4">
        <v>13</v>
      </c>
      <c r="U629" s="5" t="s">
        <v>7990</v>
      </c>
      <c r="V629" s="5" t="s">
        <v>7991</v>
      </c>
      <c r="W629" s="5" t="s">
        <v>7992</v>
      </c>
      <c r="X629" s="5" t="s">
        <v>7992</v>
      </c>
      <c r="Y629" s="4">
        <v>599</v>
      </c>
      <c r="Z629" s="4">
        <v>479</v>
      </c>
      <c r="AA629" s="4">
        <v>483</v>
      </c>
      <c r="AB629" s="4">
        <v>6</v>
      </c>
      <c r="AC629" s="4">
        <v>6</v>
      </c>
      <c r="AD629" s="4">
        <v>24</v>
      </c>
      <c r="AE629" s="4">
        <v>24</v>
      </c>
      <c r="AF629" s="4">
        <v>8</v>
      </c>
      <c r="AG629" s="4">
        <v>8</v>
      </c>
      <c r="AH629" s="4">
        <v>6</v>
      </c>
      <c r="AI629" s="4">
        <v>6</v>
      </c>
      <c r="AJ629" s="4">
        <v>13</v>
      </c>
      <c r="AK629" s="4">
        <v>13</v>
      </c>
      <c r="AL629" s="4">
        <v>5</v>
      </c>
      <c r="AM629" s="4">
        <v>5</v>
      </c>
      <c r="AN629" s="4">
        <v>0</v>
      </c>
      <c r="AO629" s="4">
        <v>0</v>
      </c>
      <c r="AP629" s="3" t="s">
        <v>59</v>
      </c>
      <c r="AQ629" s="3" t="s">
        <v>71</v>
      </c>
      <c r="AR629" s="6" t="str">
        <f>HYPERLINK("http://catalog.hathitrust.org/Record/000315581","HathiTrust Record")</f>
        <v>HathiTrust Record</v>
      </c>
      <c r="AS629" s="6" t="str">
        <f>HYPERLINK("https://creighton-primo.hosted.exlibrisgroup.com/primo-explore/search?tab=default_tab&amp;search_scope=EVERYTHING&amp;vid=01CRU&amp;lang=en_US&amp;offset=0&amp;query=any,contains,991000131879702656","Catalog Record")</f>
        <v>Catalog Record</v>
      </c>
      <c r="AT629" s="6" t="str">
        <f>HYPERLINK("http://www.worldcat.org/oclc/9043347","WorldCat Record")</f>
        <v>WorldCat Record</v>
      </c>
      <c r="AU629" s="3" t="s">
        <v>7993</v>
      </c>
      <c r="AV629" s="3" t="s">
        <v>7994</v>
      </c>
      <c r="AW629" s="3" t="s">
        <v>7995</v>
      </c>
      <c r="AX629" s="3" t="s">
        <v>7995</v>
      </c>
      <c r="AY629" s="3" t="s">
        <v>7996</v>
      </c>
      <c r="AZ629" s="3" t="s">
        <v>76</v>
      </c>
      <c r="BB629" s="3" t="s">
        <v>7997</v>
      </c>
      <c r="BC629" s="3" t="s">
        <v>7998</v>
      </c>
      <c r="BD629" s="3" t="s">
        <v>7999</v>
      </c>
    </row>
    <row r="630" spans="1:56" ht="52.5" customHeight="1" x14ac:dyDescent="0.25">
      <c r="A630" s="7" t="s">
        <v>59</v>
      </c>
      <c r="B630" s="2" t="s">
        <v>7987</v>
      </c>
      <c r="C630" s="2" t="s">
        <v>7988</v>
      </c>
      <c r="D630" s="2" t="s">
        <v>7989</v>
      </c>
      <c r="E630" s="3" t="s">
        <v>768</v>
      </c>
      <c r="F630" s="3" t="s">
        <v>71</v>
      </c>
      <c r="G630" s="3" t="s">
        <v>60</v>
      </c>
      <c r="H630" s="3" t="s">
        <v>59</v>
      </c>
      <c r="I630" s="3" t="s">
        <v>59</v>
      </c>
      <c r="J630" s="3" t="s">
        <v>61</v>
      </c>
      <c r="L630" s="2" t="s">
        <v>4564</v>
      </c>
      <c r="M630" s="3" t="s">
        <v>475</v>
      </c>
      <c r="O630" s="3" t="s">
        <v>65</v>
      </c>
      <c r="P630" s="3" t="s">
        <v>66</v>
      </c>
      <c r="R630" s="3" t="s">
        <v>68</v>
      </c>
      <c r="S630" s="4">
        <v>8</v>
      </c>
      <c r="T630" s="4">
        <v>13</v>
      </c>
      <c r="U630" s="5" t="s">
        <v>7991</v>
      </c>
      <c r="V630" s="5" t="s">
        <v>7991</v>
      </c>
      <c r="W630" s="5" t="s">
        <v>7992</v>
      </c>
      <c r="X630" s="5" t="s">
        <v>7992</v>
      </c>
      <c r="Y630" s="4">
        <v>599</v>
      </c>
      <c r="Z630" s="4">
        <v>479</v>
      </c>
      <c r="AA630" s="4">
        <v>483</v>
      </c>
      <c r="AB630" s="4">
        <v>6</v>
      </c>
      <c r="AC630" s="4">
        <v>6</v>
      </c>
      <c r="AD630" s="4">
        <v>24</v>
      </c>
      <c r="AE630" s="4">
        <v>24</v>
      </c>
      <c r="AF630" s="4">
        <v>8</v>
      </c>
      <c r="AG630" s="4">
        <v>8</v>
      </c>
      <c r="AH630" s="4">
        <v>6</v>
      </c>
      <c r="AI630" s="4">
        <v>6</v>
      </c>
      <c r="AJ630" s="4">
        <v>13</v>
      </c>
      <c r="AK630" s="4">
        <v>13</v>
      </c>
      <c r="AL630" s="4">
        <v>5</v>
      </c>
      <c r="AM630" s="4">
        <v>5</v>
      </c>
      <c r="AN630" s="4">
        <v>0</v>
      </c>
      <c r="AO630" s="4">
        <v>0</v>
      </c>
      <c r="AP630" s="3" t="s">
        <v>59</v>
      </c>
      <c r="AQ630" s="3" t="s">
        <v>71</v>
      </c>
      <c r="AR630" s="6" t="str">
        <f>HYPERLINK("http://catalog.hathitrust.org/Record/000315581","HathiTrust Record")</f>
        <v>HathiTrust Record</v>
      </c>
      <c r="AS630" s="6" t="str">
        <f>HYPERLINK("https://creighton-primo.hosted.exlibrisgroup.com/primo-explore/search?tab=default_tab&amp;search_scope=EVERYTHING&amp;vid=01CRU&amp;lang=en_US&amp;offset=0&amp;query=any,contains,991000131879702656","Catalog Record")</f>
        <v>Catalog Record</v>
      </c>
      <c r="AT630" s="6" t="str">
        <f>HYPERLINK("http://www.worldcat.org/oclc/9043347","WorldCat Record")</f>
        <v>WorldCat Record</v>
      </c>
      <c r="AU630" s="3" t="s">
        <v>7993</v>
      </c>
      <c r="AV630" s="3" t="s">
        <v>7994</v>
      </c>
      <c r="AW630" s="3" t="s">
        <v>7995</v>
      </c>
      <c r="AX630" s="3" t="s">
        <v>7995</v>
      </c>
      <c r="AY630" s="3" t="s">
        <v>7996</v>
      </c>
      <c r="AZ630" s="3" t="s">
        <v>76</v>
      </c>
      <c r="BB630" s="3" t="s">
        <v>7997</v>
      </c>
      <c r="BC630" s="3" t="s">
        <v>8000</v>
      </c>
      <c r="BD630" s="3" t="s">
        <v>8001</v>
      </c>
    </row>
    <row r="631" spans="1:56" ht="52.5" customHeight="1" x14ac:dyDescent="0.25">
      <c r="A631" s="7" t="s">
        <v>59</v>
      </c>
      <c r="B631" s="2" t="s">
        <v>8002</v>
      </c>
      <c r="C631" s="2" t="s">
        <v>8003</v>
      </c>
      <c r="D631" s="2" t="s">
        <v>8004</v>
      </c>
      <c r="F631" s="3" t="s">
        <v>59</v>
      </c>
      <c r="G631" s="3" t="s">
        <v>60</v>
      </c>
      <c r="H631" s="3" t="s">
        <v>59</v>
      </c>
      <c r="I631" s="3" t="s">
        <v>59</v>
      </c>
      <c r="J631" s="3" t="s">
        <v>61</v>
      </c>
      <c r="L631" s="2" t="s">
        <v>8005</v>
      </c>
      <c r="M631" s="3" t="s">
        <v>475</v>
      </c>
      <c r="O631" s="3" t="s">
        <v>65</v>
      </c>
      <c r="P631" s="3" t="s">
        <v>699</v>
      </c>
      <c r="R631" s="3" t="s">
        <v>68</v>
      </c>
      <c r="S631" s="4">
        <v>8</v>
      </c>
      <c r="T631" s="4">
        <v>8</v>
      </c>
      <c r="U631" s="5" t="s">
        <v>5246</v>
      </c>
      <c r="V631" s="5" t="s">
        <v>5246</v>
      </c>
      <c r="W631" s="5" t="s">
        <v>7672</v>
      </c>
      <c r="X631" s="5" t="s">
        <v>7672</v>
      </c>
      <c r="Y631" s="4">
        <v>324</v>
      </c>
      <c r="Z631" s="4">
        <v>271</v>
      </c>
      <c r="AA631" s="4">
        <v>277</v>
      </c>
      <c r="AB631" s="4">
        <v>3</v>
      </c>
      <c r="AC631" s="4">
        <v>3</v>
      </c>
      <c r="AD631" s="4">
        <v>14</v>
      </c>
      <c r="AE631" s="4">
        <v>14</v>
      </c>
      <c r="AF631" s="4">
        <v>2</v>
      </c>
      <c r="AG631" s="4">
        <v>2</v>
      </c>
      <c r="AH631" s="4">
        <v>2</v>
      </c>
      <c r="AI631" s="4">
        <v>2</v>
      </c>
      <c r="AJ631" s="4">
        <v>9</v>
      </c>
      <c r="AK631" s="4">
        <v>9</v>
      </c>
      <c r="AL631" s="4">
        <v>2</v>
      </c>
      <c r="AM631" s="4">
        <v>2</v>
      </c>
      <c r="AN631" s="4">
        <v>0</v>
      </c>
      <c r="AO631" s="4">
        <v>0</v>
      </c>
      <c r="AP631" s="3" t="s">
        <v>59</v>
      </c>
      <c r="AQ631" s="3" t="s">
        <v>71</v>
      </c>
      <c r="AR631" s="6" t="str">
        <f>HYPERLINK("http://catalog.hathitrust.org/Record/000772863","HathiTrust Record")</f>
        <v>HathiTrust Record</v>
      </c>
      <c r="AS631" s="6" t="str">
        <f>HYPERLINK("https://creighton-primo.hosted.exlibrisgroup.com/primo-explore/search?tab=default_tab&amp;search_scope=EVERYTHING&amp;vid=01CRU&amp;lang=en_US&amp;offset=0&amp;query=any,contains,991000169829702656","Catalog Record")</f>
        <v>Catalog Record</v>
      </c>
      <c r="AT631" s="6" t="str">
        <f>HYPERLINK("http://www.worldcat.org/oclc/9323271","WorldCat Record")</f>
        <v>WorldCat Record</v>
      </c>
      <c r="AU631" s="3" t="s">
        <v>8006</v>
      </c>
      <c r="AV631" s="3" t="s">
        <v>8007</v>
      </c>
      <c r="AW631" s="3" t="s">
        <v>8008</v>
      </c>
      <c r="AX631" s="3" t="s">
        <v>8008</v>
      </c>
      <c r="AY631" s="3" t="s">
        <v>8009</v>
      </c>
      <c r="AZ631" s="3" t="s">
        <v>76</v>
      </c>
      <c r="BB631" s="3" t="s">
        <v>8010</v>
      </c>
      <c r="BC631" s="3" t="s">
        <v>8011</v>
      </c>
      <c r="BD631" s="3" t="s">
        <v>8012</v>
      </c>
    </row>
    <row r="632" spans="1:56" ht="52.5" customHeight="1" x14ac:dyDescent="0.25">
      <c r="A632" s="7" t="s">
        <v>59</v>
      </c>
      <c r="B632" s="2" t="s">
        <v>8013</v>
      </c>
      <c r="C632" s="2" t="s">
        <v>8014</v>
      </c>
      <c r="D632" s="2" t="s">
        <v>8015</v>
      </c>
      <c r="F632" s="3" t="s">
        <v>59</v>
      </c>
      <c r="G632" s="3" t="s">
        <v>60</v>
      </c>
      <c r="H632" s="3" t="s">
        <v>59</v>
      </c>
      <c r="I632" s="3" t="s">
        <v>59</v>
      </c>
      <c r="J632" s="3" t="s">
        <v>61</v>
      </c>
      <c r="K632" s="2" t="s">
        <v>8016</v>
      </c>
      <c r="L632" s="2" t="s">
        <v>8017</v>
      </c>
      <c r="M632" s="3" t="s">
        <v>131</v>
      </c>
      <c r="O632" s="3" t="s">
        <v>65</v>
      </c>
      <c r="P632" s="3" t="s">
        <v>66</v>
      </c>
      <c r="R632" s="3" t="s">
        <v>68</v>
      </c>
      <c r="S632" s="4">
        <v>5</v>
      </c>
      <c r="T632" s="4">
        <v>5</v>
      </c>
      <c r="U632" s="5" t="s">
        <v>8018</v>
      </c>
      <c r="V632" s="5" t="s">
        <v>8018</v>
      </c>
      <c r="W632" s="5" t="s">
        <v>7421</v>
      </c>
      <c r="X632" s="5" t="s">
        <v>7421</v>
      </c>
      <c r="Y632" s="4">
        <v>192</v>
      </c>
      <c r="Z632" s="4">
        <v>171</v>
      </c>
      <c r="AA632" s="4">
        <v>937</v>
      </c>
      <c r="AB632" s="4">
        <v>3</v>
      </c>
      <c r="AC632" s="4">
        <v>10</v>
      </c>
      <c r="AD632" s="4">
        <v>8</v>
      </c>
      <c r="AE632" s="4">
        <v>33</v>
      </c>
      <c r="AF632" s="4">
        <v>3</v>
      </c>
      <c r="AG632" s="4">
        <v>10</v>
      </c>
      <c r="AH632" s="4">
        <v>0</v>
      </c>
      <c r="AI632" s="4">
        <v>6</v>
      </c>
      <c r="AJ632" s="4">
        <v>4</v>
      </c>
      <c r="AK632" s="4">
        <v>18</v>
      </c>
      <c r="AL632" s="4">
        <v>2</v>
      </c>
      <c r="AM632" s="4">
        <v>6</v>
      </c>
      <c r="AN632" s="4">
        <v>0</v>
      </c>
      <c r="AO632" s="4">
        <v>0</v>
      </c>
      <c r="AP632" s="3" t="s">
        <v>59</v>
      </c>
      <c r="AQ632" s="3" t="s">
        <v>71</v>
      </c>
      <c r="AR632" s="6" t="str">
        <f>HYPERLINK("http://catalog.hathitrust.org/Record/004445213","HathiTrust Record")</f>
        <v>HathiTrust Record</v>
      </c>
      <c r="AS632" s="6" t="str">
        <f>HYPERLINK("https://creighton-primo.hosted.exlibrisgroup.com/primo-explore/search?tab=default_tab&amp;search_scope=EVERYTHING&amp;vid=01CRU&amp;lang=en_US&amp;offset=0&amp;query=any,contains,991004867299702656","Catalog Record")</f>
        <v>Catalog Record</v>
      </c>
      <c r="AT632" s="6" t="str">
        <f>HYPERLINK("http://www.worldcat.org/oclc/2232533","WorldCat Record")</f>
        <v>WorldCat Record</v>
      </c>
      <c r="AU632" s="3" t="s">
        <v>8019</v>
      </c>
      <c r="AV632" s="3" t="s">
        <v>8020</v>
      </c>
      <c r="AW632" s="3" t="s">
        <v>8021</v>
      </c>
      <c r="AX632" s="3" t="s">
        <v>8021</v>
      </c>
      <c r="AY632" s="3" t="s">
        <v>8022</v>
      </c>
      <c r="AZ632" s="3" t="s">
        <v>76</v>
      </c>
      <c r="BC632" s="3" t="s">
        <v>8023</v>
      </c>
      <c r="BD632" s="3" t="s">
        <v>8024</v>
      </c>
    </row>
    <row r="633" spans="1:56" ht="52.5" customHeight="1" x14ac:dyDescent="0.25">
      <c r="A633" s="7" t="s">
        <v>59</v>
      </c>
      <c r="B633" s="2" t="s">
        <v>8025</v>
      </c>
      <c r="C633" s="2" t="s">
        <v>8026</v>
      </c>
      <c r="D633" s="2" t="s">
        <v>8027</v>
      </c>
      <c r="F633" s="3" t="s">
        <v>59</v>
      </c>
      <c r="G633" s="3" t="s">
        <v>60</v>
      </c>
      <c r="H633" s="3" t="s">
        <v>59</v>
      </c>
      <c r="I633" s="3" t="s">
        <v>59</v>
      </c>
      <c r="J633" s="3" t="s">
        <v>61</v>
      </c>
      <c r="K633" s="2" t="s">
        <v>8028</v>
      </c>
      <c r="L633" s="2" t="s">
        <v>8029</v>
      </c>
      <c r="M633" s="3" t="s">
        <v>2389</v>
      </c>
      <c r="O633" s="3" t="s">
        <v>65</v>
      </c>
      <c r="P633" s="3" t="s">
        <v>66</v>
      </c>
      <c r="Q633" s="2" t="s">
        <v>3470</v>
      </c>
      <c r="R633" s="3" t="s">
        <v>68</v>
      </c>
      <c r="S633" s="4">
        <v>10</v>
      </c>
      <c r="T633" s="4">
        <v>10</v>
      </c>
      <c r="U633" s="5" t="s">
        <v>8030</v>
      </c>
      <c r="V633" s="5" t="s">
        <v>8030</v>
      </c>
      <c r="W633" s="5" t="s">
        <v>7672</v>
      </c>
      <c r="X633" s="5" t="s">
        <v>7672</v>
      </c>
      <c r="Y633" s="4">
        <v>1087</v>
      </c>
      <c r="Z633" s="4">
        <v>876</v>
      </c>
      <c r="AA633" s="4">
        <v>886</v>
      </c>
      <c r="AB633" s="4">
        <v>5</v>
      </c>
      <c r="AC633" s="4">
        <v>5</v>
      </c>
      <c r="AD633" s="4">
        <v>35</v>
      </c>
      <c r="AE633" s="4">
        <v>35</v>
      </c>
      <c r="AF633" s="4">
        <v>17</v>
      </c>
      <c r="AG633" s="4">
        <v>17</v>
      </c>
      <c r="AH633" s="4">
        <v>4</v>
      </c>
      <c r="AI633" s="4">
        <v>4</v>
      </c>
      <c r="AJ633" s="4">
        <v>17</v>
      </c>
      <c r="AK633" s="4">
        <v>17</v>
      </c>
      <c r="AL633" s="4">
        <v>4</v>
      </c>
      <c r="AM633" s="4">
        <v>4</v>
      </c>
      <c r="AN633" s="4">
        <v>1</v>
      </c>
      <c r="AO633" s="4">
        <v>1</v>
      </c>
      <c r="AP633" s="3" t="s">
        <v>71</v>
      </c>
      <c r="AQ633" s="3" t="s">
        <v>59</v>
      </c>
      <c r="AR633" s="6" t="str">
        <f>HYPERLINK("http://catalog.hathitrust.org/Record/000382329","HathiTrust Record")</f>
        <v>HathiTrust Record</v>
      </c>
      <c r="AS633" s="6" t="str">
        <f>HYPERLINK("https://creighton-primo.hosted.exlibrisgroup.com/primo-explore/search?tab=default_tab&amp;search_scope=EVERYTHING&amp;vid=01CRU&amp;lang=en_US&amp;offset=0&amp;query=any,contains,991001366949702656","Catalog Record")</f>
        <v>Catalog Record</v>
      </c>
      <c r="AT633" s="6" t="str">
        <f>HYPERLINK("http://www.worldcat.org/oclc/222747","WorldCat Record")</f>
        <v>WorldCat Record</v>
      </c>
      <c r="AU633" s="3" t="s">
        <v>8031</v>
      </c>
      <c r="AV633" s="3" t="s">
        <v>8032</v>
      </c>
      <c r="AW633" s="3" t="s">
        <v>8033</v>
      </c>
      <c r="AX633" s="3" t="s">
        <v>8033</v>
      </c>
      <c r="AY633" s="3" t="s">
        <v>8034</v>
      </c>
      <c r="AZ633" s="3" t="s">
        <v>76</v>
      </c>
      <c r="BC633" s="3" t="s">
        <v>8035</v>
      </c>
      <c r="BD633" s="3" t="s">
        <v>8036</v>
      </c>
    </row>
    <row r="634" spans="1:56" ht="52.5" customHeight="1" x14ac:dyDescent="0.25">
      <c r="A634" s="7" t="s">
        <v>59</v>
      </c>
      <c r="B634" s="2" t="s">
        <v>8037</v>
      </c>
      <c r="C634" s="2" t="s">
        <v>8038</v>
      </c>
      <c r="D634" s="2" t="s">
        <v>8039</v>
      </c>
      <c r="F634" s="3" t="s">
        <v>59</v>
      </c>
      <c r="G634" s="3" t="s">
        <v>60</v>
      </c>
      <c r="H634" s="3" t="s">
        <v>59</v>
      </c>
      <c r="I634" s="3" t="s">
        <v>59</v>
      </c>
      <c r="J634" s="3" t="s">
        <v>61</v>
      </c>
      <c r="K634" s="2" t="s">
        <v>8040</v>
      </c>
      <c r="L634" s="2" t="s">
        <v>1664</v>
      </c>
      <c r="M634" s="3" t="s">
        <v>254</v>
      </c>
      <c r="N634" s="2" t="s">
        <v>435</v>
      </c>
      <c r="O634" s="3" t="s">
        <v>65</v>
      </c>
      <c r="P634" s="3" t="s">
        <v>66</v>
      </c>
      <c r="R634" s="3" t="s">
        <v>68</v>
      </c>
      <c r="S634" s="4">
        <v>6</v>
      </c>
      <c r="T634" s="4">
        <v>6</v>
      </c>
      <c r="U634" s="5" t="s">
        <v>7991</v>
      </c>
      <c r="V634" s="5" t="s">
        <v>7991</v>
      </c>
      <c r="W634" s="5" t="s">
        <v>8041</v>
      </c>
      <c r="X634" s="5" t="s">
        <v>8041</v>
      </c>
      <c r="Y634" s="4">
        <v>626</v>
      </c>
      <c r="Z634" s="4">
        <v>531</v>
      </c>
      <c r="AA634" s="4">
        <v>534</v>
      </c>
      <c r="AB634" s="4">
        <v>6</v>
      </c>
      <c r="AC634" s="4">
        <v>6</v>
      </c>
      <c r="AD634" s="4">
        <v>26</v>
      </c>
      <c r="AE634" s="4">
        <v>26</v>
      </c>
      <c r="AF634" s="4">
        <v>11</v>
      </c>
      <c r="AG634" s="4">
        <v>11</v>
      </c>
      <c r="AH634" s="4">
        <v>5</v>
      </c>
      <c r="AI634" s="4">
        <v>5</v>
      </c>
      <c r="AJ634" s="4">
        <v>12</v>
      </c>
      <c r="AK634" s="4">
        <v>12</v>
      </c>
      <c r="AL634" s="4">
        <v>4</v>
      </c>
      <c r="AM634" s="4">
        <v>4</v>
      </c>
      <c r="AN634" s="4">
        <v>0</v>
      </c>
      <c r="AO634" s="4">
        <v>0</v>
      </c>
      <c r="AP634" s="3" t="s">
        <v>59</v>
      </c>
      <c r="AQ634" s="3" t="s">
        <v>71</v>
      </c>
      <c r="AR634" s="6" t="str">
        <f>HYPERLINK("http://catalog.hathitrust.org/Record/000382313","HathiTrust Record")</f>
        <v>HathiTrust Record</v>
      </c>
      <c r="AS634" s="6" t="str">
        <f>HYPERLINK("https://creighton-primo.hosted.exlibrisgroup.com/primo-explore/search?tab=default_tab&amp;search_scope=EVERYTHING&amp;vid=01CRU&amp;lang=en_US&amp;offset=0&amp;query=any,contains,991000041749702656","Catalog Record")</f>
        <v>Catalog Record</v>
      </c>
      <c r="AT634" s="6" t="str">
        <f>HYPERLINK("http://www.worldcat.org/oclc/21936","WorldCat Record")</f>
        <v>WorldCat Record</v>
      </c>
      <c r="AU634" s="3" t="s">
        <v>8042</v>
      </c>
      <c r="AV634" s="3" t="s">
        <v>8043</v>
      </c>
      <c r="AW634" s="3" t="s">
        <v>8044</v>
      </c>
      <c r="AX634" s="3" t="s">
        <v>8044</v>
      </c>
      <c r="AY634" s="3" t="s">
        <v>8045</v>
      </c>
      <c r="AZ634" s="3" t="s">
        <v>76</v>
      </c>
      <c r="BC634" s="3" t="s">
        <v>8046</v>
      </c>
      <c r="BD634" s="3" t="s">
        <v>8047</v>
      </c>
    </row>
    <row r="635" spans="1:56" ht="52.5" customHeight="1" x14ac:dyDescent="0.25">
      <c r="A635" s="7" t="s">
        <v>59</v>
      </c>
      <c r="B635" s="2" t="s">
        <v>8048</v>
      </c>
      <c r="C635" s="2" t="s">
        <v>8049</v>
      </c>
      <c r="D635" s="2" t="s">
        <v>8050</v>
      </c>
      <c r="F635" s="3" t="s">
        <v>59</v>
      </c>
      <c r="G635" s="3" t="s">
        <v>60</v>
      </c>
      <c r="H635" s="3" t="s">
        <v>59</v>
      </c>
      <c r="I635" s="3" t="s">
        <v>59</v>
      </c>
      <c r="J635" s="3" t="s">
        <v>61</v>
      </c>
      <c r="K635" s="2" t="s">
        <v>8051</v>
      </c>
      <c r="L635" s="2" t="s">
        <v>7657</v>
      </c>
      <c r="M635" s="3" t="s">
        <v>1233</v>
      </c>
      <c r="O635" s="3" t="s">
        <v>65</v>
      </c>
      <c r="P635" s="3" t="s">
        <v>296</v>
      </c>
      <c r="Q635" s="2" t="s">
        <v>8052</v>
      </c>
      <c r="R635" s="3" t="s">
        <v>68</v>
      </c>
      <c r="S635" s="4">
        <v>5</v>
      </c>
      <c r="T635" s="4">
        <v>5</v>
      </c>
      <c r="U635" s="5" t="s">
        <v>7991</v>
      </c>
      <c r="V635" s="5" t="s">
        <v>7991</v>
      </c>
      <c r="W635" s="5" t="s">
        <v>3081</v>
      </c>
      <c r="X635" s="5" t="s">
        <v>3081</v>
      </c>
      <c r="Y635" s="4">
        <v>441</v>
      </c>
      <c r="Z635" s="4">
        <v>337</v>
      </c>
      <c r="AA635" s="4">
        <v>373</v>
      </c>
      <c r="AB635" s="4">
        <v>4</v>
      </c>
      <c r="AC635" s="4">
        <v>4</v>
      </c>
      <c r="AD635" s="4">
        <v>16</v>
      </c>
      <c r="AE635" s="4">
        <v>16</v>
      </c>
      <c r="AF635" s="4">
        <v>3</v>
      </c>
      <c r="AG635" s="4">
        <v>3</v>
      </c>
      <c r="AH635" s="4">
        <v>4</v>
      </c>
      <c r="AI635" s="4">
        <v>4</v>
      </c>
      <c r="AJ635" s="4">
        <v>7</v>
      </c>
      <c r="AK635" s="4">
        <v>7</v>
      </c>
      <c r="AL635" s="4">
        <v>2</v>
      </c>
      <c r="AM635" s="4">
        <v>2</v>
      </c>
      <c r="AN635" s="4">
        <v>3</v>
      </c>
      <c r="AO635" s="4">
        <v>3</v>
      </c>
      <c r="AP635" s="3" t="s">
        <v>59</v>
      </c>
      <c r="AQ635" s="3" t="s">
        <v>59</v>
      </c>
      <c r="AS635" s="6" t="str">
        <f>HYPERLINK("https://creighton-primo.hosted.exlibrisgroup.com/primo-explore/search?tab=default_tab&amp;search_scope=EVERYTHING&amp;vid=01CRU&amp;lang=en_US&amp;offset=0&amp;query=any,contains,991003311519702656","Catalog Record")</f>
        <v>Catalog Record</v>
      </c>
      <c r="AT635" s="6" t="str">
        <f>HYPERLINK("http://www.worldcat.org/oclc/834952","WorldCat Record")</f>
        <v>WorldCat Record</v>
      </c>
      <c r="AU635" s="3" t="s">
        <v>8053</v>
      </c>
      <c r="AV635" s="3" t="s">
        <v>8054</v>
      </c>
      <c r="AW635" s="3" t="s">
        <v>8055</v>
      </c>
      <c r="AX635" s="3" t="s">
        <v>8055</v>
      </c>
      <c r="AY635" s="3" t="s">
        <v>8056</v>
      </c>
      <c r="AZ635" s="3" t="s">
        <v>76</v>
      </c>
      <c r="BB635" s="3" t="s">
        <v>8057</v>
      </c>
      <c r="BC635" s="3" t="s">
        <v>8058</v>
      </c>
      <c r="BD635" s="3" t="s">
        <v>8059</v>
      </c>
    </row>
    <row r="636" spans="1:56" ht="52.5" customHeight="1" x14ac:dyDescent="0.25">
      <c r="A636" s="7" t="s">
        <v>59</v>
      </c>
      <c r="B636" s="2" t="s">
        <v>8060</v>
      </c>
      <c r="C636" s="2" t="s">
        <v>8061</v>
      </c>
      <c r="D636" s="2" t="s">
        <v>8062</v>
      </c>
      <c r="F636" s="3" t="s">
        <v>59</v>
      </c>
      <c r="G636" s="3" t="s">
        <v>60</v>
      </c>
      <c r="H636" s="3" t="s">
        <v>59</v>
      </c>
      <c r="I636" s="3" t="s">
        <v>59</v>
      </c>
      <c r="J636" s="3" t="s">
        <v>61</v>
      </c>
      <c r="L636" s="2" t="s">
        <v>8063</v>
      </c>
      <c r="M636" s="3" t="s">
        <v>475</v>
      </c>
      <c r="O636" s="3" t="s">
        <v>65</v>
      </c>
      <c r="P636" s="3" t="s">
        <v>66</v>
      </c>
      <c r="R636" s="3" t="s">
        <v>68</v>
      </c>
      <c r="S636" s="4">
        <v>4</v>
      </c>
      <c r="T636" s="4">
        <v>4</v>
      </c>
      <c r="U636" s="5" t="s">
        <v>3366</v>
      </c>
      <c r="V636" s="5" t="s">
        <v>3366</v>
      </c>
      <c r="W636" s="5" t="s">
        <v>8064</v>
      </c>
      <c r="X636" s="5" t="s">
        <v>8064</v>
      </c>
      <c r="Y636" s="4">
        <v>425</v>
      </c>
      <c r="Z636" s="4">
        <v>336</v>
      </c>
      <c r="AA636" s="4">
        <v>357</v>
      </c>
      <c r="AB636" s="4">
        <v>5</v>
      </c>
      <c r="AC636" s="4">
        <v>5</v>
      </c>
      <c r="AD636" s="4">
        <v>15</v>
      </c>
      <c r="AE636" s="4">
        <v>15</v>
      </c>
      <c r="AF636" s="4">
        <v>4</v>
      </c>
      <c r="AG636" s="4">
        <v>4</v>
      </c>
      <c r="AH636" s="4">
        <v>3</v>
      </c>
      <c r="AI636" s="4">
        <v>3</v>
      </c>
      <c r="AJ636" s="4">
        <v>9</v>
      </c>
      <c r="AK636" s="4">
        <v>9</v>
      </c>
      <c r="AL636" s="4">
        <v>4</v>
      </c>
      <c r="AM636" s="4">
        <v>4</v>
      </c>
      <c r="AN636" s="4">
        <v>0</v>
      </c>
      <c r="AO636" s="4">
        <v>0</v>
      </c>
      <c r="AP636" s="3" t="s">
        <v>59</v>
      </c>
      <c r="AQ636" s="3" t="s">
        <v>71</v>
      </c>
      <c r="AR636" s="6" t="str">
        <f>HYPERLINK("http://catalog.hathitrust.org/Record/000317423","HathiTrust Record")</f>
        <v>HathiTrust Record</v>
      </c>
      <c r="AS636" s="6" t="str">
        <f>HYPERLINK("https://creighton-primo.hosted.exlibrisgroup.com/primo-explore/search?tab=default_tab&amp;search_scope=EVERYTHING&amp;vid=01CRU&amp;lang=en_US&amp;offset=0&amp;query=any,contains,991000172919702656","Catalog Record")</f>
        <v>Catalog Record</v>
      </c>
      <c r="AT636" s="6" t="str">
        <f>HYPERLINK("http://www.worldcat.org/oclc/9325058","WorldCat Record")</f>
        <v>WorldCat Record</v>
      </c>
      <c r="AU636" s="3" t="s">
        <v>8065</v>
      </c>
      <c r="AV636" s="3" t="s">
        <v>8066</v>
      </c>
      <c r="AW636" s="3" t="s">
        <v>8067</v>
      </c>
      <c r="AX636" s="3" t="s">
        <v>8067</v>
      </c>
      <c r="AY636" s="3" t="s">
        <v>8068</v>
      </c>
      <c r="AZ636" s="3" t="s">
        <v>76</v>
      </c>
      <c r="BB636" s="3" t="s">
        <v>8069</v>
      </c>
      <c r="BC636" s="3" t="s">
        <v>8070</v>
      </c>
      <c r="BD636" s="3" t="s">
        <v>8071</v>
      </c>
    </row>
    <row r="637" spans="1:56" ht="52.5" customHeight="1" x14ac:dyDescent="0.25">
      <c r="A637" s="7" t="s">
        <v>59</v>
      </c>
      <c r="B637" s="2" t="s">
        <v>8072</v>
      </c>
      <c r="C637" s="2" t="s">
        <v>8073</v>
      </c>
      <c r="D637" s="2" t="s">
        <v>8074</v>
      </c>
      <c r="F637" s="3" t="s">
        <v>59</v>
      </c>
      <c r="G637" s="3" t="s">
        <v>60</v>
      </c>
      <c r="H637" s="3" t="s">
        <v>59</v>
      </c>
      <c r="I637" s="3" t="s">
        <v>59</v>
      </c>
      <c r="J637" s="3" t="s">
        <v>61</v>
      </c>
      <c r="K637" s="2" t="s">
        <v>8075</v>
      </c>
      <c r="L637" s="2" t="s">
        <v>8076</v>
      </c>
      <c r="M637" s="3" t="s">
        <v>148</v>
      </c>
      <c r="O637" s="3" t="s">
        <v>65</v>
      </c>
      <c r="P637" s="3" t="s">
        <v>699</v>
      </c>
      <c r="Q637" s="2" t="s">
        <v>2938</v>
      </c>
      <c r="R637" s="3" t="s">
        <v>68</v>
      </c>
      <c r="S637" s="4">
        <v>6</v>
      </c>
      <c r="T637" s="4">
        <v>6</v>
      </c>
      <c r="U637" s="5" t="s">
        <v>8077</v>
      </c>
      <c r="V637" s="5" t="s">
        <v>8077</v>
      </c>
      <c r="W637" s="5" t="s">
        <v>7036</v>
      </c>
      <c r="X637" s="5" t="s">
        <v>7036</v>
      </c>
      <c r="Y637" s="4">
        <v>831</v>
      </c>
      <c r="Z637" s="4">
        <v>719</v>
      </c>
      <c r="AA637" s="4">
        <v>726</v>
      </c>
      <c r="AB637" s="4">
        <v>6</v>
      </c>
      <c r="AC637" s="4">
        <v>6</v>
      </c>
      <c r="AD637" s="4">
        <v>26</v>
      </c>
      <c r="AE637" s="4">
        <v>26</v>
      </c>
      <c r="AF637" s="4">
        <v>7</v>
      </c>
      <c r="AG637" s="4">
        <v>7</v>
      </c>
      <c r="AH637" s="4">
        <v>5</v>
      </c>
      <c r="AI637" s="4">
        <v>5</v>
      </c>
      <c r="AJ637" s="4">
        <v>14</v>
      </c>
      <c r="AK637" s="4">
        <v>14</v>
      </c>
      <c r="AL637" s="4">
        <v>4</v>
      </c>
      <c r="AM637" s="4">
        <v>4</v>
      </c>
      <c r="AN637" s="4">
        <v>0</v>
      </c>
      <c r="AO637" s="4">
        <v>0</v>
      </c>
      <c r="AP637" s="3" t="s">
        <v>59</v>
      </c>
      <c r="AQ637" s="3" t="s">
        <v>71</v>
      </c>
      <c r="AR637" s="6" t="str">
        <f>HYPERLINK("http://catalog.hathitrust.org/Record/000722883","HathiTrust Record")</f>
        <v>HathiTrust Record</v>
      </c>
      <c r="AS637" s="6" t="str">
        <f>HYPERLINK("https://creighton-primo.hosted.exlibrisgroup.com/primo-explore/search?tab=default_tab&amp;search_scope=EVERYTHING&amp;vid=01CRU&amp;lang=en_US&amp;offset=0&amp;query=any,contains,991004009359702656","Catalog Record")</f>
        <v>Catalog Record</v>
      </c>
      <c r="AT637" s="6" t="str">
        <f>HYPERLINK("http://www.worldcat.org/oclc/2089629","WorldCat Record")</f>
        <v>WorldCat Record</v>
      </c>
      <c r="AU637" s="3" t="s">
        <v>8078</v>
      </c>
      <c r="AV637" s="3" t="s">
        <v>8079</v>
      </c>
      <c r="AW637" s="3" t="s">
        <v>8080</v>
      </c>
      <c r="AX637" s="3" t="s">
        <v>8080</v>
      </c>
      <c r="AY637" s="3" t="s">
        <v>8081</v>
      </c>
      <c r="AZ637" s="3" t="s">
        <v>76</v>
      </c>
      <c r="BB637" s="3" t="s">
        <v>8082</v>
      </c>
      <c r="BC637" s="3" t="s">
        <v>8083</v>
      </c>
      <c r="BD637" s="3" t="s">
        <v>8084</v>
      </c>
    </row>
    <row r="638" spans="1:56" ht="52.5" customHeight="1" x14ac:dyDescent="0.25">
      <c r="A638" s="7" t="s">
        <v>59</v>
      </c>
      <c r="B638" s="2" t="s">
        <v>8085</v>
      </c>
      <c r="C638" s="2" t="s">
        <v>8086</v>
      </c>
      <c r="D638" s="2" t="s">
        <v>8087</v>
      </c>
      <c r="F638" s="3" t="s">
        <v>59</v>
      </c>
      <c r="G638" s="3" t="s">
        <v>60</v>
      </c>
      <c r="H638" s="3" t="s">
        <v>59</v>
      </c>
      <c r="I638" s="3" t="s">
        <v>59</v>
      </c>
      <c r="J638" s="3" t="s">
        <v>61</v>
      </c>
      <c r="K638" s="2" t="s">
        <v>8088</v>
      </c>
      <c r="L638" s="2" t="s">
        <v>8089</v>
      </c>
      <c r="M638" s="3" t="s">
        <v>1015</v>
      </c>
      <c r="O638" s="3" t="s">
        <v>65</v>
      </c>
      <c r="P638" s="3" t="s">
        <v>66</v>
      </c>
      <c r="R638" s="3" t="s">
        <v>68</v>
      </c>
      <c r="S638" s="4">
        <v>4</v>
      </c>
      <c r="T638" s="4">
        <v>4</v>
      </c>
      <c r="U638" s="5" t="s">
        <v>5015</v>
      </c>
      <c r="V638" s="5" t="s">
        <v>5015</v>
      </c>
      <c r="W638" s="5" t="s">
        <v>8090</v>
      </c>
      <c r="X638" s="5" t="s">
        <v>8090</v>
      </c>
      <c r="Y638" s="4">
        <v>1082</v>
      </c>
      <c r="Z638" s="4">
        <v>931</v>
      </c>
      <c r="AA638" s="4">
        <v>1478</v>
      </c>
      <c r="AB638" s="4">
        <v>9</v>
      </c>
      <c r="AC638" s="4">
        <v>12</v>
      </c>
      <c r="AD638" s="4">
        <v>32</v>
      </c>
      <c r="AE638" s="4">
        <v>46</v>
      </c>
      <c r="AF638" s="4">
        <v>11</v>
      </c>
      <c r="AG638" s="4">
        <v>18</v>
      </c>
      <c r="AH638" s="4">
        <v>7</v>
      </c>
      <c r="AI638" s="4">
        <v>9</v>
      </c>
      <c r="AJ638" s="4">
        <v>17</v>
      </c>
      <c r="AK638" s="4">
        <v>21</v>
      </c>
      <c r="AL638" s="4">
        <v>5</v>
      </c>
      <c r="AM638" s="4">
        <v>8</v>
      </c>
      <c r="AN638" s="4">
        <v>0</v>
      </c>
      <c r="AO638" s="4">
        <v>0</v>
      </c>
      <c r="AP638" s="3" t="s">
        <v>59</v>
      </c>
      <c r="AQ638" s="3" t="s">
        <v>71</v>
      </c>
      <c r="AR638" s="6" t="str">
        <f>HYPERLINK("http://catalog.hathitrust.org/Record/000360631","HathiTrust Record")</f>
        <v>HathiTrust Record</v>
      </c>
      <c r="AS638" s="6" t="str">
        <f>HYPERLINK("https://creighton-primo.hosted.exlibrisgroup.com/primo-explore/search?tab=default_tab&amp;search_scope=EVERYTHING&amp;vid=01CRU&amp;lang=en_US&amp;offset=0&amp;query=any,contains,991001233539702656","Catalog Record")</f>
        <v>Catalog Record</v>
      </c>
      <c r="AT638" s="6" t="str">
        <f>HYPERLINK("http://www.worldcat.org/oclc/204274","WorldCat Record")</f>
        <v>WorldCat Record</v>
      </c>
      <c r="AU638" s="3" t="s">
        <v>8091</v>
      </c>
      <c r="AV638" s="3" t="s">
        <v>8092</v>
      </c>
      <c r="AW638" s="3" t="s">
        <v>8093</v>
      </c>
      <c r="AX638" s="3" t="s">
        <v>8093</v>
      </c>
      <c r="AY638" s="3" t="s">
        <v>8094</v>
      </c>
      <c r="AZ638" s="3" t="s">
        <v>76</v>
      </c>
      <c r="BC638" s="3" t="s">
        <v>8095</v>
      </c>
      <c r="BD638" s="3" t="s">
        <v>8096</v>
      </c>
    </row>
    <row r="639" spans="1:56" ht="52.5" customHeight="1" x14ac:dyDescent="0.25">
      <c r="A639" s="7" t="s">
        <v>59</v>
      </c>
      <c r="B639" s="2" t="s">
        <v>8097</v>
      </c>
      <c r="C639" s="2" t="s">
        <v>8098</v>
      </c>
      <c r="D639" s="2" t="s">
        <v>8099</v>
      </c>
      <c r="F639" s="3" t="s">
        <v>59</v>
      </c>
      <c r="G639" s="3" t="s">
        <v>60</v>
      </c>
      <c r="H639" s="3" t="s">
        <v>59</v>
      </c>
      <c r="I639" s="3" t="s">
        <v>59</v>
      </c>
      <c r="J639" s="3" t="s">
        <v>61</v>
      </c>
      <c r="K639" s="2" t="s">
        <v>8100</v>
      </c>
      <c r="L639" s="2" t="s">
        <v>8101</v>
      </c>
      <c r="M639" s="3" t="s">
        <v>148</v>
      </c>
      <c r="O639" s="3" t="s">
        <v>65</v>
      </c>
      <c r="P639" s="3" t="s">
        <v>66</v>
      </c>
      <c r="R639" s="3" t="s">
        <v>68</v>
      </c>
      <c r="S639" s="4">
        <v>12</v>
      </c>
      <c r="T639" s="4">
        <v>12</v>
      </c>
      <c r="U639" s="5" t="s">
        <v>5015</v>
      </c>
      <c r="V639" s="5" t="s">
        <v>5015</v>
      </c>
      <c r="W639" s="5" t="s">
        <v>7036</v>
      </c>
      <c r="X639" s="5" t="s">
        <v>7036</v>
      </c>
      <c r="Y639" s="4">
        <v>1336</v>
      </c>
      <c r="Z639" s="4">
        <v>1158</v>
      </c>
      <c r="AA639" s="4">
        <v>1254</v>
      </c>
      <c r="AB639" s="4">
        <v>8</v>
      </c>
      <c r="AC639" s="4">
        <v>8</v>
      </c>
      <c r="AD639" s="4">
        <v>36</v>
      </c>
      <c r="AE639" s="4">
        <v>37</v>
      </c>
      <c r="AF639" s="4">
        <v>13</v>
      </c>
      <c r="AG639" s="4">
        <v>14</v>
      </c>
      <c r="AH639" s="4">
        <v>9</v>
      </c>
      <c r="AI639" s="4">
        <v>9</v>
      </c>
      <c r="AJ639" s="4">
        <v>17</v>
      </c>
      <c r="AK639" s="4">
        <v>18</v>
      </c>
      <c r="AL639" s="4">
        <v>5</v>
      </c>
      <c r="AM639" s="4">
        <v>5</v>
      </c>
      <c r="AN639" s="4">
        <v>1</v>
      </c>
      <c r="AO639" s="4">
        <v>1</v>
      </c>
      <c r="AP639" s="3" t="s">
        <v>59</v>
      </c>
      <c r="AQ639" s="3" t="s">
        <v>71</v>
      </c>
      <c r="AR639" s="6" t="str">
        <f>HYPERLINK("http://catalog.hathitrust.org/Record/000705287","HathiTrust Record")</f>
        <v>HathiTrust Record</v>
      </c>
      <c r="AS639" s="6" t="str">
        <f>HYPERLINK("https://creighton-primo.hosted.exlibrisgroup.com/primo-explore/search?tab=default_tab&amp;search_scope=EVERYTHING&amp;vid=01CRU&amp;lang=en_US&amp;offset=0&amp;query=any,contains,991004044059702656","Catalog Record")</f>
        <v>Catalog Record</v>
      </c>
      <c r="AT639" s="6" t="str">
        <f>HYPERLINK("http://www.worldcat.org/oclc/2195117","WorldCat Record")</f>
        <v>WorldCat Record</v>
      </c>
      <c r="AU639" s="3" t="s">
        <v>8102</v>
      </c>
      <c r="AV639" s="3" t="s">
        <v>8103</v>
      </c>
      <c r="AW639" s="3" t="s">
        <v>8104</v>
      </c>
      <c r="AX639" s="3" t="s">
        <v>8104</v>
      </c>
      <c r="AY639" s="3" t="s">
        <v>8105</v>
      </c>
      <c r="AZ639" s="3" t="s">
        <v>76</v>
      </c>
      <c r="BB639" s="3" t="s">
        <v>8106</v>
      </c>
      <c r="BC639" s="3" t="s">
        <v>8107</v>
      </c>
      <c r="BD639" s="3" t="s">
        <v>8108</v>
      </c>
    </row>
    <row r="640" spans="1:56" ht="52.5" customHeight="1" x14ac:dyDescent="0.25">
      <c r="A640" s="7" t="s">
        <v>59</v>
      </c>
      <c r="B640" s="2" t="s">
        <v>8109</v>
      </c>
      <c r="C640" s="2" t="s">
        <v>8110</v>
      </c>
      <c r="D640" s="2" t="s">
        <v>8111</v>
      </c>
      <c r="F640" s="3" t="s">
        <v>59</v>
      </c>
      <c r="G640" s="3" t="s">
        <v>60</v>
      </c>
      <c r="H640" s="3" t="s">
        <v>59</v>
      </c>
      <c r="I640" s="3" t="s">
        <v>59</v>
      </c>
      <c r="J640" s="3" t="s">
        <v>61</v>
      </c>
      <c r="L640" s="2" t="s">
        <v>8112</v>
      </c>
      <c r="M640" s="3" t="s">
        <v>131</v>
      </c>
      <c r="O640" s="3" t="s">
        <v>65</v>
      </c>
      <c r="P640" s="3" t="s">
        <v>66</v>
      </c>
      <c r="Q640" s="2" t="s">
        <v>8113</v>
      </c>
      <c r="R640" s="3" t="s">
        <v>68</v>
      </c>
      <c r="S640" s="4">
        <v>3</v>
      </c>
      <c r="T640" s="4">
        <v>3</v>
      </c>
      <c r="U640" s="5" t="s">
        <v>5246</v>
      </c>
      <c r="V640" s="5" t="s">
        <v>5246</v>
      </c>
      <c r="W640" s="5" t="s">
        <v>7036</v>
      </c>
      <c r="X640" s="5" t="s">
        <v>7036</v>
      </c>
      <c r="Y640" s="4">
        <v>422</v>
      </c>
      <c r="Z640" s="4">
        <v>320</v>
      </c>
      <c r="AA640" s="4">
        <v>337</v>
      </c>
      <c r="AB640" s="4">
        <v>4</v>
      </c>
      <c r="AC640" s="4">
        <v>4</v>
      </c>
      <c r="AD640" s="4">
        <v>16</v>
      </c>
      <c r="AE640" s="4">
        <v>16</v>
      </c>
      <c r="AF640" s="4">
        <v>2</v>
      </c>
      <c r="AG640" s="4">
        <v>2</v>
      </c>
      <c r="AH640" s="4">
        <v>5</v>
      </c>
      <c r="AI640" s="4">
        <v>5</v>
      </c>
      <c r="AJ640" s="4">
        <v>9</v>
      </c>
      <c r="AK640" s="4">
        <v>9</v>
      </c>
      <c r="AL640" s="4">
        <v>3</v>
      </c>
      <c r="AM640" s="4">
        <v>3</v>
      </c>
      <c r="AN640" s="4">
        <v>0</v>
      </c>
      <c r="AO640" s="4">
        <v>0</v>
      </c>
      <c r="AP640" s="3" t="s">
        <v>59</v>
      </c>
      <c r="AQ640" s="3" t="s">
        <v>71</v>
      </c>
      <c r="AR640" s="6" t="str">
        <f>HYPERLINK("http://catalog.hathitrust.org/Record/001628960","HathiTrust Record")</f>
        <v>HathiTrust Record</v>
      </c>
      <c r="AS640" s="6" t="str">
        <f>HYPERLINK("https://creighton-primo.hosted.exlibrisgroup.com/primo-explore/search?tab=default_tab&amp;search_scope=EVERYTHING&amp;vid=01CRU&amp;lang=en_US&amp;offset=0&amp;query=any,contains,991003528149702656","Catalog Record")</f>
        <v>Catalog Record</v>
      </c>
      <c r="AT640" s="6" t="str">
        <f>HYPERLINK("http://www.worldcat.org/oclc/1091757","WorldCat Record")</f>
        <v>WorldCat Record</v>
      </c>
      <c r="AU640" s="3" t="s">
        <v>8114</v>
      </c>
      <c r="AV640" s="3" t="s">
        <v>8115</v>
      </c>
      <c r="AW640" s="3" t="s">
        <v>8116</v>
      </c>
      <c r="AX640" s="3" t="s">
        <v>8116</v>
      </c>
      <c r="AY640" s="3" t="s">
        <v>8117</v>
      </c>
      <c r="AZ640" s="3" t="s">
        <v>76</v>
      </c>
      <c r="BB640" s="3" t="s">
        <v>8118</v>
      </c>
      <c r="BC640" s="3" t="s">
        <v>8119</v>
      </c>
      <c r="BD640" s="3" t="s">
        <v>8120</v>
      </c>
    </row>
    <row r="641" spans="1:56" ht="52.5" customHeight="1" x14ac:dyDescent="0.25">
      <c r="A641" s="7" t="s">
        <v>59</v>
      </c>
      <c r="B641" s="2" t="s">
        <v>8121</v>
      </c>
      <c r="C641" s="2" t="s">
        <v>8122</v>
      </c>
      <c r="D641" s="2" t="s">
        <v>8123</v>
      </c>
      <c r="F641" s="3" t="s">
        <v>59</v>
      </c>
      <c r="G641" s="3" t="s">
        <v>60</v>
      </c>
      <c r="H641" s="3" t="s">
        <v>59</v>
      </c>
      <c r="I641" s="3" t="s">
        <v>59</v>
      </c>
      <c r="J641" s="3" t="s">
        <v>61</v>
      </c>
      <c r="L641" s="2" t="s">
        <v>8124</v>
      </c>
      <c r="M641" s="3" t="s">
        <v>148</v>
      </c>
      <c r="O641" s="3" t="s">
        <v>65</v>
      </c>
      <c r="P641" s="3" t="s">
        <v>66</v>
      </c>
      <c r="R641" s="3" t="s">
        <v>68</v>
      </c>
      <c r="S641" s="4">
        <v>5</v>
      </c>
      <c r="T641" s="4">
        <v>5</v>
      </c>
      <c r="U641" s="5" t="s">
        <v>7991</v>
      </c>
      <c r="V641" s="5" t="s">
        <v>7991</v>
      </c>
      <c r="W641" s="5" t="s">
        <v>7036</v>
      </c>
      <c r="X641" s="5" t="s">
        <v>7036</v>
      </c>
      <c r="Y641" s="4">
        <v>676</v>
      </c>
      <c r="Z641" s="4">
        <v>503</v>
      </c>
      <c r="AA641" s="4">
        <v>543</v>
      </c>
      <c r="AB641" s="4">
        <v>3</v>
      </c>
      <c r="AC641" s="4">
        <v>4</v>
      </c>
      <c r="AD641" s="4">
        <v>21</v>
      </c>
      <c r="AE641" s="4">
        <v>24</v>
      </c>
      <c r="AF641" s="4">
        <v>5</v>
      </c>
      <c r="AG641" s="4">
        <v>6</v>
      </c>
      <c r="AH641" s="4">
        <v>7</v>
      </c>
      <c r="AI641" s="4">
        <v>8</v>
      </c>
      <c r="AJ641" s="4">
        <v>13</v>
      </c>
      <c r="AK641" s="4">
        <v>13</v>
      </c>
      <c r="AL641" s="4">
        <v>2</v>
      </c>
      <c r="AM641" s="4">
        <v>3</v>
      </c>
      <c r="AN641" s="4">
        <v>0</v>
      </c>
      <c r="AO641" s="4">
        <v>0</v>
      </c>
      <c r="AP641" s="3" t="s">
        <v>59</v>
      </c>
      <c r="AQ641" s="3" t="s">
        <v>71</v>
      </c>
      <c r="AR641" s="6" t="str">
        <f>HYPERLINK("http://catalog.hathitrust.org/Record/000722969","HathiTrust Record")</f>
        <v>HathiTrust Record</v>
      </c>
      <c r="AS641" s="6" t="str">
        <f>HYPERLINK("https://creighton-primo.hosted.exlibrisgroup.com/primo-explore/search?tab=default_tab&amp;search_scope=EVERYTHING&amp;vid=01CRU&amp;lang=en_US&amp;offset=0&amp;query=any,contains,991004067839702656","Catalog Record")</f>
        <v>Catalog Record</v>
      </c>
      <c r="AT641" s="6" t="str">
        <f>HYPERLINK("http://www.worldcat.org/oclc/2290578","WorldCat Record")</f>
        <v>WorldCat Record</v>
      </c>
      <c r="AU641" s="3" t="s">
        <v>8125</v>
      </c>
      <c r="AV641" s="3" t="s">
        <v>8126</v>
      </c>
      <c r="AW641" s="3" t="s">
        <v>8127</v>
      </c>
      <c r="AX641" s="3" t="s">
        <v>8127</v>
      </c>
      <c r="AY641" s="3" t="s">
        <v>8128</v>
      </c>
      <c r="AZ641" s="3" t="s">
        <v>76</v>
      </c>
      <c r="BB641" s="3" t="s">
        <v>8129</v>
      </c>
      <c r="BC641" s="3" t="s">
        <v>8130</v>
      </c>
      <c r="BD641" s="3" t="s">
        <v>8131</v>
      </c>
    </row>
    <row r="642" spans="1:56" ht="52.5" customHeight="1" x14ac:dyDescent="0.25">
      <c r="A642" s="7" t="s">
        <v>59</v>
      </c>
      <c r="B642" s="2" t="s">
        <v>8132</v>
      </c>
      <c r="C642" s="2" t="s">
        <v>8133</v>
      </c>
      <c r="D642" s="2" t="s">
        <v>8134</v>
      </c>
      <c r="F642" s="3" t="s">
        <v>59</v>
      </c>
      <c r="G642" s="3" t="s">
        <v>60</v>
      </c>
      <c r="H642" s="3" t="s">
        <v>59</v>
      </c>
      <c r="I642" s="3" t="s">
        <v>59</v>
      </c>
      <c r="J642" s="3" t="s">
        <v>61</v>
      </c>
      <c r="K642" s="2" t="s">
        <v>8135</v>
      </c>
      <c r="L642" s="2" t="s">
        <v>8136</v>
      </c>
      <c r="M642" s="3" t="s">
        <v>224</v>
      </c>
      <c r="O642" s="3" t="s">
        <v>65</v>
      </c>
      <c r="P642" s="3" t="s">
        <v>66</v>
      </c>
      <c r="R642" s="3" t="s">
        <v>68</v>
      </c>
      <c r="S642" s="4">
        <v>6</v>
      </c>
      <c r="T642" s="4">
        <v>6</v>
      </c>
      <c r="U642" s="5" t="s">
        <v>7367</v>
      </c>
      <c r="V642" s="5" t="s">
        <v>7367</v>
      </c>
      <c r="W642" s="5" t="s">
        <v>8137</v>
      </c>
      <c r="X642" s="5" t="s">
        <v>8137</v>
      </c>
      <c r="Y642" s="4">
        <v>408</v>
      </c>
      <c r="Z642" s="4">
        <v>382</v>
      </c>
      <c r="AA642" s="4">
        <v>438</v>
      </c>
      <c r="AB642" s="4">
        <v>5</v>
      </c>
      <c r="AC642" s="4">
        <v>5</v>
      </c>
      <c r="AD642" s="4">
        <v>14</v>
      </c>
      <c r="AE642" s="4">
        <v>16</v>
      </c>
      <c r="AF642" s="4">
        <v>5</v>
      </c>
      <c r="AG642" s="4">
        <v>5</v>
      </c>
      <c r="AH642" s="4">
        <v>2</v>
      </c>
      <c r="AI642" s="4">
        <v>3</v>
      </c>
      <c r="AJ642" s="4">
        <v>6</v>
      </c>
      <c r="AK642" s="4">
        <v>7</v>
      </c>
      <c r="AL642" s="4">
        <v>3</v>
      </c>
      <c r="AM642" s="4">
        <v>3</v>
      </c>
      <c r="AN642" s="4">
        <v>0</v>
      </c>
      <c r="AO642" s="4">
        <v>0</v>
      </c>
      <c r="AP642" s="3" t="s">
        <v>59</v>
      </c>
      <c r="AQ642" s="3" t="s">
        <v>59</v>
      </c>
      <c r="AS642" s="6" t="str">
        <f>HYPERLINK("https://creighton-primo.hosted.exlibrisgroup.com/primo-explore/search?tab=default_tab&amp;search_scope=EVERYTHING&amp;vid=01CRU&amp;lang=en_US&amp;offset=0&amp;query=any,contains,991003984209702656","Catalog Record")</f>
        <v>Catalog Record</v>
      </c>
      <c r="AT642" s="6" t="str">
        <f>HYPERLINK("http://www.worldcat.org/oclc/2024697","WorldCat Record")</f>
        <v>WorldCat Record</v>
      </c>
      <c r="AU642" s="3" t="s">
        <v>8138</v>
      </c>
      <c r="AV642" s="3" t="s">
        <v>8139</v>
      </c>
      <c r="AW642" s="3" t="s">
        <v>8140</v>
      </c>
      <c r="AX642" s="3" t="s">
        <v>8140</v>
      </c>
      <c r="AY642" s="3" t="s">
        <v>8141</v>
      </c>
      <c r="AZ642" s="3" t="s">
        <v>76</v>
      </c>
      <c r="BC642" s="3" t="s">
        <v>8142</v>
      </c>
      <c r="BD642" s="3" t="s">
        <v>8143</v>
      </c>
    </row>
    <row r="643" spans="1:56" ht="52.5" customHeight="1" x14ac:dyDescent="0.25">
      <c r="A643" s="7" t="s">
        <v>59</v>
      </c>
      <c r="B643" s="2" t="s">
        <v>8144</v>
      </c>
      <c r="C643" s="2" t="s">
        <v>8145</v>
      </c>
      <c r="D643" s="2" t="s">
        <v>8146</v>
      </c>
      <c r="F643" s="3" t="s">
        <v>59</v>
      </c>
      <c r="G643" s="3" t="s">
        <v>60</v>
      </c>
      <c r="H643" s="3" t="s">
        <v>59</v>
      </c>
      <c r="I643" s="3" t="s">
        <v>59</v>
      </c>
      <c r="J643" s="3" t="s">
        <v>61</v>
      </c>
      <c r="K643" s="2" t="s">
        <v>8147</v>
      </c>
      <c r="L643" s="2" t="s">
        <v>8148</v>
      </c>
      <c r="M643" s="3" t="s">
        <v>1000</v>
      </c>
      <c r="O643" s="3" t="s">
        <v>65</v>
      </c>
      <c r="P643" s="3" t="s">
        <v>699</v>
      </c>
      <c r="R643" s="3" t="s">
        <v>68</v>
      </c>
      <c r="S643" s="4">
        <v>7</v>
      </c>
      <c r="T643" s="4">
        <v>7</v>
      </c>
      <c r="U643" s="5" t="s">
        <v>8030</v>
      </c>
      <c r="V643" s="5" t="s">
        <v>8030</v>
      </c>
      <c r="W643" s="5" t="s">
        <v>8149</v>
      </c>
      <c r="X643" s="5" t="s">
        <v>8149</v>
      </c>
      <c r="Y643" s="4">
        <v>452</v>
      </c>
      <c r="Z643" s="4">
        <v>360</v>
      </c>
      <c r="AA643" s="4">
        <v>368</v>
      </c>
      <c r="AB643" s="4">
        <v>3</v>
      </c>
      <c r="AC643" s="4">
        <v>3</v>
      </c>
      <c r="AD643" s="4">
        <v>15</v>
      </c>
      <c r="AE643" s="4">
        <v>15</v>
      </c>
      <c r="AF643" s="4">
        <v>3</v>
      </c>
      <c r="AG643" s="4">
        <v>3</v>
      </c>
      <c r="AH643" s="4">
        <v>7</v>
      </c>
      <c r="AI643" s="4">
        <v>7</v>
      </c>
      <c r="AJ643" s="4">
        <v>8</v>
      </c>
      <c r="AK643" s="4">
        <v>8</v>
      </c>
      <c r="AL643" s="4">
        <v>2</v>
      </c>
      <c r="AM643" s="4">
        <v>2</v>
      </c>
      <c r="AN643" s="4">
        <v>0</v>
      </c>
      <c r="AO643" s="4">
        <v>0</v>
      </c>
      <c r="AP643" s="3" t="s">
        <v>59</v>
      </c>
      <c r="AQ643" s="3" t="s">
        <v>59</v>
      </c>
      <c r="AS643" s="6" t="str">
        <f>HYPERLINK("https://creighton-primo.hosted.exlibrisgroup.com/primo-explore/search?tab=default_tab&amp;search_scope=EVERYTHING&amp;vid=01CRU&amp;lang=en_US&amp;offset=0&amp;query=any,contains,991004798219702656","Catalog Record")</f>
        <v>Catalog Record</v>
      </c>
      <c r="AT643" s="6" t="str">
        <f>HYPERLINK("http://www.worldcat.org/oclc/5196743","WorldCat Record")</f>
        <v>WorldCat Record</v>
      </c>
      <c r="AU643" s="3" t="s">
        <v>8150</v>
      </c>
      <c r="AV643" s="3" t="s">
        <v>8151</v>
      </c>
      <c r="AW643" s="3" t="s">
        <v>8152</v>
      </c>
      <c r="AX643" s="3" t="s">
        <v>8152</v>
      </c>
      <c r="AY643" s="3" t="s">
        <v>8153</v>
      </c>
      <c r="AZ643" s="3" t="s">
        <v>76</v>
      </c>
      <c r="BB643" s="3" t="s">
        <v>8154</v>
      </c>
      <c r="BC643" s="3" t="s">
        <v>8155</v>
      </c>
      <c r="BD643" s="3" t="s">
        <v>8156</v>
      </c>
    </row>
    <row r="644" spans="1:56" ht="52.5" customHeight="1" x14ac:dyDescent="0.25">
      <c r="A644" s="7" t="s">
        <v>59</v>
      </c>
      <c r="B644" s="2" t="s">
        <v>8157</v>
      </c>
      <c r="C644" s="2" t="s">
        <v>8158</v>
      </c>
      <c r="D644" s="2" t="s">
        <v>8159</v>
      </c>
      <c r="E644" s="3" t="s">
        <v>768</v>
      </c>
      <c r="F644" s="3" t="s">
        <v>71</v>
      </c>
      <c r="G644" s="3" t="s">
        <v>60</v>
      </c>
      <c r="H644" s="3" t="s">
        <v>59</v>
      </c>
      <c r="I644" s="3" t="s">
        <v>59</v>
      </c>
      <c r="J644" s="3" t="s">
        <v>61</v>
      </c>
      <c r="L644" s="2" t="s">
        <v>3689</v>
      </c>
      <c r="M644" s="3" t="s">
        <v>115</v>
      </c>
      <c r="O644" s="3" t="s">
        <v>65</v>
      </c>
      <c r="P644" s="3" t="s">
        <v>66</v>
      </c>
      <c r="R644" s="3" t="s">
        <v>68</v>
      </c>
      <c r="S644" s="4">
        <v>6</v>
      </c>
      <c r="T644" s="4">
        <v>10</v>
      </c>
      <c r="U644" s="5" t="s">
        <v>8160</v>
      </c>
      <c r="V644" s="5" t="s">
        <v>8161</v>
      </c>
      <c r="W644" s="5" t="s">
        <v>7060</v>
      </c>
      <c r="X644" s="5" t="s">
        <v>7060</v>
      </c>
      <c r="Y644" s="4">
        <v>664</v>
      </c>
      <c r="Z644" s="4">
        <v>510</v>
      </c>
      <c r="AA644" s="4">
        <v>528</v>
      </c>
      <c r="AB644" s="4">
        <v>2</v>
      </c>
      <c r="AC644" s="4">
        <v>2</v>
      </c>
      <c r="AD644" s="4">
        <v>29</v>
      </c>
      <c r="AE644" s="4">
        <v>30</v>
      </c>
      <c r="AF644" s="4">
        <v>12</v>
      </c>
      <c r="AG644" s="4">
        <v>13</v>
      </c>
      <c r="AH644" s="4">
        <v>10</v>
      </c>
      <c r="AI644" s="4">
        <v>10</v>
      </c>
      <c r="AJ644" s="4">
        <v>15</v>
      </c>
      <c r="AK644" s="4">
        <v>15</v>
      </c>
      <c r="AL644" s="4">
        <v>1</v>
      </c>
      <c r="AM644" s="4">
        <v>1</v>
      </c>
      <c r="AN644" s="4">
        <v>0</v>
      </c>
      <c r="AO644" s="4">
        <v>0</v>
      </c>
      <c r="AP644" s="3" t="s">
        <v>59</v>
      </c>
      <c r="AQ644" s="3" t="s">
        <v>71</v>
      </c>
      <c r="AR644" s="6" t="str">
        <f>HYPERLINK("http://catalog.hathitrust.org/Record/000194310","HathiTrust Record")</f>
        <v>HathiTrust Record</v>
      </c>
      <c r="AS644" s="6" t="str">
        <f>HYPERLINK("https://creighton-primo.hosted.exlibrisgroup.com/primo-explore/search?tab=default_tab&amp;search_scope=EVERYTHING&amp;vid=01CRU&amp;lang=en_US&amp;offset=0&amp;query=any,contains,991002863909702656","Catalog Record")</f>
        <v>Catalog Record</v>
      </c>
      <c r="AT644" s="6" t="str">
        <f>HYPERLINK("http://www.worldcat.org/oclc/494978","WorldCat Record")</f>
        <v>WorldCat Record</v>
      </c>
      <c r="AU644" s="3" t="s">
        <v>8162</v>
      </c>
      <c r="AV644" s="3" t="s">
        <v>8163</v>
      </c>
      <c r="AW644" s="3" t="s">
        <v>8164</v>
      </c>
      <c r="AX644" s="3" t="s">
        <v>8164</v>
      </c>
      <c r="AY644" s="3" t="s">
        <v>8165</v>
      </c>
      <c r="AZ644" s="3" t="s">
        <v>76</v>
      </c>
      <c r="BB644" s="3" t="s">
        <v>8166</v>
      </c>
      <c r="BC644" s="3" t="s">
        <v>8167</v>
      </c>
      <c r="BD644" s="3" t="s">
        <v>8168</v>
      </c>
    </row>
    <row r="645" spans="1:56" ht="52.5" customHeight="1" x14ac:dyDescent="0.25">
      <c r="A645" s="7" t="s">
        <v>59</v>
      </c>
      <c r="B645" s="2" t="s">
        <v>8157</v>
      </c>
      <c r="C645" s="2" t="s">
        <v>8158</v>
      </c>
      <c r="D645" s="2" t="s">
        <v>8159</v>
      </c>
      <c r="E645" s="3" t="s">
        <v>781</v>
      </c>
      <c r="F645" s="3" t="s">
        <v>71</v>
      </c>
      <c r="G645" s="3" t="s">
        <v>60</v>
      </c>
      <c r="H645" s="3" t="s">
        <v>59</v>
      </c>
      <c r="I645" s="3" t="s">
        <v>59</v>
      </c>
      <c r="J645" s="3" t="s">
        <v>61</v>
      </c>
      <c r="L645" s="2" t="s">
        <v>3689</v>
      </c>
      <c r="M645" s="3" t="s">
        <v>115</v>
      </c>
      <c r="O645" s="3" t="s">
        <v>65</v>
      </c>
      <c r="P645" s="3" t="s">
        <v>66</v>
      </c>
      <c r="R645" s="3" t="s">
        <v>68</v>
      </c>
      <c r="S645" s="4">
        <v>4</v>
      </c>
      <c r="T645" s="4">
        <v>10</v>
      </c>
      <c r="U645" s="5" t="s">
        <v>8161</v>
      </c>
      <c r="V645" s="5" t="s">
        <v>8161</v>
      </c>
      <c r="W645" s="5" t="s">
        <v>7060</v>
      </c>
      <c r="X645" s="5" t="s">
        <v>7060</v>
      </c>
      <c r="Y645" s="4">
        <v>664</v>
      </c>
      <c r="Z645" s="4">
        <v>510</v>
      </c>
      <c r="AA645" s="4">
        <v>528</v>
      </c>
      <c r="AB645" s="4">
        <v>2</v>
      </c>
      <c r="AC645" s="4">
        <v>2</v>
      </c>
      <c r="AD645" s="4">
        <v>29</v>
      </c>
      <c r="AE645" s="4">
        <v>30</v>
      </c>
      <c r="AF645" s="4">
        <v>12</v>
      </c>
      <c r="AG645" s="4">
        <v>13</v>
      </c>
      <c r="AH645" s="4">
        <v>10</v>
      </c>
      <c r="AI645" s="4">
        <v>10</v>
      </c>
      <c r="AJ645" s="4">
        <v>15</v>
      </c>
      <c r="AK645" s="4">
        <v>15</v>
      </c>
      <c r="AL645" s="4">
        <v>1</v>
      </c>
      <c r="AM645" s="4">
        <v>1</v>
      </c>
      <c r="AN645" s="4">
        <v>0</v>
      </c>
      <c r="AO645" s="4">
        <v>0</v>
      </c>
      <c r="AP645" s="3" t="s">
        <v>59</v>
      </c>
      <c r="AQ645" s="3" t="s">
        <v>71</v>
      </c>
      <c r="AR645" s="6" t="str">
        <f>HYPERLINK("http://catalog.hathitrust.org/Record/000194310","HathiTrust Record")</f>
        <v>HathiTrust Record</v>
      </c>
      <c r="AS645" s="6" t="str">
        <f>HYPERLINK("https://creighton-primo.hosted.exlibrisgroup.com/primo-explore/search?tab=default_tab&amp;search_scope=EVERYTHING&amp;vid=01CRU&amp;lang=en_US&amp;offset=0&amp;query=any,contains,991002863909702656","Catalog Record")</f>
        <v>Catalog Record</v>
      </c>
      <c r="AT645" s="6" t="str">
        <f>HYPERLINK("http://www.worldcat.org/oclc/494978","WorldCat Record")</f>
        <v>WorldCat Record</v>
      </c>
      <c r="AU645" s="3" t="s">
        <v>8162</v>
      </c>
      <c r="AV645" s="3" t="s">
        <v>8163</v>
      </c>
      <c r="AW645" s="3" t="s">
        <v>8164</v>
      </c>
      <c r="AX645" s="3" t="s">
        <v>8164</v>
      </c>
      <c r="AY645" s="3" t="s">
        <v>8165</v>
      </c>
      <c r="AZ645" s="3" t="s">
        <v>76</v>
      </c>
      <c r="BB645" s="3" t="s">
        <v>8166</v>
      </c>
      <c r="BC645" s="3" t="s">
        <v>8169</v>
      </c>
      <c r="BD645" s="3" t="s">
        <v>8170</v>
      </c>
    </row>
    <row r="646" spans="1:56" ht="52.5" customHeight="1" x14ac:dyDescent="0.25">
      <c r="A646" s="7" t="s">
        <v>59</v>
      </c>
      <c r="B646" s="2" t="s">
        <v>8171</v>
      </c>
      <c r="C646" s="2" t="s">
        <v>8172</v>
      </c>
      <c r="D646" s="2" t="s">
        <v>8173</v>
      </c>
      <c r="E646" s="3" t="s">
        <v>8174</v>
      </c>
      <c r="F646" s="3" t="s">
        <v>59</v>
      </c>
      <c r="G646" s="3" t="s">
        <v>60</v>
      </c>
      <c r="H646" s="3" t="s">
        <v>59</v>
      </c>
      <c r="I646" s="3" t="s">
        <v>59</v>
      </c>
      <c r="J646" s="3" t="s">
        <v>61</v>
      </c>
      <c r="L646" s="2" t="s">
        <v>8175</v>
      </c>
      <c r="M646" s="3" t="s">
        <v>148</v>
      </c>
      <c r="O646" s="3" t="s">
        <v>65</v>
      </c>
      <c r="P646" s="3" t="s">
        <v>1218</v>
      </c>
      <c r="Q646" s="2" t="s">
        <v>8176</v>
      </c>
      <c r="R646" s="3" t="s">
        <v>68</v>
      </c>
      <c r="S646" s="4">
        <v>2</v>
      </c>
      <c r="T646" s="4">
        <v>2</v>
      </c>
      <c r="U646" s="5" t="s">
        <v>8160</v>
      </c>
      <c r="V646" s="5" t="s">
        <v>8160</v>
      </c>
      <c r="W646" s="5" t="s">
        <v>1871</v>
      </c>
      <c r="X646" s="5" t="s">
        <v>1871</v>
      </c>
      <c r="Y646" s="4">
        <v>456</v>
      </c>
      <c r="Z646" s="4">
        <v>365</v>
      </c>
      <c r="AA646" s="4">
        <v>385</v>
      </c>
      <c r="AB646" s="4">
        <v>5</v>
      </c>
      <c r="AC646" s="4">
        <v>5</v>
      </c>
      <c r="AD646" s="4">
        <v>21</v>
      </c>
      <c r="AE646" s="4">
        <v>21</v>
      </c>
      <c r="AF646" s="4">
        <v>4</v>
      </c>
      <c r="AG646" s="4">
        <v>4</v>
      </c>
      <c r="AH646" s="4">
        <v>8</v>
      </c>
      <c r="AI646" s="4">
        <v>8</v>
      </c>
      <c r="AJ646" s="4">
        <v>12</v>
      </c>
      <c r="AK646" s="4">
        <v>12</v>
      </c>
      <c r="AL646" s="4">
        <v>4</v>
      </c>
      <c r="AM646" s="4">
        <v>4</v>
      </c>
      <c r="AN646" s="4">
        <v>0</v>
      </c>
      <c r="AO646" s="4">
        <v>0</v>
      </c>
      <c r="AP646" s="3" t="s">
        <v>59</v>
      </c>
      <c r="AQ646" s="3" t="s">
        <v>71</v>
      </c>
      <c r="AR646" s="6" t="str">
        <f>HYPERLINK("http://catalog.hathitrust.org/Record/000309452","HathiTrust Record")</f>
        <v>HathiTrust Record</v>
      </c>
      <c r="AS646" s="6" t="str">
        <f>HYPERLINK("https://creighton-primo.hosted.exlibrisgroup.com/primo-explore/search?tab=default_tab&amp;search_scope=EVERYTHING&amp;vid=01CRU&amp;lang=en_US&amp;offset=0&amp;query=any,contains,991004108259702656","Catalog Record")</f>
        <v>Catalog Record</v>
      </c>
      <c r="AT646" s="6" t="str">
        <f>HYPERLINK("http://www.worldcat.org/oclc/2388304","WorldCat Record")</f>
        <v>WorldCat Record</v>
      </c>
      <c r="AU646" s="3" t="s">
        <v>8177</v>
      </c>
      <c r="AV646" s="3" t="s">
        <v>8178</v>
      </c>
      <c r="AW646" s="3" t="s">
        <v>8179</v>
      </c>
      <c r="AX646" s="3" t="s">
        <v>8179</v>
      </c>
      <c r="AY646" s="3" t="s">
        <v>8180</v>
      </c>
      <c r="AZ646" s="3" t="s">
        <v>76</v>
      </c>
      <c r="BB646" s="3" t="s">
        <v>8181</v>
      </c>
      <c r="BC646" s="3" t="s">
        <v>8182</v>
      </c>
      <c r="BD646" s="3" t="s">
        <v>8183</v>
      </c>
    </row>
    <row r="647" spans="1:56" ht="52.5" customHeight="1" x14ac:dyDescent="0.25">
      <c r="A647" s="7" t="s">
        <v>59</v>
      </c>
      <c r="B647" s="2" t="s">
        <v>8184</v>
      </c>
      <c r="C647" s="2" t="s">
        <v>8185</v>
      </c>
      <c r="D647" s="2" t="s">
        <v>8186</v>
      </c>
      <c r="F647" s="3" t="s">
        <v>59</v>
      </c>
      <c r="G647" s="3" t="s">
        <v>60</v>
      </c>
      <c r="H647" s="3" t="s">
        <v>59</v>
      </c>
      <c r="I647" s="3" t="s">
        <v>59</v>
      </c>
      <c r="J647" s="3" t="s">
        <v>61</v>
      </c>
      <c r="K647" s="2" t="s">
        <v>8187</v>
      </c>
      <c r="L647" s="2" t="s">
        <v>8188</v>
      </c>
      <c r="M647" s="3" t="s">
        <v>987</v>
      </c>
      <c r="O647" s="3" t="s">
        <v>65</v>
      </c>
      <c r="P647" s="3" t="s">
        <v>66</v>
      </c>
      <c r="R647" s="3" t="s">
        <v>68</v>
      </c>
      <c r="S647" s="4">
        <v>3</v>
      </c>
      <c r="T647" s="4">
        <v>3</v>
      </c>
      <c r="U647" s="5" t="s">
        <v>8189</v>
      </c>
      <c r="V647" s="5" t="s">
        <v>8189</v>
      </c>
      <c r="W647" s="5" t="s">
        <v>7060</v>
      </c>
      <c r="X647" s="5" t="s">
        <v>7060</v>
      </c>
      <c r="Y647" s="4">
        <v>712</v>
      </c>
      <c r="Z647" s="4">
        <v>558</v>
      </c>
      <c r="AA647" s="4">
        <v>605</v>
      </c>
      <c r="AB647" s="4">
        <v>4</v>
      </c>
      <c r="AC647" s="4">
        <v>5</v>
      </c>
      <c r="AD647" s="4">
        <v>27</v>
      </c>
      <c r="AE647" s="4">
        <v>32</v>
      </c>
      <c r="AF647" s="4">
        <v>13</v>
      </c>
      <c r="AG647" s="4">
        <v>14</v>
      </c>
      <c r="AH647" s="4">
        <v>4</v>
      </c>
      <c r="AI647" s="4">
        <v>6</v>
      </c>
      <c r="AJ647" s="4">
        <v>12</v>
      </c>
      <c r="AK647" s="4">
        <v>15</v>
      </c>
      <c r="AL647" s="4">
        <v>3</v>
      </c>
      <c r="AM647" s="4">
        <v>4</v>
      </c>
      <c r="AN647" s="4">
        <v>0</v>
      </c>
      <c r="AO647" s="4">
        <v>0</v>
      </c>
      <c r="AP647" s="3" t="s">
        <v>59</v>
      </c>
      <c r="AQ647" s="3" t="s">
        <v>71</v>
      </c>
      <c r="AR647" s="6" t="str">
        <f>HYPERLINK("http://catalog.hathitrust.org/Record/000360110","HathiTrust Record")</f>
        <v>HathiTrust Record</v>
      </c>
      <c r="AS647" s="6" t="str">
        <f>HYPERLINK("https://creighton-primo.hosted.exlibrisgroup.com/primo-explore/search?tab=default_tab&amp;search_scope=EVERYTHING&amp;vid=01CRU&amp;lang=en_US&amp;offset=0&amp;query=any,contains,991000178209702656","Catalog Record")</f>
        <v>Catalog Record</v>
      </c>
      <c r="AT647" s="6" t="str">
        <f>HYPERLINK("http://www.worldcat.org/oclc/62254","WorldCat Record")</f>
        <v>WorldCat Record</v>
      </c>
      <c r="AU647" s="3" t="s">
        <v>8190</v>
      </c>
      <c r="AV647" s="3" t="s">
        <v>8191</v>
      </c>
      <c r="AW647" s="3" t="s">
        <v>8192</v>
      </c>
      <c r="AX647" s="3" t="s">
        <v>8192</v>
      </c>
      <c r="AY647" s="3" t="s">
        <v>8193</v>
      </c>
      <c r="AZ647" s="3" t="s">
        <v>76</v>
      </c>
      <c r="BC647" s="3" t="s">
        <v>8194</v>
      </c>
      <c r="BD647" s="3" t="s">
        <v>8195</v>
      </c>
    </row>
    <row r="648" spans="1:56" ht="52.5" customHeight="1" x14ac:dyDescent="0.25">
      <c r="A648" s="7" t="s">
        <v>59</v>
      </c>
      <c r="B648" s="2" t="s">
        <v>8196</v>
      </c>
      <c r="C648" s="2" t="s">
        <v>8197</v>
      </c>
      <c r="D648" s="2" t="s">
        <v>8198</v>
      </c>
      <c r="F648" s="3" t="s">
        <v>59</v>
      </c>
      <c r="G648" s="3" t="s">
        <v>60</v>
      </c>
      <c r="H648" s="3" t="s">
        <v>59</v>
      </c>
      <c r="I648" s="3" t="s">
        <v>59</v>
      </c>
      <c r="J648" s="3" t="s">
        <v>61</v>
      </c>
      <c r="K648" s="2" t="s">
        <v>8199</v>
      </c>
      <c r="L648" s="2" t="s">
        <v>8200</v>
      </c>
      <c r="M648" s="3" t="s">
        <v>100</v>
      </c>
      <c r="O648" s="3" t="s">
        <v>65</v>
      </c>
      <c r="P648" s="3" t="s">
        <v>8201</v>
      </c>
      <c r="R648" s="3" t="s">
        <v>68</v>
      </c>
      <c r="S648" s="4">
        <v>4</v>
      </c>
      <c r="T648" s="4">
        <v>4</v>
      </c>
      <c r="U648" s="5" t="s">
        <v>8202</v>
      </c>
      <c r="V648" s="5" t="s">
        <v>8202</v>
      </c>
      <c r="W648" s="5" t="s">
        <v>338</v>
      </c>
      <c r="X648" s="5" t="s">
        <v>338</v>
      </c>
      <c r="Y648" s="4">
        <v>541</v>
      </c>
      <c r="Z648" s="4">
        <v>388</v>
      </c>
      <c r="AA648" s="4">
        <v>391</v>
      </c>
      <c r="AB648" s="4">
        <v>5</v>
      </c>
      <c r="AC648" s="4">
        <v>5</v>
      </c>
      <c r="AD648" s="4">
        <v>19</v>
      </c>
      <c r="AE648" s="4">
        <v>19</v>
      </c>
      <c r="AF648" s="4">
        <v>6</v>
      </c>
      <c r="AG648" s="4">
        <v>6</v>
      </c>
      <c r="AH648" s="4">
        <v>5</v>
      </c>
      <c r="AI648" s="4">
        <v>5</v>
      </c>
      <c r="AJ648" s="4">
        <v>6</v>
      </c>
      <c r="AK648" s="4">
        <v>6</v>
      </c>
      <c r="AL648" s="4">
        <v>4</v>
      </c>
      <c r="AM648" s="4">
        <v>4</v>
      </c>
      <c r="AN648" s="4">
        <v>0</v>
      </c>
      <c r="AO648" s="4">
        <v>0</v>
      </c>
      <c r="AP648" s="3" t="s">
        <v>59</v>
      </c>
      <c r="AQ648" s="3" t="s">
        <v>71</v>
      </c>
      <c r="AR648" s="6" t="str">
        <f>HYPERLINK("http://catalog.hathitrust.org/Record/000360122","HathiTrust Record")</f>
        <v>HathiTrust Record</v>
      </c>
      <c r="AS648" s="6" t="str">
        <f>HYPERLINK("https://creighton-primo.hosted.exlibrisgroup.com/primo-explore/search?tab=default_tab&amp;search_scope=EVERYTHING&amp;vid=01CRU&amp;lang=en_US&amp;offset=0&amp;query=any,contains,991002295669702656","Catalog Record")</f>
        <v>Catalog Record</v>
      </c>
      <c r="AT648" s="6" t="str">
        <f>HYPERLINK("http://www.worldcat.org/oclc/315316","WorldCat Record")</f>
        <v>WorldCat Record</v>
      </c>
      <c r="AU648" s="3" t="s">
        <v>8203</v>
      </c>
      <c r="AV648" s="3" t="s">
        <v>8204</v>
      </c>
      <c r="AW648" s="3" t="s">
        <v>8205</v>
      </c>
      <c r="AX648" s="3" t="s">
        <v>8205</v>
      </c>
      <c r="AY648" s="3" t="s">
        <v>8206</v>
      </c>
      <c r="AZ648" s="3" t="s">
        <v>76</v>
      </c>
      <c r="BB648" s="3" t="s">
        <v>8207</v>
      </c>
      <c r="BC648" s="3" t="s">
        <v>8208</v>
      </c>
      <c r="BD648" s="3" t="s">
        <v>8209</v>
      </c>
    </row>
    <row r="649" spans="1:56" ht="52.5" customHeight="1" x14ac:dyDescent="0.25">
      <c r="A649" s="7" t="s">
        <v>59</v>
      </c>
      <c r="B649" s="2" t="s">
        <v>8210</v>
      </c>
      <c r="C649" s="2" t="s">
        <v>8211</v>
      </c>
      <c r="D649" s="2" t="s">
        <v>8212</v>
      </c>
      <c r="F649" s="3" t="s">
        <v>59</v>
      </c>
      <c r="G649" s="3" t="s">
        <v>60</v>
      </c>
      <c r="H649" s="3" t="s">
        <v>59</v>
      </c>
      <c r="I649" s="3" t="s">
        <v>59</v>
      </c>
      <c r="J649" s="3" t="s">
        <v>61</v>
      </c>
      <c r="K649" s="2" t="s">
        <v>8213</v>
      </c>
      <c r="L649" s="2" t="s">
        <v>3689</v>
      </c>
      <c r="M649" s="3" t="s">
        <v>115</v>
      </c>
      <c r="O649" s="3" t="s">
        <v>65</v>
      </c>
      <c r="P649" s="3" t="s">
        <v>66</v>
      </c>
      <c r="R649" s="3" t="s">
        <v>68</v>
      </c>
      <c r="S649" s="4">
        <v>3</v>
      </c>
      <c r="T649" s="4">
        <v>3</v>
      </c>
      <c r="U649" s="5" t="s">
        <v>8214</v>
      </c>
      <c r="V649" s="5" t="s">
        <v>8214</v>
      </c>
      <c r="W649" s="5" t="s">
        <v>7060</v>
      </c>
      <c r="X649" s="5" t="s">
        <v>7060</v>
      </c>
      <c r="Y649" s="4">
        <v>582</v>
      </c>
      <c r="Z649" s="4">
        <v>438</v>
      </c>
      <c r="AA649" s="4">
        <v>471</v>
      </c>
      <c r="AB649" s="4">
        <v>5</v>
      </c>
      <c r="AC649" s="4">
        <v>5</v>
      </c>
      <c r="AD649" s="4">
        <v>25</v>
      </c>
      <c r="AE649" s="4">
        <v>27</v>
      </c>
      <c r="AF649" s="4">
        <v>9</v>
      </c>
      <c r="AG649" s="4">
        <v>11</v>
      </c>
      <c r="AH649" s="4">
        <v>5</v>
      </c>
      <c r="AI649" s="4">
        <v>6</v>
      </c>
      <c r="AJ649" s="4">
        <v>12</v>
      </c>
      <c r="AK649" s="4">
        <v>12</v>
      </c>
      <c r="AL649" s="4">
        <v>4</v>
      </c>
      <c r="AM649" s="4">
        <v>4</v>
      </c>
      <c r="AN649" s="4">
        <v>0</v>
      </c>
      <c r="AO649" s="4">
        <v>0</v>
      </c>
      <c r="AP649" s="3" t="s">
        <v>59</v>
      </c>
      <c r="AQ649" s="3" t="s">
        <v>71</v>
      </c>
      <c r="AR649" s="6" t="str">
        <f>HYPERLINK("http://catalog.hathitrust.org/Record/000360124","HathiTrust Record")</f>
        <v>HathiTrust Record</v>
      </c>
      <c r="AS649" s="6" t="str">
        <f>HYPERLINK("https://creighton-primo.hosted.exlibrisgroup.com/primo-explore/search?tab=default_tab&amp;search_scope=EVERYTHING&amp;vid=01CRU&amp;lang=en_US&amp;offset=0&amp;query=any,contains,991002935609702656","Catalog Record")</f>
        <v>Catalog Record</v>
      </c>
      <c r="AT649" s="6" t="str">
        <f>HYPERLINK("http://www.worldcat.org/oclc/532427","WorldCat Record")</f>
        <v>WorldCat Record</v>
      </c>
      <c r="AU649" s="3" t="s">
        <v>8215</v>
      </c>
      <c r="AV649" s="3" t="s">
        <v>8216</v>
      </c>
      <c r="AW649" s="3" t="s">
        <v>8217</v>
      </c>
      <c r="AX649" s="3" t="s">
        <v>8217</v>
      </c>
      <c r="AY649" s="3" t="s">
        <v>8218</v>
      </c>
      <c r="AZ649" s="3" t="s">
        <v>76</v>
      </c>
      <c r="BB649" s="3" t="s">
        <v>8219</v>
      </c>
      <c r="BC649" s="3" t="s">
        <v>8220</v>
      </c>
      <c r="BD649" s="3" t="s">
        <v>8221</v>
      </c>
    </row>
    <row r="650" spans="1:56" ht="52.5" customHeight="1" x14ac:dyDescent="0.25">
      <c r="A650" s="7" t="s">
        <v>59</v>
      </c>
      <c r="B650" s="2" t="s">
        <v>8222</v>
      </c>
      <c r="C650" s="2" t="s">
        <v>8223</v>
      </c>
      <c r="D650" s="2" t="s">
        <v>8224</v>
      </c>
      <c r="F650" s="3" t="s">
        <v>59</v>
      </c>
      <c r="G650" s="3" t="s">
        <v>60</v>
      </c>
      <c r="H650" s="3" t="s">
        <v>59</v>
      </c>
      <c r="I650" s="3" t="s">
        <v>59</v>
      </c>
      <c r="J650" s="3" t="s">
        <v>61</v>
      </c>
      <c r="K650" s="2" t="s">
        <v>8225</v>
      </c>
      <c r="L650" s="2" t="s">
        <v>8226</v>
      </c>
      <c r="M650" s="3" t="s">
        <v>1015</v>
      </c>
      <c r="O650" s="3" t="s">
        <v>65</v>
      </c>
      <c r="P650" s="3" t="s">
        <v>66</v>
      </c>
      <c r="R650" s="3" t="s">
        <v>68</v>
      </c>
      <c r="S650" s="4">
        <v>2</v>
      </c>
      <c r="T650" s="4">
        <v>2</v>
      </c>
      <c r="U650" s="5" t="s">
        <v>4608</v>
      </c>
      <c r="V650" s="5" t="s">
        <v>4608</v>
      </c>
      <c r="W650" s="5" t="s">
        <v>7036</v>
      </c>
      <c r="X650" s="5" t="s">
        <v>7036</v>
      </c>
      <c r="Y650" s="4">
        <v>292</v>
      </c>
      <c r="Z650" s="4">
        <v>242</v>
      </c>
      <c r="AA650" s="4">
        <v>249</v>
      </c>
      <c r="AB650" s="4">
        <v>3</v>
      </c>
      <c r="AC650" s="4">
        <v>3</v>
      </c>
      <c r="AD650" s="4">
        <v>11</v>
      </c>
      <c r="AE650" s="4">
        <v>11</v>
      </c>
      <c r="AF650" s="4">
        <v>1</v>
      </c>
      <c r="AG650" s="4">
        <v>1</v>
      </c>
      <c r="AH650" s="4">
        <v>3</v>
      </c>
      <c r="AI650" s="4">
        <v>3</v>
      </c>
      <c r="AJ650" s="4">
        <v>7</v>
      </c>
      <c r="AK650" s="4">
        <v>7</v>
      </c>
      <c r="AL650" s="4">
        <v>2</v>
      </c>
      <c r="AM650" s="4">
        <v>2</v>
      </c>
      <c r="AN650" s="4">
        <v>0</v>
      </c>
      <c r="AO650" s="4">
        <v>0</v>
      </c>
      <c r="AP650" s="3" t="s">
        <v>59</v>
      </c>
      <c r="AQ650" s="3" t="s">
        <v>71</v>
      </c>
      <c r="AR650" s="6" t="str">
        <f>HYPERLINK("http://catalog.hathitrust.org/Record/000360127","HathiTrust Record")</f>
        <v>HathiTrust Record</v>
      </c>
      <c r="AS650" s="6" t="str">
        <f>HYPERLINK("https://creighton-primo.hosted.exlibrisgroup.com/primo-explore/search?tab=default_tab&amp;search_scope=EVERYTHING&amp;vid=01CRU&amp;lang=en_US&amp;offset=0&amp;query=any,contains,991002785139702656","Catalog Record")</f>
        <v>Catalog Record</v>
      </c>
      <c r="AT650" s="6" t="str">
        <f>HYPERLINK("http://www.worldcat.org/oclc/441335","WorldCat Record")</f>
        <v>WorldCat Record</v>
      </c>
      <c r="AU650" s="3" t="s">
        <v>8227</v>
      </c>
      <c r="AV650" s="3" t="s">
        <v>8228</v>
      </c>
      <c r="AW650" s="3" t="s">
        <v>8229</v>
      </c>
      <c r="AX650" s="3" t="s">
        <v>8229</v>
      </c>
      <c r="AY650" s="3" t="s">
        <v>8230</v>
      </c>
      <c r="AZ650" s="3" t="s">
        <v>76</v>
      </c>
      <c r="BC650" s="3" t="s">
        <v>8231</v>
      </c>
      <c r="BD650" s="3" t="s">
        <v>8232</v>
      </c>
    </row>
    <row r="651" spans="1:56" ht="52.5" customHeight="1" x14ac:dyDescent="0.25">
      <c r="A651" s="7" t="s">
        <v>59</v>
      </c>
      <c r="B651" s="2" t="s">
        <v>8233</v>
      </c>
      <c r="C651" s="2" t="s">
        <v>8234</v>
      </c>
      <c r="D651" s="2" t="s">
        <v>8235</v>
      </c>
      <c r="F651" s="3" t="s">
        <v>59</v>
      </c>
      <c r="G651" s="3" t="s">
        <v>60</v>
      </c>
      <c r="H651" s="3" t="s">
        <v>59</v>
      </c>
      <c r="I651" s="3" t="s">
        <v>59</v>
      </c>
      <c r="J651" s="3" t="s">
        <v>61</v>
      </c>
      <c r="K651" s="2" t="s">
        <v>8236</v>
      </c>
      <c r="L651" s="2" t="s">
        <v>8237</v>
      </c>
      <c r="M651" s="3" t="s">
        <v>756</v>
      </c>
      <c r="O651" s="3" t="s">
        <v>65</v>
      </c>
      <c r="P651" s="3" t="s">
        <v>972</v>
      </c>
      <c r="R651" s="3" t="s">
        <v>68</v>
      </c>
      <c r="S651" s="4">
        <v>8</v>
      </c>
      <c r="T651" s="4">
        <v>8</v>
      </c>
      <c r="U651" s="5" t="s">
        <v>8161</v>
      </c>
      <c r="V651" s="5" t="s">
        <v>8161</v>
      </c>
      <c r="W651" s="5" t="s">
        <v>7036</v>
      </c>
      <c r="X651" s="5" t="s">
        <v>7036</v>
      </c>
      <c r="Y651" s="4">
        <v>647</v>
      </c>
      <c r="Z651" s="4">
        <v>565</v>
      </c>
      <c r="AA651" s="4">
        <v>806</v>
      </c>
      <c r="AB651" s="4">
        <v>3</v>
      </c>
      <c r="AC651" s="4">
        <v>4</v>
      </c>
      <c r="AD651" s="4">
        <v>24</v>
      </c>
      <c r="AE651" s="4">
        <v>34</v>
      </c>
      <c r="AF651" s="4">
        <v>13</v>
      </c>
      <c r="AG651" s="4">
        <v>16</v>
      </c>
      <c r="AH651" s="4">
        <v>4</v>
      </c>
      <c r="AI651" s="4">
        <v>8</v>
      </c>
      <c r="AJ651" s="4">
        <v>10</v>
      </c>
      <c r="AK651" s="4">
        <v>15</v>
      </c>
      <c r="AL651" s="4">
        <v>2</v>
      </c>
      <c r="AM651" s="4">
        <v>3</v>
      </c>
      <c r="AN651" s="4">
        <v>0</v>
      </c>
      <c r="AO651" s="4">
        <v>0</v>
      </c>
      <c r="AP651" s="3" t="s">
        <v>59</v>
      </c>
      <c r="AQ651" s="3" t="s">
        <v>71</v>
      </c>
      <c r="AR651" s="6" t="str">
        <f>HYPERLINK("http://catalog.hathitrust.org/Record/000360165","HathiTrust Record")</f>
        <v>HathiTrust Record</v>
      </c>
      <c r="AS651" s="6" t="str">
        <f>HYPERLINK("https://creighton-primo.hosted.exlibrisgroup.com/primo-explore/search?tab=default_tab&amp;search_scope=EVERYTHING&amp;vid=01CRU&amp;lang=en_US&amp;offset=0&amp;query=any,contains,991001233429702656","Catalog Record")</f>
        <v>Catalog Record</v>
      </c>
      <c r="AT651" s="6" t="str">
        <f>HYPERLINK("http://www.worldcat.org/oclc/204234","WorldCat Record")</f>
        <v>WorldCat Record</v>
      </c>
      <c r="AU651" s="3" t="s">
        <v>8238</v>
      </c>
      <c r="AV651" s="3" t="s">
        <v>8239</v>
      </c>
      <c r="AW651" s="3" t="s">
        <v>8240</v>
      </c>
      <c r="AX651" s="3" t="s">
        <v>8240</v>
      </c>
      <c r="AY651" s="3" t="s">
        <v>8241</v>
      </c>
      <c r="AZ651" s="3" t="s">
        <v>76</v>
      </c>
      <c r="BC651" s="3" t="s">
        <v>8242</v>
      </c>
      <c r="BD651" s="3" t="s">
        <v>8243</v>
      </c>
    </row>
    <row r="652" spans="1:56" ht="52.5" customHeight="1" x14ac:dyDescent="0.25">
      <c r="A652" s="7" t="s">
        <v>59</v>
      </c>
      <c r="B652" s="2" t="s">
        <v>8244</v>
      </c>
      <c r="C652" s="2" t="s">
        <v>8245</v>
      </c>
      <c r="D652" s="2" t="s">
        <v>8246</v>
      </c>
      <c r="F652" s="3" t="s">
        <v>59</v>
      </c>
      <c r="G652" s="3" t="s">
        <v>60</v>
      </c>
      <c r="H652" s="3" t="s">
        <v>59</v>
      </c>
      <c r="I652" s="3" t="s">
        <v>59</v>
      </c>
      <c r="J652" s="3" t="s">
        <v>61</v>
      </c>
      <c r="K652" s="2" t="s">
        <v>1939</v>
      </c>
      <c r="L652" s="2" t="s">
        <v>8247</v>
      </c>
      <c r="M652" s="3" t="s">
        <v>350</v>
      </c>
      <c r="N652" s="2" t="s">
        <v>1587</v>
      </c>
      <c r="O652" s="3" t="s">
        <v>65</v>
      </c>
      <c r="P652" s="3" t="s">
        <v>66</v>
      </c>
      <c r="R652" s="3" t="s">
        <v>68</v>
      </c>
      <c r="S652" s="4">
        <v>3</v>
      </c>
      <c r="T652" s="4">
        <v>3</v>
      </c>
      <c r="U652" s="5" t="s">
        <v>8214</v>
      </c>
      <c r="V652" s="5" t="s">
        <v>8214</v>
      </c>
      <c r="W652" s="5" t="s">
        <v>8248</v>
      </c>
      <c r="X652" s="5" t="s">
        <v>8248</v>
      </c>
      <c r="Y652" s="4">
        <v>1077</v>
      </c>
      <c r="Z652" s="4">
        <v>975</v>
      </c>
      <c r="AA652" s="4">
        <v>2024</v>
      </c>
      <c r="AB652" s="4">
        <v>8</v>
      </c>
      <c r="AC652" s="4">
        <v>15</v>
      </c>
      <c r="AD652" s="4">
        <v>28</v>
      </c>
      <c r="AE652" s="4">
        <v>62</v>
      </c>
      <c r="AF652" s="4">
        <v>11</v>
      </c>
      <c r="AG652" s="4">
        <v>24</v>
      </c>
      <c r="AH652" s="4">
        <v>8</v>
      </c>
      <c r="AI652" s="4">
        <v>10</v>
      </c>
      <c r="AJ652" s="4">
        <v>13</v>
      </c>
      <c r="AK652" s="4">
        <v>28</v>
      </c>
      <c r="AL652" s="4">
        <v>4</v>
      </c>
      <c r="AM652" s="4">
        <v>11</v>
      </c>
      <c r="AN652" s="4">
        <v>0</v>
      </c>
      <c r="AO652" s="4">
        <v>1</v>
      </c>
      <c r="AP652" s="3" t="s">
        <v>59</v>
      </c>
      <c r="AQ652" s="3" t="s">
        <v>59</v>
      </c>
      <c r="AS652" s="6" t="str">
        <f>HYPERLINK("https://creighton-primo.hosted.exlibrisgroup.com/primo-explore/search?tab=default_tab&amp;search_scope=EVERYTHING&amp;vid=01CRU&amp;lang=en_US&amp;offset=0&amp;query=any,contains,991004247009702656","Catalog Record")</f>
        <v>Catalog Record</v>
      </c>
      <c r="AT652" s="6" t="str">
        <f>HYPERLINK("http://www.worldcat.org/oclc/2798797","WorldCat Record")</f>
        <v>WorldCat Record</v>
      </c>
      <c r="AU652" s="3" t="s">
        <v>8249</v>
      </c>
      <c r="AV652" s="3" t="s">
        <v>8250</v>
      </c>
      <c r="AW652" s="3" t="s">
        <v>8251</v>
      </c>
      <c r="AX652" s="3" t="s">
        <v>8251</v>
      </c>
      <c r="AY652" s="3" t="s">
        <v>8252</v>
      </c>
      <c r="AZ652" s="3" t="s">
        <v>76</v>
      </c>
      <c r="BB652" s="3" t="s">
        <v>8253</v>
      </c>
      <c r="BC652" s="3" t="s">
        <v>8254</v>
      </c>
      <c r="BD652" s="3" t="s">
        <v>8255</v>
      </c>
    </row>
    <row r="653" spans="1:56" ht="52.5" customHeight="1" x14ac:dyDescent="0.25">
      <c r="A653" s="7" t="s">
        <v>59</v>
      </c>
      <c r="B653" s="2" t="s">
        <v>8256</v>
      </c>
      <c r="C653" s="2" t="s">
        <v>8257</v>
      </c>
      <c r="D653" s="2" t="s">
        <v>8258</v>
      </c>
      <c r="F653" s="3" t="s">
        <v>59</v>
      </c>
      <c r="G653" s="3" t="s">
        <v>60</v>
      </c>
      <c r="H653" s="3" t="s">
        <v>59</v>
      </c>
      <c r="I653" s="3" t="s">
        <v>59</v>
      </c>
      <c r="J653" s="3" t="s">
        <v>61</v>
      </c>
      <c r="K653" s="2" t="s">
        <v>8259</v>
      </c>
      <c r="L653" s="2" t="s">
        <v>8260</v>
      </c>
      <c r="M653" s="3" t="s">
        <v>549</v>
      </c>
      <c r="N653" s="2" t="s">
        <v>8261</v>
      </c>
      <c r="O653" s="3" t="s">
        <v>65</v>
      </c>
      <c r="P653" s="3" t="s">
        <v>420</v>
      </c>
      <c r="R653" s="3" t="s">
        <v>68</v>
      </c>
      <c r="S653" s="4">
        <v>12</v>
      </c>
      <c r="T653" s="4">
        <v>12</v>
      </c>
      <c r="U653" s="5" t="s">
        <v>8262</v>
      </c>
      <c r="V653" s="5" t="s">
        <v>8262</v>
      </c>
      <c r="W653" s="5" t="s">
        <v>4987</v>
      </c>
      <c r="X653" s="5" t="s">
        <v>4987</v>
      </c>
      <c r="Y653" s="4">
        <v>421</v>
      </c>
      <c r="Z653" s="4">
        <v>379</v>
      </c>
      <c r="AA653" s="4">
        <v>1088</v>
      </c>
      <c r="AB653" s="4">
        <v>2</v>
      </c>
      <c r="AC653" s="4">
        <v>8</v>
      </c>
      <c r="AD653" s="4">
        <v>9</v>
      </c>
      <c r="AE653" s="4">
        <v>24</v>
      </c>
      <c r="AF653" s="4">
        <v>4</v>
      </c>
      <c r="AG653" s="4">
        <v>10</v>
      </c>
      <c r="AH653" s="4">
        <v>1</v>
      </c>
      <c r="AI653" s="4">
        <v>4</v>
      </c>
      <c r="AJ653" s="4">
        <v>6</v>
      </c>
      <c r="AK653" s="4">
        <v>10</v>
      </c>
      <c r="AL653" s="4">
        <v>0</v>
      </c>
      <c r="AM653" s="4">
        <v>4</v>
      </c>
      <c r="AN653" s="4">
        <v>0</v>
      </c>
      <c r="AO653" s="4">
        <v>0</v>
      </c>
      <c r="AP653" s="3" t="s">
        <v>59</v>
      </c>
      <c r="AQ653" s="3" t="s">
        <v>59</v>
      </c>
      <c r="AS653" s="6" t="str">
        <f>HYPERLINK("https://creighton-primo.hosted.exlibrisgroup.com/primo-explore/search?tab=default_tab&amp;search_scope=EVERYTHING&amp;vid=01CRU&amp;lang=en_US&amp;offset=0&amp;query=any,contains,991000823219702656","Catalog Record")</f>
        <v>Catalog Record</v>
      </c>
      <c r="AT653" s="6" t="str">
        <f>HYPERLINK("http://www.worldcat.org/oclc/13396864","WorldCat Record")</f>
        <v>WorldCat Record</v>
      </c>
      <c r="AU653" s="3" t="s">
        <v>8263</v>
      </c>
      <c r="AV653" s="3" t="s">
        <v>8264</v>
      </c>
      <c r="AW653" s="3" t="s">
        <v>8265</v>
      </c>
      <c r="AX653" s="3" t="s">
        <v>8265</v>
      </c>
      <c r="AY653" s="3" t="s">
        <v>8266</v>
      </c>
      <c r="AZ653" s="3" t="s">
        <v>76</v>
      </c>
      <c r="BB653" s="3" t="s">
        <v>8267</v>
      </c>
      <c r="BC653" s="3" t="s">
        <v>8268</v>
      </c>
      <c r="BD653" s="3" t="s">
        <v>8269</v>
      </c>
    </row>
    <row r="654" spans="1:56" ht="52.5" customHeight="1" x14ac:dyDescent="0.25">
      <c r="A654" s="7" t="s">
        <v>59</v>
      </c>
      <c r="B654" s="2" t="s">
        <v>8270</v>
      </c>
      <c r="C654" s="2" t="s">
        <v>8271</v>
      </c>
      <c r="D654" s="2" t="s">
        <v>8272</v>
      </c>
      <c r="F654" s="3" t="s">
        <v>59</v>
      </c>
      <c r="G654" s="3" t="s">
        <v>60</v>
      </c>
      <c r="H654" s="3" t="s">
        <v>59</v>
      </c>
      <c r="I654" s="3" t="s">
        <v>59</v>
      </c>
      <c r="J654" s="3" t="s">
        <v>61</v>
      </c>
      <c r="K654" s="2" t="s">
        <v>8273</v>
      </c>
      <c r="L654" s="2" t="s">
        <v>8274</v>
      </c>
      <c r="M654" s="3" t="s">
        <v>148</v>
      </c>
      <c r="O654" s="3" t="s">
        <v>65</v>
      </c>
      <c r="P654" s="3" t="s">
        <v>283</v>
      </c>
      <c r="R654" s="3" t="s">
        <v>68</v>
      </c>
      <c r="S654" s="4">
        <v>6</v>
      </c>
      <c r="T654" s="4">
        <v>6</v>
      </c>
      <c r="U654" s="5" t="s">
        <v>8275</v>
      </c>
      <c r="V654" s="5" t="s">
        <v>8275</v>
      </c>
      <c r="W654" s="5" t="s">
        <v>8276</v>
      </c>
      <c r="X654" s="5" t="s">
        <v>8276</v>
      </c>
      <c r="Y654" s="4">
        <v>636</v>
      </c>
      <c r="Z654" s="4">
        <v>536</v>
      </c>
      <c r="AA654" s="4">
        <v>810</v>
      </c>
      <c r="AB654" s="4">
        <v>3</v>
      </c>
      <c r="AC654" s="4">
        <v>4</v>
      </c>
      <c r="AD654" s="4">
        <v>10</v>
      </c>
      <c r="AE654" s="4">
        <v>14</v>
      </c>
      <c r="AF654" s="4">
        <v>1</v>
      </c>
      <c r="AG654" s="4">
        <v>2</v>
      </c>
      <c r="AH654" s="4">
        <v>2</v>
      </c>
      <c r="AI654" s="4">
        <v>3</v>
      </c>
      <c r="AJ654" s="4">
        <v>6</v>
      </c>
      <c r="AK654" s="4">
        <v>7</v>
      </c>
      <c r="AL654" s="4">
        <v>2</v>
      </c>
      <c r="AM654" s="4">
        <v>3</v>
      </c>
      <c r="AN654" s="4">
        <v>0</v>
      </c>
      <c r="AO654" s="4">
        <v>0</v>
      </c>
      <c r="AP654" s="3" t="s">
        <v>59</v>
      </c>
      <c r="AQ654" s="3" t="s">
        <v>71</v>
      </c>
      <c r="AR654" s="6" t="str">
        <f>HYPERLINK("http://catalog.hathitrust.org/Record/004934142","HathiTrust Record")</f>
        <v>HathiTrust Record</v>
      </c>
      <c r="AS654" s="6" t="str">
        <f>HYPERLINK("https://creighton-primo.hosted.exlibrisgroup.com/primo-explore/search?tab=default_tab&amp;search_scope=EVERYTHING&amp;vid=01CRU&amp;lang=en_US&amp;offset=0&amp;query=any,contains,991004064969702656","Catalog Record")</f>
        <v>Catalog Record</v>
      </c>
      <c r="AT654" s="6" t="str">
        <f>HYPERLINK("http://www.worldcat.org/oclc/2283756","WorldCat Record")</f>
        <v>WorldCat Record</v>
      </c>
      <c r="AU654" s="3" t="s">
        <v>8277</v>
      </c>
      <c r="AV654" s="3" t="s">
        <v>8278</v>
      </c>
      <c r="AW654" s="3" t="s">
        <v>8279</v>
      </c>
      <c r="AX654" s="3" t="s">
        <v>8279</v>
      </c>
      <c r="AY654" s="3" t="s">
        <v>8280</v>
      </c>
      <c r="AZ654" s="3" t="s">
        <v>76</v>
      </c>
      <c r="BB654" s="3" t="s">
        <v>8281</v>
      </c>
      <c r="BC654" s="3" t="s">
        <v>8282</v>
      </c>
      <c r="BD654" s="3" t="s">
        <v>8283</v>
      </c>
    </row>
    <row r="655" spans="1:56" ht="52.5" customHeight="1" x14ac:dyDescent="0.25">
      <c r="A655" s="7" t="s">
        <v>59</v>
      </c>
      <c r="B655" s="2" t="s">
        <v>8284</v>
      </c>
      <c r="C655" s="2" t="s">
        <v>8285</v>
      </c>
      <c r="D655" s="2" t="s">
        <v>8286</v>
      </c>
      <c r="F655" s="3" t="s">
        <v>59</v>
      </c>
      <c r="G655" s="3" t="s">
        <v>60</v>
      </c>
      <c r="H655" s="3" t="s">
        <v>59</v>
      </c>
      <c r="I655" s="3" t="s">
        <v>59</v>
      </c>
      <c r="J655" s="3" t="s">
        <v>61</v>
      </c>
      <c r="K655" s="2" t="s">
        <v>8287</v>
      </c>
      <c r="L655" s="2" t="s">
        <v>1147</v>
      </c>
      <c r="M655" s="3" t="s">
        <v>148</v>
      </c>
      <c r="O655" s="3" t="s">
        <v>65</v>
      </c>
      <c r="P655" s="3" t="s">
        <v>420</v>
      </c>
      <c r="R655" s="3" t="s">
        <v>68</v>
      </c>
      <c r="S655" s="4">
        <v>12</v>
      </c>
      <c r="T655" s="4">
        <v>12</v>
      </c>
      <c r="U655" s="5" t="s">
        <v>8288</v>
      </c>
      <c r="V655" s="5" t="s">
        <v>8288</v>
      </c>
      <c r="W655" s="5" t="s">
        <v>8276</v>
      </c>
      <c r="X655" s="5" t="s">
        <v>8276</v>
      </c>
      <c r="Y655" s="4">
        <v>143</v>
      </c>
      <c r="Z655" s="4">
        <v>109</v>
      </c>
      <c r="AA655" s="4">
        <v>110</v>
      </c>
      <c r="AB655" s="4">
        <v>2</v>
      </c>
      <c r="AC655" s="4">
        <v>2</v>
      </c>
      <c r="AD655" s="4">
        <v>6</v>
      </c>
      <c r="AE655" s="4">
        <v>6</v>
      </c>
      <c r="AF655" s="4">
        <v>3</v>
      </c>
      <c r="AG655" s="4">
        <v>3</v>
      </c>
      <c r="AH655" s="4">
        <v>1</v>
      </c>
      <c r="AI655" s="4">
        <v>1</v>
      </c>
      <c r="AJ655" s="4">
        <v>4</v>
      </c>
      <c r="AK655" s="4">
        <v>4</v>
      </c>
      <c r="AL655" s="4">
        <v>1</v>
      </c>
      <c r="AM655" s="4">
        <v>1</v>
      </c>
      <c r="AN655" s="4">
        <v>0</v>
      </c>
      <c r="AO655" s="4">
        <v>0</v>
      </c>
      <c r="AP655" s="3" t="s">
        <v>59</v>
      </c>
      <c r="AQ655" s="3" t="s">
        <v>71</v>
      </c>
      <c r="AR655" s="6" t="str">
        <f>HYPERLINK("http://catalog.hathitrust.org/Record/007113919","HathiTrust Record")</f>
        <v>HathiTrust Record</v>
      </c>
      <c r="AS655" s="6" t="str">
        <f>HYPERLINK("https://creighton-primo.hosted.exlibrisgroup.com/primo-explore/search?tab=default_tab&amp;search_scope=EVERYTHING&amp;vid=01CRU&amp;lang=en_US&amp;offset=0&amp;query=any,contains,991004214659702656","Catalog Record")</f>
        <v>Catalog Record</v>
      </c>
      <c r="AT655" s="6" t="str">
        <f>HYPERLINK("http://www.worldcat.org/oclc/2694892","WorldCat Record")</f>
        <v>WorldCat Record</v>
      </c>
      <c r="AU655" s="3" t="s">
        <v>8289</v>
      </c>
      <c r="AV655" s="3" t="s">
        <v>8290</v>
      </c>
      <c r="AW655" s="3" t="s">
        <v>8291</v>
      </c>
      <c r="AX655" s="3" t="s">
        <v>8291</v>
      </c>
      <c r="AY655" s="3" t="s">
        <v>8292</v>
      </c>
      <c r="AZ655" s="3" t="s">
        <v>76</v>
      </c>
      <c r="BB655" s="3" t="s">
        <v>8293</v>
      </c>
      <c r="BC655" s="3" t="s">
        <v>8294</v>
      </c>
      <c r="BD655" s="3" t="s">
        <v>8295</v>
      </c>
    </row>
    <row r="656" spans="1:56" ht="52.5" customHeight="1" x14ac:dyDescent="0.25">
      <c r="A656" s="7" t="s">
        <v>59</v>
      </c>
      <c r="B656" s="2" t="s">
        <v>8296</v>
      </c>
      <c r="C656" s="2" t="s">
        <v>8297</v>
      </c>
      <c r="D656" s="2" t="s">
        <v>8298</v>
      </c>
      <c r="F656" s="3" t="s">
        <v>59</v>
      </c>
      <c r="G656" s="3" t="s">
        <v>60</v>
      </c>
      <c r="H656" s="3" t="s">
        <v>59</v>
      </c>
      <c r="I656" s="3" t="s">
        <v>59</v>
      </c>
      <c r="J656" s="3" t="s">
        <v>61</v>
      </c>
      <c r="K656" s="2" t="s">
        <v>8299</v>
      </c>
      <c r="L656" s="2" t="s">
        <v>8300</v>
      </c>
      <c r="M656" s="3" t="s">
        <v>309</v>
      </c>
      <c r="O656" s="3" t="s">
        <v>65</v>
      </c>
      <c r="P656" s="3" t="s">
        <v>296</v>
      </c>
      <c r="R656" s="3" t="s">
        <v>68</v>
      </c>
      <c r="S656" s="4">
        <v>6</v>
      </c>
      <c r="T656" s="4">
        <v>6</v>
      </c>
      <c r="U656" s="5" t="s">
        <v>8301</v>
      </c>
      <c r="V656" s="5" t="s">
        <v>8301</v>
      </c>
      <c r="W656" s="5" t="s">
        <v>8302</v>
      </c>
      <c r="X656" s="5" t="s">
        <v>8302</v>
      </c>
      <c r="Y656" s="4">
        <v>589</v>
      </c>
      <c r="Z656" s="4">
        <v>499</v>
      </c>
      <c r="AA656" s="4">
        <v>505</v>
      </c>
      <c r="AB656" s="4">
        <v>8</v>
      </c>
      <c r="AC656" s="4">
        <v>8</v>
      </c>
      <c r="AD656" s="4">
        <v>22</v>
      </c>
      <c r="AE656" s="4">
        <v>22</v>
      </c>
      <c r="AF656" s="4">
        <v>10</v>
      </c>
      <c r="AG656" s="4">
        <v>10</v>
      </c>
      <c r="AH656" s="4">
        <v>2</v>
      </c>
      <c r="AI656" s="4">
        <v>2</v>
      </c>
      <c r="AJ656" s="4">
        <v>9</v>
      </c>
      <c r="AK656" s="4">
        <v>9</v>
      </c>
      <c r="AL656" s="4">
        <v>5</v>
      </c>
      <c r="AM656" s="4">
        <v>5</v>
      </c>
      <c r="AN656" s="4">
        <v>1</v>
      </c>
      <c r="AO656" s="4">
        <v>1</v>
      </c>
      <c r="AP656" s="3" t="s">
        <v>59</v>
      </c>
      <c r="AQ656" s="3" t="s">
        <v>71</v>
      </c>
      <c r="AR656" s="6" t="str">
        <f>HYPERLINK("http://catalog.hathitrust.org/Record/009132080","HathiTrust Record")</f>
        <v>HathiTrust Record</v>
      </c>
      <c r="AS656" s="6" t="str">
        <f>HYPERLINK("https://creighton-primo.hosted.exlibrisgroup.com/primo-explore/search?tab=default_tab&amp;search_scope=EVERYTHING&amp;vid=01CRU&amp;lang=en_US&amp;offset=0&amp;query=any,contains,991004727099702656","Catalog Record")</f>
        <v>Catalog Record</v>
      </c>
      <c r="AT656" s="6" t="str">
        <f>HYPERLINK("http://www.worldcat.org/oclc/4820931","WorldCat Record")</f>
        <v>WorldCat Record</v>
      </c>
      <c r="AU656" s="3" t="s">
        <v>8303</v>
      </c>
      <c r="AV656" s="3" t="s">
        <v>8304</v>
      </c>
      <c r="AW656" s="3" t="s">
        <v>8305</v>
      </c>
      <c r="AX656" s="3" t="s">
        <v>8305</v>
      </c>
      <c r="AY656" s="3" t="s">
        <v>8306</v>
      </c>
      <c r="AZ656" s="3" t="s">
        <v>76</v>
      </c>
      <c r="BB656" s="3" t="s">
        <v>8307</v>
      </c>
      <c r="BC656" s="3" t="s">
        <v>8308</v>
      </c>
      <c r="BD656" s="3" t="s">
        <v>8309</v>
      </c>
    </row>
    <row r="657" spans="1:56" ht="52.5" customHeight="1" x14ac:dyDescent="0.25">
      <c r="A657" s="7" t="s">
        <v>59</v>
      </c>
      <c r="B657" s="2" t="s">
        <v>8310</v>
      </c>
      <c r="C657" s="2" t="s">
        <v>8311</v>
      </c>
      <c r="D657" s="2" t="s">
        <v>8312</v>
      </c>
      <c r="F657" s="3" t="s">
        <v>59</v>
      </c>
      <c r="G657" s="3" t="s">
        <v>60</v>
      </c>
      <c r="H657" s="3" t="s">
        <v>59</v>
      </c>
      <c r="I657" s="3" t="s">
        <v>59</v>
      </c>
      <c r="J657" s="3" t="s">
        <v>61</v>
      </c>
      <c r="L657" s="2" t="s">
        <v>8313</v>
      </c>
      <c r="M657" s="3" t="s">
        <v>195</v>
      </c>
      <c r="O657" s="3" t="s">
        <v>65</v>
      </c>
      <c r="P657" s="3" t="s">
        <v>66</v>
      </c>
      <c r="R657" s="3" t="s">
        <v>68</v>
      </c>
      <c r="S657" s="4">
        <v>6</v>
      </c>
      <c r="T657" s="4">
        <v>6</v>
      </c>
      <c r="U657" s="5" t="s">
        <v>8314</v>
      </c>
      <c r="V657" s="5" t="s">
        <v>8314</v>
      </c>
      <c r="W657" s="5" t="s">
        <v>5949</v>
      </c>
      <c r="X657" s="5" t="s">
        <v>5949</v>
      </c>
      <c r="Y657" s="4">
        <v>631</v>
      </c>
      <c r="Z657" s="4">
        <v>552</v>
      </c>
      <c r="AA657" s="4">
        <v>572</v>
      </c>
      <c r="AB657" s="4">
        <v>4</v>
      </c>
      <c r="AC657" s="4">
        <v>4</v>
      </c>
      <c r="AD657" s="4">
        <v>21</v>
      </c>
      <c r="AE657" s="4">
        <v>21</v>
      </c>
      <c r="AF657" s="4">
        <v>8</v>
      </c>
      <c r="AG657" s="4">
        <v>8</v>
      </c>
      <c r="AH657" s="4">
        <v>6</v>
      </c>
      <c r="AI657" s="4">
        <v>6</v>
      </c>
      <c r="AJ657" s="4">
        <v>9</v>
      </c>
      <c r="AK657" s="4">
        <v>9</v>
      </c>
      <c r="AL657" s="4">
        <v>3</v>
      </c>
      <c r="AM657" s="4">
        <v>3</v>
      </c>
      <c r="AN657" s="4">
        <v>0</v>
      </c>
      <c r="AO657" s="4">
        <v>0</v>
      </c>
      <c r="AP657" s="3" t="s">
        <v>59</v>
      </c>
      <c r="AQ657" s="3" t="s">
        <v>71</v>
      </c>
      <c r="AR657" s="6" t="str">
        <f>HYPERLINK("http://catalog.hathitrust.org/Record/000764077","HathiTrust Record")</f>
        <v>HathiTrust Record</v>
      </c>
      <c r="AS657" s="6" t="str">
        <f>HYPERLINK("https://creighton-primo.hosted.exlibrisgroup.com/primo-explore/search?tab=default_tab&amp;search_scope=EVERYTHING&amp;vid=01CRU&amp;lang=en_US&amp;offset=0&amp;query=any,contains,991005204349702656","Catalog Record")</f>
        <v>Catalog Record</v>
      </c>
      <c r="AT657" s="6" t="str">
        <f>HYPERLINK("http://www.worldcat.org/oclc/8111510","WorldCat Record")</f>
        <v>WorldCat Record</v>
      </c>
      <c r="AU657" s="3" t="s">
        <v>8315</v>
      </c>
      <c r="AV657" s="3" t="s">
        <v>8316</v>
      </c>
      <c r="AW657" s="3" t="s">
        <v>8317</v>
      </c>
      <c r="AX657" s="3" t="s">
        <v>8317</v>
      </c>
      <c r="AY657" s="3" t="s">
        <v>8318</v>
      </c>
      <c r="AZ657" s="3" t="s">
        <v>76</v>
      </c>
      <c r="BB657" s="3" t="s">
        <v>8319</v>
      </c>
      <c r="BC657" s="3" t="s">
        <v>8320</v>
      </c>
      <c r="BD657" s="3" t="s">
        <v>8321</v>
      </c>
    </row>
    <row r="658" spans="1:56" ht="52.5" customHeight="1" x14ac:dyDescent="0.25">
      <c r="A658" s="7" t="s">
        <v>59</v>
      </c>
      <c r="B658" s="2" t="s">
        <v>8322</v>
      </c>
      <c r="C658" s="2" t="s">
        <v>8323</v>
      </c>
      <c r="D658" s="2" t="s">
        <v>8324</v>
      </c>
      <c r="F658" s="3" t="s">
        <v>59</v>
      </c>
      <c r="G658" s="3" t="s">
        <v>60</v>
      </c>
      <c r="H658" s="3" t="s">
        <v>59</v>
      </c>
      <c r="I658" s="3" t="s">
        <v>59</v>
      </c>
      <c r="J658" s="3" t="s">
        <v>61</v>
      </c>
      <c r="K658" s="2" t="s">
        <v>8325</v>
      </c>
      <c r="L658" s="2" t="s">
        <v>8326</v>
      </c>
      <c r="M658" s="3" t="s">
        <v>164</v>
      </c>
      <c r="O658" s="3" t="s">
        <v>65</v>
      </c>
      <c r="P658" s="3" t="s">
        <v>283</v>
      </c>
      <c r="R658" s="3" t="s">
        <v>68</v>
      </c>
      <c r="S658" s="4">
        <v>4</v>
      </c>
      <c r="T658" s="4">
        <v>4</v>
      </c>
      <c r="U658" s="5" t="s">
        <v>8327</v>
      </c>
      <c r="V658" s="5" t="s">
        <v>8327</v>
      </c>
      <c r="W658" s="5" t="s">
        <v>8328</v>
      </c>
      <c r="X658" s="5" t="s">
        <v>8328</v>
      </c>
      <c r="Y658" s="4">
        <v>604</v>
      </c>
      <c r="Z658" s="4">
        <v>514</v>
      </c>
      <c r="AA658" s="4">
        <v>522</v>
      </c>
      <c r="AB658" s="4">
        <v>4</v>
      </c>
      <c r="AC658" s="4">
        <v>4</v>
      </c>
      <c r="AD658" s="4">
        <v>25</v>
      </c>
      <c r="AE658" s="4">
        <v>25</v>
      </c>
      <c r="AF658" s="4">
        <v>10</v>
      </c>
      <c r="AG658" s="4">
        <v>10</v>
      </c>
      <c r="AH658" s="4">
        <v>7</v>
      </c>
      <c r="AI658" s="4">
        <v>7</v>
      </c>
      <c r="AJ658" s="4">
        <v>12</v>
      </c>
      <c r="AK658" s="4">
        <v>12</v>
      </c>
      <c r="AL658" s="4">
        <v>3</v>
      </c>
      <c r="AM658" s="4">
        <v>3</v>
      </c>
      <c r="AN658" s="4">
        <v>0</v>
      </c>
      <c r="AO658" s="4">
        <v>0</v>
      </c>
      <c r="AP658" s="3" t="s">
        <v>59</v>
      </c>
      <c r="AQ658" s="3" t="s">
        <v>71</v>
      </c>
      <c r="AR658" s="6" t="str">
        <f>HYPERLINK("http://catalog.hathitrust.org/Record/000083063","HathiTrust Record")</f>
        <v>HathiTrust Record</v>
      </c>
      <c r="AS658" s="6" t="str">
        <f>HYPERLINK("https://creighton-primo.hosted.exlibrisgroup.com/primo-explore/search?tab=default_tab&amp;search_scope=EVERYTHING&amp;vid=01CRU&amp;lang=en_US&amp;offset=0&amp;query=any,contains,991005011369702656","Catalog Record")</f>
        <v>Catalog Record</v>
      </c>
      <c r="AT658" s="6" t="str">
        <f>HYPERLINK("http://www.worldcat.org/oclc/6602988","WorldCat Record")</f>
        <v>WorldCat Record</v>
      </c>
      <c r="AU658" s="3" t="s">
        <v>8329</v>
      </c>
      <c r="AV658" s="3" t="s">
        <v>8330</v>
      </c>
      <c r="AW658" s="3" t="s">
        <v>8331</v>
      </c>
      <c r="AX658" s="3" t="s">
        <v>8331</v>
      </c>
      <c r="AY658" s="3" t="s">
        <v>8332</v>
      </c>
      <c r="AZ658" s="3" t="s">
        <v>76</v>
      </c>
      <c r="BB658" s="3" t="s">
        <v>8333</v>
      </c>
      <c r="BC658" s="3" t="s">
        <v>8334</v>
      </c>
      <c r="BD658" s="3" t="s">
        <v>8335</v>
      </c>
    </row>
    <row r="659" spans="1:56" ht="52.5" customHeight="1" x14ac:dyDescent="0.25">
      <c r="A659" s="7" t="s">
        <v>59</v>
      </c>
      <c r="B659" s="2" t="s">
        <v>8336</v>
      </c>
      <c r="C659" s="2" t="s">
        <v>8337</v>
      </c>
      <c r="D659" s="2" t="s">
        <v>8338</v>
      </c>
      <c r="F659" s="3" t="s">
        <v>59</v>
      </c>
      <c r="G659" s="3" t="s">
        <v>60</v>
      </c>
      <c r="H659" s="3" t="s">
        <v>59</v>
      </c>
      <c r="I659" s="3" t="s">
        <v>59</v>
      </c>
      <c r="J659" s="3" t="s">
        <v>61</v>
      </c>
      <c r="K659" s="2" t="s">
        <v>8339</v>
      </c>
      <c r="L659" s="2" t="s">
        <v>8340</v>
      </c>
      <c r="M659" s="3" t="s">
        <v>549</v>
      </c>
      <c r="O659" s="3" t="s">
        <v>65</v>
      </c>
      <c r="P659" s="3" t="s">
        <v>771</v>
      </c>
      <c r="R659" s="3" t="s">
        <v>68</v>
      </c>
      <c r="S659" s="4">
        <v>3</v>
      </c>
      <c r="T659" s="4">
        <v>3</v>
      </c>
      <c r="U659" s="5" t="s">
        <v>8341</v>
      </c>
      <c r="V659" s="5" t="s">
        <v>8341</v>
      </c>
      <c r="W659" s="5" t="s">
        <v>3251</v>
      </c>
      <c r="X659" s="5" t="s">
        <v>3251</v>
      </c>
      <c r="Y659" s="4">
        <v>532</v>
      </c>
      <c r="Z659" s="4">
        <v>432</v>
      </c>
      <c r="AA659" s="4">
        <v>589</v>
      </c>
      <c r="AB659" s="4">
        <v>3</v>
      </c>
      <c r="AC659" s="4">
        <v>3</v>
      </c>
      <c r="AD659" s="4">
        <v>22</v>
      </c>
      <c r="AE659" s="4">
        <v>28</v>
      </c>
      <c r="AF659" s="4">
        <v>7</v>
      </c>
      <c r="AG659" s="4">
        <v>11</v>
      </c>
      <c r="AH659" s="4">
        <v>5</v>
      </c>
      <c r="AI659" s="4">
        <v>8</v>
      </c>
      <c r="AJ659" s="4">
        <v>14</v>
      </c>
      <c r="AK659" s="4">
        <v>16</v>
      </c>
      <c r="AL659" s="4">
        <v>2</v>
      </c>
      <c r="AM659" s="4">
        <v>2</v>
      </c>
      <c r="AN659" s="4">
        <v>0</v>
      </c>
      <c r="AO659" s="4">
        <v>0</v>
      </c>
      <c r="AP659" s="3" t="s">
        <v>59</v>
      </c>
      <c r="AQ659" s="3" t="s">
        <v>59</v>
      </c>
      <c r="AS659" s="6" t="str">
        <f>HYPERLINK("https://creighton-primo.hosted.exlibrisgroup.com/primo-explore/search?tab=default_tab&amp;search_scope=EVERYTHING&amp;vid=01CRU&amp;lang=en_US&amp;offset=0&amp;query=any,contains,991000752859702656","Catalog Record")</f>
        <v>Catalog Record</v>
      </c>
      <c r="AT659" s="6" t="str">
        <f>HYPERLINK("http://www.worldcat.org/oclc/12943444","WorldCat Record")</f>
        <v>WorldCat Record</v>
      </c>
      <c r="AU659" s="3" t="s">
        <v>8342</v>
      </c>
      <c r="AV659" s="3" t="s">
        <v>8343</v>
      </c>
      <c r="AW659" s="3" t="s">
        <v>8344</v>
      </c>
      <c r="AX659" s="3" t="s">
        <v>8344</v>
      </c>
      <c r="AY659" s="3" t="s">
        <v>8345</v>
      </c>
      <c r="AZ659" s="3" t="s">
        <v>76</v>
      </c>
      <c r="BB659" s="3" t="s">
        <v>8346</v>
      </c>
      <c r="BC659" s="3" t="s">
        <v>8347</v>
      </c>
      <c r="BD659" s="3" t="s">
        <v>8348</v>
      </c>
    </row>
    <row r="660" spans="1:56" ht="52.5" customHeight="1" x14ac:dyDescent="0.25">
      <c r="A660" s="7" t="s">
        <v>59</v>
      </c>
      <c r="B660" s="2" t="s">
        <v>8349</v>
      </c>
      <c r="C660" s="2" t="s">
        <v>8350</v>
      </c>
      <c r="D660" s="2" t="s">
        <v>8351</v>
      </c>
      <c r="F660" s="3" t="s">
        <v>59</v>
      </c>
      <c r="G660" s="3" t="s">
        <v>60</v>
      </c>
      <c r="H660" s="3" t="s">
        <v>59</v>
      </c>
      <c r="I660" s="3" t="s">
        <v>59</v>
      </c>
      <c r="J660" s="3" t="s">
        <v>61</v>
      </c>
      <c r="K660" s="2" t="s">
        <v>1939</v>
      </c>
      <c r="L660" s="2" t="s">
        <v>8352</v>
      </c>
      <c r="M660" s="3" t="s">
        <v>684</v>
      </c>
      <c r="N660" s="2" t="s">
        <v>887</v>
      </c>
      <c r="O660" s="3" t="s">
        <v>65</v>
      </c>
      <c r="P660" s="3" t="s">
        <v>66</v>
      </c>
      <c r="R660" s="3" t="s">
        <v>68</v>
      </c>
      <c r="S660" s="4">
        <v>10</v>
      </c>
      <c r="T660" s="4">
        <v>10</v>
      </c>
      <c r="U660" s="5" t="s">
        <v>2283</v>
      </c>
      <c r="V660" s="5" t="s">
        <v>2283</v>
      </c>
      <c r="W660" s="5" t="s">
        <v>5949</v>
      </c>
      <c r="X660" s="5" t="s">
        <v>5949</v>
      </c>
      <c r="Y660" s="4">
        <v>1196</v>
      </c>
      <c r="Z660" s="4">
        <v>1096</v>
      </c>
      <c r="AA660" s="4">
        <v>1256</v>
      </c>
      <c r="AB660" s="4">
        <v>5</v>
      </c>
      <c r="AC660" s="4">
        <v>5</v>
      </c>
      <c r="AD660" s="4">
        <v>29</v>
      </c>
      <c r="AE660" s="4">
        <v>31</v>
      </c>
      <c r="AF660" s="4">
        <v>16</v>
      </c>
      <c r="AG660" s="4">
        <v>16</v>
      </c>
      <c r="AH660" s="4">
        <v>8</v>
      </c>
      <c r="AI660" s="4">
        <v>8</v>
      </c>
      <c r="AJ660" s="4">
        <v>14</v>
      </c>
      <c r="AK660" s="4">
        <v>16</v>
      </c>
      <c r="AL660" s="4">
        <v>1</v>
      </c>
      <c r="AM660" s="4">
        <v>1</v>
      </c>
      <c r="AN660" s="4">
        <v>0</v>
      </c>
      <c r="AO660" s="4">
        <v>0</v>
      </c>
      <c r="AP660" s="3" t="s">
        <v>59</v>
      </c>
      <c r="AQ660" s="3" t="s">
        <v>59</v>
      </c>
      <c r="AS660" s="6" t="str">
        <f>HYPERLINK("https://creighton-primo.hosted.exlibrisgroup.com/primo-explore/search?tab=default_tab&amp;search_scope=EVERYTHING&amp;vid=01CRU&amp;lang=en_US&amp;offset=0&amp;query=any,contains,991005116169702656","Catalog Record")</f>
        <v>Catalog Record</v>
      </c>
      <c r="AT660" s="6" t="str">
        <f>HYPERLINK("http://www.worldcat.org/oclc/7462627","WorldCat Record")</f>
        <v>WorldCat Record</v>
      </c>
      <c r="AU660" s="3" t="s">
        <v>8353</v>
      </c>
      <c r="AV660" s="3" t="s">
        <v>8354</v>
      </c>
      <c r="AW660" s="3" t="s">
        <v>8355</v>
      </c>
      <c r="AX660" s="3" t="s">
        <v>8355</v>
      </c>
      <c r="AY660" s="3" t="s">
        <v>8356</v>
      </c>
      <c r="AZ660" s="3" t="s">
        <v>76</v>
      </c>
      <c r="BB660" s="3" t="s">
        <v>8357</v>
      </c>
      <c r="BC660" s="3" t="s">
        <v>8358</v>
      </c>
      <c r="BD660" s="3" t="s">
        <v>8359</v>
      </c>
    </row>
    <row r="661" spans="1:56" ht="52.5" customHeight="1" x14ac:dyDescent="0.25">
      <c r="A661" s="7" t="s">
        <v>59</v>
      </c>
      <c r="B661" s="2" t="s">
        <v>8360</v>
      </c>
      <c r="C661" s="2" t="s">
        <v>8361</v>
      </c>
      <c r="D661" s="2" t="s">
        <v>8362</v>
      </c>
      <c r="F661" s="3" t="s">
        <v>59</v>
      </c>
      <c r="G661" s="3" t="s">
        <v>60</v>
      </c>
      <c r="H661" s="3" t="s">
        <v>59</v>
      </c>
      <c r="I661" s="3" t="s">
        <v>59</v>
      </c>
      <c r="J661" s="3" t="s">
        <v>61</v>
      </c>
      <c r="K661" s="2" t="s">
        <v>8363</v>
      </c>
      <c r="L661" s="2" t="s">
        <v>8364</v>
      </c>
      <c r="M661" s="3" t="s">
        <v>405</v>
      </c>
      <c r="N661" s="2" t="s">
        <v>887</v>
      </c>
      <c r="O661" s="3" t="s">
        <v>65</v>
      </c>
      <c r="P661" s="3" t="s">
        <v>420</v>
      </c>
      <c r="R661" s="3" t="s">
        <v>68</v>
      </c>
      <c r="S661" s="4">
        <v>8</v>
      </c>
      <c r="T661" s="4">
        <v>8</v>
      </c>
      <c r="U661" s="5" t="s">
        <v>8365</v>
      </c>
      <c r="V661" s="5" t="s">
        <v>8365</v>
      </c>
      <c r="W661" s="5" t="s">
        <v>8366</v>
      </c>
      <c r="X661" s="5" t="s">
        <v>8366</v>
      </c>
      <c r="Y661" s="4">
        <v>911</v>
      </c>
      <c r="Z661" s="4">
        <v>824</v>
      </c>
      <c r="AA661" s="4">
        <v>971</v>
      </c>
      <c r="AB661" s="4">
        <v>10</v>
      </c>
      <c r="AC661" s="4">
        <v>10</v>
      </c>
      <c r="AD661" s="4">
        <v>23</v>
      </c>
      <c r="AE661" s="4">
        <v>27</v>
      </c>
      <c r="AF661" s="4">
        <v>7</v>
      </c>
      <c r="AG661" s="4">
        <v>8</v>
      </c>
      <c r="AH661" s="4">
        <v>2</v>
      </c>
      <c r="AI661" s="4">
        <v>3</v>
      </c>
      <c r="AJ661" s="4">
        <v>11</v>
      </c>
      <c r="AK661" s="4">
        <v>13</v>
      </c>
      <c r="AL661" s="4">
        <v>7</v>
      </c>
      <c r="AM661" s="4">
        <v>7</v>
      </c>
      <c r="AN661" s="4">
        <v>1</v>
      </c>
      <c r="AO661" s="4">
        <v>1</v>
      </c>
      <c r="AP661" s="3" t="s">
        <v>59</v>
      </c>
      <c r="AQ661" s="3" t="s">
        <v>71</v>
      </c>
      <c r="AR661" s="6" t="str">
        <f>HYPERLINK("http://catalog.hathitrust.org/Record/000811893","HathiTrust Record")</f>
        <v>HathiTrust Record</v>
      </c>
      <c r="AS661" s="6" t="str">
        <f>HYPERLINK("https://creighton-primo.hosted.exlibrisgroup.com/primo-explore/search?tab=default_tab&amp;search_scope=EVERYTHING&amp;vid=01CRU&amp;lang=en_US&amp;offset=0&amp;query=any,contains,991000955589702656","Catalog Record")</f>
        <v>Catalog Record</v>
      </c>
      <c r="AT661" s="6" t="str">
        <f>HYPERLINK("http://www.worldcat.org/oclc/14717592","WorldCat Record")</f>
        <v>WorldCat Record</v>
      </c>
      <c r="AU661" s="3" t="s">
        <v>8367</v>
      </c>
      <c r="AV661" s="3" t="s">
        <v>8368</v>
      </c>
      <c r="AW661" s="3" t="s">
        <v>8369</v>
      </c>
      <c r="AX661" s="3" t="s">
        <v>8369</v>
      </c>
      <c r="AY661" s="3" t="s">
        <v>8370</v>
      </c>
      <c r="AZ661" s="3" t="s">
        <v>76</v>
      </c>
      <c r="BB661" s="3" t="s">
        <v>8371</v>
      </c>
      <c r="BC661" s="3" t="s">
        <v>8372</v>
      </c>
      <c r="BD661" s="3" t="s">
        <v>8373</v>
      </c>
    </row>
    <row r="662" spans="1:56" ht="52.5" customHeight="1" x14ac:dyDescent="0.25">
      <c r="A662" s="7" t="s">
        <v>59</v>
      </c>
      <c r="B662" s="2" t="s">
        <v>8374</v>
      </c>
      <c r="C662" s="2" t="s">
        <v>8375</v>
      </c>
      <c r="D662" s="2" t="s">
        <v>8376</v>
      </c>
      <c r="F662" s="3" t="s">
        <v>59</v>
      </c>
      <c r="G662" s="3" t="s">
        <v>60</v>
      </c>
      <c r="H662" s="3" t="s">
        <v>59</v>
      </c>
      <c r="I662" s="3" t="s">
        <v>59</v>
      </c>
      <c r="J662" s="3" t="s">
        <v>61</v>
      </c>
      <c r="K662" s="2" t="s">
        <v>8377</v>
      </c>
      <c r="L662" s="2" t="s">
        <v>8378</v>
      </c>
      <c r="M662" s="3" t="s">
        <v>1467</v>
      </c>
      <c r="O662" s="3" t="s">
        <v>65</v>
      </c>
      <c r="P662" s="3" t="s">
        <v>66</v>
      </c>
      <c r="R662" s="3" t="s">
        <v>68</v>
      </c>
      <c r="S662" s="4">
        <v>7</v>
      </c>
      <c r="T662" s="4">
        <v>7</v>
      </c>
      <c r="U662" s="5" t="s">
        <v>2519</v>
      </c>
      <c r="V662" s="5" t="s">
        <v>2519</v>
      </c>
      <c r="W662" s="5" t="s">
        <v>8379</v>
      </c>
      <c r="X662" s="5" t="s">
        <v>8379</v>
      </c>
      <c r="Y662" s="4">
        <v>590</v>
      </c>
      <c r="Z662" s="4">
        <v>508</v>
      </c>
      <c r="AA662" s="4">
        <v>522</v>
      </c>
      <c r="AB662" s="4">
        <v>5</v>
      </c>
      <c r="AC662" s="4">
        <v>5</v>
      </c>
      <c r="AD662" s="4">
        <v>23</v>
      </c>
      <c r="AE662" s="4">
        <v>23</v>
      </c>
      <c r="AF662" s="4">
        <v>6</v>
      </c>
      <c r="AG662" s="4">
        <v>6</v>
      </c>
      <c r="AH662" s="4">
        <v>6</v>
      </c>
      <c r="AI662" s="4">
        <v>6</v>
      </c>
      <c r="AJ662" s="4">
        <v>11</v>
      </c>
      <c r="AK662" s="4">
        <v>11</v>
      </c>
      <c r="AL662" s="4">
        <v>4</v>
      </c>
      <c r="AM662" s="4">
        <v>4</v>
      </c>
      <c r="AN662" s="4">
        <v>0</v>
      </c>
      <c r="AO662" s="4">
        <v>0</v>
      </c>
      <c r="AP662" s="3" t="s">
        <v>59</v>
      </c>
      <c r="AQ662" s="3" t="s">
        <v>71</v>
      </c>
      <c r="AR662" s="6" t="str">
        <f>HYPERLINK("http://catalog.hathitrust.org/Record/000360502","HathiTrust Record")</f>
        <v>HathiTrust Record</v>
      </c>
      <c r="AS662" s="6" t="str">
        <f>HYPERLINK("https://creighton-primo.hosted.exlibrisgroup.com/primo-explore/search?tab=default_tab&amp;search_scope=EVERYTHING&amp;vid=01CRU&amp;lang=en_US&amp;offset=0&amp;query=any,contains,991001232389702656","Catalog Record")</f>
        <v>Catalog Record</v>
      </c>
      <c r="AT662" s="6" t="str">
        <f>HYPERLINK("http://www.worldcat.org/oclc/204031","WorldCat Record")</f>
        <v>WorldCat Record</v>
      </c>
      <c r="AU662" s="3" t="s">
        <v>8380</v>
      </c>
      <c r="AV662" s="3" t="s">
        <v>8381</v>
      </c>
      <c r="AW662" s="3" t="s">
        <v>8382</v>
      </c>
      <c r="AX662" s="3" t="s">
        <v>8382</v>
      </c>
      <c r="AY662" s="3" t="s">
        <v>8383</v>
      </c>
      <c r="AZ662" s="3" t="s">
        <v>76</v>
      </c>
      <c r="BC662" s="3" t="s">
        <v>8384</v>
      </c>
      <c r="BD662" s="3" t="s">
        <v>8385</v>
      </c>
    </row>
    <row r="663" spans="1:56" ht="52.5" customHeight="1" x14ac:dyDescent="0.25">
      <c r="A663" s="7" t="s">
        <v>59</v>
      </c>
      <c r="B663" s="2" t="s">
        <v>8386</v>
      </c>
      <c r="C663" s="2" t="s">
        <v>8387</v>
      </c>
      <c r="D663" s="2" t="s">
        <v>8388</v>
      </c>
      <c r="F663" s="3" t="s">
        <v>59</v>
      </c>
      <c r="G663" s="3" t="s">
        <v>60</v>
      </c>
      <c r="H663" s="3" t="s">
        <v>59</v>
      </c>
      <c r="I663" s="3" t="s">
        <v>59</v>
      </c>
      <c r="J663" s="3" t="s">
        <v>61</v>
      </c>
      <c r="K663" s="2" t="s">
        <v>8389</v>
      </c>
      <c r="L663" s="2" t="s">
        <v>3859</v>
      </c>
      <c r="M663" s="3" t="s">
        <v>514</v>
      </c>
      <c r="O663" s="3" t="s">
        <v>65</v>
      </c>
      <c r="P663" s="3" t="s">
        <v>66</v>
      </c>
      <c r="R663" s="3" t="s">
        <v>68</v>
      </c>
      <c r="S663" s="4">
        <v>1</v>
      </c>
      <c r="T663" s="4">
        <v>1</v>
      </c>
      <c r="U663" s="5" t="s">
        <v>2519</v>
      </c>
      <c r="V663" s="5" t="s">
        <v>2519</v>
      </c>
      <c r="W663" s="5" t="s">
        <v>8276</v>
      </c>
      <c r="X663" s="5" t="s">
        <v>8276</v>
      </c>
      <c r="Y663" s="4">
        <v>639</v>
      </c>
      <c r="Z663" s="4">
        <v>532</v>
      </c>
      <c r="AA663" s="4">
        <v>535</v>
      </c>
      <c r="AB663" s="4">
        <v>3</v>
      </c>
      <c r="AC663" s="4">
        <v>3</v>
      </c>
      <c r="AD663" s="4">
        <v>27</v>
      </c>
      <c r="AE663" s="4">
        <v>27</v>
      </c>
      <c r="AF663" s="4">
        <v>12</v>
      </c>
      <c r="AG663" s="4">
        <v>12</v>
      </c>
      <c r="AH663" s="4">
        <v>7</v>
      </c>
      <c r="AI663" s="4">
        <v>7</v>
      </c>
      <c r="AJ663" s="4">
        <v>13</v>
      </c>
      <c r="AK663" s="4">
        <v>13</v>
      </c>
      <c r="AL663" s="4">
        <v>2</v>
      </c>
      <c r="AM663" s="4">
        <v>2</v>
      </c>
      <c r="AN663" s="4">
        <v>0</v>
      </c>
      <c r="AO663" s="4">
        <v>0</v>
      </c>
      <c r="AP663" s="3" t="s">
        <v>59</v>
      </c>
      <c r="AQ663" s="3" t="s">
        <v>71</v>
      </c>
      <c r="AR663" s="6" t="str">
        <f>HYPERLINK("http://catalog.hathitrust.org/Record/000360505","HathiTrust Record")</f>
        <v>HathiTrust Record</v>
      </c>
      <c r="AS663" s="6" t="str">
        <f>HYPERLINK("https://creighton-primo.hosted.exlibrisgroup.com/primo-explore/search?tab=default_tab&amp;search_scope=EVERYTHING&amp;vid=01CRU&amp;lang=en_US&amp;offset=0&amp;query=any,contains,991001232539702656","Catalog Record")</f>
        <v>Catalog Record</v>
      </c>
      <c r="AT663" s="6" t="str">
        <f>HYPERLINK("http://www.worldcat.org/oclc/204065","WorldCat Record")</f>
        <v>WorldCat Record</v>
      </c>
      <c r="AU663" s="3" t="s">
        <v>8390</v>
      </c>
      <c r="AV663" s="3" t="s">
        <v>8391</v>
      </c>
      <c r="AW663" s="3" t="s">
        <v>8392</v>
      </c>
      <c r="AX663" s="3" t="s">
        <v>8392</v>
      </c>
      <c r="AY663" s="3" t="s">
        <v>8393</v>
      </c>
      <c r="AZ663" s="3" t="s">
        <v>76</v>
      </c>
      <c r="BC663" s="3" t="s">
        <v>8394</v>
      </c>
      <c r="BD663" s="3" t="s">
        <v>8395</v>
      </c>
    </row>
    <row r="664" spans="1:56" ht="52.5" customHeight="1" x14ac:dyDescent="0.25">
      <c r="A664" s="7" t="s">
        <v>59</v>
      </c>
      <c r="B664" s="2" t="s">
        <v>8396</v>
      </c>
      <c r="C664" s="2" t="s">
        <v>8397</v>
      </c>
      <c r="D664" s="2" t="s">
        <v>8398</v>
      </c>
      <c r="F664" s="3" t="s">
        <v>59</v>
      </c>
      <c r="G664" s="3" t="s">
        <v>60</v>
      </c>
      <c r="H664" s="3" t="s">
        <v>59</v>
      </c>
      <c r="I664" s="3" t="s">
        <v>71</v>
      </c>
      <c r="J664" s="3" t="s">
        <v>61</v>
      </c>
      <c r="K664" s="2" t="s">
        <v>8399</v>
      </c>
      <c r="L664" s="2" t="s">
        <v>8400</v>
      </c>
      <c r="M664" s="3" t="s">
        <v>64</v>
      </c>
      <c r="O664" s="3" t="s">
        <v>65</v>
      </c>
      <c r="P664" s="3" t="s">
        <v>3610</v>
      </c>
      <c r="R664" s="3" t="s">
        <v>68</v>
      </c>
      <c r="S664" s="4">
        <v>2</v>
      </c>
      <c r="T664" s="4">
        <v>2</v>
      </c>
      <c r="U664" s="5" t="s">
        <v>8341</v>
      </c>
      <c r="V664" s="5" t="s">
        <v>8341</v>
      </c>
      <c r="W664" s="5" t="s">
        <v>7036</v>
      </c>
      <c r="X664" s="5" t="s">
        <v>7036</v>
      </c>
      <c r="Y664" s="4">
        <v>308</v>
      </c>
      <c r="Z664" s="4">
        <v>247</v>
      </c>
      <c r="AA664" s="4">
        <v>510</v>
      </c>
      <c r="AB664" s="4">
        <v>1</v>
      </c>
      <c r="AC664" s="4">
        <v>3</v>
      </c>
      <c r="AD664" s="4">
        <v>21</v>
      </c>
      <c r="AE664" s="4">
        <v>39</v>
      </c>
      <c r="AF664" s="4">
        <v>8</v>
      </c>
      <c r="AG664" s="4">
        <v>15</v>
      </c>
      <c r="AH664" s="4">
        <v>4</v>
      </c>
      <c r="AI664" s="4">
        <v>9</v>
      </c>
      <c r="AJ664" s="4">
        <v>16</v>
      </c>
      <c r="AK664" s="4">
        <v>26</v>
      </c>
      <c r="AL664" s="4">
        <v>0</v>
      </c>
      <c r="AM664" s="4">
        <v>1</v>
      </c>
      <c r="AN664" s="4">
        <v>0</v>
      </c>
      <c r="AO664" s="4">
        <v>0</v>
      </c>
      <c r="AP664" s="3" t="s">
        <v>59</v>
      </c>
      <c r="AQ664" s="3" t="s">
        <v>71</v>
      </c>
      <c r="AR664" s="6" t="str">
        <f>HYPERLINK("http://catalog.hathitrust.org/Record/000360510","HathiTrust Record")</f>
        <v>HathiTrust Record</v>
      </c>
      <c r="AS664" s="6" t="str">
        <f>HYPERLINK("https://creighton-primo.hosted.exlibrisgroup.com/primo-explore/search?tab=default_tab&amp;search_scope=EVERYTHING&amp;vid=01CRU&amp;lang=en_US&amp;offset=0&amp;query=any,contains,991003668879702656","Catalog Record")</f>
        <v>Catalog Record</v>
      </c>
      <c r="AT664" s="6" t="str">
        <f>HYPERLINK("http://www.worldcat.org/oclc/1284994","WorldCat Record")</f>
        <v>WorldCat Record</v>
      </c>
      <c r="AU664" s="3" t="s">
        <v>8401</v>
      </c>
      <c r="AV664" s="3" t="s">
        <v>8402</v>
      </c>
      <c r="AW664" s="3" t="s">
        <v>8403</v>
      </c>
      <c r="AX664" s="3" t="s">
        <v>8403</v>
      </c>
      <c r="AY664" s="3" t="s">
        <v>8404</v>
      </c>
      <c r="AZ664" s="3" t="s">
        <v>76</v>
      </c>
      <c r="BC664" s="3" t="s">
        <v>8405</v>
      </c>
      <c r="BD664" s="3" t="s">
        <v>8406</v>
      </c>
    </row>
    <row r="665" spans="1:56" ht="52.5" customHeight="1" x14ac:dyDescent="0.25">
      <c r="A665" s="7" t="s">
        <v>59</v>
      </c>
      <c r="B665" s="2" t="s">
        <v>8407</v>
      </c>
      <c r="C665" s="2" t="s">
        <v>8408</v>
      </c>
      <c r="D665" s="2" t="s">
        <v>8409</v>
      </c>
      <c r="F665" s="3" t="s">
        <v>59</v>
      </c>
      <c r="G665" s="3" t="s">
        <v>60</v>
      </c>
      <c r="H665" s="3" t="s">
        <v>59</v>
      </c>
      <c r="I665" s="3" t="s">
        <v>59</v>
      </c>
      <c r="J665" s="3" t="s">
        <v>61</v>
      </c>
      <c r="K665" s="2" t="s">
        <v>8410</v>
      </c>
      <c r="L665" s="2" t="s">
        <v>8411</v>
      </c>
      <c r="M665" s="3" t="s">
        <v>475</v>
      </c>
      <c r="O665" s="3" t="s">
        <v>65</v>
      </c>
      <c r="P665" s="3" t="s">
        <v>66</v>
      </c>
      <c r="R665" s="3" t="s">
        <v>68</v>
      </c>
      <c r="S665" s="4">
        <v>2</v>
      </c>
      <c r="T665" s="4">
        <v>2</v>
      </c>
      <c r="U665" s="5" t="s">
        <v>8412</v>
      </c>
      <c r="V665" s="5" t="s">
        <v>8412</v>
      </c>
      <c r="W665" s="5" t="s">
        <v>7672</v>
      </c>
      <c r="X665" s="5" t="s">
        <v>7672</v>
      </c>
      <c r="Y665" s="4">
        <v>597</v>
      </c>
      <c r="Z665" s="4">
        <v>533</v>
      </c>
      <c r="AA665" s="4">
        <v>547</v>
      </c>
      <c r="AB665" s="4">
        <v>4</v>
      </c>
      <c r="AC665" s="4">
        <v>4</v>
      </c>
      <c r="AD665" s="4">
        <v>19</v>
      </c>
      <c r="AE665" s="4">
        <v>20</v>
      </c>
      <c r="AF665" s="4">
        <v>6</v>
      </c>
      <c r="AG665" s="4">
        <v>7</v>
      </c>
      <c r="AH665" s="4">
        <v>5</v>
      </c>
      <c r="AI665" s="4">
        <v>5</v>
      </c>
      <c r="AJ665" s="4">
        <v>10</v>
      </c>
      <c r="AK665" s="4">
        <v>10</v>
      </c>
      <c r="AL665" s="4">
        <v>3</v>
      </c>
      <c r="AM665" s="4">
        <v>3</v>
      </c>
      <c r="AN665" s="4">
        <v>0</v>
      </c>
      <c r="AO665" s="4">
        <v>0</v>
      </c>
      <c r="AP665" s="3" t="s">
        <v>59</v>
      </c>
      <c r="AQ665" s="3" t="s">
        <v>71</v>
      </c>
      <c r="AR665" s="6" t="str">
        <f>HYPERLINK("http://catalog.hathitrust.org/Record/000769081","HathiTrust Record")</f>
        <v>HathiTrust Record</v>
      </c>
      <c r="AS665" s="6" t="str">
        <f>HYPERLINK("https://creighton-primo.hosted.exlibrisgroup.com/primo-explore/search?tab=default_tab&amp;search_scope=EVERYTHING&amp;vid=01CRU&amp;lang=en_US&amp;offset=0&amp;query=any,contains,991005240799702656","Catalog Record")</f>
        <v>Catalog Record</v>
      </c>
      <c r="AT665" s="6" t="str">
        <f>HYPERLINK("http://www.worldcat.org/oclc/8411090","WorldCat Record")</f>
        <v>WorldCat Record</v>
      </c>
      <c r="AU665" s="3" t="s">
        <v>8413</v>
      </c>
      <c r="AV665" s="3" t="s">
        <v>8414</v>
      </c>
      <c r="AW665" s="3" t="s">
        <v>8415</v>
      </c>
      <c r="AX665" s="3" t="s">
        <v>8415</v>
      </c>
      <c r="AY665" s="3" t="s">
        <v>8416</v>
      </c>
      <c r="AZ665" s="3" t="s">
        <v>76</v>
      </c>
      <c r="BB665" s="3" t="s">
        <v>8417</v>
      </c>
      <c r="BC665" s="3" t="s">
        <v>8418</v>
      </c>
      <c r="BD665" s="3" t="s">
        <v>8419</v>
      </c>
    </row>
    <row r="666" spans="1:56" ht="52.5" customHeight="1" x14ac:dyDescent="0.25">
      <c r="A666" s="7" t="s">
        <v>59</v>
      </c>
      <c r="B666" s="2" t="s">
        <v>8420</v>
      </c>
      <c r="C666" s="2" t="s">
        <v>8421</v>
      </c>
      <c r="D666" s="2" t="s">
        <v>8422</v>
      </c>
      <c r="F666" s="3" t="s">
        <v>59</v>
      </c>
      <c r="G666" s="3" t="s">
        <v>60</v>
      </c>
      <c r="H666" s="3" t="s">
        <v>59</v>
      </c>
      <c r="I666" s="3" t="s">
        <v>59</v>
      </c>
      <c r="J666" s="3" t="s">
        <v>61</v>
      </c>
      <c r="K666" s="2" t="s">
        <v>8423</v>
      </c>
      <c r="L666" s="2" t="s">
        <v>8424</v>
      </c>
      <c r="M666" s="3" t="s">
        <v>350</v>
      </c>
      <c r="N666" s="2" t="s">
        <v>887</v>
      </c>
      <c r="O666" s="3" t="s">
        <v>65</v>
      </c>
      <c r="P666" s="3" t="s">
        <v>66</v>
      </c>
      <c r="R666" s="3" t="s">
        <v>68</v>
      </c>
      <c r="S666" s="4">
        <v>8</v>
      </c>
      <c r="T666" s="4">
        <v>8</v>
      </c>
      <c r="U666" s="5" t="s">
        <v>8425</v>
      </c>
      <c r="V666" s="5" t="s">
        <v>8425</v>
      </c>
      <c r="W666" s="5" t="s">
        <v>7672</v>
      </c>
      <c r="X666" s="5" t="s">
        <v>7672</v>
      </c>
      <c r="Y666" s="4">
        <v>335</v>
      </c>
      <c r="Z666" s="4">
        <v>314</v>
      </c>
      <c r="AA666" s="4">
        <v>392</v>
      </c>
      <c r="AB666" s="4">
        <v>2</v>
      </c>
      <c r="AC666" s="4">
        <v>3</v>
      </c>
      <c r="AD666" s="4">
        <v>4</v>
      </c>
      <c r="AE666" s="4">
        <v>7</v>
      </c>
      <c r="AF666" s="4">
        <v>2</v>
      </c>
      <c r="AG666" s="4">
        <v>4</v>
      </c>
      <c r="AH666" s="4">
        <v>0</v>
      </c>
      <c r="AI666" s="4">
        <v>1</v>
      </c>
      <c r="AJ666" s="4">
        <v>1</v>
      </c>
      <c r="AK666" s="4">
        <v>1</v>
      </c>
      <c r="AL666" s="4">
        <v>1</v>
      </c>
      <c r="AM666" s="4">
        <v>1</v>
      </c>
      <c r="AN666" s="4">
        <v>0</v>
      </c>
      <c r="AO666" s="4">
        <v>0</v>
      </c>
      <c r="AP666" s="3" t="s">
        <v>59</v>
      </c>
      <c r="AQ666" s="3" t="s">
        <v>71</v>
      </c>
      <c r="AR666" s="6" t="str">
        <f>HYPERLINK("http://catalog.hathitrust.org/Record/004445308","HathiTrust Record")</f>
        <v>HathiTrust Record</v>
      </c>
      <c r="AS666" s="6" t="str">
        <f>HYPERLINK("https://creighton-primo.hosted.exlibrisgroup.com/primo-explore/search?tab=default_tab&amp;search_scope=EVERYTHING&amp;vid=01CRU&amp;lang=en_US&amp;offset=0&amp;query=any,contains,991004384529702656","Catalog Record")</f>
        <v>Catalog Record</v>
      </c>
      <c r="AT666" s="6" t="str">
        <f>HYPERLINK("http://www.worldcat.org/oclc/3239760","WorldCat Record")</f>
        <v>WorldCat Record</v>
      </c>
      <c r="AU666" s="3" t="s">
        <v>8426</v>
      </c>
      <c r="AV666" s="3" t="s">
        <v>8427</v>
      </c>
      <c r="AW666" s="3" t="s">
        <v>8428</v>
      </c>
      <c r="AX666" s="3" t="s">
        <v>8428</v>
      </c>
      <c r="AY666" s="3" t="s">
        <v>8429</v>
      </c>
      <c r="AZ666" s="3" t="s">
        <v>76</v>
      </c>
      <c r="BB666" s="3" t="s">
        <v>8430</v>
      </c>
      <c r="BC666" s="3" t="s">
        <v>8431</v>
      </c>
      <c r="BD666" s="3" t="s">
        <v>8432</v>
      </c>
    </row>
    <row r="667" spans="1:56" ht="52.5" customHeight="1" x14ac:dyDescent="0.25">
      <c r="A667" s="7" t="s">
        <v>59</v>
      </c>
      <c r="B667" s="2" t="s">
        <v>8433</v>
      </c>
      <c r="C667" s="2" t="s">
        <v>8434</v>
      </c>
      <c r="D667" s="2" t="s">
        <v>8435</v>
      </c>
      <c r="F667" s="3" t="s">
        <v>59</v>
      </c>
      <c r="G667" s="3" t="s">
        <v>60</v>
      </c>
      <c r="H667" s="3" t="s">
        <v>59</v>
      </c>
      <c r="I667" s="3" t="s">
        <v>59</v>
      </c>
      <c r="J667" s="3" t="s">
        <v>61</v>
      </c>
      <c r="K667" s="2" t="s">
        <v>8436</v>
      </c>
      <c r="L667" s="2" t="s">
        <v>8437</v>
      </c>
      <c r="M667" s="3" t="s">
        <v>729</v>
      </c>
      <c r="O667" s="3" t="s">
        <v>65</v>
      </c>
      <c r="P667" s="3" t="s">
        <v>491</v>
      </c>
      <c r="R667" s="3" t="s">
        <v>68</v>
      </c>
      <c r="S667" s="4">
        <v>1</v>
      </c>
      <c r="T667" s="4">
        <v>1</v>
      </c>
      <c r="U667" s="5" t="s">
        <v>8438</v>
      </c>
      <c r="V667" s="5" t="s">
        <v>8438</v>
      </c>
      <c r="W667" s="5" t="s">
        <v>7036</v>
      </c>
      <c r="X667" s="5" t="s">
        <v>7036</v>
      </c>
      <c r="Y667" s="4">
        <v>462</v>
      </c>
      <c r="Z667" s="4">
        <v>436</v>
      </c>
      <c r="AA667" s="4">
        <v>538</v>
      </c>
      <c r="AB667" s="4">
        <v>2</v>
      </c>
      <c r="AC667" s="4">
        <v>2</v>
      </c>
      <c r="AD667" s="4">
        <v>15</v>
      </c>
      <c r="AE667" s="4">
        <v>15</v>
      </c>
      <c r="AF667" s="4">
        <v>7</v>
      </c>
      <c r="AG667" s="4">
        <v>7</v>
      </c>
      <c r="AH667" s="4">
        <v>3</v>
      </c>
      <c r="AI667" s="4">
        <v>3</v>
      </c>
      <c r="AJ667" s="4">
        <v>5</v>
      </c>
      <c r="AK667" s="4">
        <v>5</v>
      </c>
      <c r="AL667" s="4">
        <v>1</v>
      </c>
      <c r="AM667" s="4">
        <v>1</v>
      </c>
      <c r="AN667" s="4">
        <v>0</v>
      </c>
      <c r="AO667" s="4">
        <v>0</v>
      </c>
      <c r="AP667" s="3" t="s">
        <v>59</v>
      </c>
      <c r="AQ667" s="3" t="s">
        <v>71</v>
      </c>
      <c r="AR667" s="6" t="str">
        <f>HYPERLINK("http://catalog.hathitrust.org/Record/000381738","HathiTrust Record")</f>
        <v>HathiTrust Record</v>
      </c>
      <c r="AS667" s="6" t="str">
        <f>HYPERLINK("https://creighton-primo.hosted.exlibrisgroup.com/primo-explore/search?tab=default_tab&amp;search_scope=EVERYTHING&amp;vid=01CRU&amp;lang=en_US&amp;offset=0&amp;query=any,contains,991000951079702656","Catalog Record")</f>
        <v>Catalog Record</v>
      </c>
      <c r="AT667" s="6" t="str">
        <f>HYPERLINK("http://www.worldcat.org/oclc/14665493","WorldCat Record")</f>
        <v>WorldCat Record</v>
      </c>
      <c r="AU667" s="3" t="s">
        <v>8439</v>
      </c>
      <c r="AV667" s="3" t="s">
        <v>8440</v>
      </c>
      <c r="AW667" s="3" t="s">
        <v>8441</v>
      </c>
      <c r="AX667" s="3" t="s">
        <v>8441</v>
      </c>
      <c r="AY667" s="3" t="s">
        <v>8442</v>
      </c>
      <c r="AZ667" s="3" t="s">
        <v>76</v>
      </c>
      <c r="BC667" s="3" t="s">
        <v>8443</v>
      </c>
      <c r="BD667" s="3" t="s">
        <v>8444</v>
      </c>
    </row>
    <row r="668" spans="1:56" ht="52.5" customHeight="1" x14ac:dyDescent="0.25">
      <c r="A668" s="7" t="s">
        <v>59</v>
      </c>
      <c r="B668" s="2" t="s">
        <v>8445</v>
      </c>
      <c r="C668" s="2" t="s">
        <v>8446</v>
      </c>
      <c r="D668" s="2" t="s">
        <v>8447</v>
      </c>
      <c r="F668" s="3" t="s">
        <v>59</v>
      </c>
      <c r="G668" s="3" t="s">
        <v>60</v>
      </c>
      <c r="H668" s="3" t="s">
        <v>59</v>
      </c>
      <c r="I668" s="3" t="s">
        <v>59</v>
      </c>
      <c r="J668" s="3" t="s">
        <v>61</v>
      </c>
      <c r="K668" s="2" t="s">
        <v>8448</v>
      </c>
      <c r="L668" s="2" t="s">
        <v>7289</v>
      </c>
      <c r="M668" s="3" t="s">
        <v>405</v>
      </c>
      <c r="N668" s="2" t="s">
        <v>3938</v>
      </c>
      <c r="O668" s="3" t="s">
        <v>65</v>
      </c>
      <c r="P668" s="3" t="s">
        <v>1262</v>
      </c>
      <c r="Q668" s="2" t="s">
        <v>8449</v>
      </c>
      <c r="R668" s="3" t="s">
        <v>68</v>
      </c>
      <c r="S668" s="4">
        <v>9</v>
      </c>
      <c r="T668" s="4">
        <v>9</v>
      </c>
      <c r="U668" s="5" t="s">
        <v>8450</v>
      </c>
      <c r="V668" s="5" t="s">
        <v>8450</v>
      </c>
      <c r="W668" s="5" t="s">
        <v>8451</v>
      </c>
      <c r="X668" s="5" t="s">
        <v>8451</v>
      </c>
      <c r="Y668" s="4">
        <v>606</v>
      </c>
      <c r="Z668" s="4">
        <v>438</v>
      </c>
      <c r="AA668" s="4">
        <v>790</v>
      </c>
      <c r="AB668" s="4">
        <v>3</v>
      </c>
      <c r="AC668" s="4">
        <v>4</v>
      </c>
      <c r="AD668" s="4">
        <v>24</v>
      </c>
      <c r="AE668" s="4">
        <v>37</v>
      </c>
      <c r="AF668" s="4">
        <v>13</v>
      </c>
      <c r="AG668" s="4">
        <v>19</v>
      </c>
      <c r="AH668" s="4">
        <v>6</v>
      </c>
      <c r="AI668" s="4">
        <v>10</v>
      </c>
      <c r="AJ668" s="4">
        <v>10</v>
      </c>
      <c r="AK668" s="4">
        <v>15</v>
      </c>
      <c r="AL668" s="4">
        <v>2</v>
      </c>
      <c r="AM668" s="4">
        <v>3</v>
      </c>
      <c r="AN668" s="4">
        <v>0</v>
      </c>
      <c r="AO668" s="4">
        <v>0</v>
      </c>
      <c r="AP668" s="3" t="s">
        <v>59</v>
      </c>
      <c r="AQ668" s="3" t="s">
        <v>59</v>
      </c>
      <c r="AS668" s="6" t="str">
        <f>HYPERLINK("https://creighton-primo.hosted.exlibrisgroup.com/primo-explore/search?tab=default_tab&amp;search_scope=EVERYTHING&amp;vid=01CRU&amp;lang=en_US&amp;offset=0&amp;query=any,contains,991000986759702656","Catalog Record")</f>
        <v>Catalog Record</v>
      </c>
      <c r="AT668" s="6" t="str">
        <f>HYPERLINK("http://www.worldcat.org/oclc/15082674","WorldCat Record")</f>
        <v>WorldCat Record</v>
      </c>
      <c r="AU668" s="3" t="s">
        <v>8452</v>
      </c>
      <c r="AV668" s="3" t="s">
        <v>8453</v>
      </c>
      <c r="AW668" s="3" t="s">
        <v>8454</v>
      </c>
      <c r="AX668" s="3" t="s">
        <v>8454</v>
      </c>
      <c r="AY668" s="3" t="s">
        <v>8455</v>
      </c>
      <c r="AZ668" s="3" t="s">
        <v>76</v>
      </c>
      <c r="BB668" s="3" t="s">
        <v>8456</v>
      </c>
      <c r="BC668" s="3" t="s">
        <v>8457</v>
      </c>
      <c r="BD668" s="3" t="s">
        <v>8458</v>
      </c>
    </row>
    <row r="669" spans="1:56" ht="52.5" customHeight="1" x14ac:dyDescent="0.25">
      <c r="A669" s="7" t="s">
        <v>59</v>
      </c>
      <c r="B669" s="2" t="s">
        <v>8459</v>
      </c>
      <c r="C669" s="2" t="s">
        <v>8460</v>
      </c>
      <c r="D669" s="2" t="s">
        <v>8461</v>
      </c>
      <c r="F669" s="3" t="s">
        <v>59</v>
      </c>
      <c r="G669" s="3" t="s">
        <v>60</v>
      </c>
      <c r="H669" s="3" t="s">
        <v>59</v>
      </c>
      <c r="I669" s="3" t="s">
        <v>59</v>
      </c>
      <c r="J669" s="3" t="s">
        <v>61</v>
      </c>
      <c r="K669" s="2" t="s">
        <v>8462</v>
      </c>
      <c r="L669" s="2" t="s">
        <v>8463</v>
      </c>
      <c r="M669" s="3" t="s">
        <v>224</v>
      </c>
      <c r="O669" s="3" t="s">
        <v>65</v>
      </c>
      <c r="P669" s="3" t="s">
        <v>323</v>
      </c>
      <c r="R669" s="3" t="s">
        <v>68</v>
      </c>
      <c r="S669" s="4">
        <v>13</v>
      </c>
      <c r="T669" s="4">
        <v>13</v>
      </c>
      <c r="U669" s="5" t="s">
        <v>8438</v>
      </c>
      <c r="V669" s="5" t="s">
        <v>8438</v>
      </c>
      <c r="W669" s="5" t="s">
        <v>1150</v>
      </c>
      <c r="X669" s="5" t="s">
        <v>1150</v>
      </c>
      <c r="Y669" s="4">
        <v>222</v>
      </c>
      <c r="Z669" s="4">
        <v>206</v>
      </c>
      <c r="AA669" s="4">
        <v>212</v>
      </c>
      <c r="AB669" s="4">
        <v>2</v>
      </c>
      <c r="AC669" s="4">
        <v>2</v>
      </c>
      <c r="AD669" s="4">
        <v>5</v>
      </c>
      <c r="AE669" s="4">
        <v>5</v>
      </c>
      <c r="AF669" s="4">
        <v>2</v>
      </c>
      <c r="AG669" s="4">
        <v>2</v>
      </c>
      <c r="AH669" s="4">
        <v>1</v>
      </c>
      <c r="AI669" s="4">
        <v>1</v>
      </c>
      <c r="AJ669" s="4">
        <v>1</v>
      </c>
      <c r="AK669" s="4">
        <v>1</v>
      </c>
      <c r="AL669" s="4">
        <v>1</v>
      </c>
      <c r="AM669" s="4">
        <v>1</v>
      </c>
      <c r="AN669" s="4">
        <v>0</v>
      </c>
      <c r="AO669" s="4">
        <v>0</v>
      </c>
      <c r="AP669" s="3" t="s">
        <v>59</v>
      </c>
      <c r="AQ669" s="3" t="s">
        <v>59</v>
      </c>
      <c r="AS669" s="6" t="str">
        <f>HYPERLINK("https://creighton-primo.hosted.exlibrisgroup.com/primo-explore/search?tab=default_tab&amp;search_scope=EVERYTHING&amp;vid=01CRU&amp;lang=en_US&amp;offset=0&amp;query=any,contains,991003503729702656","Catalog Record")</f>
        <v>Catalog Record</v>
      </c>
      <c r="AT669" s="6" t="str">
        <f>HYPERLINK("http://www.worldcat.org/oclc/1055549","WorldCat Record")</f>
        <v>WorldCat Record</v>
      </c>
      <c r="AU669" s="3" t="s">
        <v>8464</v>
      </c>
      <c r="AV669" s="3" t="s">
        <v>8465</v>
      </c>
      <c r="AW669" s="3" t="s">
        <v>8466</v>
      </c>
      <c r="AX669" s="3" t="s">
        <v>8466</v>
      </c>
      <c r="AY669" s="3" t="s">
        <v>8467</v>
      </c>
      <c r="AZ669" s="3" t="s">
        <v>76</v>
      </c>
      <c r="BB669" s="3" t="s">
        <v>8468</v>
      </c>
      <c r="BC669" s="3" t="s">
        <v>8469</v>
      </c>
      <c r="BD669" s="3" t="s">
        <v>8470</v>
      </c>
    </row>
    <row r="670" spans="1:56" ht="52.5" customHeight="1" x14ac:dyDescent="0.25">
      <c r="A670" s="7" t="s">
        <v>59</v>
      </c>
      <c r="B670" s="2" t="s">
        <v>8471</v>
      </c>
      <c r="C670" s="2" t="s">
        <v>8472</v>
      </c>
      <c r="D670" s="2" t="s">
        <v>8473</v>
      </c>
      <c r="F670" s="3" t="s">
        <v>59</v>
      </c>
      <c r="G670" s="3" t="s">
        <v>60</v>
      </c>
      <c r="H670" s="3" t="s">
        <v>59</v>
      </c>
      <c r="I670" s="3" t="s">
        <v>59</v>
      </c>
      <c r="J670" s="3" t="s">
        <v>61</v>
      </c>
      <c r="K670" s="2" t="s">
        <v>8474</v>
      </c>
      <c r="L670" s="2" t="s">
        <v>8475</v>
      </c>
      <c r="M670" s="3" t="s">
        <v>309</v>
      </c>
      <c r="O670" s="3" t="s">
        <v>65</v>
      </c>
      <c r="P670" s="3" t="s">
        <v>66</v>
      </c>
      <c r="R670" s="3" t="s">
        <v>68</v>
      </c>
      <c r="S670" s="4">
        <v>5</v>
      </c>
      <c r="T670" s="4">
        <v>5</v>
      </c>
      <c r="U670" s="5" t="s">
        <v>8438</v>
      </c>
      <c r="V670" s="5" t="s">
        <v>8438</v>
      </c>
      <c r="W670" s="5" t="s">
        <v>7672</v>
      </c>
      <c r="X670" s="5" t="s">
        <v>7672</v>
      </c>
      <c r="Y670" s="4">
        <v>647</v>
      </c>
      <c r="Z670" s="4">
        <v>511</v>
      </c>
      <c r="AA670" s="4">
        <v>551</v>
      </c>
      <c r="AB670" s="4">
        <v>5</v>
      </c>
      <c r="AC670" s="4">
        <v>5</v>
      </c>
      <c r="AD670" s="4">
        <v>14</v>
      </c>
      <c r="AE670" s="4">
        <v>15</v>
      </c>
      <c r="AF670" s="4">
        <v>7</v>
      </c>
      <c r="AG670" s="4">
        <v>7</v>
      </c>
      <c r="AH670" s="4">
        <v>1</v>
      </c>
      <c r="AI670" s="4">
        <v>2</v>
      </c>
      <c r="AJ670" s="4">
        <v>6</v>
      </c>
      <c r="AK670" s="4">
        <v>7</v>
      </c>
      <c r="AL670" s="4">
        <v>2</v>
      </c>
      <c r="AM670" s="4">
        <v>2</v>
      </c>
      <c r="AN670" s="4">
        <v>0</v>
      </c>
      <c r="AO670" s="4">
        <v>0</v>
      </c>
      <c r="AP670" s="3" t="s">
        <v>59</v>
      </c>
      <c r="AQ670" s="3" t="s">
        <v>71</v>
      </c>
      <c r="AR670" s="6" t="str">
        <f>HYPERLINK("http://catalog.hathitrust.org/Record/000752951","HathiTrust Record")</f>
        <v>HathiTrust Record</v>
      </c>
      <c r="AS670" s="6" t="str">
        <f>HYPERLINK("https://creighton-primo.hosted.exlibrisgroup.com/primo-explore/search?tab=default_tab&amp;search_scope=EVERYTHING&amp;vid=01CRU&amp;lang=en_US&amp;offset=0&amp;query=any,contains,991004438679702656","Catalog Record")</f>
        <v>Catalog Record</v>
      </c>
      <c r="AT670" s="6" t="str">
        <f>HYPERLINK("http://www.worldcat.org/oclc/3447548","WorldCat Record")</f>
        <v>WorldCat Record</v>
      </c>
      <c r="AU670" s="3" t="s">
        <v>8476</v>
      </c>
      <c r="AV670" s="3" t="s">
        <v>8477</v>
      </c>
      <c r="AW670" s="3" t="s">
        <v>8478</v>
      </c>
      <c r="AX670" s="3" t="s">
        <v>8478</v>
      </c>
      <c r="AY670" s="3" t="s">
        <v>8479</v>
      </c>
      <c r="AZ670" s="3" t="s">
        <v>76</v>
      </c>
      <c r="BB670" s="3" t="s">
        <v>8480</v>
      </c>
      <c r="BC670" s="3" t="s">
        <v>8481</v>
      </c>
      <c r="BD670" s="3" t="s">
        <v>8482</v>
      </c>
    </row>
    <row r="671" spans="1:56" ht="52.5" customHeight="1" x14ac:dyDescent="0.25">
      <c r="A671" s="7" t="s">
        <v>59</v>
      </c>
      <c r="B671" s="2" t="s">
        <v>8483</v>
      </c>
      <c r="C671" s="2" t="s">
        <v>8484</v>
      </c>
      <c r="D671" s="2" t="s">
        <v>8485</v>
      </c>
      <c r="F671" s="3" t="s">
        <v>59</v>
      </c>
      <c r="G671" s="3" t="s">
        <v>60</v>
      </c>
      <c r="H671" s="3" t="s">
        <v>59</v>
      </c>
      <c r="I671" s="3" t="s">
        <v>59</v>
      </c>
      <c r="J671" s="3" t="s">
        <v>61</v>
      </c>
      <c r="K671" s="2" t="s">
        <v>8486</v>
      </c>
      <c r="L671" s="2" t="s">
        <v>8487</v>
      </c>
      <c r="M671" s="3" t="s">
        <v>131</v>
      </c>
      <c r="O671" s="3" t="s">
        <v>65</v>
      </c>
      <c r="P671" s="3" t="s">
        <v>771</v>
      </c>
      <c r="R671" s="3" t="s">
        <v>68</v>
      </c>
      <c r="S671" s="4">
        <v>1</v>
      </c>
      <c r="T671" s="4">
        <v>1</v>
      </c>
      <c r="U671" s="5" t="s">
        <v>8438</v>
      </c>
      <c r="V671" s="5" t="s">
        <v>8438</v>
      </c>
      <c r="W671" s="5" t="s">
        <v>7421</v>
      </c>
      <c r="X671" s="5" t="s">
        <v>7421</v>
      </c>
      <c r="Y671" s="4">
        <v>89</v>
      </c>
      <c r="Z671" s="4">
        <v>82</v>
      </c>
      <c r="AA671" s="4">
        <v>263</v>
      </c>
      <c r="AB671" s="4">
        <v>1</v>
      </c>
      <c r="AC671" s="4">
        <v>2</v>
      </c>
      <c r="AD671" s="4">
        <v>3</v>
      </c>
      <c r="AE671" s="4">
        <v>8</v>
      </c>
      <c r="AF671" s="4">
        <v>1</v>
      </c>
      <c r="AG671" s="4">
        <v>3</v>
      </c>
      <c r="AH671" s="4">
        <v>3</v>
      </c>
      <c r="AI671" s="4">
        <v>3</v>
      </c>
      <c r="AJ671" s="4">
        <v>1</v>
      </c>
      <c r="AK671" s="4">
        <v>4</v>
      </c>
      <c r="AL671" s="4">
        <v>0</v>
      </c>
      <c r="AM671" s="4">
        <v>1</v>
      </c>
      <c r="AN671" s="4">
        <v>0</v>
      </c>
      <c r="AO671" s="4">
        <v>0</v>
      </c>
      <c r="AP671" s="3" t="s">
        <v>59</v>
      </c>
      <c r="AQ671" s="3" t="s">
        <v>59</v>
      </c>
      <c r="AS671" s="6" t="str">
        <f>HYPERLINK("https://creighton-primo.hosted.exlibrisgroup.com/primo-explore/search?tab=default_tab&amp;search_scope=EVERYTHING&amp;vid=01CRU&amp;lang=en_US&amp;offset=0&amp;query=any,contains,991003205789702656","Catalog Record")</f>
        <v>Catalog Record</v>
      </c>
      <c r="AT671" s="6" t="str">
        <f>HYPERLINK("http://www.worldcat.org/oclc/730718","WorldCat Record")</f>
        <v>WorldCat Record</v>
      </c>
      <c r="AU671" s="3" t="s">
        <v>8488</v>
      </c>
      <c r="AV671" s="3" t="s">
        <v>8489</v>
      </c>
      <c r="AW671" s="3" t="s">
        <v>8490</v>
      </c>
      <c r="AX671" s="3" t="s">
        <v>8490</v>
      </c>
      <c r="AY671" s="3" t="s">
        <v>8491</v>
      </c>
      <c r="AZ671" s="3" t="s">
        <v>76</v>
      </c>
      <c r="BB671" s="3" t="s">
        <v>8492</v>
      </c>
      <c r="BC671" s="3" t="s">
        <v>8493</v>
      </c>
      <c r="BD671" s="3" t="s">
        <v>8494</v>
      </c>
    </row>
    <row r="672" spans="1:56" ht="52.5" customHeight="1" x14ac:dyDescent="0.25">
      <c r="A672" s="7" t="s">
        <v>59</v>
      </c>
      <c r="B672" s="2" t="s">
        <v>8495</v>
      </c>
      <c r="C672" s="2" t="s">
        <v>8496</v>
      </c>
      <c r="D672" s="2" t="s">
        <v>8497</v>
      </c>
      <c r="F672" s="3" t="s">
        <v>59</v>
      </c>
      <c r="G672" s="3" t="s">
        <v>60</v>
      </c>
      <c r="H672" s="3" t="s">
        <v>59</v>
      </c>
      <c r="I672" s="3" t="s">
        <v>59</v>
      </c>
      <c r="J672" s="3" t="s">
        <v>61</v>
      </c>
      <c r="K672" s="2" t="s">
        <v>8498</v>
      </c>
      <c r="L672" s="2" t="s">
        <v>8499</v>
      </c>
      <c r="M672" s="3" t="s">
        <v>8500</v>
      </c>
      <c r="O672" s="3" t="s">
        <v>65</v>
      </c>
      <c r="P672" s="3" t="s">
        <v>66</v>
      </c>
      <c r="R672" s="3" t="s">
        <v>68</v>
      </c>
      <c r="S672" s="4">
        <v>1</v>
      </c>
      <c r="T672" s="4">
        <v>1</v>
      </c>
      <c r="U672" s="5" t="s">
        <v>8438</v>
      </c>
      <c r="V672" s="5" t="s">
        <v>8438</v>
      </c>
      <c r="W672" s="5" t="s">
        <v>7036</v>
      </c>
      <c r="X672" s="5" t="s">
        <v>7036</v>
      </c>
      <c r="Y672" s="4">
        <v>299</v>
      </c>
      <c r="Z672" s="4">
        <v>290</v>
      </c>
      <c r="AA672" s="4">
        <v>424</v>
      </c>
      <c r="AB672" s="4">
        <v>2</v>
      </c>
      <c r="AC672" s="4">
        <v>4</v>
      </c>
      <c r="AD672" s="4">
        <v>13</v>
      </c>
      <c r="AE672" s="4">
        <v>23</v>
      </c>
      <c r="AF672" s="4">
        <v>5</v>
      </c>
      <c r="AG672" s="4">
        <v>6</v>
      </c>
      <c r="AH672" s="4">
        <v>3</v>
      </c>
      <c r="AI672" s="4">
        <v>7</v>
      </c>
      <c r="AJ672" s="4">
        <v>7</v>
      </c>
      <c r="AK672" s="4">
        <v>12</v>
      </c>
      <c r="AL672" s="4">
        <v>1</v>
      </c>
      <c r="AM672" s="4">
        <v>3</v>
      </c>
      <c r="AN672" s="4">
        <v>0</v>
      </c>
      <c r="AO672" s="4">
        <v>0</v>
      </c>
      <c r="AP672" s="3" t="s">
        <v>59</v>
      </c>
      <c r="AQ672" s="3" t="s">
        <v>71</v>
      </c>
      <c r="AR672" s="6" t="str">
        <f>HYPERLINK("http://catalog.hathitrust.org/Record/000387363","HathiTrust Record")</f>
        <v>HathiTrust Record</v>
      </c>
      <c r="AS672" s="6" t="str">
        <f>HYPERLINK("https://creighton-primo.hosted.exlibrisgroup.com/primo-explore/search?tab=default_tab&amp;search_scope=EVERYTHING&amp;vid=01CRU&amp;lang=en_US&amp;offset=0&amp;query=any,contains,991002980129702656","Catalog Record")</f>
        <v>Catalog Record</v>
      </c>
      <c r="AT672" s="6" t="str">
        <f>HYPERLINK("http://www.worldcat.org/oclc/554422","WorldCat Record")</f>
        <v>WorldCat Record</v>
      </c>
      <c r="AU672" s="3" t="s">
        <v>8501</v>
      </c>
      <c r="AV672" s="3" t="s">
        <v>8502</v>
      </c>
      <c r="AW672" s="3" t="s">
        <v>8503</v>
      </c>
      <c r="AX672" s="3" t="s">
        <v>8503</v>
      </c>
      <c r="AY672" s="3" t="s">
        <v>8504</v>
      </c>
      <c r="AZ672" s="3" t="s">
        <v>76</v>
      </c>
      <c r="BC672" s="3" t="s">
        <v>8505</v>
      </c>
      <c r="BD672" s="3" t="s">
        <v>8506</v>
      </c>
    </row>
    <row r="673" spans="1:56" ht="52.5" customHeight="1" x14ac:dyDescent="0.25">
      <c r="A673" s="7" t="s">
        <v>59</v>
      </c>
      <c r="B673" s="2" t="s">
        <v>8507</v>
      </c>
      <c r="C673" s="2" t="s">
        <v>8508</v>
      </c>
      <c r="D673" s="2" t="s">
        <v>8509</v>
      </c>
      <c r="F673" s="3" t="s">
        <v>59</v>
      </c>
      <c r="G673" s="3" t="s">
        <v>60</v>
      </c>
      <c r="H673" s="3" t="s">
        <v>59</v>
      </c>
      <c r="I673" s="3" t="s">
        <v>59</v>
      </c>
      <c r="J673" s="3" t="s">
        <v>61</v>
      </c>
      <c r="K673" s="2" t="s">
        <v>8510</v>
      </c>
      <c r="L673" s="2" t="s">
        <v>8511</v>
      </c>
      <c r="M673" s="3" t="s">
        <v>2389</v>
      </c>
      <c r="O673" s="3" t="s">
        <v>65</v>
      </c>
      <c r="P673" s="3" t="s">
        <v>66</v>
      </c>
      <c r="R673" s="3" t="s">
        <v>68</v>
      </c>
      <c r="S673" s="4">
        <v>9</v>
      </c>
      <c r="T673" s="4">
        <v>9</v>
      </c>
      <c r="U673" s="5" t="s">
        <v>8512</v>
      </c>
      <c r="V673" s="5" t="s">
        <v>8512</v>
      </c>
      <c r="W673" s="5" t="s">
        <v>8451</v>
      </c>
      <c r="X673" s="5" t="s">
        <v>8451</v>
      </c>
      <c r="Y673" s="4">
        <v>55</v>
      </c>
      <c r="Z673" s="4">
        <v>45</v>
      </c>
      <c r="AA673" s="4">
        <v>675</v>
      </c>
      <c r="AB673" s="4">
        <v>2</v>
      </c>
      <c r="AC673" s="4">
        <v>7</v>
      </c>
      <c r="AD673" s="4">
        <v>1</v>
      </c>
      <c r="AE673" s="4">
        <v>19</v>
      </c>
      <c r="AF673" s="4">
        <v>0</v>
      </c>
      <c r="AG673" s="4">
        <v>7</v>
      </c>
      <c r="AH673" s="4">
        <v>1</v>
      </c>
      <c r="AI673" s="4">
        <v>4</v>
      </c>
      <c r="AJ673" s="4">
        <v>0</v>
      </c>
      <c r="AK673" s="4">
        <v>10</v>
      </c>
      <c r="AL673" s="4">
        <v>0</v>
      </c>
      <c r="AM673" s="4">
        <v>2</v>
      </c>
      <c r="AN673" s="4">
        <v>0</v>
      </c>
      <c r="AO673" s="4">
        <v>0</v>
      </c>
      <c r="AP673" s="3" t="s">
        <v>59</v>
      </c>
      <c r="AQ673" s="3" t="s">
        <v>71</v>
      </c>
      <c r="AR673" s="6" t="str">
        <f>HYPERLINK("http://catalog.hathitrust.org/Record/102420362","HathiTrust Record")</f>
        <v>HathiTrust Record</v>
      </c>
      <c r="AS673" s="6" t="str">
        <f>HYPERLINK("https://creighton-primo.hosted.exlibrisgroup.com/primo-explore/search?tab=default_tab&amp;search_scope=EVERYTHING&amp;vid=01CRU&amp;lang=en_US&amp;offset=0&amp;query=any,contains,991004249789702656","Catalog Record")</f>
        <v>Catalog Record</v>
      </c>
      <c r="AT673" s="6" t="str">
        <f>HYPERLINK("http://www.worldcat.org/oclc/2806941","WorldCat Record")</f>
        <v>WorldCat Record</v>
      </c>
      <c r="AU673" s="3" t="s">
        <v>8513</v>
      </c>
      <c r="AV673" s="3" t="s">
        <v>8514</v>
      </c>
      <c r="AW673" s="3" t="s">
        <v>8515</v>
      </c>
      <c r="AX673" s="3" t="s">
        <v>8515</v>
      </c>
      <c r="AY673" s="3" t="s">
        <v>8516</v>
      </c>
      <c r="AZ673" s="3" t="s">
        <v>76</v>
      </c>
      <c r="BC673" s="3" t="s">
        <v>8517</v>
      </c>
      <c r="BD673" s="3" t="s">
        <v>8518</v>
      </c>
    </row>
    <row r="674" spans="1:56" ht="52.5" customHeight="1" x14ac:dyDescent="0.25">
      <c r="A674" s="7" t="s">
        <v>59</v>
      </c>
      <c r="B674" s="2" t="s">
        <v>8519</v>
      </c>
      <c r="C674" s="2" t="s">
        <v>8520</v>
      </c>
      <c r="D674" s="2" t="s">
        <v>8521</v>
      </c>
      <c r="F674" s="3" t="s">
        <v>59</v>
      </c>
      <c r="G674" s="3" t="s">
        <v>60</v>
      </c>
      <c r="H674" s="3" t="s">
        <v>59</v>
      </c>
      <c r="I674" s="3" t="s">
        <v>59</v>
      </c>
      <c r="J674" s="3" t="s">
        <v>61</v>
      </c>
      <c r="K674" s="2" t="s">
        <v>8522</v>
      </c>
      <c r="L674" s="2" t="s">
        <v>8523</v>
      </c>
      <c r="M674" s="3" t="s">
        <v>295</v>
      </c>
      <c r="O674" s="3" t="s">
        <v>65</v>
      </c>
      <c r="P674" s="3" t="s">
        <v>66</v>
      </c>
      <c r="Q674" s="2" t="s">
        <v>8524</v>
      </c>
      <c r="R674" s="3" t="s">
        <v>68</v>
      </c>
      <c r="S674" s="4">
        <v>2</v>
      </c>
      <c r="T674" s="4">
        <v>2</v>
      </c>
      <c r="U674" s="5" t="s">
        <v>8525</v>
      </c>
      <c r="V674" s="5" t="s">
        <v>8525</v>
      </c>
      <c r="W674" s="5" t="s">
        <v>7036</v>
      </c>
      <c r="X674" s="5" t="s">
        <v>7036</v>
      </c>
      <c r="Y674" s="4">
        <v>622</v>
      </c>
      <c r="Z674" s="4">
        <v>491</v>
      </c>
      <c r="AA674" s="4">
        <v>499</v>
      </c>
      <c r="AB674" s="4">
        <v>5</v>
      </c>
      <c r="AC674" s="4">
        <v>5</v>
      </c>
      <c r="AD674" s="4">
        <v>18</v>
      </c>
      <c r="AE674" s="4">
        <v>18</v>
      </c>
      <c r="AF674" s="4">
        <v>7</v>
      </c>
      <c r="AG674" s="4">
        <v>7</v>
      </c>
      <c r="AH674" s="4">
        <v>2</v>
      </c>
      <c r="AI674" s="4">
        <v>2</v>
      </c>
      <c r="AJ674" s="4">
        <v>8</v>
      </c>
      <c r="AK674" s="4">
        <v>8</v>
      </c>
      <c r="AL674" s="4">
        <v>4</v>
      </c>
      <c r="AM674" s="4">
        <v>4</v>
      </c>
      <c r="AN674" s="4">
        <v>0</v>
      </c>
      <c r="AO674" s="4">
        <v>0</v>
      </c>
      <c r="AP674" s="3" t="s">
        <v>59</v>
      </c>
      <c r="AQ674" s="3" t="s">
        <v>71</v>
      </c>
      <c r="AR674" s="6" t="str">
        <f>HYPERLINK("http://catalog.hathitrust.org/Record/000360408","HathiTrust Record")</f>
        <v>HathiTrust Record</v>
      </c>
      <c r="AS674" s="6" t="str">
        <f>HYPERLINK("https://creighton-primo.hosted.exlibrisgroup.com/primo-explore/search?tab=default_tab&amp;search_scope=EVERYTHING&amp;vid=01CRU&amp;lang=en_US&amp;offset=0&amp;query=any,contains,991003430059702656","Catalog Record")</f>
        <v>Catalog Record</v>
      </c>
      <c r="AT674" s="6" t="str">
        <f>HYPERLINK("http://www.worldcat.org/oclc/965369","WorldCat Record")</f>
        <v>WorldCat Record</v>
      </c>
      <c r="AU674" s="3" t="s">
        <v>8526</v>
      </c>
      <c r="AV674" s="3" t="s">
        <v>8527</v>
      </c>
      <c r="AW674" s="3" t="s">
        <v>8528</v>
      </c>
      <c r="AX674" s="3" t="s">
        <v>8528</v>
      </c>
      <c r="AY674" s="3" t="s">
        <v>8529</v>
      </c>
      <c r="AZ674" s="3" t="s">
        <v>76</v>
      </c>
      <c r="BC674" s="3" t="s">
        <v>8530</v>
      </c>
      <c r="BD674" s="3" t="s">
        <v>8531</v>
      </c>
    </row>
    <row r="675" spans="1:56" ht="52.5" customHeight="1" x14ac:dyDescent="0.25">
      <c r="A675" s="7" t="s">
        <v>59</v>
      </c>
      <c r="B675" s="2" t="s">
        <v>8532</v>
      </c>
      <c r="C675" s="2" t="s">
        <v>8533</v>
      </c>
      <c r="D675" s="2" t="s">
        <v>8534</v>
      </c>
      <c r="F675" s="3" t="s">
        <v>59</v>
      </c>
      <c r="G675" s="3" t="s">
        <v>60</v>
      </c>
      <c r="H675" s="3" t="s">
        <v>59</v>
      </c>
      <c r="I675" s="3" t="s">
        <v>59</v>
      </c>
      <c r="J675" s="3" t="s">
        <v>61</v>
      </c>
      <c r="K675" s="2" t="s">
        <v>8535</v>
      </c>
      <c r="L675" s="2" t="s">
        <v>8536</v>
      </c>
      <c r="M675" s="3" t="s">
        <v>131</v>
      </c>
      <c r="O675" s="3" t="s">
        <v>65</v>
      </c>
      <c r="P675" s="3" t="s">
        <v>66</v>
      </c>
      <c r="R675" s="3" t="s">
        <v>68</v>
      </c>
      <c r="S675" s="4">
        <v>1</v>
      </c>
      <c r="T675" s="4">
        <v>1</v>
      </c>
      <c r="U675" s="5" t="s">
        <v>8537</v>
      </c>
      <c r="V675" s="5" t="s">
        <v>8537</v>
      </c>
      <c r="W675" s="5" t="s">
        <v>7804</v>
      </c>
      <c r="X675" s="5" t="s">
        <v>7804</v>
      </c>
      <c r="Y675" s="4">
        <v>1234</v>
      </c>
      <c r="Z675" s="4">
        <v>1186</v>
      </c>
      <c r="AA675" s="4">
        <v>1338</v>
      </c>
      <c r="AB675" s="4">
        <v>8</v>
      </c>
      <c r="AC675" s="4">
        <v>10</v>
      </c>
      <c r="AD675" s="4">
        <v>28</v>
      </c>
      <c r="AE675" s="4">
        <v>33</v>
      </c>
      <c r="AF675" s="4">
        <v>14</v>
      </c>
      <c r="AG675" s="4">
        <v>15</v>
      </c>
      <c r="AH675" s="4">
        <v>3</v>
      </c>
      <c r="AI675" s="4">
        <v>4</v>
      </c>
      <c r="AJ675" s="4">
        <v>14</v>
      </c>
      <c r="AK675" s="4">
        <v>15</v>
      </c>
      <c r="AL675" s="4">
        <v>4</v>
      </c>
      <c r="AM675" s="4">
        <v>6</v>
      </c>
      <c r="AN675" s="4">
        <v>0</v>
      </c>
      <c r="AO675" s="4">
        <v>0</v>
      </c>
      <c r="AP675" s="3" t="s">
        <v>59</v>
      </c>
      <c r="AQ675" s="3" t="s">
        <v>71</v>
      </c>
      <c r="AR675" s="6" t="str">
        <f>HYPERLINK("http://catalog.hathitrust.org/Record/000360542","HathiTrust Record")</f>
        <v>HathiTrust Record</v>
      </c>
      <c r="AS675" s="6" t="str">
        <f>HYPERLINK("https://creighton-primo.hosted.exlibrisgroup.com/primo-explore/search?tab=default_tab&amp;search_scope=EVERYTHING&amp;vid=01CRU&amp;lang=en_US&amp;offset=0&amp;query=any,contains,991003275629702656","Catalog Record")</f>
        <v>Catalog Record</v>
      </c>
      <c r="AT675" s="6" t="str">
        <f>HYPERLINK("http://www.worldcat.org/oclc/799811","WorldCat Record")</f>
        <v>WorldCat Record</v>
      </c>
      <c r="AU675" s="3" t="s">
        <v>8538</v>
      </c>
      <c r="AV675" s="3" t="s">
        <v>8539</v>
      </c>
      <c r="AW675" s="3" t="s">
        <v>8540</v>
      </c>
      <c r="AX675" s="3" t="s">
        <v>8540</v>
      </c>
      <c r="AY675" s="3" t="s">
        <v>8541</v>
      </c>
      <c r="AZ675" s="3" t="s">
        <v>76</v>
      </c>
      <c r="BB675" s="3" t="s">
        <v>8542</v>
      </c>
      <c r="BC675" s="3" t="s">
        <v>8543</v>
      </c>
      <c r="BD675" s="3" t="s">
        <v>8544</v>
      </c>
    </row>
    <row r="676" spans="1:56" ht="52.5" customHeight="1" x14ac:dyDescent="0.25">
      <c r="A676" s="7" t="s">
        <v>59</v>
      </c>
      <c r="B676" s="2" t="s">
        <v>8545</v>
      </c>
      <c r="C676" s="2" t="s">
        <v>8546</v>
      </c>
      <c r="D676" s="2" t="s">
        <v>8547</v>
      </c>
      <c r="F676" s="3" t="s">
        <v>59</v>
      </c>
      <c r="G676" s="3" t="s">
        <v>60</v>
      </c>
      <c r="H676" s="3" t="s">
        <v>59</v>
      </c>
      <c r="I676" s="3" t="s">
        <v>59</v>
      </c>
      <c r="J676" s="3" t="s">
        <v>61</v>
      </c>
      <c r="K676" s="2" t="s">
        <v>8548</v>
      </c>
      <c r="L676" s="2" t="s">
        <v>8549</v>
      </c>
      <c r="M676" s="3" t="s">
        <v>405</v>
      </c>
      <c r="O676" s="3" t="s">
        <v>65</v>
      </c>
      <c r="P676" s="3" t="s">
        <v>66</v>
      </c>
      <c r="Q676" s="2" t="s">
        <v>8550</v>
      </c>
      <c r="R676" s="3" t="s">
        <v>68</v>
      </c>
      <c r="S676" s="4">
        <v>8</v>
      </c>
      <c r="T676" s="4">
        <v>8</v>
      </c>
      <c r="U676" s="5" t="s">
        <v>1573</v>
      </c>
      <c r="V676" s="5" t="s">
        <v>1573</v>
      </c>
      <c r="W676" s="5" t="s">
        <v>8551</v>
      </c>
      <c r="X676" s="5" t="s">
        <v>8551</v>
      </c>
      <c r="Y676" s="4">
        <v>289</v>
      </c>
      <c r="Z676" s="4">
        <v>246</v>
      </c>
      <c r="AA676" s="4">
        <v>253</v>
      </c>
      <c r="AB676" s="4">
        <v>2</v>
      </c>
      <c r="AC676" s="4">
        <v>2</v>
      </c>
      <c r="AD676" s="4">
        <v>13</v>
      </c>
      <c r="AE676" s="4">
        <v>13</v>
      </c>
      <c r="AF676" s="4">
        <v>5</v>
      </c>
      <c r="AG676" s="4">
        <v>5</v>
      </c>
      <c r="AH676" s="4">
        <v>4</v>
      </c>
      <c r="AI676" s="4">
        <v>4</v>
      </c>
      <c r="AJ676" s="4">
        <v>6</v>
      </c>
      <c r="AK676" s="4">
        <v>6</v>
      </c>
      <c r="AL676" s="4">
        <v>1</v>
      </c>
      <c r="AM676" s="4">
        <v>1</v>
      </c>
      <c r="AN676" s="4">
        <v>0</v>
      </c>
      <c r="AO676" s="4">
        <v>0</v>
      </c>
      <c r="AP676" s="3" t="s">
        <v>59</v>
      </c>
      <c r="AQ676" s="3" t="s">
        <v>71</v>
      </c>
      <c r="AR676" s="6" t="str">
        <f>HYPERLINK("http://catalog.hathitrust.org/Record/002485185","HathiTrust Record")</f>
        <v>HathiTrust Record</v>
      </c>
      <c r="AS676" s="6" t="str">
        <f>HYPERLINK("https://creighton-primo.hosted.exlibrisgroup.com/primo-explore/search?tab=default_tab&amp;search_scope=EVERYTHING&amp;vid=01CRU&amp;lang=en_US&amp;offset=0&amp;query=any,contains,991000957379702656","Catalog Record")</f>
        <v>Catalog Record</v>
      </c>
      <c r="AT676" s="6" t="str">
        <f>HYPERLINK("http://www.worldcat.org/oclc/14719652","WorldCat Record")</f>
        <v>WorldCat Record</v>
      </c>
      <c r="AU676" s="3" t="s">
        <v>8552</v>
      </c>
      <c r="AV676" s="3" t="s">
        <v>8553</v>
      </c>
      <c r="AW676" s="3" t="s">
        <v>8554</v>
      </c>
      <c r="AX676" s="3" t="s">
        <v>8554</v>
      </c>
      <c r="AY676" s="3" t="s">
        <v>8555</v>
      </c>
      <c r="AZ676" s="3" t="s">
        <v>76</v>
      </c>
      <c r="BB676" s="3" t="s">
        <v>8556</v>
      </c>
      <c r="BC676" s="3" t="s">
        <v>8557</v>
      </c>
      <c r="BD676" s="3" t="s">
        <v>8558</v>
      </c>
    </row>
    <row r="677" spans="1:56" ht="52.5" customHeight="1" x14ac:dyDescent="0.25">
      <c r="A677" s="7" t="s">
        <v>59</v>
      </c>
      <c r="B677" s="2" t="s">
        <v>8559</v>
      </c>
      <c r="C677" s="2" t="s">
        <v>8560</v>
      </c>
      <c r="D677" s="2" t="s">
        <v>8561</v>
      </c>
      <c r="F677" s="3" t="s">
        <v>59</v>
      </c>
      <c r="G677" s="3" t="s">
        <v>60</v>
      </c>
      <c r="H677" s="3" t="s">
        <v>59</v>
      </c>
      <c r="I677" s="3" t="s">
        <v>59</v>
      </c>
      <c r="J677" s="3" t="s">
        <v>61</v>
      </c>
      <c r="K677" s="2" t="s">
        <v>8562</v>
      </c>
      <c r="L677" s="2" t="s">
        <v>8563</v>
      </c>
      <c r="M677" s="3" t="s">
        <v>1217</v>
      </c>
      <c r="O677" s="3" t="s">
        <v>65</v>
      </c>
      <c r="P677" s="3" t="s">
        <v>66</v>
      </c>
      <c r="R677" s="3" t="s">
        <v>68</v>
      </c>
      <c r="S677" s="4">
        <v>8</v>
      </c>
      <c r="T677" s="4">
        <v>8</v>
      </c>
      <c r="U677" s="5" t="s">
        <v>8564</v>
      </c>
      <c r="V677" s="5" t="s">
        <v>8564</v>
      </c>
      <c r="W677" s="5" t="s">
        <v>8565</v>
      </c>
      <c r="X677" s="5" t="s">
        <v>8565</v>
      </c>
      <c r="Y677" s="4">
        <v>475</v>
      </c>
      <c r="Z677" s="4">
        <v>407</v>
      </c>
      <c r="AA677" s="4">
        <v>415</v>
      </c>
      <c r="AB677" s="4">
        <v>5</v>
      </c>
      <c r="AC677" s="4">
        <v>5</v>
      </c>
      <c r="AD677" s="4">
        <v>22</v>
      </c>
      <c r="AE677" s="4">
        <v>22</v>
      </c>
      <c r="AF677" s="4">
        <v>6</v>
      </c>
      <c r="AG677" s="4">
        <v>6</v>
      </c>
      <c r="AH677" s="4">
        <v>6</v>
      </c>
      <c r="AI677" s="4">
        <v>6</v>
      </c>
      <c r="AJ677" s="4">
        <v>12</v>
      </c>
      <c r="AK677" s="4">
        <v>12</v>
      </c>
      <c r="AL677" s="4">
        <v>4</v>
      </c>
      <c r="AM677" s="4">
        <v>4</v>
      </c>
      <c r="AN677" s="4">
        <v>0</v>
      </c>
      <c r="AO677" s="4">
        <v>0</v>
      </c>
      <c r="AP677" s="3" t="s">
        <v>59</v>
      </c>
      <c r="AQ677" s="3" t="s">
        <v>71</v>
      </c>
      <c r="AR677" s="6" t="str">
        <f>HYPERLINK("http://catalog.hathitrust.org/Record/000164043","HathiTrust Record")</f>
        <v>HathiTrust Record</v>
      </c>
      <c r="AS677" s="6" t="str">
        <f>HYPERLINK("https://creighton-primo.hosted.exlibrisgroup.com/primo-explore/search?tab=default_tab&amp;search_scope=EVERYTHING&amp;vid=01CRU&amp;lang=en_US&amp;offset=0&amp;query=any,contains,991000302069702656","Catalog Record")</f>
        <v>Catalog Record</v>
      </c>
      <c r="AT677" s="6" t="str">
        <f>HYPERLINK("http://www.worldcat.org/oclc/10023366","WorldCat Record")</f>
        <v>WorldCat Record</v>
      </c>
      <c r="AU677" s="3" t="s">
        <v>8566</v>
      </c>
      <c r="AV677" s="3" t="s">
        <v>8567</v>
      </c>
      <c r="AW677" s="3" t="s">
        <v>8568</v>
      </c>
      <c r="AX677" s="3" t="s">
        <v>8568</v>
      </c>
      <c r="AY677" s="3" t="s">
        <v>8569</v>
      </c>
      <c r="AZ677" s="3" t="s">
        <v>76</v>
      </c>
      <c r="BB677" s="3" t="s">
        <v>8570</v>
      </c>
      <c r="BC677" s="3" t="s">
        <v>8571</v>
      </c>
      <c r="BD677" s="3" t="s">
        <v>8572</v>
      </c>
    </row>
    <row r="678" spans="1:56" ht="52.5" customHeight="1" x14ac:dyDescent="0.25">
      <c r="A678" s="7" t="s">
        <v>59</v>
      </c>
      <c r="B678" s="2" t="s">
        <v>8573</v>
      </c>
      <c r="C678" s="2" t="s">
        <v>8574</v>
      </c>
      <c r="D678" s="2" t="s">
        <v>8575</v>
      </c>
      <c r="F678" s="3" t="s">
        <v>59</v>
      </c>
      <c r="G678" s="3" t="s">
        <v>60</v>
      </c>
      <c r="H678" s="3" t="s">
        <v>59</v>
      </c>
      <c r="I678" s="3" t="s">
        <v>59</v>
      </c>
      <c r="J678" s="3" t="s">
        <v>61</v>
      </c>
      <c r="K678" s="2" t="s">
        <v>8576</v>
      </c>
      <c r="L678" s="2" t="s">
        <v>8577</v>
      </c>
      <c r="M678" s="3" t="s">
        <v>350</v>
      </c>
      <c r="O678" s="3" t="s">
        <v>65</v>
      </c>
      <c r="P678" s="3" t="s">
        <v>66</v>
      </c>
      <c r="R678" s="3" t="s">
        <v>68</v>
      </c>
      <c r="S678" s="4">
        <v>8</v>
      </c>
      <c r="T678" s="4">
        <v>8</v>
      </c>
      <c r="U678" s="5" t="s">
        <v>8578</v>
      </c>
      <c r="V678" s="5" t="s">
        <v>8578</v>
      </c>
      <c r="W678" s="5" t="s">
        <v>5949</v>
      </c>
      <c r="X678" s="5" t="s">
        <v>5949</v>
      </c>
      <c r="Y678" s="4">
        <v>280</v>
      </c>
      <c r="Z678" s="4">
        <v>257</v>
      </c>
      <c r="AA678" s="4">
        <v>258</v>
      </c>
      <c r="AB678" s="4">
        <v>3</v>
      </c>
      <c r="AC678" s="4">
        <v>3</v>
      </c>
      <c r="AD678" s="4">
        <v>12</v>
      </c>
      <c r="AE678" s="4">
        <v>12</v>
      </c>
      <c r="AF678" s="4">
        <v>5</v>
      </c>
      <c r="AG678" s="4">
        <v>5</v>
      </c>
      <c r="AH678" s="4">
        <v>3</v>
      </c>
      <c r="AI678" s="4">
        <v>3</v>
      </c>
      <c r="AJ678" s="4">
        <v>8</v>
      </c>
      <c r="AK678" s="4">
        <v>8</v>
      </c>
      <c r="AL678" s="4">
        <v>1</v>
      </c>
      <c r="AM678" s="4">
        <v>1</v>
      </c>
      <c r="AN678" s="4">
        <v>0</v>
      </c>
      <c r="AO678" s="4">
        <v>0</v>
      </c>
      <c r="AP678" s="3" t="s">
        <v>59</v>
      </c>
      <c r="AQ678" s="3" t="s">
        <v>71</v>
      </c>
      <c r="AR678" s="6" t="str">
        <f>HYPERLINK("http://catalog.hathitrust.org/Record/000745622","HathiTrust Record")</f>
        <v>HathiTrust Record</v>
      </c>
      <c r="AS678" s="6" t="str">
        <f>HYPERLINK("https://creighton-primo.hosted.exlibrisgroup.com/primo-explore/search?tab=default_tab&amp;search_scope=EVERYTHING&amp;vid=01CRU&amp;lang=en_US&amp;offset=0&amp;query=any,contains,991004129219702656","Catalog Record")</f>
        <v>Catalog Record</v>
      </c>
      <c r="AT678" s="6" t="str">
        <f>HYPERLINK("http://www.worldcat.org/oclc/2463668","WorldCat Record")</f>
        <v>WorldCat Record</v>
      </c>
      <c r="AU678" s="3" t="s">
        <v>8579</v>
      </c>
      <c r="AV678" s="3" t="s">
        <v>8580</v>
      </c>
      <c r="AW678" s="3" t="s">
        <v>8581</v>
      </c>
      <c r="AX678" s="3" t="s">
        <v>8581</v>
      </c>
      <c r="AY678" s="3" t="s">
        <v>8582</v>
      </c>
      <c r="AZ678" s="3" t="s">
        <v>76</v>
      </c>
      <c r="BB678" s="3" t="s">
        <v>8583</v>
      </c>
      <c r="BC678" s="3" t="s">
        <v>8584</v>
      </c>
      <c r="BD678" s="3" t="s">
        <v>8585</v>
      </c>
    </row>
    <row r="679" spans="1:56" ht="52.5" customHeight="1" x14ac:dyDescent="0.25">
      <c r="A679" s="7" t="s">
        <v>59</v>
      </c>
      <c r="B679" s="2" t="s">
        <v>8586</v>
      </c>
      <c r="C679" s="2" t="s">
        <v>8587</v>
      </c>
      <c r="D679" s="2" t="s">
        <v>8588</v>
      </c>
      <c r="F679" s="3" t="s">
        <v>59</v>
      </c>
      <c r="G679" s="3" t="s">
        <v>60</v>
      </c>
      <c r="H679" s="3" t="s">
        <v>59</v>
      </c>
      <c r="I679" s="3" t="s">
        <v>59</v>
      </c>
      <c r="J679" s="3" t="s">
        <v>61</v>
      </c>
      <c r="K679" s="2" t="s">
        <v>8589</v>
      </c>
      <c r="L679" s="2" t="s">
        <v>8590</v>
      </c>
      <c r="M679" s="3" t="s">
        <v>131</v>
      </c>
      <c r="O679" s="3" t="s">
        <v>65</v>
      </c>
      <c r="P679" s="3" t="s">
        <v>66</v>
      </c>
      <c r="R679" s="3" t="s">
        <v>68</v>
      </c>
      <c r="S679" s="4">
        <v>5</v>
      </c>
      <c r="T679" s="4">
        <v>5</v>
      </c>
      <c r="U679" s="5" t="s">
        <v>5661</v>
      </c>
      <c r="V679" s="5" t="s">
        <v>5661</v>
      </c>
      <c r="W679" s="5" t="s">
        <v>5507</v>
      </c>
      <c r="X679" s="5" t="s">
        <v>5507</v>
      </c>
      <c r="Y679" s="4">
        <v>718</v>
      </c>
      <c r="Z679" s="4">
        <v>593</v>
      </c>
      <c r="AA679" s="4">
        <v>599</v>
      </c>
      <c r="AB679" s="4">
        <v>6</v>
      </c>
      <c r="AC679" s="4">
        <v>6</v>
      </c>
      <c r="AD679" s="4">
        <v>28</v>
      </c>
      <c r="AE679" s="4">
        <v>28</v>
      </c>
      <c r="AF679" s="4">
        <v>8</v>
      </c>
      <c r="AG679" s="4">
        <v>8</v>
      </c>
      <c r="AH679" s="4">
        <v>7</v>
      </c>
      <c r="AI679" s="4">
        <v>7</v>
      </c>
      <c r="AJ679" s="4">
        <v>14</v>
      </c>
      <c r="AK679" s="4">
        <v>14</v>
      </c>
      <c r="AL679" s="4">
        <v>4</v>
      </c>
      <c r="AM679" s="4">
        <v>4</v>
      </c>
      <c r="AN679" s="4">
        <v>0</v>
      </c>
      <c r="AO679" s="4">
        <v>0</v>
      </c>
      <c r="AP679" s="3" t="s">
        <v>59</v>
      </c>
      <c r="AQ679" s="3" t="s">
        <v>71</v>
      </c>
      <c r="AR679" s="6" t="str">
        <f>HYPERLINK("http://catalog.hathitrust.org/Record/000015647","HathiTrust Record")</f>
        <v>HathiTrust Record</v>
      </c>
      <c r="AS679" s="6" t="str">
        <f>HYPERLINK("https://creighton-primo.hosted.exlibrisgroup.com/primo-explore/search?tab=default_tab&amp;search_scope=EVERYTHING&amp;vid=01CRU&amp;lang=en_US&amp;offset=0&amp;query=any,contains,991003434949702656","Catalog Record")</f>
        <v>Catalog Record</v>
      </c>
      <c r="AT679" s="6" t="str">
        <f>HYPERLINK("http://www.worldcat.org/oclc/969757","WorldCat Record")</f>
        <v>WorldCat Record</v>
      </c>
      <c r="AU679" s="3" t="s">
        <v>8591</v>
      </c>
      <c r="AV679" s="3" t="s">
        <v>8592</v>
      </c>
      <c r="AW679" s="3" t="s">
        <v>8593</v>
      </c>
      <c r="AX679" s="3" t="s">
        <v>8593</v>
      </c>
      <c r="AY679" s="3" t="s">
        <v>8594</v>
      </c>
      <c r="AZ679" s="3" t="s">
        <v>76</v>
      </c>
      <c r="BB679" s="3" t="s">
        <v>8595</v>
      </c>
      <c r="BC679" s="3" t="s">
        <v>8596</v>
      </c>
      <c r="BD679" s="3" t="s">
        <v>8597</v>
      </c>
    </row>
    <row r="680" spans="1:56" ht="52.5" customHeight="1" x14ac:dyDescent="0.25">
      <c r="A680" s="7" t="s">
        <v>59</v>
      </c>
      <c r="B680" s="2" t="s">
        <v>8598</v>
      </c>
      <c r="C680" s="2" t="s">
        <v>8599</v>
      </c>
      <c r="D680" s="2" t="s">
        <v>8600</v>
      </c>
      <c r="F680" s="3" t="s">
        <v>59</v>
      </c>
      <c r="G680" s="3" t="s">
        <v>60</v>
      </c>
      <c r="H680" s="3" t="s">
        <v>59</v>
      </c>
      <c r="I680" s="3" t="s">
        <v>59</v>
      </c>
      <c r="J680" s="3" t="s">
        <v>61</v>
      </c>
      <c r="L680" s="2" t="s">
        <v>7173</v>
      </c>
      <c r="M680" s="3" t="s">
        <v>616</v>
      </c>
      <c r="O680" s="3" t="s">
        <v>65</v>
      </c>
      <c r="P680" s="3" t="s">
        <v>66</v>
      </c>
      <c r="Q680" s="2" t="s">
        <v>8601</v>
      </c>
      <c r="R680" s="3" t="s">
        <v>68</v>
      </c>
      <c r="S680" s="4">
        <v>14</v>
      </c>
      <c r="T680" s="4">
        <v>14</v>
      </c>
      <c r="U680" s="5" t="s">
        <v>8602</v>
      </c>
      <c r="V680" s="5" t="s">
        <v>8602</v>
      </c>
      <c r="W680" s="5" t="s">
        <v>8603</v>
      </c>
      <c r="X680" s="5" t="s">
        <v>8603</v>
      </c>
      <c r="Y680" s="4">
        <v>291</v>
      </c>
      <c r="Z680" s="4">
        <v>251</v>
      </c>
      <c r="AA680" s="4">
        <v>259</v>
      </c>
      <c r="AB680" s="4">
        <v>3</v>
      </c>
      <c r="AC680" s="4">
        <v>3</v>
      </c>
      <c r="AD680" s="4">
        <v>11</v>
      </c>
      <c r="AE680" s="4">
        <v>11</v>
      </c>
      <c r="AF680" s="4">
        <v>3</v>
      </c>
      <c r="AG680" s="4">
        <v>3</v>
      </c>
      <c r="AH680" s="4">
        <v>3</v>
      </c>
      <c r="AI680" s="4">
        <v>3</v>
      </c>
      <c r="AJ680" s="4">
        <v>7</v>
      </c>
      <c r="AK680" s="4">
        <v>7</v>
      </c>
      <c r="AL680" s="4">
        <v>2</v>
      </c>
      <c r="AM680" s="4">
        <v>2</v>
      </c>
      <c r="AN680" s="4">
        <v>0</v>
      </c>
      <c r="AO680" s="4">
        <v>0</v>
      </c>
      <c r="AP680" s="3" t="s">
        <v>59</v>
      </c>
      <c r="AQ680" s="3" t="s">
        <v>71</v>
      </c>
      <c r="AR680" s="6" t="str">
        <f>HYPERLINK("http://catalog.hathitrust.org/Record/000877009","HathiTrust Record")</f>
        <v>HathiTrust Record</v>
      </c>
      <c r="AS680" s="6" t="str">
        <f>HYPERLINK("https://creighton-primo.hosted.exlibrisgroup.com/primo-explore/search?tab=default_tab&amp;search_scope=EVERYTHING&amp;vid=01CRU&amp;lang=en_US&amp;offset=0&amp;query=any,contains,991001094349702656","Catalog Record")</f>
        <v>Catalog Record</v>
      </c>
      <c r="AT680" s="6" t="str">
        <f>HYPERLINK("http://www.worldcat.org/oclc/16227631","WorldCat Record")</f>
        <v>WorldCat Record</v>
      </c>
      <c r="AU680" s="3" t="s">
        <v>8604</v>
      </c>
      <c r="AV680" s="3" t="s">
        <v>8605</v>
      </c>
      <c r="AW680" s="3" t="s">
        <v>8606</v>
      </c>
      <c r="AX680" s="3" t="s">
        <v>8606</v>
      </c>
      <c r="AY680" s="3" t="s">
        <v>8607</v>
      </c>
      <c r="AZ680" s="3" t="s">
        <v>76</v>
      </c>
      <c r="BB680" s="3" t="s">
        <v>8608</v>
      </c>
      <c r="BC680" s="3" t="s">
        <v>8609</v>
      </c>
      <c r="BD680" s="3" t="s">
        <v>8610</v>
      </c>
    </row>
    <row r="681" spans="1:56" ht="52.5" customHeight="1" x14ac:dyDescent="0.25">
      <c r="A681" s="7" t="s">
        <v>59</v>
      </c>
      <c r="B681" s="2" t="s">
        <v>8611</v>
      </c>
      <c r="C681" s="2" t="s">
        <v>8612</v>
      </c>
      <c r="D681" s="2" t="s">
        <v>8613</v>
      </c>
      <c r="F681" s="3" t="s">
        <v>59</v>
      </c>
      <c r="G681" s="3" t="s">
        <v>60</v>
      </c>
      <c r="H681" s="3" t="s">
        <v>59</v>
      </c>
      <c r="I681" s="3" t="s">
        <v>59</v>
      </c>
      <c r="J681" s="3" t="s">
        <v>61</v>
      </c>
      <c r="K681" s="2" t="s">
        <v>8614</v>
      </c>
      <c r="L681" s="2" t="s">
        <v>3106</v>
      </c>
      <c r="M681" s="3" t="s">
        <v>475</v>
      </c>
      <c r="O681" s="3" t="s">
        <v>65</v>
      </c>
      <c r="P681" s="3" t="s">
        <v>66</v>
      </c>
      <c r="R681" s="3" t="s">
        <v>68</v>
      </c>
      <c r="S681" s="4">
        <v>7</v>
      </c>
      <c r="T681" s="4">
        <v>7</v>
      </c>
      <c r="U681" s="5" t="s">
        <v>1122</v>
      </c>
      <c r="V681" s="5" t="s">
        <v>1122</v>
      </c>
      <c r="W681" s="5" t="s">
        <v>8615</v>
      </c>
      <c r="X681" s="5" t="s">
        <v>8615</v>
      </c>
      <c r="Y681" s="4">
        <v>1101</v>
      </c>
      <c r="Z681" s="4">
        <v>991</v>
      </c>
      <c r="AA681" s="4">
        <v>1044</v>
      </c>
      <c r="AB681" s="4">
        <v>8</v>
      </c>
      <c r="AC681" s="4">
        <v>8</v>
      </c>
      <c r="AD681" s="4">
        <v>36</v>
      </c>
      <c r="AE681" s="4">
        <v>39</v>
      </c>
      <c r="AF681" s="4">
        <v>15</v>
      </c>
      <c r="AG681" s="4">
        <v>17</v>
      </c>
      <c r="AH681" s="4">
        <v>8</v>
      </c>
      <c r="AI681" s="4">
        <v>9</v>
      </c>
      <c r="AJ681" s="4">
        <v>15</v>
      </c>
      <c r="AK681" s="4">
        <v>17</v>
      </c>
      <c r="AL681" s="4">
        <v>6</v>
      </c>
      <c r="AM681" s="4">
        <v>6</v>
      </c>
      <c r="AN681" s="4">
        <v>0</v>
      </c>
      <c r="AO681" s="4">
        <v>0</v>
      </c>
      <c r="AP681" s="3" t="s">
        <v>59</v>
      </c>
      <c r="AQ681" s="3" t="s">
        <v>71</v>
      </c>
      <c r="AR681" s="6" t="str">
        <f>HYPERLINK("http://catalog.hathitrust.org/Record/000776389","HathiTrust Record")</f>
        <v>HathiTrust Record</v>
      </c>
      <c r="AS681" s="6" t="str">
        <f>HYPERLINK("https://creighton-primo.hosted.exlibrisgroup.com/primo-explore/search?tab=default_tab&amp;search_scope=EVERYTHING&amp;vid=01CRU&amp;lang=en_US&amp;offset=0&amp;query=any,contains,991000216089702656","Catalog Record")</f>
        <v>Catalog Record</v>
      </c>
      <c r="AT681" s="6" t="str">
        <f>HYPERLINK("http://www.worldcat.org/oclc/9557712","WorldCat Record")</f>
        <v>WorldCat Record</v>
      </c>
      <c r="AU681" s="3" t="s">
        <v>8616</v>
      </c>
      <c r="AV681" s="3" t="s">
        <v>8617</v>
      </c>
      <c r="AW681" s="3" t="s">
        <v>8618</v>
      </c>
      <c r="AX681" s="3" t="s">
        <v>8618</v>
      </c>
      <c r="AY681" s="3" t="s">
        <v>8619</v>
      </c>
      <c r="AZ681" s="3" t="s">
        <v>76</v>
      </c>
      <c r="BB681" s="3" t="s">
        <v>8620</v>
      </c>
      <c r="BC681" s="3" t="s">
        <v>8621</v>
      </c>
      <c r="BD681" s="3" t="s">
        <v>8622</v>
      </c>
    </row>
    <row r="682" spans="1:56" ht="52.5" customHeight="1" x14ac:dyDescent="0.25">
      <c r="A682" s="7" t="s">
        <v>59</v>
      </c>
      <c r="B682" s="2" t="s">
        <v>8623</v>
      </c>
      <c r="C682" s="2" t="s">
        <v>8624</v>
      </c>
      <c r="D682" s="2" t="s">
        <v>8625</v>
      </c>
      <c r="F682" s="3" t="s">
        <v>59</v>
      </c>
      <c r="G682" s="3" t="s">
        <v>60</v>
      </c>
      <c r="H682" s="3" t="s">
        <v>59</v>
      </c>
      <c r="I682" s="3" t="s">
        <v>59</v>
      </c>
      <c r="J682" s="3" t="s">
        <v>61</v>
      </c>
      <c r="K682" s="2" t="s">
        <v>8626</v>
      </c>
      <c r="L682" s="2" t="s">
        <v>8627</v>
      </c>
      <c r="M682" s="3" t="s">
        <v>987</v>
      </c>
      <c r="N682" s="2" t="s">
        <v>435</v>
      </c>
      <c r="O682" s="3" t="s">
        <v>65</v>
      </c>
      <c r="P682" s="3" t="s">
        <v>66</v>
      </c>
      <c r="Q682" s="2" t="s">
        <v>8628</v>
      </c>
      <c r="R682" s="3" t="s">
        <v>68</v>
      </c>
      <c r="S682" s="4">
        <v>13</v>
      </c>
      <c r="T682" s="4">
        <v>13</v>
      </c>
      <c r="U682" s="5" t="s">
        <v>8629</v>
      </c>
      <c r="V682" s="5" t="s">
        <v>8629</v>
      </c>
      <c r="W682" s="5" t="s">
        <v>8630</v>
      </c>
      <c r="X682" s="5" t="s">
        <v>8630</v>
      </c>
      <c r="Y682" s="4">
        <v>293</v>
      </c>
      <c r="Z682" s="4">
        <v>245</v>
      </c>
      <c r="AA682" s="4">
        <v>247</v>
      </c>
      <c r="AB682" s="4">
        <v>5</v>
      </c>
      <c r="AC682" s="4">
        <v>5</v>
      </c>
      <c r="AD682" s="4">
        <v>11</v>
      </c>
      <c r="AE682" s="4">
        <v>11</v>
      </c>
      <c r="AF682" s="4">
        <v>3</v>
      </c>
      <c r="AG682" s="4">
        <v>3</v>
      </c>
      <c r="AH682" s="4">
        <v>2</v>
      </c>
      <c r="AI682" s="4">
        <v>2</v>
      </c>
      <c r="AJ682" s="4">
        <v>5</v>
      </c>
      <c r="AK682" s="4">
        <v>5</v>
      </c>
      <c r="AL682" s="4">
        <v>2</v>
      </c>
      <c r="AM682" s="4">
        <v>2</v>
      </c>
      <c r="AN682" s="4">
        <v>0</v>
      </c>
      <c r="AO682" s="4">
        <v>0</v>
      </c>
      <c r="AP682" s="3" t="s">
        <v>59</v>
      </c>
      <c r="AQ682" s="3" t="s">
        <v>71</v>
      </c>
      <c r="AR682" s="6" t="str">
        <f>HYPERLINK("http://catalog.hathitrust.org/Record/000381634","HathiTrust Record")</f>
        <v>HathiTrust Record</v>
      </c>
      <c r="AS682" s="6" t="str">
        <f>HYPERLINK("https://creighton-primo.hosted.exlibrisgroup.com/primo-explore/search?tab=default_tab&amp;search_scope=EVERYTHING&amp;vid=01CRU&amp;lang=en_US&amp;offset=0&amp;query=any,contains,991000546879702656","Catalog Record")</f>
        <v>Catalog Record</v>
      </c>
      <c r="AT682" s="6" t="str">
        <f>HYPERLINK("http://www.worldcat.org/oclc/91607","WorldCat Record")</f>
        <v>WorldCat Record</v>
      </c>
      <c r="AU682" s="3" t="s">
        <v>8631</v>
      </c>
      <c r="AV682" s="3" t="s">
        <v>8632</v>
      </c>
      <c r="AW682" s="3" t="s">
        <v>8633</v>
      </c>
      <c r="AX682" s="3" t="s">
        <v>8633</v>
      </c>
      <c r="AY682" s="3" t="s">
        <v>8634</v>
      </c>
      <c r="AZ682" s="3" t="s">
        <v>76</v>
      </c>
      <c r="BB682" s="3" t="s">
        <v>8635</v>
      </c>
      <c r="BC682" s="3" t="s">
        <v>8636</v>
      </c>
      <c r="BD682" s="3" t="s">
        <v>8637</v>
      </c>
    </row>
    <row r="683" spans="1:56" ht="52.5" customHeight="1" x14ac:dyDescent="0.25">
      <c r="A683" s="7" t="s">
        <v>59</v>
      </c>
      <c r="B683" s="2" t="s">
        <v>8638</v>
      </c>
      <c r="C683" s="2" t="s">
        <v>8639</v>
      </c>
      <c r="D683" s="2" t="s">
        <v>8640</v>
      </c>
      <c r="F683" s="3" t="s">
        <v>59</v>
      </c>
      <c r="G683" s="3" t="s">
        <v>60</v>
      </c>
      <c r="H683" s="3" t="s">
        <v>59</v>
      </c>
      <c r="I683" s="3" t="s">
        <v>59</v>
      </c>
      <c r="J683" s="3" t="s">
        <v>61</v>
      </c>
      <c r="K683" s="2" t="s">
        <v>8641</v>
      </c>
      <c r="L683" s="2" t="s">
        <v>8642</v>
      </c>
      <c r="M683" s="3" t="s">
        <v>164</v>
      </c>
      <c r="O683" s="3" t="s">
        <v>65</v>
      </c>
      <c r="P683" s="3" t="s">
        <v>5000</v>
      </c>
      <c r="R683" s="3" t="s">
        <v>68</v>
      </c>
      <c r="S683" s="4">
        <v>3</v>
      </c>
      <c r="T683" s="4">
        <v>3</v>
      </c>
      <c r="U683" s="5" t="s">
        <v>5963</v>
      </c>
      <c r="V683" s="5" t="s">
        <v>5963</v>
      </c>
      <c r="W683" s="5" t="s">
        <v>8643</v>
      </c>
      <c r="X683" s="5" t="s">
        <v>8643</v>
      </c>
      <c r="Y683" s="4">
        <v>373</v>
      </c>
      <c r="Z683" s="4">
        <v>316</v>
      </c>
      <c r="AA683" s="4">
        <v>349</v>
      </c>
      <c r="AB683" s="4">
        <v>4</v>
      </c>
      <c r="AC683" s="4">
        <v>4</v>
      </c>
      <c r="AD683" s="4">
        <v>16</v>
      </c>
      <c r="AE683" s="4">
        <v>16</v>
      </c>
      <c r="AF683" s="4">
        <v>2</v>
      </c>
      <c r="AG683" s="4">
        <v>2</v>
      </c>
      <c r="AH683" s="4">
        <v>5</v>
      </c>
      <c r="AI683" s="4">
        <v>5</v>
      </c>
      <c r="AJ683" s="4">
        <v>9</v>
      </c>
      <c r="AK683" s="4">
        <v>9</v>
      </c>
      <c r="AL683" s="4">
        <v>3</v>
      </c>
      <c r="AM683" s="4">
        <v>3</v>
      </c>
      <c r="AN683" s="4">
        <v>0</v>
      </c>
      <c r="AO683" s="4">
        <v>0</v>
      </c>
      <c r="AP683" s="3" t="s">
        <v>59</v>
      </c>
      <c r="AQ683" s="3" t="s">
        <v>59</v>
      </c>
      <c r="AS683" s="6" t="str">
        <f>HYPERLINK("https://creighton-primo.hosted.exlibrisgroup.com/primo-explore/search?tab=default_tab&amp;search_scope=EVERYTHING&amp;vid=01CRU&amp;lang=en_US&amp;offset=0&amp;query=any,contains,991004791279702656","Catalog Record")</f>
        <v>Catalog Record</v>
      </c>
      <c r="AT683" s="6" t="str">
        <f>HYPERLINK("http://www.worldcat.org/oclc/5171239","WorldCat Record")</f>
        <v>WorldCat Record</v>
      </c>
      <c r="AU683" s="3" t="s">
        <v>8644</v>
      </c>
      <c r="AV683" s="3" t="s">
        <v>8645</v>
      </c>
      <c r="AW683" s="3" t="s">
        <v>8646</v>
      </c>
      <c r="AX683" s="3" t="s">
        <v>8646</v>
      </c>
      <c r="AY683" s="3" t="s">
        <v>8647</v>
      </c>
      <c r="AZ683" s="3" t="s">
        <v>76</v>
      </c>
      <c r="BB683" s="3" t="s">
        <v>8648</v>
      </c>
      <c r="BC683" s="3" t="s">
        <v>8649</v>
      </c>
      <c r="BD683" s="3" t="s">
        <v>8650</v>
      </c>
    </row>
    <row r="684" spans="1:56" ht="52.5" customHeight="1" x14ac:dyDescent="0.25">
      <c r="A684" s="7" t="s">
        <v>59</v>
      </c>
      <c r="B684" s="2" t="s">
        <v>8651</v>
      </c>
      <c r="C684" s="2" t="s">
        <v>8652</v>
      </c>
      <c r="D684" s="2" t="s">
        <v>8653</v>
      </c>
      <c r="F684" s="3" t="s">
        <v>59</v>
      </c>
      <c r="G684" s="3" t="s">
        <v>60</v>
      </c>
      <c r="H684" s="3" t="s">
        <v>59</v>
      </c>
      <c r="I684" s="3" t="s">
        <v>59</v>
      </c>
      <c r="J684" s="3" t="s">
        <v>61</v>
      </c>
      <c r="K684" s="2" t="s">
        <v>8654</v>
      </c>
      <c r="L684" s="2" t="s">
        <v>8655</v>
      </c>
      <c r="M684" s="3" t="s">
        <v>987</v>
      </c>
      <c r="O684" s="3" t="s">
        <v>65</v>
      </c>
      <c r="P684" s="3" t="s">
        <v>296</v>
      </c>
      <c r="Q684" s="2" t="s">
        <v>8656</v>
      </c>
      <c r="R684" s="3" t="s">
        <v>68</v>
      </c>
      <c r="S684" s="4">
        <v>5</v>
      </c>
      <c r="T684" s="4">
        <v>5</v>
      </c>
      <c r="U684" s="5" t="s">
        <v>6321</v>
      </c>
      <c r="V684" s="5" t="s">
        <v>6321</v>
      </c>
      <c r="W684" s="5" t="s">
        <v>7804</v>
      </c>
      <c r="X684" s="5" t="s">
        <v>7804</v>
      </c>
      <c r="Y684" s="4">
        <v>493</v>
      </c>
      <c r="Z684" s="4">
        <v>428</v>
      </c>
      <c r="AA684" s="4">
        <v>431</v>
      </c>
      <c r="AB684" s="4">
        <v>3</v>
      </c>
      <c r="AC684" s="4">
        <v>3</v>
      </c>
      <c r="AD684" s="4">
        <v>26</v>
      </c>
      <c r="AE684" s="4">
        <v>26</v>
      </c>
      <c r="AF684" s="4">
        <v>8</v>
      </c>
      <c r="AG684" s="4">
        <v>8</v>
      </c>
      <c r="AH684" s="4">
        <v>6</v>
      </c>
      <c r="AI684" s="4">
        <v>6</v>
      </c>
      <c r="AJ684" s="4">
        <v>18</v>
      </c>
      <c r="AK684" s="4">
        <v>18</v>
      </c>
      <c r="AL684" s="4">
        <v>2</v>
      </c>
      <c r="AM684" s="4">
        <v>2</v>
      </c>
      <c r="AN684" s="4">
        <v>0</v>
      </c>
      <c r="AO684" s="4">
        <v>0</v>
      </c>
      <c r="AP684" s="3" t="s">
        <v>59</v>
      </c>
      <c r="AQ684" s="3" t="s">
        <v>71</v>
      </c>
      <c r="AR684" s="6" t="str">
        <f>HYPERLINK("http://catalog.hathitrust.org/Record/000381662","HathiTrust Record")</f>
        <v>HathiTrust Record</v>
      </c>
      <c r="AS684" s="6" t="str">
        <f>HYPERLINK("https://creighton-primo.hosted.exlibrisgroup.com/primo-explore/search?tab=default_tab&amp;search_scope=EVERYTHING&amp;vid=01CRU&amp;lang=en_US&amp;offset=0&amp;query=any,contains,991000636719702656","Catalog Record")</f>
        <v>Catalog Record</v>
      </c>
      <c r="AT684" s="6" t="str">
        <f>HYPERLINK("http://www.worldcat.org/oclc/108063","WorldCat Record")</f>
        <v>WorldCat Record</v>
      </c>
      <c r="AU684" s="3" t="s">
        <v>8657</v>
      </c>
      <c r="AV684" s="3" t="s">
        <v>8658</v>
      </c>
      <c r="AW684" s="3" t="s">
        <v>8659</v>
      </c>
      <c r="AX684" s="3" t="s">
        <v>8659</v>
      </c>
      <c r="AY684" s="3" t="s">
        <v>8660</v>
      </c>
      <c r="AZ684" s="3" t="s">
        <v>76</v>
      </c>
      <c r="BC684" s="3" t="s">
        <v>8661</v>
      </c>
      <c r="BD684" s="3" t="s">
        <v>8662</v>
      </c>
    </row>
    <row r="685" spans="1:56" ht="52.5" customHeight="1" x14ac:dyDescent="0.25">
      <c r="A685" s="7" t="s">
        <v>59</v>
      </c>
      <c r="B685" s="2" t="s">
        <v>8663</v>
      </c>
      <c r="C685" s="2" t="s">
        <v>8664</v>
      </c>
      <c r="D685" s="2" t="s">
        <v>8665</v>
      </c>
      <c r="F685" s="3" t="s">
        <v>59</v>
      </c>
      <c r="G685" s="3" t="s">
        <v>60</v>
      </c>
      <c r="H685" s="3" t="s">
        <v>59</v>
      </c>
      <c r="I685" s="3" t="s">
        <v>59</v>
      </c>
      <c r="J685" s="3" t="s">
        <v>61</v>
      </c>
      <c r="K685" s="2" t="s">
        <v>8666</v>
      </c>
      <c r="L685" s="2" t="s">
        <v>8667</v>
      </c>
      <c r="M685" s="3" t="s">
        <v>1163</v>
      </c>
      <c r="N685" s="2" t="s">
        <v>887</v>
      </c>
      <c r="O685" s="3" t="s">
        <v>65</v>
      </c>
      <c r="P685" s="3" t="s">
        <v>66</v>
      </c>
      <c r="R685" s="3" t="s">
        <v>68</v>
      </c>
      <c r="S685" s="4">
        <v>6</v>
      </c>
      <c r="T685" s="4">
        <v>6</v>
      </c>
      <c r="U685" s="5" t="s">
        <v>8668</v>
      </c>
      <c r="V685" s="5" t="s">
        <v>8668</v>
      </c>
      <c r="W685" s="5" t="s">
        <v>7672</v>
      </c>
      <c r="X685" s="5" t="s">
        <v>7672</v>
      </c>
      <c r="Y685" s="4">
        <v>509</v>
      </c>
      <c r="Z685" s="4">
        <v>483</v>
      </c>
      <c r="AA685" s="4">
        <v>615</v>
      </c>
      <c r="AB685" s="4">
        <v>7</v>
      </c>
      <c r="AC685" s="4">
        <v>8</v>
      </c>
      <c r="AD685" s="4">
        <v>7</v>
      </c>
      <c r="AE685" s="4">
        <v>13</v>
      </c>
      <c r="AF685" s="4">
        <v>0</v>
      </c>
      <c r="AG685" s="4">
        <v>2</v>
      </c>
      <c r="AH685" s="4">
        <v>0</v>
      </c>
      <c r="AI685" s="4">
        <v>3</v>
      </c>
      <c r="AJ685" s="4">
        <v>4</v>
      </c>
      <c r="AK685" s="4">
        <v>5</v>
      </c>
      <c r="AL685" s="4">
        <v>3</v>
      </c>
      <c r="AM685" s="4">
        <v>4</v>
      </c>
      <c r="AN685" s="4">
        <v>0</v>
      </c>
      <c r="AO685" s="4">
        <v>0</v>
      </c>
      <c r="AP685" s="3" t="s">
        <v>59</v>
      </c>
      <c r="AQ685" s="3" t="s">
        <v>71</v>
      </c>
      <c r="AR685" s="6" t="str">
        <f>HYPERLINK("http://catalog.hathitrust.org/Record/000437845","HathiTrust Record")</f>
        <v>HathiTrust Record</v>
      </c>
      <c r="AS685" s="6" t="str">
        <f>HYPERLINK("https://creighton-primo.hosted.exlibrisgroup.com/primo-explore/search?tab=default_tab&amp;search_scope=EVERYTHING&amp;vid=01CRU&amp;lang=en_US&amp;offset=0&amp;query=any,contains,991000528349702656","Catalog Record")</f>
        <v>Catalog Record</v>
      </c>
      <c r="AT685" s="6" t="str">
        <f>HYPERLINK("http://www.worldcat.org/oclc/11375731","WorldCat Record")</f>
        <v>WorldCat Record</v>
      </c>
      <c r="AU685" s="3" t="s">
        <v>8669</v>
      </c>
      <c r="AV685" s="3" t="s">
        <v>8670</v>
      </c>
      <c r="AW685" s="3" t="s">
        <v>8671</v>
      </c>
      <c r="AX685" s="3" t="s">
        <v>8671</v>
      </c>
      <c r="AY685" s="3" t="s">
        <v>8672</v>
      </c>
      <c r="AZ685" s="3" t="s">
        <v>76</v>
      </c>
      <c r="BB685" s="3" t="s">
        <v>8673</v>
      </c>
      <c r="BC685" s="3" t="s">
        <v>8674</v>
      </c>
      <c r="BD685" s="3" t="s">
        <v>8675</v>
      </c>
    </row>
    <row r="686" spans="1:56" ht="52.5" customHeight="1" x14ac:dyDescent="0.25">
      <c r="A686" s="7" t="s">
        <v>59</v>
      </c>
      <c r="B686" s="2" t="s">
        <v>8676</v>
      </c>
      <c r="C686" s="2" t="s">
        <v>8677</v>
      </c>
      <c r="D686" s="2" t="s">
        <v>8678</v>
      </c>
      <c r="F686" s="3" t="s">
        <v>59</v>
      </c>
      <c r="G686" s="3" t="s">
        <v>60</v>
      </c>
      <c r="H686" s="3" t="s">
        <v>59</v>
      </c>
      <c r="I686" s="3" t="s">
        <v>59</v>
      </c>
      <c r="J686" s="3" t="s">
        <v>61</v>
      </c>
      <c r="L686" s="2" t="s">
        <v>8679</v>
      </c>
      <c r="M686" s="3" t="s">
        <v>195</v>
      </c>
      <c r="O686" s="3" t="s">
        <v>65</v>
      </c>
      <c r="P686" s="3" t="s">
        <v>66</v>
      </c>
      <c r="Q686" s="2" t="s">
        <v>8680</v>
      </c>
      <c r="R686" s="3" t="s">
        <v>68</v>
      </c>
      <c r="S686" s="4">
        <v>7</v>
      </c>
      <c r="T686" s="4">
        <v>7</v>
      </c>
      <c r="U686" s="5" t="s">
        <v>8681</v>
      </c>
      <c r="V686" s="5" t="s">
        <v>8681</v>
      </c>
      <c r="W686" s="5" t="s">
        <v>7161</v>
      </c>
      <c r="X686" s="5" t="s">
        <v>7161</v>
      </c>
      <c r="Y686" s="4">
        <v>941</v>
      </c>
      <c r="Z686" s="4">
        <v>775</v>
      </c>
      <c r="AA686" s="4">
        <v>777</v>
      </c>
      <c r="AB686" s="4">
        <v>8</v>
      </c>
      <c r="AC686" s="4">
        <v>8</v>
      </c>
      <c r="AD686" s="4">
        <v>44</v>
      </c>
      <c r="AE686" s="4">
        <v>44</v>
      </c>
      <c r="AF686" s="4">
        <v>21</v>
      </c>
      <c r="AG686" s="4">
        <v>21</v>
      </c>
      <c r="AH686" s="4">
        <v>10</v>
      </c>
      <c r="AI686" s="4">
        <v>10</v>
      </c>
      <c r="AJ686" s="4">
        <v>20</v>
      </c>
      <c r="AK686" s="4">
        <v>20</v>
      </c>
      <c r="AL686" s="4">
        <v>6</v>
      </c>
      <c r="AM686" s="4">
        <v>6</v>
      </c>
      <c r="AN686" s="4">
        <v>0</v>
      </c>
      <c r="AO686" s="4">
        <v>0</v>
      </c>
      <c r="AP686" s="3" t="s">
        <v>59</v>
      </c>
      <c r="AQ686" s="3" t="s">
        <v>71</v>
      </c>
      <c r="AR686" s="6" t="str">
        <f>HYPERLINK("http://catalog.hathitrust.org/Record/000762797","HathiTrust Record")</f>
        <v>HathiTrust Record</v>
      </c>
      <c r="AS686" s="6" t="str">
        <f>HYPERLINK("https://creighton-primo.hosted.exlibrisgroup.com/primo-explore/search?tab=default_tab&amp;search_scope=EVERYTHING&amp;vid=01CRU&amp;lang=en_US&amp;offset=0&amp;query=any,contains,991005182379702656","Catalog Record")</f>
        <v>Catalog Record</v>
      </c>
      <c r="AT686" s="6" t="str">
        <f>HYPERLINK("http://www.worldcat.org/oclc/7947089","WorldCat Record")</f>
        <v>WorldCat Record</v>
      </c>
      <c r="AU686" s="3" t="s">
        <v>8682</v>
      </c>
      <c r="AV686" s="3" t="s">
        <v>8683</v>
      </c>
      <c r="AW686" s="3" t="s">
        <v>8684</v>
      </c>
      <c r="AX686" s="3" t="s">
        <v>8684</v>
      </c>
      <c r="AY686" s="3" t="s">
        <v>8685</v>
      </c>
      <c r="AZ686" s="3" t="s">
        <v>76</v>
      </c>
      <c r="BB686" s="3" t="s">
        <v>8686</v>
      </c>
      <c r="BC686" s="3" t="s">
        <v>8687</v>
      </c>
      <c r="BD686" s="3" t="s">
        <v>8688</v>
      </c>
    </row>
    <row r="687" spans="1:56" ht="52.5" customHeight="1" x14ac:dyDescent="0.25">
      <c r="A687" s="7" t="s">
        <v>59</v>
      </c>
      <c r="B687" s="2" t="s">
        <v>8689</v>
      </c>
      <c r="C687" s="2" t="s">
        <v>8690</v>
      </c>
      <c r="D687" s="2" t="s">
        <v>8691</v>
      </c>
      <c r="F687" s="3" t="s">
        <v>59</v>
      </c>
      <c r="G687" s="3" t="s">
        <v>60</v>
      </c>
      <c r="H687" s="3" t="s">
        <v>59</v>
      </c>
      <c r="I687" s="3" t="s">
        <v>59</v>
      </c>
      <c r="J687" s="3" t="s">
        <v>61</v>
      </c>
      <c r="K687" s="2" t="s">
        <v>8692</v>
      </c>
      <c r="L687" s="2" t="s">
        <v>8693</v>
      </c>
      <c r="M687" s="3" t="s">
        <v>434</v>
      </c>
      <c r="O687" s="3" t="s">
        <v>65</v>
      </c>
      <c r="P687" s="3" t="s">
        <v>699</v>
      </c>
      <c r="Q687" s="2" t="s">
        <v>8694</v>
      </c>
      <c r="R687" s="3" t="s">
        <v>68</v>
      </c>
      <c r="S687" s="4">
        <v>3</v>
      </c>
      <c r="T687" s="4">
        <v>3</v>
      </c>
      <c r="U687" s="5" t="s">
        <v>8695</v>
      </c>
      <c r="V687" s="5" t="s">
        <v>8695</v>
      </c>
      <c r="W687" s="5" t="s">
        <v>6268</v>
      </c>
      <c r="X687" s="5" t="s">
        <v>6268</v>
      </c>
      <c r="Y687" s="4">
        <v>206</v>
      </c>
      <c r="Z687" s="4">
        <v>183</v>
      </c>
      <c r="AA687" s="4">
        <v>839</v>
      </c>
      <c r="AB687" s="4">
        <v>1</v>
      </c>
      <c r="AC687" s="4">
        <v>5</v>
      </c>
      <c r="AD687" s="4">
        <v>10</v>
      </c>
      <c r="AE687" s="4">
        <v>31</v>
      </c>
      <c r="AF687" s="4">
        <v>3</v>
      </c>
      <c r="AG687" s="4">
        <v>12</v>
      </c>
      <c r="AH687" s="4">
        <v>5</v>
      </c>
      <c r="AI687" s="4">
        <v>8</v>
      </c>
      <c r="AJ687" s="4">
        <v>5</v>
      </c>
      <c r="AK687" s="4">
        <v>17</v>
      </c>
      <c r="AL687" s="4">
        <v>0</v>
      </c>
      <c r="AM687" s="4">
        <v>3</v>
      </c>
      <c r="AN687" s="4">
        <v>0</v>
      </c>
      <c r="AO687" s="4">
        <v>0</v>
      </c>
      <c r="AP687" s="3" t="s">
        <v>59</v>
      </c>
      <c r="AQ687" s="3" t="s">
        <v>59</v>
      </c>
      <c r="AS687" s="6" t="str">
        <f>HYPERLINK("https://creighton-primo.hosted.exlibrisgroup.com/primo-explore/search?tab=default_tab&amp;search_scope=EVERYTHING&amp;vid=01CRU&amp;lang=en_US&amp;offset=0&amp;query=any,contains,991003209799702656","Catalog Record")</f>
        <v>Catalog Record</v>
      </c>
      <c r="AT687" s="6" t="str">
        <f>HYPERLINK("http://www.worldcat.org/oclc/735896","WorldCat Record")</f>
        <v>WorldCat Record</v>
      </c>
      <c r="AU687" s="3" t="s">
        <v>8696</v>
      </c>
      <c r="AV687" s="3" t="s">
        <v>8697</v>
      </c>
      <c r="AW687" s="3" t="s">
        <v>8698</v>
      </c>
      <c r="AX687" s="3" t="s">
        <v>8698</v>
      </c>
      <c r="AY687" s="3" t="s">
        <v>8699</v>
      </c>
      <c r="AZ687" s="3" t="s">
        <v>76</v>
      </c>
      <c r="BC687" s="3" t="s">
        <v>8700</v>
      </c>
      <c r="BD687" s="3" t="s">
        <v>8701</v>
      </c>
    </row>
    <row r="688" spans="1:56" ht="52.5" customHeight="1" x14ac:dyDescent="0.25">
      <c r="A688" s="7" t="s">
        <v>59</v>
      </c>
      <c r="B688" s="2" t="s">
        <v>8702</v>
      </c>
      <c r="C688" s="2" t="s">
        <v>8703</v>
      </c>
      <c r="D688" s="2" t="s">
        <v>8704</v>
      </c>
      <c r="F688" s="3" t="s">
        <v>59</v>
      </c>
      <c r="G688" s="3" t="s">
        <v>60</v>
      </c>
      <c r="H688" s="3" t="s">
        <v>59</v>
      </c>
      <c r="I688" s="3" t="s">
        <v>59</v>
      </c>
      <c r="J688" s="3" t="s">
        <v>61</v>
      </c>
      <c r="K688" s="2" t="s">
        <v>8705</v>
      </c>
      <c r="L688" s="2" t="s">
        <v>8706</v>
      </c>
      <c r="M688" s="3" t="s">
        <v>195</v>
      </c>
      <c r="O688" s="3" t="s">
        <v>65</v>
      </c>
      <c r="P688" s="3" t="s">
        <v>972</v>
      </c>
      <c r="R688" s="3" t="s">
        <v>68</v>
      </c>
      <c r="S688" s="4">
        <v>7</v>
      </c>
      <c r="T688" s="4">
        <v>7</v>
      </c>
      <c r="U688" s="5" t="s">
        <v>8707</v>
      </c>
      <c r="V688" s="5" t="s">
        <v>8707</v>
      </c>
      <c r="W688" s="5" t="s">
        <v>4255</v>
      </c>
      <c r="X688" s="5" t="s">
        <v>4255</v>
      </c>
      <c r="Y688" s="4">
        <v>133</v>
      </c>
      <c r="Z688" s="4">
        <v>114</v>
      </c>
      <c r="AA688" s="4">
        <v>156</v>
      </c>
      <c r="AB688" s="4">
        <v>3</v>
      </c>
      <c r="AC688" s="4">
        <v>4</v>
      </c>
      <c r="AD688" s="4">
        <v>13</v>
      </c>
      <c r="AE688" s="4">
        <v>13</v>
      </c>
      <c r="AF688" s="4">
        <v>3</v>
      </c>
      <c r="AG688" s="4">
        <v>3</v>
      </c>
      <c r="AH688" s="4">
        <v>2</v>
      </c>
      <c r="AI688" s="4">
        <v>2</v>
      </c>
      <c r="AJ688" s="4">
        <v>9</v>
      </c>
      <c r="AK688" s="4">
        <v>9</v>
      </c>
      <c r="AL688" s="4">
        <v>1</v>
      </c>
      <c r="AM688" s="4">
        <v>1</v>
      </c>
      <c r="AN688" s="4">
        <v>0</v>
      </c>
      <c r="AO688" s="4">
        <v>0</v>
      </c>
      <c r="AP688" s="3" t="s">
        <v>59</v>
      </c>
      <c r="AQ688" s="3" t="s">
        <v>59</v>
      </c>
      <c r="AS688" s="6" t="str">
        <f>HYPERLINK("https://creighton-primo.hosted.exlibrisgroup.com/primo-explore/search?tab=default_tab&amp;search_scope=EVERYTHING&amp;vid=01CRU&amp;lang=en_US&amp;offset=0&amp;query=any,contains,991000114919702656","Catalog Record")</f>
        <v>Catalog Record</v>
      </c>
      <c r="AT688" s="6" t="str">
        <f>HYPERLINK("http://www.worldcat.org/oclc/9031753","WorldCat Record")</f>
        <v>WorldCat Record</v>
      </c>
      <c r="AU688" s="3" t="s">
        <v>8708</v>
      </c>
      <c r="AV688" s="3" t="s">
        <v>8709</v>
      </c>
      <c r="AW688" s="3" t="s">
        <v>8710</v>
      </c>
      <c r="AX688" s="3" t="s">
        <v>8710</v>
      </c>
      <c r="AY688" s="3" t="s">
        <v>8711</v>
      </c>
      <c r="AZ688" s="3" t="s">
        <v>76</v>
      </c>
      <c r="BB688" s="3" t="s">
        <v>8712</v>
      </c>
      <c r="BC688" s="3" t="s">
        <v>8713</v>
      </c>
      <c r="BD688" s="3" t="s">
        <v>8714</v>
      </c>
    </row>
    <row r="689" spans="1:56" ht="52.5" customHeight="1" x14ac:dyDescent="0.25">
      <c r="A689" s="7" t="s">
        <v>59</v>
      </c>
      <c r="B689" s="2" t="s">
        <v>8715</v>
      </c>
      <c r="C689" s="2" t="s">
        <v>8716</v>
      </c>
      <c r="D689" s="2" t="s">
        <v>8717</v>
      </c>
      <c r="F689" s="3" t="s">
        <v>59</v>
      </c>
      <c r="G689" s="3" t="s">
        <v>60</v>
      </c>
      <c r="H689" s="3" t="s">
        <v>59</v>
      </c>
      <c r="I689" s="3" t="s">
        <v>59</v>
      </c>
      <c r="J689" s="3" t="s">
        <v>61</v>
      </c>
      <c r="K689" s="2" t="s">
        <v>8718</v>
      </c>
      <c r="L689" s="2" t="s">
        <v>8719</v>
      </c>
      <c r="M689" s="3" t="s">
        <v>131</v>
      </c>
      <c r="O689" s="3" t="s">
        <v>65</v>
      </c>
      <c r="P689" s="3" t="s">
        <v>283</v>
      </c>
      <c r="R689" s="3" t="s">
        <v>68</v>
      </c>
      <c r="S689" s="4">
        <v>1</v>
      </c>
      <c r="T689" s="4">
        <v>1</v>
      </c>
      <c r="U689" s="5" t="s">
        <v>3966</v>
      </c>
      <c r="V689" s="5" t="s">
        <v>3966</v>
      </c>
      <c r="W689" s="5" t="s">
        <v>7036</v>
      </c>
      <c r="X689" s="5" t="s">
        <v>7036</v>
      </c>
      <c r="Y689" s="4">
        <v>852</v>
      </c>
      <c r="Z689" s="4">
        <v>794</v>
      </c>
      <c r="AA689" s="4">
        <v>825</v>
      </c>
      <c r="AB689" s="4">
        <v>6</v>
      </c>
      <c r="AC689" s="4">
        <v>6</v>
      </c>
      <c r="AD689" s="4">
        <v>33</v>
      </c>
      <c r="AE689" s="4">
        <v>33</v>
      </c>
      <c r="AF689" s="4">
        <v>14</v>
      </c>
      <c r="AG689" s="4">
        <v>14</v>
      </c>
      <c r="AH689" s="4">
        <v>6</v>
      </c>
      <c r="AI689" s="4">
        <v>6</v>
      </c>
      <c r="AJ689" s="4">
        <v>15</v>
      </c>
      <c r="AK689" s="4">
        <v>15</v>
      </c>
      <c r="AL689" s="4">
        <v>4</v>
      </c>
      <c r="AM689" s="4">
        <v>4</v>
      </c>
      <c r="AN689" s="4">
        <v>0</v>
      </c>
      <c r="AO689" s="4">
        <v>0</v>
      </c>
      <c r="AP689" s="3" t="s">
        <v>59</v>
      </c>
      <c r="AQ689" s="3" t="s">
        <v>59</v>
      </c>
      <c r="AS689" s="6" t="str">
        <f>HYPERLINK("https://creighton-primo.hosted.exlibrisgroup.com/primo-explore/search?tab=default_tab&amp;search_scope=EVERYTHING&amp;vid=01CRU&amp;lang=en_US&amp;offset=0&amp;query=any,contains,991003114129702656","Catalog Record")</f>
        <v>Catalog Record</v>
      </c>
      <c r="AT689" s="6" t="str">
        <f>HYPERLINK("http://www.worldcat.org/oclc/659037","WorldCat Record")</f>
        <v>WorldCat Record</v>
      </c>
      <c r="AU689" s="3" t="s">
        <v>8720</v>
      </c>
      <c r="AV689" s="3" t="s">
        <v>8721</v>
      </c>
      <c r="AW689" s="3" t="s">
        <v>8722</v>
      </c>
      <c r="AX689" s="3" t="s">
        <v>8722</v>
      </c>
      <c r="AY689" s="3" t="s">
        <v>8723</v>
      </c>
      <c r="AZ689" s="3" t="s">
        <v>76</v>
      </c>
      <c r="BB689" s="3" t="s">
        <v>8724</v>
      </c>
      <c r="BC689" s="3" t="s">
        <v>8725</v>
      </c>
      <c r="BD689" s="3" t="s">
        <v>8726</v>
      </c>
    </row>
    <row r="690" spans="1:56" ht="52.5" customHeight="1" x14ac:dyDescent="0.25">
      <c r="A690" s="7" t="s">
        <v>59</v>
      </c>
      <c r="B690" s="2" t="s">
        <v>8727</v>
      </c>
      <c r="C690" s="2" t="s">
        <v>8728</v>
      </c>
      <c r="D690" s="2" t="s">
        <v>8729</v>
      </c>
      <c r="F690" s="3" t="s">
        <v>59</v>
      </c>
      <c r="G690" s="3" t="s">
        <v>60</v>
      </c>
      <c r="H690" s="3" t="s">
        <v>59</v>
      </c>
      <c r="I690" s="3" t="s">
        <v>59</v>
      </c>
      <c r="J690" s="3" t="s">
        <v>61</v>
      </c>
      <c r="K690" s="2" t="s">
        <v>8730</v>
      </c>
      <c r="L690" s="2" t="s">
        <v>8731</v>
      </c>
      <c r="M690" s="3" t="s">
        <v>1883</v>
      </c>
      <c r="O690" s="3" t="s">
        <v>65</v>
      </c>
      <c r="P690" s="3" t="s">
        <v>66</v>
      </c>
      <c r="R690" s="3" t="s">
        <v>68</v>
      </c>
      <c r="S690" s="4">
        <v>5</v>
      </c>
      <c r="T690" s="4">
        <v>5</v>
      </c>
      <c r="U690" s="5" t="s">
        <v>8732</v>
      </c>
      <c r="V690" s="5" t="s">
        <v>8732</v>
      </c>
      <c r="W690" s="5" t="s">
        <v>7036</v>
      </c>
      <c r="X690" s="5" t="s">
        <v>7036</v>
      </c>
      <c r="Y690" s="4">
        <v>270</v>
      </c>
      <c r="Z690" s="4">
        <v>255</v>
      </c>
      <c r="AA690" s="4">
        <v>620</v>
      </c>
      <c r="AB690" s="4">
        <v>2</v>
      </c>
      <c r="AC690" s="4">
        <v>5</v>
      </c>
      <c r="AD690" s="4">
        <v>20</v>
      </c>
      <c r="AE690" s="4">
        <v>36</v>
      </c>
      <c r="AF690" s="4">
        <v>7</v>
      </c>
      <c r="AG690" s="4">
        <v>14</v>
      </c>
      <c r="AH690" s="4">
        <v>2</v>
      </c>
      <c r="AI690" s="4">
        <v>6</v>
      </c>
      <c r="AJ690" s="4">
        <v>18</v>
      </c>
      <c r="AK690" s="4">
        <v>24</v>
      </c>
      <c r="AL690" s="4">
        <v>0</v>
      </c>
      <c r="AM690" s="4">
        <v>3</v>
      </c>
      <c r="AN690" s="4">
        <v>0</v>
      </c>
      <c r="AO690" s="4">
        <v>0</v>
      </c>
      <c r="AP690" s="3" t="s">
        <v>59</v>
      </c>
      <c r="AQ690" s="3" t="s">
        <v>71</v>
      </c>
      <c r="AR690" s="6" t="str">
        <f>HYPERLINK("http://catalog.hathitrust.org/Record/000387513","HathiTrust Record")</f>
        <v>HathiTrust Record</v>
      </c>
      <c r="AS690" s="6" t="str">
        <f>HYPERLINK("https://creighton-primo.hosted.exlibrisgroup.com/primo-explore/search?tab=default_tab&amp;search_scope=EVERYTHING&amp;vid=01CRU&amp;lang=en_US&amp;offset=0&amp;query=any,contains,991003657559702656","Catalog Record")</f>
        <v>Catalog Record</v>
      </c>
      <c r="AT690" s="6" t="str">
        <f>HYPERLINK("http://www.worldcat.org/oclc/1263585","WorldCat Record")</f>
        <v>WorldCat Record</v>
      </c>
      <c r="AU690" s="3" t="s">
        <v>8733</v>
      </c>
      <c r="AV690" s="3" t="s">
        <v>8734</v>
      </c>
      <c r="AW690" s="3" t="s">
        <v>8735</v>
      </c>
      <c r="AX690" s="3" t="s">
        <v>8735</v>
      </c>
      <c r="AY690" s="3" t="s">
        <v>8736</v>
      </c>
      <c r="AZ690" s="3" t="s">
        <v>76</v>
      </c>
      <c r="BC690" s="3" t="s">
        <v>8737</v>
      </c>
      <c r="BD690" s="3" t="s">
        <v>8738</v>
      </c>
    </row>
    <row r="691" spans="1:56" ht="52.5" customHeight="1" x14ac:dyDescent="0.25">
      <c r="A691" s="7" t="s">
        <v>59</v>
      </c>
      <c r="B691" s="2" t="s">
        <v>8739</v>
      </c>
      <c r="C691" s="2" t="s">
        <v>8740</v>
      </c>
      <c r="D691" s="2" t="s">
        <v>8741</v>
      </c>
      <c r="F691" s="3" t="s">
        <v>59</v>
      </c>
      <c r="G691" s="3" t="s">
        <v>60</v>
      </c>
      <c r="H691" s="3" t="s">
        <v>59</v>
      </c>
      <c r="I691" s="3" t="s">
        <v>59</v>
      </c>
      <c r="J691" s="3" t="s">
        <v>61</v>
      </c>
      <c r="K691" s="2" t="s">
        <v>8742</v>
      </c>
      <c r="L691" s="2" t="s">
        <v>8743</v>
      </c>
      <c r="M691" s="3" t="s">
        <v>475</v>
      </c>
      <c r="N691" s="2" t="s">
        <v>887</v>
      </c>
      <c r="O691" s="3" t="s">
        <v>65</v>
      </c>
      <c r="P691" s="3" t="s">
        <v>420</v>
      </c>
      <c r="R691" s="3" t="s">
        <v>68</v>
      </c>
      <c r="S691" s="4">
        <v>8</v>
      </c>
      <c r="T691" s="4">
        <v>8</v>
      </c>
      <c r="U691" s="5" t="s">
        <v>8744</v>
      </c>
      <c r="V691" s="5" t="s">
        <v>8744</v>
      </c>
      <c r="W691" s="5" t="s">
        <v>6243</v>
      </c>
      <c r="X691" s="5" t="s">
        <v>6243</v>
      </c>
      <c r="Y691" s="4">
        <v>761</v>
      </c>
      <c r="Z691" s="4">
        <v>698</v>
      </c>
      <c r="AA691" s="4">
        <v>840</v>
      </c>
      <c r="AB691" s="4">
        <v>5</v>
      </c>
      <c r="AC691" s="4">
        <v>5</v>
      </c>
      <c r="AD691" s="4">
        <v>18</v>
      </c>
      <c r="AE691" s="4">
        <v>20</v>
      </c>
      <c r="AF691" s="4">
        <v>7</v>
      </c>
      <c r="AG691" s="4">
        <v>8</v>
      </c>
      <c r="AH691" s="4">
        <v>2</v>
      </c>
      <c r="AI691" s="4">
        <v>2</v>
      </c>
      <c r="AJ691" s="4">
        <v>9</v>
      </c>
      <c r="AK691" s="4">
        <v>11</v>
      </c>
      <c r="AL691" s="4">
        <v>2</v>
      </c>
      <c r="AM691" s="4">
        <v>2</v>
      </c>
      <c r="AN691" s="4">
        <v>0</v>
      </c>
      <c r="AO691" s="4">
        <v>0</v>
      </c>
      <c r="AP691" s="3" t="s">
        <v>59</v>
      </c>
      <c r="AQ691" s="3" t="s">
        <v>59</v>
      </c>
      <c r="AS691" s="6" t="str">
        <f>HYPERLINK("https://creighton-primo.hosted.exlibrisgroup.com/primo-explore/search?tab=default_tab&amp;search_scope=EVERYTHING&amp;vid=01CRU&amp;lang=en_US&amp;offset=0&amp;query=any,contains,991000283189702656","Catalog Record")</f>
        <v>Catalog Record</v>
      </c>
      <c r="AT691" s="6" t="str">
        <f>HYPERLINK("http://www.worldcat.org/oclc/9919807","WorldCat Record")</f>
        <v>WorldCat Record</v>
      </c>
      <c r="AU691" s="3" t="s">
        <v>8745</v>
      </c>
      <c r="AV691" s="3" t="s">
        <v>8746</v>
      </c>
      <c r="AW691" s="3" t="s">
        <v>8747</v>
      </c>
      <c r="AX691" s="3" t="s">
        <v>8747</v>
      </c>
      <c r="AY691" s="3" t="s">
        <v>8748</v>
      </c>
      <c r="AZ691" s="3" t="s">
        <v>76</v>
      </c>
      <c r="BB691" s="3" t="s">
        <v>8749</v>
      </c>
      <c r="BC691" s="3" t="s">
        <v>8750</v>
      </c>
      <c r="BD691" s="3" t="s">
        <v>8751</v>
      </c>
    </row>
    <row r="692" spans="1:56" ht="52.5" customHeight="1" x14ac:dyDescent="0.25">
      <c r="A692" s="7" t="s">
        <v>59</v>
      </c>
      <c r="B692" s="2" t="s">
        <v>8752</v>
      </c>
      <c r="C692" s="2" t="s">
        <v>8753</v>
      </c>
      <c r="D692" s="2" t="s">
        <v>8754</v>
      </c>
      <c r="F692" s="3" t="s">
        <v>59</v>
      </c>
      <c r="G692" s="3" t="s">
        <v>60</v>
      </c>
      <c r="H692" s="3" t="s">
        <v>59</v>
      </c>
      <c r="I692" s="3" t="s">
        <v>59</v>
      </c>
      <c r="J692" s="3" t="s">
        <v>61</v>
      </c>
      <c r="K692" s="2" t="s">
        <v>8755</v>
      </c>
      <c r="L692" s="2" t="s">
        <v>8756</v>
      </c>
      <c r="M692" s="3" t="s">
        <v>684</v>
      </c>
      <c r="O692" s="3" t="s">
        <v>65</v>
      </c>
      <c r="P692" s="3" t="s">
        <v>1262</v>
      </c>
      <c r="R692" s="3" t="s">
        <v>68</v>
      </c>
      <c r="S692" s="4">
        <v>3</v>
      </c>
      <c r="T692" s="4">
        <v>3</v>
      </c>
      <c r="U692" s="5" t="s">
        <v>8757</v>
      </c>
      <c r="V692" s="5" t="s">
        <v>8757</v>
      </c>
      <c r="W692" s="5" t="s">
        <v>7672</v>
      </c>
      <c r="X692" s="5" t="s">
        <v>7672</v>
      </c>
      <c r="Y692" s="4">
        <v>424</v>
      </c>
      <c r="Z692" s="4">
        <v>337</v>
      </c>
      <c r="AA692" s="4">
        <v>356</v>
      </c>
      <c r="AB692" s="4">
        <v>2</v>
      </c>
      <c r="AC692" s="4">
        <v>2</v>
      </c>
      <c r="AD692" s="4">
        <v>14</v>
      </c>
      <c r="AE692" s="4">
        <v>14</v>
      </c>
      <c r="AF692" s="4">
        <v>6</v>
      </c>
      <c r="AG692" s="4">
        <v>6</v>
      </c>
      <c r="AH692" s="4">
        <v>1</v>
      </c>
      <c r="AI692" s="4">
        <v>1</v>
      </c>
      <c r="AJ692" s="4">
        <v>8</v>
      </c>
      <c r="AK692" s="4">
        <v>8</v>
      </c>
      <c r="AL692" s="4">
        <v>1</v>
      </c>
      <c r="AM692" s="4">
        <v>1</v>
      </c>
      <c r="AN692" s="4">
        <v>0</v>
      </c>
      <c r="AO692" s="4">
        <v>0</v>
      </c>
      <c r="AP692" s="3" t="s">
        <v>59</v>
      </c>
      <c r="AQ692" s="3" t="s">
        <v>59</v>
      </c>
      <c r="AS692" s="6" t="str">
        <f>HYPERLINK("https://creighton-primo.hosted.exlibrisgroup.com/primo-explore/search?tab=default_tab&amp;search_scope=EVERYTHING&amp;vid=01CRU&amp;lang=en_US&amp;offset=0&amp;query=any,contains,991004984979702656","Catalog Record")</f>
        <v>Catalog Record</v>
      </c>
      <c r="AT692" s="6" t="str">
        <f>HYPERLINK("http://www.worldcat.org/oclc/6447150","WorldCat Record")</f>
        <v>WorldCat Record</v>
      </c>
      <c r="AU692" s="3" t="s">
        <v>8758</v>
      </c>
      <c r="AV692" s="3" t="s">
        <v>8759</v>
      </c>
      <c r="AW692" s="3" t="s">
        <v>8760</v>
      </c>
      <c r="AX692" s="3" t="s">
        <v>8760</v>
      </c>
      <c r="AY692" s="3" t="s">
        <v>8761</v>
      </c>
      <c r="AZ692" s="3" t="s">
        <v>76</v>
      </c>
      <c r="BB692" s="3" t="s">
        <v>8762</v>
      </c>
      <c r="BC692" s="3" t="s">
        <v>8763</v>
      </c>
      <c r="BD692" s="3" t="s">
        <v>8764</v>
      </c>
    </row>
    <row r="693" spans="1:56" ht="52.5" customHeight="1" x14ac:dyDescent="0.25">
      <c r="A693" s="7" t="s">
        <v>59</v>
      </c>
      <c r="B693" s="2" t="s">
        <v>8765</v>
      </c>
      <c r="C693" s="2" t="s">
        <v>8766</v>
      </c>
      <c r="D693" s="2" t="s">
        <v>8767</v>
      </c>
      <c r="F693" s="3" t="s">
        <v>59</v>
      </c>
      <c r="G693" s="3" t="s">
        <v>60</v>
      </c>
      <c r="H693" s="3" t="s">
        <v>59</v>
      </c>
      <c r="I693" s="3" t="s">
        <v>59</v>
      </c>
      <c r="J693" s="3" t="s">
        <v>61</v>
      </c>
      <c r="K693" s="2" t="s">
        <v>8768</v>
      </c>
      <c r="L693" s="2" t="s">
        <v>8769</v>
      </c>
      <c r="M693" s="3" t="s">
        <v>616</v>
      </c>
      <c r="N693" s="2" t="s">
        <v>887</v>
      </c>
      <c r="O693" s="3" t="s">
        <v>65</v>
      </c>
      <c r="P693" s="3" t="s">
        <v>66</v>
      </c>
      <c r="R693" s="3" t="s">
        <v>68</v>
      </c>
      <c r="S693" s="4">
        <v>4</v>
      </c>
      <c r="T693" s="4">
        <v>4</v>
      </c>
      <c r="U693" s="5" t="s">
        <v>8770</v>
      </c>
      <c r="V693" s="5" t="s">
        <v>8770</v>
      </c>
      <c r="W693" s="5" t="s">
        <v>8771</v>
      </c>
      <c r="X693" s="5" t="s">
        <v>8771</v>
      </c>
      <c r="Y693" s="4">
        <v>460</v>
      </c>
      <c r="Z693" s="4">
        <v>435</v>
      </c>
      <c r="AA693" s="4">
        <v>604</v>
      </c>
      <c r="AB693" s="4">
        <v>3</v>
      </c>
      <c r="AC693" s="4">
        <v>3</v>
      </c>
      <c r="AD693" s="4">
        <v>7</v>
      </c>
      <c r="AE693" s="4">
        <v>13</v>
      </c>
      <c r="AF693" s="4">
        <v>3</v>
      </c>
      <c r="AG693" s="4">
        <v>5</v>
      </c>
      <c r="AH693" s="4">
        <v>0</v>
      </c>
      <c r="AI693" s="4">
        <v>2</v>
      </c>
      <c r="AJ693" s="4">
        <v>4</v>
      </c>
      <c r="AK693" s="4">
        <v>7</v>
      </c>
      <c r="AL693" s="4">
        <v>2</v>
      </c>
      <c r="AM693" s="4">
        <v>2</v>
      </c>
      <c r="AN693" s="4">
        <v>0</v>
      </c>
      <c r="AO693" s="4">
        <v>0</v>
      </c>
      <c r="AP693" s="3" t="s">
        <v>59</v>
      </c>
      <c r="AQ693" s="3" t="s">
        <v>59</v>
      </c>
      <c r="AS693" s="6" t="str">
        <f>HYPERLINK("https://creighton-primo.hosted.exlibrisgroup.com/primo-explore/search?tab=default_tab&amp;search_scope=EVERYTHING&amp;vid=01CRU&amp;lang=en_US&amp;offset=0&amp;query=any,contains,991001092539702656","Catalog Record")</f>
        <v>Catalog Record</v>
      </c>
      <c r="AT693" s="6" t="str">
        <f>HYPERLINK("http://www.worldcat.org/oclc/16226152","WorldCat Record")</f>
        <v>WorldCat Record</v>
      </c>
      <c r="AU693" s="3" t="s">
        <v>8772</v>
      </c>
      <c r="AV693" s="3" t="s">
        <v>8773</v>
      </c>
      <c r="AW693" s="3" t="s">
        <v>8774</v>
      </c>
      <c r="AX693" s="3" t="s">
        <v>8774</v>
      </c>
      <c r="AY693" s="3" t="s">
        <v>8775</v>
      </c>
      <c r="AZ693" s="3" t="s">
        <v>76</v>
      </c>
      <c r="BB693" s="3" t="s">
        <v>8776</v>
      </c>
      <c r="BC693" s="3" t="s">
        <v>8777</v>
      </c>
      <c r="BD693" s="3" t="s">
        <v>8778</v>
      </c>
    </row>
    <row r="694" spans="1:56" ht="52.5" customHeight="1" x14ac:dyDescent="0.25">
      <c r="A694" s="7" t="s">
        <v>59</v>
      </c>
      <c r="B694" s="2" t="s">
        <v>8779</v>
      </c>
      <c r="C694" s="2" t="s">
        <v>8780</v>
      </c>
      <c r="D694" s="2" t="s">
        <v>8781</v>
      </c>
      <c r="F694" s="3" t="s">
        <v>59</v>
      </c>
      <c r="G694" s="3" t="s">
        <v>60</v>
      </c>
      <c r="H694" s="3" t="s">
        <v>59</v>
      </c>
      <c r="I694" s="3" t="s">
        <v>59</v>
      </c>
      <c r="J694" s="3" t="s">
        <v>61</v>
      </c>
      <c r="K694" s="2" t="s">
        <v>8782</v>
      </c>
      <c r="L694" s="2" t="s">
        <v>8783</v>
      </c>
      <c r="M694" s="3" t="s">
        <v>115</v>
      </c>
      <c r="N694" s="2" t="s">
        <v>8784</v>
      </c>
      <c r="O694" s="3" t="s">
        <v>65</v>
      </c>
      <c r="P694" s="3" t="s">
        <v>491</v>
      </c>
      <c r="R694" s="3" t="s">
        <v>68</v>
      </c>
      <c r="S694" s="4">
        <v>16</v>
      </c>
      <c r="T694" s="4">
        <v>16</v>
      </c>
      <c r="U694" s="5" t="s">
        <v>8785</v>
      </c>
      <c r="V694" s="5" t="s">
        <v>8785</v>
      </c>
      <c r="W694" s="5" t="s">
        <v>8786</v>
      </c>
      <c r="X694" s="5" t="s">
        <v>8786</v>
      </c>
      <c r="Y694" s="4">
        <v>315</v>
      </c>
      <c r="Z694" s="4">
        <v>285</v>
      </c>
      <c r="AA694" s="4">
        <v>546</v>
      </c>
      <c r="AB694" s="4">
        <v>5</v>
      </c>
      <c r="AC694" s="4">
        <v>7</v>
      </c>
      <c r="AD694" s="4">
        <v>14</v>
      </c>
      <c r="AE694" s="4">
        <v>21</v>
      </c>
      <c r="AF694" s="4">
        <v>4</v>
      </c>
      <c r="AG694" s="4">
        <v>6</v>
      </c>
      <c r="AH694" s="4">
        <v>0</v>
      </c>
      <c r="AI694" s="4">
        <v>3</v>
      </c>
      <c r="AJ694" s="4">
        <v>10</v>
      </c>
      <c r="AK694" s="4">
        <v>13</v>
      </c>
      <c r="AL694" s="4">
        <v>2</v>
      </c>
      <c r="AM694" s="4">
        <v>3</v>
      </c>
      <c r="AN694" s="4">
        <v>0</v>
      </c>
      <c r="AO694" s="4">
        <v>0</v>
      </c>
      <c r="AP694" s="3" t="s">
        <v>59</v>
      </c>
      <c r="AQ694" s="3" t="s">
        <v>59</v>
      </c>
      <c r="AS694" s="6" t="str">
        <f>HYPERLINK("https://creighton-primo.hosted.exlibrisgroup.com/primo-explore/search?tab=default_tab&amp;search_scope=EVERYTHING&amp;vid=01CRU&amp;lang=en_US&amp;offset=0&amp;query=any,contains,991003373759702656","Catalog Record")</f>
        <v>Catalog Record</v>
      </c>
      <c r="AT694" s="6" t="str">
        <f>HYPERLINK("http://www.worldcat.org/oclc/910173","WorldCat Record")</f>
        <v>WorldCat Record</v>
      </c>
      <c r="AU694" s="3" t="s">
        <v>8787</v>
      </c>
      <c r="AV694" s="3" t="s">
        <v>8788</v>
      </c>
      <c r="AW694" s="3" t="s">
        <v>8789</v>
      </c>
      <c r="AX694" s="3" t="s">
        <v>8789</v>
      </c>
      <c r="AY694" s="3" t="s">
        <v>8790</v>
      </c>
      <c r="AZ694" s="3" t="s">
        <v>76</v>
      </c>
      <c r="BB694" s="3" t="s">
        <v>8791</v>
      </c>
      <c r="BC694" s="3" t="s">
        <v>8792</v>
      </c>
      <c r="BD694" s="3" t="s">
        <v>8793</v>
      </c>
    </row>
    <row r="695" spans="1:56" ht="52.5" customHeight="1" x14ac:dyDescent="0.25">
      <c r="A695" s="7" t="s">
        <v>59</v>
      </c>
      <c r="B695" s="2" t="s">
        <v>8794</v>
      </c>
      <c r="C695" s="2" t="s">
        <v>8795</v>
      </c>
      <c r="D695" s="2" t="s">
        <v>8796</v>
      </c>
      <c r="F695" s="3" t="s">
        <v>59</v>
      </c>
      <c r="G695" s="3" t="s">
        <v>60</v>
      </c>
      <c r="H695" s="3" t="s">
        <v>59</v>
      </c>
      <c r="I695" s="3" t="s">
        <v>59</v>
      </c>
      <c r="J695" s="3" t="s">
        <v>61</v>
      </c>
      <c r="K695" s="2" t="s">
        <v>8797</v>
      </c>
      <c r="L695" s="2" t="s">
        <v>8798</v>
      </c>
      <c r="M695" s="3" t="s">
        <v>549</v>
      </c>
      <c r="N695" s="2" t="s">
        <v>887</v>
      </c>
      <c r="O695" s="3" t="s">
        <v>65</v>
      </c>
      <c r="P695" s="3" t="s">
        <v>66</v>
      </c>
      <c r="R695" s="3" t="s">
        <v>68</v>
      </c>
      <c r="S695" s="4">
        <v>6</v>
      </c>
      <c r="T695" s="4">
        <v>6</v>
      </c>
      <c r="U695" s="5" t="s">
        <v>3355</v>
      </c>
      <c r="V695" s="5" t="s">
        <v>3355</v>
      </c>
      <c r="W695" s="5" t="s">
        <v>3874</v>
      </c>
      <c r="X695" s="5" t="s">
        <v>3874</v>
      </c>
      <c r="Y695" s="4">
        <v>717</v>
      </c>
      <c r="Z695" s="4">
        <v>631</v>
      </c>
      <c r="AA695" s="4">
        <v>649</v>
      </c>
      <c r="AB695" s="4">
        <v>5</v>
      </c>
      <c r="AC695" s="4">
        <v>5</v>
      </c>
      <c r="AD695" s="4">
        <v>18</v>
      </c>
      <c r="AE695" s="4">
        <v>18</v>
      </c>
      <c r="AF695" s="4">
        <v>6</v>
      </c>
      <c r="AG695" s="4">
        <v>6</v>
      </c>
      <c r="AH695" s="4">
        <v>0</v>
      </c>
      <c r="AI695" s="4">
        <v>0</v>
      </c>
      <c r="AJ695" s="4">
        <v>12</v>
      </c>
      <c r="AK695" s="4">
        <v>12</v>
      </c>
      <c r="AL695" s="4">
        <v>3</v>
      </c>
      <c r="AM695" s="4">
        <v>3</v>
      </c>
      <c r="AN695" s="4">
        <v>0</v>
      </c>
      <c r="AO695" s="4">
        <v>0</v>
      </c>
      <c r="AP695" s="3" t="s">
        <v>59</v>
      </c>
      <c r="AQ695" s="3" t="s">
        <v>59</v>
      </c>
      <c r="AS695" s="6" t="str">
        <f>HYPERLINK("https://creighton-primo.hosted.exlibrisgroup.com/primo-explore/search?tab=default_tab&amp;search_scope=EVERYTHING&amp;vid=01CRU&amp;lang=en_US&amp;offset=0&amp;query=any,contains,991000767629702656","Catalog Record")</f>
        <v>Catalog Record</v>
      </c>
      <c r="AT695" s="6" t="str">
        <f>HYPERLINK("http://www.worldcat.org/oclc/13005557","WorldCat Record")</f>
        <v>WorldCat Record</v>
      </c>
      <c r="AU695" s="3" t="s">
        <v>8799</v>
      </c>
      <c r="AV695" s="3" t="s">
        <v>8800</v>
      </c>
      <c r="AW695" s="3" t="s">
        <v>8801</v>
      </c>
      <c r="AX695" s="3" t="s">
        <v>8801</v>
      </c>
      <c r="AY695" s="3" t="s">
        <v>8802</v>
      </c>
      <c r="AZ695" s="3" t="s">
        <v>76</v>
      </c>
      <c r="BB695" s="3" t="s">
        <v>8803</v>
      </c>
      <c r="BC695" s="3" t="s">
        <v>8804</v>
      </c>
      <c r="BD695" s="3" t="s">
        <v>8805</v>
      </c>
    </row>
    <row r="696" spans="1:56" ht="52.5" customHeight="1" x14ac:dyDescent="0.25">
      <c r="A696" s="7" t="s">
        <v>59</v>
      </c>
      <c r="B696" s="2" t="s">
        <v>8806</v>
      </c>
      <c r="C696" s="2" t="s">
        <v>8807</v>
      </c>
      <c r="D696" s="2" t="s">
        <v>8808</v>
      </c>
      <c r="F696" s="3" t="s">
        <v>59</v>
      </c>
      <c r="G696" s="3" t="s">
        <v>60</v>
      </c>
      <c r="H696" s="3" t="s">
        <v>59</v>
      </c>
      <c r="I696" s="3" t="s">
        <v>59</v>
      </c>
      <c r="J696" s="3" t="s">
        <v>61</v>
      </c>
      <c r="K696" s="2" t="s">
        <v>8809</v>
      </c>
      <c r="L696" s="2" t="s">
        <v>8810</v>
      </c>
      <c r="M696" s="3" t="s">
        <v>295</v>
      </c>
      <c r="O696" s="3" t="s">
        <v>65</v>
      </c>
      <c r="P696" s="3" t="s">
        <v>420</v>
      </c>
      <c r="R696" s="3" t="s">
        <v>68</v>
      </c>
      <c r="S696" s="4">
        <v>1</v>
      </c>
      <c r="T696" s="4">
        <v>1</v>
      </c>
      <c r="U696" s="5" t="s">
        <v>8811</v>
      </c>
      <c r="V696" s="5" t="s">
        <v>8811</v>
      </c>
      <c r="W696" s="5" t="s">
        <v>8812</v>
      </c>
      <c r="X696" s="5" t="s">
        <v>8812</v>
      </c>
      <c r="Y696" s="4">
        <v>394</v>
      </c>
      <c r="Z696" s="4">
        <v>346</v>
      </c>
      <c r="AA696" s="4">
        <v>353</v>
      </c>
      <c r="AB696" s="4">
        <v>3</v>
      </c>
      <c r="AC696" s="4">
        <v>3</v>
      </c>
      <c r="AD696" s="4">
        <v>17</v>
      </c>
      <c r="AE696" s="4">
        <v>19</v>
      </c>
      <c r="AF696" s="4">
        <v>5</v>
      </c>
      <c r="AG696" s="4">
        <v>6</v>
      </c>
      <c r="AH696" s="4">
        <v>2</v>
      </c>
      <c r="AI696" s="4">
        <v>3</v>
      </c>
      <c r="AJ696" s="4">
        <v>10</v>
      </c>
      <c r="AK696" s="4">
        <v>11</v>
      </c>
      <c r="AL696" s="4">
        <v>2</v>
      </c>
      <c r="AM696" s="4">
        <v>2</v>
      </c>
      <c r="AN696" s="4">
        <v>0</v>
      </c>
      <c r="AO696" s="4">
        <v>0</v>
      </c>
      <c r="AP696" s="3" t="s">
        <v>59</v>
      </c>
      <c r="AQ696" s="3" t="s">
        <v>71</v>
      </c>
      <c r="AR696" s="6" t="str">
        <f>HYPERLINK("http://catalog.hathitrust.org/Record/000360881","HathiTrust Record")</f>
        <v>HathiTrust Record</v>
      </c>
      <c r="AS696" s="6" t="str">
        <f>HYPERLINK("https://creighton-primo.hosted.exlibrisgroup.com/primo-explore/search?tab=default_tab&amp;search_scope=EVERYTHING&amp;vid=01CRU&amp;lang=en_US&amp;offset=0&amp;query=any,contains,991001231329702656","Catalog Record")</f>
        <v>Catalog Record</v>
      </c>
      <c r="AT696" s="6" t="str">
        <f>HYPERLINK("http://www.worldcat.org/oclc/203697","WorldCat Record")</f>
        <v>WorldCat Record</v>
      </c>
      <c r="AU696" s="3" t="s">
        <v>8813</v>
      </c>
      <c r="AV696" s="3" t="s">
        <v>8814</v>
      </c>
      <c r="AW696" s="3" t="s">
        <v>8815</v>
      </c>
      <c r="AX696" s="3" t="s">
        <v>8815</v>
      </c>
      <c r="AY696" s="3" t="s">
        <v>8816</v>
      </c>
      <c r="AZ696" s="3" t="s">
        <v>76</v>
      </c>
      <c r="BC696" s="3" t="s">
        <v>8817</v>
      </c>
      <c r="BD696" s="3" t="s">
        <v>8818</v>
      </c>
    </row>
    <row r="697" spans="1:56" ht="52.5" customHeight="1" x14ac:dyDescent="0.25">
      <c r="A697" s="7" t="s">
        <v>59</v>
      </c>
      <c r="B697" s="2" t="s">
        <v>8819</v>
      </c>
      <c r="C697" s="2" t="s">
        <v>8820</v>
      </c>
      <c r="D697" s="2" t="s">
        <v>8821</v>
      </c>
      <c r="F697" s="3" t="s">
        <v>59</v>
      </c>
      <c r="G697" s="3" t="s">
        <v>60</v>
      </c>
      <c r="H697" s="3" t="s">
        <v>59</v>
      </c>
      <c r="I697" s="3" t="s">
        <v>59</v>
      </c>
      <c r="J697" s="3" t="s">
        <v>61</v>
      </c>
      <c r="K697" s="2" t="s">
        <v>8822</v>
      </c>
      <c r="L697" s="2" t="s">
        <v>8823</v>
      </c>
      <c r="M697" s="3" t="s">
        <v>1217</v>
      </c>
      <c r="O697" s="3" t="s">
        <v>65</v>
      </c>
      <c r="P697" s="3" t="s">
        <v>283</v>
      </c>
      <c r="R697" s="3" t="s">
        <v>68</v>
      </c>
      <c r="S697" s="4">
        <v>16</v>
      </c>
      <c r="T697" s="4">
        <v>16</v>
      </c>
      <c r="U697" s="5" t="s">
        <v>8824</v>
      </c>
      <c r="V697" s="5" t="s">
        <v>8824</v>
      </c>
      <c r="W697" s="5" t="s">
        <v>8825</v>
      </c>
      <c r="X697" s="5" t="s">
        <v>8825</v>
      </c>
      <c r="Y697" s="4">
        <v>427</v>
      </c>
      <c r="Z697" s="4">
        <v>402</v>
      </c>
      <c r="AA697" s="4">
        <v>422</v>
      </c>
      <c r="AB697" s="4">
        <v>2</v>
      </c>
      <c r="AC697" s="4">
        <v>2</v>
      </c>
      <c r="AD697" s="4">
        <v>7</v>
      </c>
      <c r="AE697" s="4">
        <v>7</v>
      </c>
      <c r="AF697" s="4">
        <v>3</v>
      </c>
      <c r="AG697" s="4">
        <v>3</v>
      </c>
      <c r="AH697" s="4">
        <v>1</v>
      </c>
      <c r="AI697" s="4">
        <v>1</v>
      </c>
      <c r="AJ697" s="4">
        <v>3</v>
      </c>
      <c r="AK697" s="4">
        <v>3</v>
      </c>
      <c r="AL697" s="4">
        <v>0</v>
      </c>
      <c r="AM697" s="4">
        <v>0</v>
      </c>
      <c r="AN697" s="4">
        <v>0</v>
      </c>
      <c r="AO697" s="4">
        <v>0</v>
      </c>
      <c r="AP697" s="3" t="s">
        <v>59</v>
      </c>
      <c r="AQ697" s="3" t="s">
        <v>71</v>
      </c>
      <c r="AR697" s="6" t="str">
        <f>HYPERLINK("http://catalog.hathitrust.org/Record/000781994","HathiTrust Record")</f>
        <v>HathiTrust Record</v>
      </c>
      <c r="AS697" s="6" t="str">
        <f>HYPERLINK("https://creighton-primo.hosted.exlibrisgroup.com/primo-explore/search?tab=default_tab&amp;search_scope=EVERYTHING&amp;vid=01CRU&amp;lang=en_US&amp;offset=0&amp;query=any,contains,991000299279702656","Catalog Record")</f>
        <v>Catalog Record</v>
      </c>
      <c r="AT697" s="6" t="str">
        <f>HYPERLINK("http://www.worldcat.org/oclc/10020408","WorldCat Record")</f>
        <v>WorldCat Record</v>
      </c>
      <c r="AU697" s="3" t="s">
        <v>8826</v>
      </c>
      <c r="AV697" s="3" t="s">
        <v>8827</v>
      </c>
      <c r="AW697" s="3" t="s">
        <v>8828</v>
      </c>
      <c r="AX697" s="3" t="s">
        <v>8828</v>
      </c>
      <c r="AY697" s="3" t="s">
        <v>8829</v>
      </c>
      <c r="AZ697" s="3" t="s">
        <v>76</v>
      </c>
      <c r="BB697" s="3" t="s">
        <v>8830</v>
      </c>
      <c r="BC697" s="3" t="s">
        <v>8831</v>
      </c>
      <c r="BD697" s="3" t="s">
        <v>8832</v>
      </c>
    </row>
    <row r="698" spans="1:56" ht="52.5" customHeight="1" x14ac:dyDescent="0.25">
      <c r="A698" s="7" t="s">
        <v>59</v>
      </c>
      <c r="B698" s="2" t="s">
        <v>8833</v>
      </c>
      <c r="C698" s="2" t="s">
        <v>8834</v>
      </c>
      <c r="D698" s="2" t="s">
        <v>8835</v>
      </c>
      <c r="F698" s="3" t="s">
        <v>59</v>
      </c>
      <c r="G698" s="3" t="s">
        <v>60</v>
      </c>
      <c r="H698" s="3" t="s">
        <v>59</v>
      </c>
      <c r="I698" s="3" t="s">
        <v>71</v>
      </c>
      <c r="J698" s="3" t="s">
        <v>61</v>
      </c>
      <c r="K698" s="2" t="s">
        <v>8836</v>
      </c>
      <c r="L698" s="2" t="s">
        <v>8837</v>
      </c>
      <c r="M698" s="3" t="s">
        <v>195</v>
      </c>
      <c r="O698" s="3" t="s">
        <v>65</v>
      </c>
      <c r="P698" s="3" t="s">
        <v>8838</v>
      </c>
      <c r="R698" s="3" t="s">
        <v>68</v>
      </c>
      <c r="S698" s="4">
        <v>10</v>
      </c>
      <c r="T698" s="4">
        <v>10</v>
      </c>
      <c r="U698" s="5" t="s">
        <v>8839</v>
      </c>
      <c r="V698" s="5" t="s">
        <v>8839</v>
      </c>
      <c r="W698" s="5" t="s">
        <v>5936</v>
      </c>
      <c r="X698" s="5" t="s">
        <v>5936</v>
      </c>
      <c r="Y698" s="4">
        <v>145</v>
      </c>
      <c r="Z698" s="4">
        <v>128</v>
      </c>
      <c r="AA698" s="4">
        <v>1067</v>
      </c>
      <c r="AB698" s="4">
        <v>3</v>
      </c>
      <c r="AC698" s="4">
        <v>10</v>
      </c>
      <c r="AD698" s="4">
        <v>7</v>
      </c>
      <c r="AE698" s="4">
        <v>28</v>
      </c>
      <c r="AF698" s="4">
        <v>4</v>
      </c>
      <c r="AG698" s="4">
        <v>9</v>
      </c>
      <c r="AH698" s="4">
        <v>1</v>
      </c>
      <c r="AI698" s="4">
        <v>4</v>
      </c>
      <c r="AJ698" s="4">
        <v>2</v>
      </c>
      <c r="AK698" s="4">
        <v>13</v>
      </c>
      <c r="AL698" s="4">
        <v>2</v>
      </c>
      <c r="AM698" s="4">
        <v>7</v>
      </c>
      <c r="AN698" s="4">
        <v>0</v>
      </c>
      <c r="AO698" s="4">
        <v>0</v>
      </c>
      <c r="AP698" s="3" t="s">
        <v>59</v>
      </c>
      <c r="AQ698" s="3" t="s">
        <v>59</v>
      </c>
      <c r="AS698" s="6" t="str">
        <f>HYPERLINK("https://creighton-primo.hosted.exlibrisgroup.com/primo-explore/search?tab=default_tab&amp;search_scope=EVERYTHING&amp;vid=01CRU&amp;lang=en_US&amp;offset=0&amp;query=any,contains,991005212589702656","Catalog Record")</f>
        <v>Catalog Record</v>
      </c>
      <c r="AT698" s="6" t="str">
        <f>HYPERLINK("http://www.worldcat.org/oclc/8170614","WorldCat Record")</f>
        <v>WorldCat Record</v>
      </c>
      <c r="AU698" s="3" t="s">
        <v>8840</v>
      </c>
      <c r="AV698" s="3" t="s">
        <v>8841</v>
      </c>
      <c r="AW698" s="3" t="s">
        <v>8842</v>
      </c>
      <c r="AX698" s="3" t="s">
        <v>8842</v>
      </c>
      <c r="AY698" s="3" t="s">
        <v>8843</v>
      </c>
      <c r="AZ698" s="3" t="s">
        <v>76</v>
      </c>
      <c r="BB698" s="3" t="s">
        <v>8844</v>
      </c>
      <c r="BC698" s="3" t="s">
        <v>8845</v>
      </c>
      <c r="BD698" s="3" t="s">
        <v>8846</v>
      </c>
    </row>
    <row r="699" spans="1:56" ht="52.5" customHeight="1" x14ac:dyDescent="0.25">
      <c r="A699" s="7" t="s">
        <v>59</v>
      </c>
      <c r="B699" s="2" t="s">
        <v>8847</v>
      </c>
      <c r="C699" s="2" t="s">
        <v>8848</v>
      </c>
      <c r="D699" s="2" t="s">
        <v>8849</v>
      </c>
      <c r="F699" s="3" t="s">
        <v>59</v>
      </c>
      <c r="G699" s="3" t="s">
        <v>60</v>
      </c>
      <c r="H699" s="3" t="s">
        <v>59</v>
      </c>
      <c r="I699" s="3" t="s">
        <v>71</v>
      </c>
      <c r="J699" s="3" t="s">
        <v>61</v>
      </c>
      <c r="K699" s="2" t="s">
        <v>8836</v>
      </c>
      <c r="L699" s="2" t="s">
        <v>8850</v>
      </c>
      <c r="M699" s="3" t="s">
        <v>1163</v>
      </c>
      <c r="N699" s="2" t="s">
        <v>8851</v>
      </c>
      <c r="O699" s="3" t="s">
        <v>65</v>
      </c>
      <c r="P699" s="3" t="s">
        <v>66</v>
      </c>
      <c r="R699" s="3" t="s">
        <v>68</v>
      </c>
      <c r="S699" s="4">
        <v>6</v>
      </c>
      <c r="T699" s="4">
        <v>6</v>
      </c>
      <c r="U699" s="5" t="s">
        <v>8852</v>
      </c>
      <c r="V699" s="5" t="s">
        <v>8852</v>
      </c>
      <c r="W699" s="5" t="s">
        <v>8853</v>
      </c>
      <c r="X699" s="5" t="s">
        <v>8853</v>
      </c>
      <c r="Y699" s="4">
        <v>685</v>
      </c>
      <c r="Z699" s="4">
        <v>644</v>
      </c>
      <c r="AA699" s="4">
        <v>1067</v>
      </c>
      <c r="AB699" s="4">
        <v>3</v>
      </c>
      <c r="AC699" s="4">
        <v>10</v>
      </c>
      <c r="AD699" s="4">
        <v>16</v>
      </c>
      <c r="AE699" s="4">
        <v>28</v>
      </c>
      <c r="AF699" s="4">
        <v>4</v>
      </c>
      <c r="AG699" s="4">
        <v>9</v>
      </c>
      <c r="AH699" s="4">
        <v>3</v>
      </c>
      <c r="AI699" s="4">
        <v>4</v>
      </c>
      <c r="AJ699" s="4">
        <v>11</v>
      </c>
      <c r="AK699" s="4">
        <v>13</v>
      </c>
      <c r="AL699" s="4">
        <v>2</v>
      </c>
      <c r="AM699" s="4">
        <v>7</v>
      </c>
      <c r="AN699" s="4">
        <v>0</v>
      </c>
      <c r="AO699" s="4">
        <v>0</v>
      </c>
      <c r="AP699" s="3" t="s">
        <v>59</v>
      </c>
      <c r="AQ699" s="3" t="s">
        <v>71</v>
      </c>
      <c r="AR699" s="6" t="str">
        <f>HYPERLINK("http://catalog.hathitrust.org/Record/102214556","HathiTrust Record")</f>
        <v>HathiTrust Record</v>
      </c>
      <c r="AS699" s="6" t="str">
        <f>HYPERLINK("https://creighton-primo.hosted.exlibrisgroup.com/primo-explore/search?tab=default_tab&amp;search_scope=EVERYTHING&amp;vid=01CRU&amp;lang=en_US&amp;offset=0&amp;query=any,contains,991000431639702656","Catalog Record")</f>
        <v>Catalog Record</v>
      </c>
      <c r="AT699" s="6" t="str">
        <f>HYPERLINK("http://www.worldcat.org/oclc/10779178","WorldCat Record")</f>
        <v>WorldCat Record</v>
      </c>
      <c r="AU699" s="3" t="s">
        <v>8840</v>
      </c>
      <c r="AV699" s="3" t="s">
        <v>8854</v>
      </c>
      <c r="AW699" s="3" t="s">
        <v>8855</v>
      </c>
      <c r="AX699" s="3" t="s">
        <v>8855</v>
      </c>
      <c r="AY699" s="3" t="s">
        <v>8856</v>
      </c>
      <c r="AZ699" s="3" t="s">
        <v>76</v>
      </c>
      <c r="BB699" s="3" t="s">
        <v>8857</v>
      </c>
      <c r="BC699" s="3" t="s">
        <v>8858</v>
      </c>
      <c r="BD699" s="3" t="s">
        <v>8859</v>
      </c>
    </row>
    <row r="700" spans="1:56" ht="52.5" customHeight="1" x14ac:dyDescent="0.25">
      <c r="A700" s="7" t="s">
        <v>59</v>
      </c>
      <c r="B700" s="2" t="s">
        <v>8860</v>
      </c>
      <c r="C700" s="2" t="s">
        <v>8861</v>
      </c>
      <c r="D700" s="2" t="s">
        <v>8862</v>
      </c>
      <c r="F700" s="3" t="s">
        <v>59</v>
      </c>
      <c r="G700" s="3" t="s">
        <v>60</v>
      </c>
      <c r="H700" s="3" t="s">
        <v>59</v>
      </c>
      <c r="I700" s="3" t="s">
        <v>59</v>
      </c>
      <c r="J700" s="3" t="s">
        <v>61</v>
      </c>
      <c r="K700" s="2" t="s">
        <v>8863</v>
      </c>
      <c r="L700" s="2" t="s">
        <v>5506</v>
      </c>
      <c r="M700" s="3" t="s">
        <v>756</v>
      </c>
      <c r="O700" s="3" t="s">
        <v>65</v>
      </c>
      <c r="P700" s="3" t="s">
        <v>66</v>
      </c>
      <c r="Q700" s="2" t="s">
        <v>1602</v>
      </c>
      <c r="R700" s="3" t="s">
        <v>68</v>
      </c>
      <c r="S700" s="4">
        <v>3</v>
      </c>
      <c r="T700" s="4">
        <v>3</v>
      </c>
      <c r="U700" s="5" t="s">
        <v>8864</v>
      </c>
      <c r="V700" s="5" t="s">
        <v>8864</v>
      </c>
      <c r="W700" s="5" t="s">
        <v>3874</v>
      </c>
      <c r="X700" s="5" t="s">
        <v>3874</v>
      </c>
      <c r="Y700" s="4">
        <v>658</v>
      </c>
      <c r="Z700" s="4">
        <v>555</v>
      </c>
      <c r="AA700" s="4">
        <v>560</v>
      </c>
      <c r="AB700" s="4">
        <v>5</v>
      </c>
      <c r="AC700" s="4">
        <v>5</v>
      </c>
      <c r="AD700" s="4">
        <v>26</v>
      </c>
      <c r="AE700" s="4">
        <v>26</v>
      </c>
      <c r="AF700" s="4">
        <v>10</v>
      </c>
      <c r="AG700" s="4">
        <v>10</v>
      </c>
      <c r="AH700" s="4">
        <v>6</v>
      </c>
      <c r="AI700" s="4">
        <v>6</v>
      </c>
      <c r="AJ700" s="4">
        <v>13</v>
      </c>
      <c r="AK700" s="4">
        <v>13</v>
      </c>
      <c r="AL700" s="4">
        <v>4</v>
      </c>
      <c r="AM700" s="4">
        <v>4</v>
      </c>
      <c r="AN700" s="4">
        <v>0</v>
      </c>
      <c r="AO700" s="4">
        <v>0</v>
      </c>
      <c r="AP700" s="3" t="s">
        <v>59</v>
      </c>
      <c r="AQ700" s="3" t="s">
        <v>71</v>
      </c>
      <c r="AR700" s="6" t="str">
        <f>HYPERLINK("http://catalog.hathitrust.org/Record/000386978","HathiTrust Record")</f>
        <v>HathiTrust Record</v>
      </c>
      <c r="AS700" s="6" t="str">
        <f>HYPERLINK("https://creighton-primo.hosted.exlibrisgroup.com/primo-explore/search?tab=default_tab&amp;search_scope=EVERYTHING&amp;vid=01CRU&amp;lang=en_US&amp;offset=0&amp;query=any,contains,991001736139702656","Catalog Record")</f>
        <v>Catalog Record</v>
      </c>
      <c r="AT700" s="6" t="str">
        <f>HYPERLINK("http://www.worldcat.org/oclc/235076","WorldCat Record")</f>
        <v>WorldCat Record</v>
      </c>
      <c r="AU700" s="3" t="s">
        <v>8865</v>
      </c>
      <c r="AV700" s="3" t="s">
        <v>8866</v>
      </c>
      <c r="AW700" s="3" t="s">
        <v>8867</v>
      </c>
      <c r="AX700" s="3" t="s">
        <v>8867</v>
      </c>
      <c r="AY700" s="3" t="s">
        <v>8868</v>
      </c>
      <c r="AZ700" s="3" t="s">
        <v>76</v>
      </c>
      <c r="BC700" s="3" t="s">
        <v>8869</v>
      </c>
      <c r="BD700" s="3" t="s">
        <v>8870</v>
      </c>
    </row>
    <row r="701" spans="1:56" ht="52.5" customHeight="1" x14ac:dyDescent="0.25">
      <c r="A701" s="7" t="s">
        <v>59</v>
      </c>
      <c r="B701" s="2" t="s">
        <v>8871</v>
      </c>
      <c r="C701" s="2" t="s">
        <v>8872</v>
      </c>
      <c r="D701" s="2" t="s">
        <v>8873</v>
      </c>
      <c r="F701" s="3" t="s">
        <v>59</v>
      </c>
      <c r="G701" s="3" t="s">
        <v>60</v>
      </c>
      <c r="H701" s="3" t="s">
        <v>71</v>
      </c>
      <c r="I701" s="3" t="s">
        <v>59</v>
      </c>
      <c r="J701" s="3" t="s">
        <v>61</v>
      </c>
      <c r="K701" s="2" t="s">
        <v>8874</v>
      </c>
      <c r="L701" s="2" t="s">
        <v>8590</v>
      </c>
      <c r="M701" s="3" t="s">
        <v>131</v>
      </c>
      <c r="O701" s="3" t="s">
        <v>65</v>
      </c>
      <c r="P701" s="3" t="s">
        <v>66</v>
      </c>
      <c r="R701" s="3" t="s">
        <v>68</v>
      </c>
      <c r="S701" s="4">
        <v>7</v>
      </c>
      <c r="T701" s="4">
        <v>19</v>
      </c>
      <c r="U701" s="5" t="s">
        <v>8875</v>
      </c>
      <c r="V701" s="5" t="s">
        <v>8875</v>
      </c>
      <c r="W701" s="5" t="s">
        <v>8876</v>
      </c>
      <c r="X701" s="5" t="s">
        <v>8876</v>
      </c>
      <c r="Y701" s="4">
        <v>737</v>
      </c>
      <c r="Z701" s="4">
        <v>600</v>
      </c>
      <c r="AA701" s="4">
        <v>608</v>
      </c>
      <c r="AB701" s="4">
        <v>5</v>
      </c>
      <c r="AC701" s="4">
        <v>5</v>
      </c>
      <c r="AD701" s="4">
        <v>29</v>
      </c>
      <c r="AE701" s="4">
        <v>29</v>
      </c>
      <c r="AF701" s="4">
        <v>14</v>
      </c>
      <c r="AG701" s="4">
        <v>14</v>
      </c>
      <c r="AH701" s="4">
        <v>6</v>
      </c>
      <c r="AI701" s="4">
        <v>6</v>
      </c>
      <c r="AJ701" s="4">
        <v>14</v>
      </c>
      <c r="AK701" s="4">
        <v>14</v>
      </c>
      <c r="AL701" s="4">
        <v>2</v>
      </c>
      <c r="AM701" s="4">
        <v>2</v>
      </c>
      <c r="AN701" s="4">
        <v>0</v>
      </c>
      <c r="AO701" s="4">
        <v>0</v>
      </c>
      <c r="AP701" s="3" t="s">
        <v>59</v>
      </c>
      <c r="AQ701" s="3" t="s">
        <v>71</v>
      </c>
      <c r="AR701" s="6" t="str">
        <f>HYPERLINK("http://catalog.hathitrust.org/Record/000013611","HathiTrust Record")</f>
        <v>HathiTrust Record</v>
      </c>
      <c r="AS701" s="6" t="str">
        <f>HYPERLINK("https://creighton-primo.hosted.exlibrisgroup.com/primo-explore/search?tab=default_tab&amp;search_scope=EVERYTHING&amp;vid=01CRU&amp;lang=en_US&amp;offset=0&amp;query=any,contains,991001781769702656","Catalog Record")</f>
        <v>Catalog Record</v>
      </c>
      <c r="AT701" s="6" t="str">
        <f>HYPERLINK("http://www.worldcat.org/oclc/874186","WorldCat Record")</f>
        <v>WorldCat Record</v>
      </c>
      <c r="AU701" s="3" t="s">
        <v>8877</v>
      </c>
      <c r="AV701" s="3" t="s">
        <v>8878</v>
      </c>
      <c r="AW701" s="3" t="s">
        <v>8879</v>
      </c>
      <c r="AX701" s="3" t="s">
        <v>8879</v>
      </c>
      <c r="AY701" s="3" t="s">
        <v>8880</v>
      </c>
      <c r="AZ701" s="3" t="s">
        <v>76</v>
      </c>
      <c r="BB701" s="3" t="s">
        <v>8881</v>
      </c>
      <c r="BC701" s="3" t="s">
        <v>8882</v>
      </c>
      <c r="BD701" s="3" t="s">
        <v>8883</v>
      </c>
    </row>
    <row r="702" spans="1:56" ht="52.5" customHeight="1" x14ac:dyDescent="0.25">
      <c r="A702" s="7" t="s">
        <v>59</v>
      </c>
      <c r="B702" s="2" t="s">
        <v>8884</v>
      </c>
      <c r="C702" s="2" t="s">
        <v>8885</v>
      </c>
      <c r="D702" s="2" t="s">
        <v>8886</v>
      </c>
      <c r="F702" s="3" t="s">
        <v>59</v>
      </c>
      <c r="G702" s="3" t="s">
        <v>60</v>
      </c>
      <c r="H702" s="3" t="s">
        <v>71</v>
      </c>
      <c r="I702" s="3" t="s">
        <v>59</v>
      </c>
      <c r="J702" s="3" t="s">
        <v>61</v>
      </c>
      <c r="L702" s="2" t="s">
        <v>8887</v>
      </c>
      <c r="M702" s="3" t="s">
        <v>164</v>
      </c>
      <c r="N702" s="2" t="s">
        <v>887</v>
      </c>
      <c r="O702" s="3" t="s">
        <v>65</v>
      </c>
      <c r="P702" s="3" t="s">
        <v>420</v>
      </c>
      <c r="R702" s="3" t="s">
        <v>68</v>
      </c>
      <c r="S702" s="4">
        <v>3</v>
      </c>
      <c r="T702" s="4">
        <v>3</v>
      </c>
      <c r="U702" s="5" t="s">
        <v>8202</v>
      </c>
      <c r="V702" s="5" t="s">
        <v>8202</v>
      </c>
      <c r="W702" s="5" t="s">
        <v>2624</v>
      </c>
      <c r="X702" s="5" t="s">
        <v>2624</v>
      </c>
      <c r="Y702" s="4">
        <v>943</v>
      </c>
      <c r="Z702" s="4">
        <v>777</v>
      </c>
      <c r="AA702" s="4">
        <v>790</v>
      </c>
      <c r="AB702" s="4">
        <v>9</v>
      </c>
      <c r="AC702" s="4">
        <v>9</v>
      </c>
      <c r="AD702" s="4">
        <v>39</v>
      </c>
      <c r="AE702" s="4">
        <v>39</v>
      </c>
      <c r="AF702" s="4">
        <v>16</v>
      </c>
      <c r="AG702" s="4">
        <v>16</v>
      </c>
      <c r="AH702" s="4">
        <v>8</v>
      </c>
      <c r="AI702" s="4">
        <v>8</v>
      </c>
      <c r="AJ702" s="4">
        <v>19</v>
      </c>
      <c r="AK702" s="4">
        <v>19</v>
      </c>
      <c r="AL702" s="4">
        <v>7</v>
      </c>
      <c r="AM702" s="4">
        <v>7</v>
      </c>
      <c r="AN702" s="4">
        <v>0</v>
      </c>
      <c r="AO702" s="4">
        <v>0</v>
      </c>
      <c r="AP702" s="3" t="s">
        <v>59</v>
      </c>
      <c r="AQ702" s="3" t="s">
        <v>71</v>
      </c>
      <c r="AR702" s="6" t="str">
        <f>HYPERLINK("http://catalog.hathitrust.org/Record/000128536","HathiTrust Record")</f>
        <v>HathiTrust Record</v>
      </c>
      <c r="AS702" s="6" t="str">
        <f>HYPERLINK("https://creighton-primo.hosted.exlibrisgroup.com/primo-explore/search?tab=default_tab&amp;search_scope=EVERYTHING&amp;vid=01CRU&amp;lang=en_US&amp;offset=0&amp;query=any,contains,991005007999702656","Catalog Record")</f>
        <v>Catalog Record</v>
      </c>
      <c r="AT702" s="6" t="str">
        <f>HYPERLINK("http://www.worldcat.org/oclc/6581186","WorldCat Record")</f>
        <v>WorldCat Record</v>
      </c>
      <c r="AU702" s="3" t="s">
        <v>8888</v>
      </c>
      <c r="AV702" s="3" t="s">
        <v>8889</v>
      </c>
      <c r="AW702" s="3" t="s">
        <v>8890</v>
      </c>
      <c r="AX702" s="3" t="s">
        <v>8890</v>
      </c>
      <c r="AY702" s="3" t="s">
        <v>8891</v>
      </c>
      <c r="AZ702" s="3" t="s">
        <v>76</v>
      </c>
      <c r="BB702" s="3" t="s">
        <v>8892</v>
      </c>
      <c r="BC702" s="3" t="s">
        <v>8893</v>
      </c>
      <c r="BD702" s="3" t="s">
        <v>8894</v>
      </c>
    </row>
    <row r="703" spans="1:56" ht="52.5" customHeight="1" x14ac:dyDescent="0.25">
      <c r="A703" s="7" t="s">
        <v>59</v>
      </c>
      <c r="B703" s="2" t="s">
        <v>8895</v>
      </c>
      <c r="C703" s="2" t="s">
        <v>8896</v>
      </c>
      <c r="D703" s="2" t="s">
        <v>8897</v>
      </c>
      <c r="F703" s="3" t="s">
        <v>59</v>
      </c>
      <c r="G703" s="3" t="s">
        <v>60</v>
      </c>
      <c r="H703" s="3" t="s">
        <v>59</v>
      </c>
      <c r="I703" s="3" t="s">
        <v>59</v>
      </c>
      <c r="J703" s="3" t="s">
        <v>61</v>
      </c>
      <c r="K703" s="2" t="s">
        <v>8898</v>
      </c>
      <c r="L703" s="2" t="s">
        <v>8899</v>
      </c>
      <c r="M703" s="3" t="s">
        <v>164</v>
      </c>
      <c r="O703" s="3" t="s">
        <v>65</v>
      </c>
      <c r="P703" s="3" t="s">
        <v>66</v>
      </c>
      <c r="R703" s="3" t="s">
        <v>68</v>
      </c>
      <c r="S703" s="4">
        <v>3</v>
      </c>
      <c r="T703" s="4">
        <v>3</v>
      </c>
      <c r="U703" s="5" t="s">
        <v>8900</v>
      </c>
      <c r="V703" s="5" t="s">
        <v>8900</v>
      </c>
      <c r="W703" s="5" t="s">
        <v>8825</v>
      </c>
      <c r="X703" s="5" t="s">
        <v>8825</v>
      </c>
      <c r="Y703" s="4">
        <v>378</v>
      </c>
      <c r="Z703" s="4">
        <v>295</v>
      </c>
      <c r="AA703" s="4">
        <v>315</v>
      </c>
      <c r="AB703" s="4">
        <v>3</v>
      </c>
      <c r="AC703" s="4">
        <v>3</v>
      </c>
      <c r="AD703" s="4">
        <v>17</v>
      </c>
      <c r="AE703" s="4">
        <v>17</v>
      </c>
      <c r="AF703" s="4">
        <v>7</v>
      </c>
      <c r="AG703" s="4">
        <v>7</v>
      </c>
      <c r="AH703" s="4">
        <v>3</v>
      </c>
      <c r="AI703" s="4">
        <v>3</v>
      </c>
      <c r="AJ703" s="4">
        <v>11</v>
      </c>
      <c r="AK703" s="4">
        <v>11</v>
      </c>
      <c r="AL703" s="4">
        <v>2</v>
      </c>
      <c r="AM703" s="4">
        <v>2</v>
      </c>
      <c r="AN703" s="4">
        <v>0</v>
      </c>
      <c r="AO703" s="4">
        <v>0</v>
      </c>
      <c r="AP703" s="3" t="s">
        <v>59</v>
      </c>
      <c r="AQ703" s="3" t="s">
        <v>71</v>
      </c>
      <c r="AR703" s="6" t="str">
        <f>HYPERLINK("http://catalog.hathitrust.org/Record/000691938","HathiTrust Record")</f>
        <v>HathiTrust Record</v>
      </c>
      <c r="AS703" s="6" t="str">
        <f>HYPERLINK("https://creighton-primo.hosted.exlibrisgroup.com/primo-explore/search?tab=default_tab&amp;search_scope=EVERYTHING&amp;vid=01CRU&amp;lang=en_US&amp;offset=0&amp;query=any,contains,991004952929702656","Catalog Record")</f>
        <v>Catalog Record</v>
      </c>
      <c r="AT703" s="6" t="str">
        <f>HYPERLINK("http://www.worldcat.org/oclc/6251877","WorldCat Record")</f>
        <v>WorldCat Record</v>
      </c>
      <c r="AU703" s="3" t="s">
        <v>8901</v>
      </c>
      <c r="AV703" s="3" t="s">
        <v>8902</v>
      </c>
      <c r="AW703" s="3" t="s">
        <v>8903</v>
      </c>
      <c r="AX703" s="3" t="s">
        <v>8903</v>
      </c>
      <c r="AY703" s="3" t="s">
        <v>8904</v>
      </c>
      <c r="AZ703" s="3" t="s">
        <v>76</v>
      </c>
      <c r="BB703" s="3" t="s">
        <v>8905</v>
      </c>
      <c r="BC703" s="3" t="s">
        <v>8906</v>
      </c>
      <c r="BD703" s="3" t="s">
        <v>8907</v>
      </c>
    </row>
    <row r="704" spans="1:56" ht="52.5" customHeight="1" x14ac:dyDescent="0.25">
      <c r="A704" s="7" t="s">
        <v>59</v>
      </c>
      <c r="B704" s="2" t="s">
        <v>8908</v>
      </c>
      <c r="C704" s="2" t="s">
        <v>8909</v>
      </c>
      <c r="D704" s="2" t="s">
        <v>8910</v>
      </c>
      <c r="F704" s="3" t="s">
        <v>59</v>
      </c>
      <c r="G704" s="3" t="s">
        <v>60</v>
      </c>
      <c r="H704" s="3" t="s">
        <v>59</v>
      </c>
      <c r="I704" s="3" t="s">
        <v>59</v>
      </c>
      <c r="J704" s="3" t="s">
        <v>61</v>
      </c>
      <c r="K704" s="2" t="s">
        <v>8911</v>
      </c>
      <c r="L704" s="2" t="s">
        <v>8912</v>
      </c>
      <c r="M704" s="3" t="s">
        <v>514</v>
      </c>
      <c r="O704" s="3" t="s">
        <v>65</v>
      </c>
      <c r="P704" s="3" t="s">
        <v>66</v>
      </c>
      <c r="Q704" s="2" t="s">
        <v>3470</v>
      </c>
      <c r="R704" s="3" t="s">
        <v>68</v>
      </c>
      <c r="S704" s="4">
        <v>6</v>
      </c>
      <c r="T704" s="4">
        <v>6</v>
      </c>
      <c r="U704" s="5" t="s">
        <v>8913</v>
      </c>
      <c r="V704" s="5" t="s">
        <v>8913</v>
      </c>
      <c r="W704" s="5" t="s">
        <v>5507</v>
      </c>
      <c r="X704" s="5" t="s">
        <v>5507</v>
      </c>
      <c r="Y704" s="4">
        <v>719</v>
      </c>
      <c r="Z704" s="4">
        <v>565</v>
      </c>
      <c r="AA704" s="4">
        <v>580</v>
      </c>
      <c r="AB704" s="4">
        <v>3</v>
      </c>
      <c r="AC704" s="4">
        <v>3</v>
      </c>
      <c r="AD704" s="4">
        <v>32</v>
      </c>
      <c r="AE704" s="4">
        <v>33</v>
      </c>
      <c r="AF704" s="4">
        <v>13</v>
      </c>
      <c r="AG704" s="4">
        <v>13</v>
      </c>
      <c r="AH704" s="4">
        <v>7</v>
      </c>
      <c r="AI704" s="4">
        <v>7</v>
      </c>
      <c r="AJ704" s="4">
        <v>18</v>
      </c>
      <c r="AK704" s="4">
        <v>19</v>
      </c>
      <c r="AL704" s="4">
        <v>2</v>
      </c>
      <c r="AM704" s="4">
        <v>2</v>
      </c>
      <c r="AN704" s="4">
        <v>0</v>
      </c>
      <c r="AO704" s="4">
        <v>0</v>
      </c>
      <c r="AP704" s="3" t="s">
        <v>59</v>
      </c>
      <c r="AQ704" s="3" t="s">
        <v>71</v>
      </c>
      <c r="AR704" s="6" t="str">
        <f>HYPERLINK("http://catalog.hathitrust.org/Record/000387069","HathiTrust Record")</f>
        <v>HathiTrust Record</v>
      </c>
      <c r="AS704" s="6" t="str">
        <f>HYPERLINK("https://creighton-primo.hosted.exlibrisgroup.com/primo-explore/search?tab=default_tab&amp;search_scope=EVERYTHING&amp;vid=01CRU&amp;lang=en_US&amp;offset=0&amp;query=any,contains,991001370159702656","Catalog Record")</f>
        <v>Catalog Record</v>
      </c>
      <c r="AT704" s="6" t="str">
        <f>HYPERLINK("http://www.worldcat.org/oclc/223336","WorldCat Record")</f>
        <v>WorldCat Record</v>
      </c>
      <c r="AU704" s="3" t="s">
        <v>8914</v>
      </c>
      <c r="AV704" s="3" t="s">
        <v>8915</v>
      </c>
      <c r="AW704" s="3" t="s">
        <v>8916</v>
      </c>
      <c r="AX704" s="3" t="s">
        <v>8916</v>
      </c>
      <c r="AY704" s="3" t="s">
        <v>8917</v>
      </c>
      <c r="AZ704" s="3" t="s">
        <v>76</v>
      </c>
      <c r="BC704" s="3" t="s">
        <v>8918</v>
      </c>
      <c r="BD704" s="3" t="s">
        <v>8919</v>
      </c>
    </row>
    <row r="705" spans="1:56" ht="52.5" customHeight="1" x14ac:dyDescent="0.25">
      <c r="A705" s="7" t="s">
        <v>59</v>
      </c>
      <c r="B705" s="2" t="s">
        <v>8920</v>
      </c>
      <c r="C705" s="2" t="s">
        <v>8921</v>
      </c>
      <c r="D705" s="2" t="s">
        <v>8922</v>
      </c>
      <c r="F705" s="3" t="s">
        <v>59</v>
      </c>
      <c r="G705" s="3" t="s">
        <v>60</v>
      </c>
      <c r="H705" s="3" t="s">
        <v>59</v>
      </c>
      <c r="I705" s="3" t="s">
        <v>59</v>
      </c>
      <c r="J705" s="3" t="s">
        <v>61</v>
      </c>
      <c r="L705" s="2" t="s">
        <v>8923</v>
      </c>
      <c r="M705" s="3" t="s">
        <v>987</v>
      </c>
      <c r="O705" s="3" t="s">
        <v>65</v>
      </c>
      <c r="P705" s="3" t="s">
        <v>296</v>
      </c>
      <c r="R705" s="3" t="s">
        <v>68</v>
      </c>
      <c r="S705" s="4">
        <v>2</v>
      </c>
      <c r="T705" s="4">
        <v>2</v>
      </c>
      <c r="U705" s="5" t="s">
        <v>8875</v>
      </c>
      <c r="V705" s="5" t="s">
        <v>8875</v>
      </c>
      <c r="W705" s="5" t="s">
        <v>7036</v>
      </c>
      <c r="X705" s="5" t="s">
        <v>7036</v>
      </c>
      <c r="Y705" s="4">
        <v>351</v>
      </c>
      <c r="Z705" s="4">
        <v>284</v>
      </c>
      <c r="AA705" s="4">
        <v>286</v>
      </c>
      <c r="AB705" s="4">
        <v>1</v>
      </c>
      <c r="AC705" s="4">
        <v>1</v>
      </c>
      <c r="AD705" s="4">
        <v>11</v>
      </c>
      <c r="AE705" s="4">
        <v>11</v>
      </c>
      <c r="AF705" s="4">
        <v>4</v>
      </c>
      <c r="AG705" s="4">
        <v>4</v>
      </c>
      <c r="AH705" s="4">
        <v>2</v>
      </c>
      <c r="AI705" s="4">
        <v>2</v>
      </c>
      <c r="AJ705" s="4">
        <v>8</v>
      </c>
      <c r="AK705" s="4">
        <v>8</v>
      </c>
      <c r="AL705" s="4">
        <v>0</v>
      </c>
      <c r="AM705" s="4">
        <v>0</v>
      </c>
      <c r="AN705" s="4">
        <v>0</v>
      </c>
      <c r="AO705" s="4">
        <v>0</v>
      </c>
      <c r="AP705" s="3" t="s">
        <v>59</v>
      </c>
      <c r="AQ705" s="3" t="s">
        <v>71</v>
      </c>
      <c r="AR705" s="6" t="str">
        <f>HYPERLINK("http://catalog.hathitrust.org/Record/000360869","HathiTrust Record")</f>
        <v>HathiTrust Record</v>
      </c>
      <c r="AS705" s="6" t="str">
        <f>HYPERLINK("https://creighton-primo.hosted.exlibrisgroup.com/primo-explore/search?tab=default_tab&amp;search_scope=EVERYTHING&amp;vid=01CRU&amp;lang=en_US&amp;offset=0&amp;query=any,contains,991000629619702656","Catalog Record")</f>
        <v>Catalog Record</v>
      </c>
      <c r="AT705" s="6" t="str">
        <f>HYPERLINK("http://www.worldcat.org/oclc/105603","WorldCat Record")</f>
        <v>WorldCat Record</v>
      </c>
      <c r="AU705" s="3" t="s">
        <v>8924</v>
      </c>
      <c r="AV705" s="3" t="s">
        <v>8925</v>
      </c>
      <c r="AW705" s="3" t="s">
        <v>8926</v>
      </c>
      <c r="AX705" s="3" t="s">
        <v>8926</v>
      </c>
      <c r="AY705" s="3" t="s">
        <v>8927</v>
      </c>
      <c r="AZ705" s="3" t="s">
        <v>76</v>
      </c>
      <c r="BC705" s="3" t="s">
        <v>8928</v>
      </c>
      <c r="BD705" s="3" t="s">
        <v>8929</v>
      </c>
    </row>
    <row r="706" spans="1:56" ht="52.5" customHeight="1" x14ac:dyDescent="0.25">
      <c r="A706" s="7" t="s">
        <v>59</v>
      </c>
      <c r="B706" s="2" t="s">
        <v>8930</v>
      </c>
      <c r="C706" s="2" t="s">
        <v>8931</v>
      </c>
      <c r="D706" s="2" t="s">
        <v>8932</v>
      </c>
      <c r="F706" s="3" t="s">
        <v>59</v>
      </c>
      <c r="G706" s="3" t="s">
        <v>60</v>
      </c>
      <c r="H706" s="3" t="s">
        <v>59</v>
      </c>
      <c r="I706" s="3" t="s">
        <v>59</v>
      </c>
      <c r="J706" s="3" t="s">
        <v>61</v>
      </c>
      <c r="L706" s="2" t="s">
        <v>5386</v>
      </c>
      <c r="M706" s="3" t="s">
        <v>475</v>
      </c>
      <c r="O706" s="3" t="s">
        <v>65</v>
      </c>
      <c r="P706" s="3" t="s">
        <v>66</v>
      </c>
      <c r="R706" s="3" t="s">
        <v>68</v>
      </c>
      <c r="S706" s="4">
        <v>6</v>
      </c>
      <c r="T706" s="4">
        <v>6</v>
      </c>
      <c r="U706" s="5" t="s">
        <v>8933</v>
      </c>
      <c r="V706" s="5" t="s">
        <v>8933</v>
      </c>
      <c r="W706" s="5" t="s">
        <v>7672</v>
      </c>
      <c r="X706" s="5" t="s">
        <v>7672</v>
      </c>
      <c r="Y706" s="4">
        <v>539</v>
      </c>
      <c r="Z706" s="4">
        <v>383</v>
      </c>
      <c r="AA706" s="4">
        <v>425</v>
      </c>
      <c r="AB706" s="4">
        <v>2</v>
      </c>
      <c r="AC706" s="4">
        <v>2</v>
      </c>
      <c r="AD706" s="4">
        <v>21</v>
      </c>
      <c r="AE706" s="4">
        <v>23</v>
      </c>
      <c r="AF706" s="4">
        <v>9</v>
      </c>
      <c r="AG706" s="4">
        <v>10</v>
      </c>
      <c r="AH706" s="4">
        <v>5</v>
      </c>
      <c r="AI706" s="4">
        <v>6</v>
      </c>
      <c r="AJ706" s="4">
        <v>13</v>
      </c>
      <c r="AK706" s="4">
        <v>13</v>
      </c>
      <c r="AL706" s="4">
        <v>1</v>
      </c>
      <c r="AM706" s="4">
        <v>1</v>
      </c>
      <c r="AN706" s="4">
        <v>0</v>
      </c>
      <c r="AO706" s="4">
        <v>0</v>
      </c>
      <c r="AP706" s="3" t="s">
        <v>59</v>
      </c>
      <c r="AQ706" s="3" t="s">
        <v>71</v>
      </c>
      <c r="AR706" s="6" t="str">
        <f>HYPERLINK("http://catalog.hathitrust.org/Record/000202727","HathiTrust Record")</f>
        <v>HathiTrust Record</v>
      </c>
      <c r="AS706" s="6" t="str">
        <f>HYPERLINK("https://creighton-primo.hosted.exlibrisgroup.com/primo-explore/search?tab=default_tab&amp;search_scope=EVERYTHING&amp;vid=01CRU&amp;lang=en_US&amp;offset=0&amp;query=any,contains,991000213579702656","Catalog Record")</f>
        <v>Catalog Record</v>
      </c>
      <c r="AT706" s="6" t="str">
        <f>HYPERLINK("http://www.worldcat.org/oclc/9556609","WorldCat Record")</f>
        <v>WorldCat Record</v>
      </c>
      <c r="AU706" s="3" t="s">
        <v>8934</v>
      </c>
      <c r="AV706" s="3" t="s">
        <v>8935</v>
      </c>
      <c r="AW706" s="3" t="s">
        <v>8936</v>
      </c>
      <c r="AX706" s="3" t="s">
        <v>8936</v>
      </c>
      <c r="AY706" s="3" t="s">
        <v>8937</v>
      </c>
      <c r="AZ706" s="3" t="s">
        <v>76</v>
      </c>
      <c r="BB706" s="3" t="s">
        <v>8938</v>
      </c>
      <c r="BC706" s="3" t="s">
        <v>8939</v>
      </c>
      <c r="BD706" s="3" t="s">
        <v>8940</v>
      </c>
    </row>
    <row r="707" spans="1:56" ht="52.5" customHeight="1" x14ac:dyDescent="0.25">
      <c r="A707" s="7" t="s">
        <v>59</v>
      </c>
      <c r="B707" s="2" t="s">
        <v>8941</v>
      </c>
      <c r="C707" s="2" t="s">
        <v>8942</v>
      </c>
      <c r="D707" s="2" t="s">
        <v>8943</v>
      </c>
      <c r="F707" s="3" t="s">
        <v>59</v>
      </c>
      <c r="G707" s="3" t="s">
        <v>60</v>
      </c>
      <c r="H707" s="3" t="s">
        <v>59</v>
      </c>
      <c r="I707" s="3" t="s">
        <v>59</v>
      </c>
      <c r="J707" s="3" t="s">
        <v>61</v>
      </c>
      <c r="K707" s="2" t="s">
        <v>8944</v>
      </c>
      <c r="L707" s="2" t="s">
        <v>8945</v>
      </c>
      <c r="M707" s="3" t="s">
        <v>195</v>
      </c>
      <c r="O707" s="3" t="s">
        <v>65</v>
      </c>
      <c r="P707" s="3" t="s">
        <v>66</v>
      </c>
      <c r="R707" s="3" t="s">
        <v>68</v>
      </c>
      <c r="S707" s="4">
        <v>7</v>
      </c>
      <c r="T707" s="4">
        <v>7</v>
      </c>
      <c r="U707" s="5" t="s">
        <v>8946</v>
      </c>
      <c r="V707" s="5" t="s">
        <v>8946</v>
      </c>
      <c r="W707" s="5" t="s">
        <v>8947</v>
      </c>
      <c r="X707" s="5" t="s">
        <v>8947</v>
      </c>
      <c r="Y707" s="4">
        <v>723</v>
      </c>
      <c r="Z707" s="4">
        <v>604</v>
      </c>
      <c r="AA707" s="4">
        <v>701</v>
      </c>
      <c r="AB707" s="4">
        <v>4</v>
      </c>
      <c r="AC707" s="4">
        <v>4</v>
      </c>
      <c r="AD707" s="4">
        <v>15</v>
      </c>
      <c r="AE707" s="4">
        <v>17</v>
      </c>
      <c r="AF707" s="4">
        <v>6</v>
      </c>
      <c r="AG707" s="4">
        <v>7</v>
      </c>
      <c r="AH707" s="4">
        <v>4</v>
      </c>
      <c r="AI707" s="4">
        <v>4</v>
      </c>
      <c r="AJ707" s="4">
        <v>8</v>
      </c>
      <c r="AK707" s="4">
        <v>9</v>
      </c>
      <c r="AL707" s="4">
        <v>1</v>
      </c>
      <c r="AM707" s="4">
        <v>1</v>
      </c>
      <c r="AN707" s="4">
        <v>0</v>
      </c>
      <c r="AO707" s="4">
        <v>0</v>
      </c>
      <c r="AP707" s="3" t="s">
        <v>59</v>
      </c>
      <c r="AQ707" s="3" t="s">
        <v>71</v>
      </c>
      <c r="AR707" s="6" t="str">
        <f>HYPERLINK("http://catalog.hathitrust.org/Record/000265856","HathiTrust Record")</f>
        <v>HathiTrust Record</v>
      </c>
      <c r="AS707" s="6" t="str">
        <f>HYPERLINK("https://creighton-primo.hosted.exlibrisgroup.com/primo-explore/search?tab=default_tab&amp;search_scope=EVERYTHING&amp;vid=01CRU&amp;lang=en_US&amp;offset=0&amp;query=any,contains,991005178199702656","Catalog Record")</f>
        <v>Catalog Record</v>
      </c>
      <c r="AT707" s="6" t="str">
        <f>HYPERLINK("http://www.worldcat.org/oclc/7925564","WorldCat Record")</f>
        <v>WorldCat Record</v>
      </c>
      <c r="AU707" s="3" t="s">
        <v>8948</v>
      </c>
      <c r="AV707" s="3" t="s">
        <v>8949</v>
      </c>
      <c r="AW707" s="3" t="s">
        <v>8950</v>
      </c>
      <c r="AX707" s="3" t="s">
        <v>8950</v>
      </c>
      <c r="AY707" s="3" t="s">
        <v>8951</v>
      </c>
      <c r="AZ707" s="3" t="s">
        <v>76</v>
      </c>
      <c r="BB707" s="3" t="s">
        <v>8952</v>
      </c>
      <c r="BC707" s="3" t="s">
        <v>8953</v>
      </c>
      <c r="BD707" s="3" t="s">
        <v>8954</v>
      </c>
    </row>
    <row r="708" spans="1:56" ht="52.5" customHeight="1" x14ac:dyDescent="0.25">
      <c r="A708" s="7" t="s">
        <v>59</v>
      </c>
      <c r="B708" s="2" t="s">
        <v>8955</v>
      </c>
      <c r="C708" s="2" t="s">
        <v>8956</v>
      </c>
      <c r="D708" s="2" t="s">
        <v>8957</v>
      </c>
      <c r="F708" s="3" t="s">
        <v>59</v>
      </c>
      <c r="G708" s="3" t="s">
        <v>60</v>
      </c>
      <c r="H708" s="3" t="s">
        <v>59</v>
      </c>
      <c r="I708" s="3" t="s">
        <v>59</v>
      </c>
      <c r="J708" s="3" t="s">
        <v>61</v>
      </c>
      <c r="L708" s="2" t="s">
        <v>8958</v>
      </c>
      <c r="M708" s="3" t="s">
        <v>987</v>
      </c>
      <c r="O708" s="3" t="s">
        <v>65</v>
      </c>
      <c r="P708" s="3" t="s">
        <v>66</v>
      </c>
      <c r="R708" s="3" t="s">
        <v>68</v>
      </c>
      <c r="S708" s="4">
        <v>9</v>
      </c>
      <c r="T708" s="4">
        <v>9</v>
      </c>
      <c r="U708" s="5" t="s">
        <v>8959</v>
      </c>
      <c r="V708" s="5" t="s">
        <v>8959</v>
      </c>
      <c r="W708" s="5" t="s">
        <v>8960</v>
      </c>
      <c r="X708" s="5" t="s">
        <v>8960</v>
      </c>
      <c r="Y708" s="4">
        <v>467</v>
      </c>
      <c r="Z708" s="4">
        <v>345</v>
      </c>
      <c r="AA708" s="4">
        <v>353</v>
      </c>
      <c r="AB708" s="4">
        <v>3</v>
      </c>
      <c r="AC708" s="4">
        <v>3</v>
      </c>
      <c r="AD708" s="4">
        <v>14</v>
      </c>
      <c r="AE708" s="4">
        <v>14</v>
      </c>
      <c r="AF708" s="4">
        <v>4</v>
      </c>
      <c r="AG708" s="4">
        <v>4</v>
      </c>
      <c r="AH708" s="4">
        <v>5</v>
      </c>
      <c r="AI708" s="4">
        <v>5</v>
      </c>
      <c r="AJ708" s="4">
        <v>6</v>
      </c>
      <c r="AK708" s="4">
        <v>6</v>
      </c>
      <c r="AL708" s="4">
        <v>2</v>
      </c>
      <c r="AM708" s="4">
        <v>2</v>
      </c>
      <c r="AN708" s="4">
        <v>0</v>
      </c>
      <c r="AO708" s="4">
        <v>0</v>
      </c>
      <c r="AP708" s="3" t="s">
        <v>59</v>
      </c>
      <c r="AQ708" s="3" t="s">
        <v>71</v>
      </c>
      <c r="AR708" s="6" t="str">
        <f>HYPERLINK("http://catalog.hathitrust.org/Record/000360877","HathiTrust Record")</f>
        <v>HathiTrust Record</v>
      </c>
      <c r="AS708" s="6" t="str">
        <f>HYPERLINK("https://creighton-primo.hosted.exlibrisgroup.com/primo-explore/search?tab=default_tab&amp;search_scope=EVERYTHING&amp;vid=01CRU&amp;lang=en_US&amp;offset=0&amp;query=any,contains,991000215789702656","Catalog Record")</f>
        <v>Catalog Record</v>
      </c>
      <c r="AT708" s="6" t="str">
        <f>HYPERLINK("http://www.worldcat.org/oclc/66702","WorldCat Record")</f>
        <v>WorldCat Record</v>
      </c>
      <c r="AU708" s="3" t="s">
        <v>8961</v>
      </c>
      <c r="AV708" s="3" t="s">
        <v>8962</v>
      </c>
      <c r="AW708" s="3" t="s">
        <v>8963</v>
      </c>
      <c r="AX708" s="3" t="s">
        <v>8963</v>
      </c>
      <c r="AY708" s="3" t="s">
        <v>8964</v>
      </c>
      <c r="AZ708" s="3" t="s">
        <v>76</v>
      </c>
      <c r="BB708" s="3" t="s">
        <v>8965</v>
      </c>
      <c r="BC708" s="3" t="s">
        <v>8966</v>
      </c>
      <c r="BD708" s="3" t="s">
        <v>8967</v>
      </c>
    </row>
    <row r="709" spans="1:56" ht="52.5" customHeight="1" x14ac:dyDescent="0.25">
      <c r="A709" s="7" t="s">
        <v>59</v>
      </c>
      <c r="B709" s="2" t="s">
        <v>8968</v>
      </c>
      <c r="C709" s="2" t="s">
        <v>8969</v>
      </c>
      <c r="D709" s="2" t="s">
        <v>8970</v>
      </c>
      <c r="F709" s="3" t="s">
        <v>59</v>
      </c>
      <c r="G709" s="3" t="s">
        <v>60</v>
      </c>
      <c r="H709" s="3" t="s">
        <v>59</v>
      </c>
      <c r="I709" s="3" t="s">
        <v>71</v>
      </c>
      <c r="J709" s="3" t="s">
        <v>61</v>
      </c>
      <c r="L709" s="2" t="s">
        <v>8971</v>
      </c>
      <c r="M709" s="3" t="s">
        <v>350</v>
      </c>
      <c r="O709" s="3" t="s">
        <v>65</v>
      </c>
      <c r="P709" s="3" t="s">
        <v>66</v>
      </c>
      <c r="R709" s="3" t="s">
        <v>68</v>
      </c>
      <c r="S709" s="4">
        <v>10</v>
      </c>
      <c r="T709" s="4">
        <v>10</v>
      </c>
      <c r="U709" s="5" t="s">
        <v>8972</v>
      </c>
      <c r="V709" s="5" t="s">
        <v>8972</v>
      </c>
      <c r="W709" s="5" t="s">
        <v>407</v>
      </c>
      <c r="X709" s="5" t="s">
        <v>407</v>
      </c>
      <c r="Y709" s="4">
        <v>687</v>
      </c>
      <c r="Z709" s="4">
        <v>547</v>
      </c>
      <c r="AA709" s="4">
        <v>978</v>
      </c>
      <c r="AB709" s="4">
        <v>5</v>
      </c>
      <c r="AC709" s="4">
        <v>7</v>
      </c>
      <c r="AD709" s="4">
        <v>28</v>
      </c>
      <c r="AE709" s="4">
        <v>43</v>
      </c>
      <c r="AF709" s="4">
        <v>10</v>
      </c>
      <c r="AG709" s="4">
        <v>19</v>
      </c>
      <c r="AH709" s="4">
        <v>4</v>
      </c>
      <c r="AI709" s="4">
        <v>7</v>
      </c>
      <c r="AJ709" s="4">
        <v>13</v>
      </c>
      <c r="AK709" s="4">
        <v>21</v>
      </c>
      <c r="AL709" s="4">
        <v>4</v>
      </c>
      <c r="AM709" s="4">
        <v>6</v>
      </c>
      <c r="AN709" s="4">
        <v>0</v>
      </c>
      <c r="AO709" s="4">
        <v>0</v>
      </c>
      <c r="AP709" s="3" t="s">
        <v>59</v>
      </c>
      <c r="AQ709" s="3" t="s">
        <v>59</v>
      </c>
      <c r="AS709" s="6" t="str">
        <f>HYPERLINK("https://creighton-primo.hosted.exlibrisgroup.com/primo-explore/search?tab=default_tab&amp;search_scope=EVERYTHING&amp;vid=01CRU&amp;lang=en_US&amp;offset=0&amp;query=any,contains,991004259839702656","Catalog Record")</f>
        <v>Catalog Record</v>
      </c>
      <c r="AT709" s="6" t="str">
        <f>HYPERLINK("http://www.worldcat.org/oclc/2837509","WorldCat Record")</f>
        <v>WorldCat Record</v>
      </c>
      <c r="AU709" s="3" t="s">
        <v>8973</v>
      </c>
      <c r="AV709" s="3" t="s">
        <v>8974</v>
      </c>
      <c r="AW709" s="3" t="s">
        <v>8975</v>
      </c>
      <c r="AX709" s="3" t="s">
        <v>8975</v>
      </c>
      <c r="AY709" s="3" t="s">
        <v>8976</v>
      </c>
      <c r="AZ709" s="3" t="s">
        <v>76</v>
      </c>
      <c r="BB709" s="3" t="s">
        <v>8977</v>
      </c>
      <c r="BC709" s="3" t="s">
        <v>8978</v>
      </c>
      <c r="BD709" s="3" t="s">
        <v>8979</v>
      </c>
    </row>
    <row r="710" spans="1:56" ht="52.5" customHeight="1" x14ac:dyDescent="0.25">
      <c r="A710" s="7" t="s">
        <v>59</v>
      </c>
      <c r="B710" s="2" t="s">
        <v>8980</v>
      </c>
      <c r="C710" s="2" t="s">
        <v>8981</v>
      </c>
      <c r="D710" s="2" t="s">
        <v>8982</v>
      </c>
      <c r="F710" s="3" t="s">
        <v>59</v>
      </c>
      <c r="G710" s="3" t="s">
        <v>60</v>
      </c>
      <c r="H710" s="3" t="s">
        <v>59</v>
      </c>
      <c r="I710" s="3" t="s">
        <v>59</v>
      </c>
      <c r="J710" s="3" t="s">
        <v>61</v>
      </c>
      <c r="L710" s="2" t="s">
        <v>8983</v>
      </c>
      <c r="M710" s="3" t="s">
        <v>164</v>
      </c>
      <c r="O710" s="3" t="s">
        <v>65</v>
      </c>
      <c r="P710" s="3" t="s">
        <v>420</v>
      </c>
      <c r="R710" s="3" t="s">
        <v>68</v>
      </c>
      <c r="S710" s="4">
        <v>15</v>
      </c>
      <c r="T710" s="4">
        <v>15</v>
      </c>
      <c r="U710" s="5" t="s">
        <v>8984</v>
      </c>
      <c r="V710" s="5" t="s">
        <v>8984</v>
      </c>
      <c r="W710" s="5" t="s">
        <v>2060</v>
      </c>
      <c r="X710" s="5" t="s">
        <v>2060</v>
      </c>
      <c r="Y710" s="4">
        <v>305</v>
      </c>
      <c r="Z710" s="4">
        <v>230</v>
      </c>
      <c r="AA710" s="4">
        <v>231</v>
      </c>
      <c r="AB710" s="4">
        <v>2</v>
      </c>
      <c r="AC710" s="4">
        <v>2</v>
      </c>
      <c r="AD710" s="4">
        <v>7</v>
      </c>
      <c r="AE710" s="4">
        <v>7</v>
      </c>
      <c r="AF710" s="4">
        <v>1</v>
      </c>
      <c r="AG710" s="4">
        <v>1</v>
      </c>
      <c r="AH710" s="4">
        <v>3</v>
      </c>
      <c r="AI710" s="4">
        <v>3</v>
      </c>
      <c r="AJ710" s="4">
        <v>4</v>
      </c>
      <c r="AK710" s="4">
        <v>4</v>
      </c>
      <c r="AL710" s="4">
        <v>1</v>
      </c>
      <c r="AM710" s="4">
        <v>1</v>
      </c>
      <c r="AN710" s="4">
        <v>0</v>
      </c>
      <c r="AO710" s="4">
        <v>0</v>
      </c>
      <c r="AP710" s="3" t="s">
        <v>59</v>
      </c>
      <c r="AQ710" s="3" t="s">
        <v>71</v>
      </c>
      <c r="AR710" s="6" t="str">
        <f>HYPERLINK("http://catalog.hathitrust.org/Record/000650951","HathiTrust Record")</f>
        <v>HathiTrust Record</v>
      </c>
      <c r="AS710" s="6" t="str">
        <f>HYPERLINK("https://creighton-primo.hosted.exlibrisgroup.com/primo-explore/search?tab=default_tab&amp;search_scope=EVERYTHING&amp;vid=01CRU&amp;lang=en_US&amp;offset=0&amp;query=any,contains,991005041259702656","Catalog Record")</f>
        <v>Catalog Record</v>
      </c>
      <c r="AT710" s="6" t="str">
        <f>HYPERLINK("http://www.worldcat.org/oclc/6793692","WorldCat Record")</f>
        <v>WorldCat Record</v>
      </c>
      <c r="AU710" s="3" t="s">
        <v>8985</v>
      </c>
      <c r="AV710" s="3" t="s">
        <v>8986</v>
      </c>
      <c r="AW710" s="3" t="s">
        <v>8987</v>
      </c>
      <c r="AX710" s="3" t="s">
        <v>8987</v>
      </c>
      <c r="AY710" s="3" t="s">
        <v>8988</v>
      </c>
      <c r="AZ710" s="3" t="s">
        <v>76</v>
      </c>
      <c r="BB710" s="3" t="s">
        <v>8989</v>
      </c>
      <c r="BC710" s="3" t="s">
        <v>8990</v>
      </c>
      <c r="BD710" s="3" t="s">
        <v>8991</v>
      </c>
    </row>
    <row r="711" spans="1:56" ht="52.5" customHeight="1" x14ac:dyDescent="0.25">
      <c r="A711" s="7" t="s">
        <v>59</v>
      </c>
      <c r="B711" s="2" t="s">
        <v>8992</v>
      </c>
      <c r="C711" s="2" t="s">
        <v>8993</v>
      </c>
      <c r="D711" s="2" t="s">
        <v>8994</v>
      </c>
      <c r="F711" s="3" t="s">
        <v>59</v>
      </c>
      <c r="G711" s="3" t="s">
        <v>60</v>
      </c>
      <c r="H711" s="3" t="s">
        <v>59</v>
      </c>
      <c r="I711" s="3" t="s">
        <v>59</v>
      </c>
      <c r="J711" s="3" t="s">
        <v>61</v>
      </c>
      <c r="K711" s="2" t="s">
        <v>8995</v>
      </c>
      <c r="L711" s="2" t="s">
        <v>8996</v>
      </c>
      <c r="M711" s="3" t="s">
        <v>1217</v>
      </c>
      <c r="N711" s="2" t="s">
        <v>887</v>
      </c>
      <c r="O711" s="3" t="s">
        <v>65</v>
      </c>
      <c r="P711" s="3" t="s">
        <v>66</v>
      </c>
      <c r="R711" s="3" t="s">
        <v>68</v>
      </c>
      <c r="S711" s="4">
        <v>5</v>
      </c>
      <c r="T711" s="4">
        <v>5</v>
      </c>
      <c r="U711" s="5" t="s">
        <v>8997</v>
      </c>
      <c r="V711" s="5" t="s">
        <v>8997</v>
      </c>
      <c r="W711" s="5" t="s">
        <v>8998</v>
      </c>
      <c r="X711" s="5" t="s">
        <v>8998</v>
      </c>
      <c r="Y711" s="4">
        <v>833</v>
      </c>
      <c r="Z711" s="4">
        <v>768</v>
      </c>
      <c r="AA711" s="4">
        <v>1190</v>
      </c>
      <c r="AB711" s="4">
        <v>7</v>
      </c>
      <c r="AC711" s="4">
        <v>10</v>
      </c>
      <c r="AD711" s="4">
        <v>9</v>
      </c>
      <c r="AE711" s="4">
        <v>14</v>
      </c>
      <c r="AF711" s="4">
        <v>4</v>
      </c>
      <c r="AG711" s="4">
        <v>6</v>
      </c>
      <c r="AH711" s="4">
        <v>1</v>
      </c>
      <c r="AI711" s="4">
        <v>2</v>
      </c>
      <c r="AJ711" s="4">
        <v>2</v>
      </c>
      <c r="AK711" s="4">
        <v>3</v>
      </c>
      <c r="AL711" s="4">
        <v>2</v>
      </c>
      <c r="AM711" s="4">
        <v>3</v>
      </c>
      <c r="AN711" s="4">
        <v>0</v>
      </c>
      <c r="AO711" s="4">
        <v>0</v>
      </c>
      <c r="AP711" s="3" t="s">
        <v>59</v>
      </c>
      <c r="AQ711" s="3" t="s">
        <v>71</v>
      </c>
      <c r="AR711" s="6" t="str">
        <f>HYPERLINK("http://catalog.hathitrust.org/Record/000125781","HathiTrust Record")</f>
        <v>HathiTrust Record</v>
      </c>
      <c r="AS711" s="6" t="str">
        <f>HYPERLINK("https://creighton-primo.hosted.exlibrisgroup.com/primo-explore/search?tab=default_tab&amp;search_scope=EVERYTHING&amp;vid=01CRU&amp;lang=en_US&amp;offset=0&amp;query=any,contains,991000332039702656","Catalog Record")</f>
        <v>Catalog Record</v>
      </c>
      <c r="AT711" s="6" t="str">
        <f>HYPERLINK("http://www.worldcat.org/oclc/10207711","WorldCat Record")</f>
        <v>WorldCat Record</v>
      </c>
      <c r="AU711" s="3" t="s">
        <v>8999</v>
      </c>
      <c r="AV711" s="3" t="s">
        <v>9000</v>
      </c>
      <c r="AW711" s="3" t="s">
        <v>9001</v>
      </c>
      <c r="AX711" s="3" t="s">
        <v>9001</v>
      </c>
      <c r="AY711" s="3" t="s">
        <v>9002</v>
      </c>
      <c r="AZ711" s="3" t="s">
        <v>76</v>
      </c>
      <c r="BB711" s="3" t="s">
        <v>9003</v>
      </c>
      <c r="BC711" s="3" t="s">
        <v>9004</v>
      </c>
      <c r="BD711" s="3" t="s">
        <v>9005</v>
      </c>
    </row>
    <row r="712" spans="1:56" ht="52.5" customHeight="1" x14ac:dyDescent="0.25">
      <c r="A712" s="7" t="s">
        <v>59</v>
      </c>
      <c r="B712" s="2" t="s">
        <v>9006</v>
      </c>
      <c r="C712" s="2" t="s">
        <v>9007</v>
      </c>
      <c r="D712" s="2" t="s">
        <v>9008</v>
      </c>
      <c r="F712" s="3" t="s">
        <v>59</v>
      </c>
      <c r="G712" s="3" t="s">
        <v>60</v>
      </c>
      <c r="H712" s="3" t="s">
        <v>59</v>
      </c>
      <c r="I712" s="3" t="s">
        <v>59</v>
      </c>
      <c r="J712" s="3" t="s">
        <v>61</v>
      </c>
      <c r="K712" s="2" t="s">
        <v>9009</v>
      </c>
      <c r="L712" s="2" t="s">
        <v>9010</v>
      </c>
      <c r="M712" s="3" t="s">
        <v>9011</v>
      </c>
      <c r="O712" s="3" t="s">
        <v>65</v>
      </c>
      <c r="P712" s="3" t="s">
        <v>1262</v>
      </c>
      <c r="Q712" s="2" t="s">
        <v>9012</v>
      </c>
      <c r="R712" s="3" t="s">
        <v>68</v>
      </c>
      <c r="S712" s="4">
        <v>2</v>
      </c>
      <c r="T712" s="4">
        <v>2</v>
      </c>
      <c r="U712" s="5" t="s">
        <v>9013</v>
      </c>
      <c r="V712" s="5" t="s">
        <v>9013</v>
      </c>
      <c r="W712" s="5" t="s">
        <v>9014</v>
      </c>
      <c r="X712" s="5" t="s">
        <v>9014</v>
      </c>
      <c r="Y712" s="4">
        <v>526</v>
      </c>
      <c r="Z712" s="4">
        <v>341</v>
      </c>
      <c r="AA712" s="4">
        <v>356</v>
      </c>
      <c r="AB712" s="4">
        <v>6</v>
      </c>
      <c r="AC712" s="4">
        <v>6</v>
      </c>
      <c r="AD712" s="4">
        <v>23</v>
      </c>
      <c r="AE712" s="4">
        <v>23</v>
      </c>
      <c r="AF712" s="4">
        <v>7</v>
      </c>
      <c r="AG712" s="4">
        <v>7</v>
      </c>
      <c r="AH712" s="4">
        <v>5</v>
      </c>
      <c r="AI712" s="4">
        <v>5</v>
      </c>
      <c r="AJ712" s="4">
        <v>12</v>
      </c>
      <c r="AK712" s="4">
        <v>12</v>
      </c>
      <c r="AL712" s="4">
        <v>5</v>
      </c>
      <c r="AM712" s="4">
        <v>5</v>
      </c>
      <c r="AN712" s="4">
        <v>0</v>
      </c>
      <c r="AO712" s="4">
        <v>0</v>
      </c>
      <c r="AP712" s="3" t="s">
        <v>59</v>
      </c>
      <c r="AQ712" s="3" t="s">
        <v>59</v>
      </c>
      <c r="AS712" s="6" t="str">
        <f>HYPERLINK("https://creighton-primo.hosted.exlibrisgroup.com/primo-explore/search?tab=default_tab&amp;search_scope=EVERYTHING&amp;vid=01CRU&amp;lang=en_US&amp;offset=0&amp;query=any,contains,991003039559702656","Catalog Record")</f>
        <v>Catalog Record</v>
      </c>
      <c r="AT712" s="6" t="str">
        <f>HYPERLINK("http://www.worldcat.org/oclc/42004369","WorldCat Record")</f>
        <v>WorldCat Record</v>
      </c>
      <c r="AU712" s="3" t="s">
        <v>9015</v>
      </c>
      <c r="AV712" s="3" t="s">
        <v>9016</v>
      </c>
      <c r="AW712" s="3" t="s">
        <v>9017</v>
      </c>
      <c r="AX712" s="3" t="s">
        <v>9017</v>
      </c>
      <c r="AY712" s="3" t="s">
        <v>9018</v>
      </c>
      <c r="AZ712" s="3" t="s">
        <v>76</v>
      </c>
      <c r="BB712" s="3" t="s">
        <v>9019</v>
      </c>
      <c r="BC712" s="3" t="s">
        <v>9020</v>
      </c>
      <c r="BD712" s="3" t="s">
        <v>9021</v>
      </c>
    </row>
    <row r="713" spans="1:56" ht="52.5" customHeight="1" x14ac:dyDescent="0.25">
      <c r="A713" s="7" t="s">
        <v>59</v>
      </c>
      <c r="B713" s="2" t="s">
        <v>9022</v>
      </c>
      <c r="C713" s="2" t="s">
        <v>9023</v>
      </c>
      <c r="D713" s="2" t="s">
        <v>9024</v>
      </c>
      <c r="F713" s="3" t="s">
        <v>59</v>
      </c>
      <c r="G713" s="3" t="s">
        <v>60</v>
      </c>
      <c r="H713" s="3" t="s">
        <v>59</v>
      </c>
      <c r="I713" s="3" t="s">
        <v>59</v>
      </c>
      <c r="J713" s="3" t="s">
        <v>61</v>
      </c>
      <c r="L713" s="2" t="s">
        <v>9025</v>
      </c>
      <c r="M713" s="3" t="s">
        <v>1000</v>
      </c>
      <c r="O713" s="3" t="s">
        <v>65</v>
      </c>
      <c r="P713" s="3" t="s">
        <v>66</v>
      </c>
      <c r="R713" s="3" t="s">
        <v>68</v>
      </c>
      <c r="S713" s="4">
        <v>11</v>
      </c>
      <c r="T713" s="4">
        <v>11</v>
      </c>
      <c r="U713" s="5" t="s">
        <v>9026</v>
      </c>
      <c r="V713" s="5" t="s">
        <v>9026</v>
      </c>
      <c r="W713" s="5" t="s">
        <v>7672</v>
      </c>
      <c r="X713" s="5" t="s">
        <v>7672</v>
      </c>
      <c r="Y713" s="4">
        <v>1267</v>
      </c>
      <c r="Z713" s="4">
        <v>1184</v>
      </c>
      <c r="AA713" s="4">
        <v>1294</v>
      </c>
      <c r="AB713" s="4">
        <v>5</v>
      </c>
      <c r="AC713" s="4">
        <v>7</v>
      </c>
      <c r="AD713" s="4">
        <v>26</v>
      </c>
      <c r="AE713" s="4">
        <v>30</v>
      </c>
      <c r="AF713" s="4">
        <v>8</v>
      </c>
      <c r="AG713" s="4">
        <v>9</v>
      </c>
      <c r="AH713" s="4">
        <v>7</v>
      </c>
      <c r="AI713" s="4">
        <v>7</v>
      </c>
      <c r="AJ713" s="4">
        <v>12</v>
      </c>
      <c r="AK713" s="4">
        <v>13</v>
      </c>
      <c r="AL713" s="4">
        <v>3</v>
      </c>
      <c r="AM713" s="4">
        <v>5</v>
      </c>
      <c r="AN713" s="4">
        <v>0</v>
      </c>
      <c r="AO713" s="4">
        <v>0</v>
      </c>
      <c r="AP713" s="3" t="s">
        <v>59</v>
      </c>
      <c r="AQ713" s="3" t="s">
        <v>71</v>
      </c>
      <c r="AR713" s="6" t="str">
        <f>HYPERLINK("http://catalog.hathitrust.org/Record/007480452","HathiTrust Record")</f>
        <v>HathiTrust Record</v>
      </c>
      <c r="AS713" s="6" t="str">
        <f>HYPERLINK("https://creighton-primo.hosted.exlibrisgroup.com/primo-explore/search?tab=default_tab&amp;search_scope=EVERYTHING&amp;vid=01CRU&amp;lang=en_US&amp;offset=0&amp;query=any,contains,991004685919702656","Catalog Record")</f>
        <v>Catalog Record</v>
      </c>
      <c r="AT713" s="6" t="str">
        <f>HYPERLINK("http://www.worldcat.org/oclc/4592797","WorldCat Record")</f>
        <v>WorldCat Record</v>
      </c>
      <c r="AU713" s="3" t="s">
        <v>9027</v>
      </c>
      <c r="AV713" s="3" t="s">
        <v>9028</v>
      </c>
      <c r="AW713" s="3" t="s">
        <v>9029</v>
      </c>
      <c r="AX713" s="3" t="s">
        <v>9029</v>
      </c>
      <c r="AY713" s="3" t="s">
        <v>9030</v>
      </c>
      <c r="AZ713" s="3" t="s">
        <v>76</v>
      </c>
      <c r="BB713" s="3" t="s">
        <v>9031</v>
      </c>
      <c r="BC713" s="3" t="s">
        <v>9032</v>
      </c>
      <c r="BD713" s="3" t="s">
        <v>9033</v>
      </c>
    </row>
    <row r="714" spans="1:56" ht="52.5" customHeight="1" x14ac:dyDescent="0.25">
      <c r="A714" s="7" t="s">
        <v>59</v>
      </c>
      <c r="B714" s="2" t="s">
        <v>9034</v>
      </c>
      <c r="C714" s="2" t="s">
        <v>9035</v>
      </c>
      <c r="D714" s="2" t="s">
        <v>9036</v>
      </c>
      <c r="F714" s="3" t="s">
        <v>59</v>
      </c>
      <c r="G714" s="3" t="s">
        <v>60</v>
      </c>
      <c r="H714" s="3" t="s">
        <v>71</v>
      </c>
      <c r="I714" s="3" t="s">
        <v>59</v>
      </c>
      <c r="J714" s="3" t="s">
        <v>61</v>
      </c>
      <c r="K714" s="2" t="s">
        <v>9037</v>
      </c>
      <c r="L714" s="2" t="s">
        <v>9038</v>
      </c>
      <c r="M714" s="3" t="s">
        <v>1467</v>
      </c>
      <c r="O714" s="3" t="s">
        <v>65</v>
      </c>
      <c r="P714" s="3" t="s">
        <v>491</v>
      </c>
      <c r="R714" s="3" t="s">
        <v>68</v>
      </c>
      <c r="S714" s="4">
        <v>2</v>
      </c>
      <c r="T714" s="4">
        <v>2</v>
      </c>
      <c r="U714" s="5" t="s">
        <v>9026</v>
      </c>
      <c r="V714" s="5" t="s">
        <v>9026</v>
      </c>
      <c r="W714" s="5" t="s">
        <v>7036</v>
      </c>
      <c r="X714" s="5" t="s">
        <v>7036</v>
      </c>
      <c r="Y714" s="4">
        <v>548</v>
      </c>
      <c r="Z714" s="4">
        <v>461</v>
      </c>
      <c r="AA714" s="4">
        <v>491</v>
      </c>
      <c r="AB714" s="4">
        <v>5</v>
      </c>
      <c r="AC714" s="4">
        <v>5</v>
      </c>
      <c r="AD714" s="4">
        <v>24</v>
      </c>
      <c r="AE714" s="4">
        <v>24</v>
      </c>
      <c r="AF714" s="4">
        <v>7</v>
      </c>
      <c r="AG714" s="4">
        <v>7</v>
      </c>
      <c r="AH714" s="4">
        <v>8</v>
      </c>
      <c r="AI714" s="4">
        <v>8</v>
      </c>
      <c r="AJ714" s="4">
        <v>13</v>
      </c>
      <c r="AK714" s="4">
        <v>13</v>
      </c>
      <c r="AL714" s="4">
        <v>3</v>
      </c>
      <c r="AM714" s="4">
        <v>3</v>
      </c>
      <c r="AN714" s="4">
        <v>0</v>
      </c>
      <c r="AO714" s="4">
        <v>0</v>
      </c>
      <c r="AP714" s="3" t="s">
        <v>59</v>
      </c>
      <c r="AQ714" s="3" t="s">
        <v>59</v>
      </c>
      <c r="AR714" s="6" t="str">
        <f>HYPERLINK("http://catalog.hathitrust.org/Record/000381717","HathiTrust Record")</f>
        <v>HathiTrust Record</v>
      </c>
      <c r="AS714" s="6" t="str">
        <f>HYPERLINK("https://creighton-primo.hosted.exlibrisgroup.com/primo-explore/search?tab=default_tab&amp;search_scope=EVERYTHING&amp;vid=01CRU&amp;lang=en_US&amp;offset=0&amp;query=any,contains,991000949159702656","Catalog Record")</f>
        <v>Catalog Record</v>
      </c>
      <c r="AT714" s="6" t="str">
        <f>HYPERLINK("http://www.worldcat.org/oclc/14612826","WorldCat Record")</f>
        <v>WorldCat Record</v>
      </c>
      <c r="AU714" s="3" t="s">
        <v>9039</v>
      </c>
      <c r="AV714" s="3" t="s">
        <v>9040</v>
      </c>
      <c r="AW714" s="3" t="s">
        <v>9041</v>
      </c>
      <c r="AX714" s="3" t="s">
        <v>9041</v>
      </c>
      <c r="AY714" s="3" t="s">
        <v>9042</v>
      </c>
      <c r="AZ714" s="3" t="s">
        <v>76</v>
      </c>
      <c r="BC714" s="3" t="s">
        <v>9043</v>
      </c>
      <c r="BD714" s="3" t="s">
        <v>9044</v>
      </c>
    </row>
    <row r="715" spans="1:56" ht="52.5" customHeight="1" x14ac:dyDescent="0.25">
      <c r="A715" s="7" t="s">
        <v>59</v>
      </c>
      <c r="B715" s="2" t="s">
        <v>9045</v>
      </c>
      <c r="C715" s="2" t="s">
        <v>9046</v>
      </c>
      <c r="D715" s="2" t="s">
        <v>9047</v>
      </c>
      <c r="F715" s="3" t="s">
        <v>59</v>
      </c>
      <c r="G715" s="3" t="s">
        <v>60</v>
      </c>
      <c r="H715" s="3" t="s">
        <v>59</v>
      </c>
      <c r="I715" s="3" t="s">
        <v>59</v>
      </c>
      <c r="J715" s="3" t="s">
        <v>61</v>
      </c>
      <c r="K715" s="2" t="s">
        <v>9048</v>
      </c>
      <c r="L715" s="2" t="s">
        <v>9049</v>
      </c>
      <c r="M715" s="3" t="s">
        <v>1233</v>
      </c>
      <c r="O715" s="3" t="s">
        <v>65</v>
      </c>
      <c r="P715" s="3" t="s">
        <v>66</v>
      </c>
      <c r="Q715" s="2" t="s">
        <v>391</v>
      </c>
      <c r="R715" s="3" t="s">
        <v>68</v>
      </c>
      <c r="S715" s="4">
        <v>4</v>
      </c>
      <c r="T715" s="4">
        <v>4</v>
      </c>
      <c r="U715" s="5" t="s">
        <v>9050</v>
      </c>
      <c r="V715" s="5" t="s">
        <v>9050</v>
      </c>
      <c r="W715" s="5" t="s">
        <v>7036</v>
      </c>
      <c r="X715" s="5" t="s">
        <v>7036</v>
      </c>
      <c r="Y715" s="4">
        <v>463</v>
      </c>
      <c r="Z715" s="4">
        <v>424</v>
      </c>
      <c r="AA715" s="4">
        <v>600</v>
      </c>
      <c r="AB715" s="4">
        <v>5</v>
      </c>
      <c r="AC715" s="4">
        <v>5</v>
      </c>
      <c r="AD715" s="4">
        <v>14</v>
      </c>
      <c r="AE715" s="4">
        <v>23</v>
      </c>
      <c r="AF715" s="4">
        <v>4</v>
      </c>
      <c r="AG715" s="4">
        <v>8</v>
      </c>
      <c r="AH715" s="4">
        <v>2</v>
      </c>
      <c r="AI715" s="4">
        <v>3</v>
      </c>
      <c r="AJ715" s="4">
        <v>6</v>
      </c>
      <c r="AK715" s="4">
        <v>12</v>
      </c>
      <c r="AL715" s="4">
        <v>3</v>
      </c>
      <c r="AM715" s="4">
        <v>3</v>
      </c>
      <c r="AN715" s="4">
        <v>1</v>
      </c>
      <c r="AO715" s="4">
        <v>1</v>
      </c>
      <c r="AP715" s="3" t="s">
        <v>59</v>
      </c>
      <c r="AQ715" s="3" t="s">
        <v>71</v>
      </c>
      <c r="AR715" s="6" t="str">
        <f>HYPERLINK("http://catalog.hathitrust.org/Record/000012331","HathiTrust Record")</f>
        <v>HathiTrust Record</v>
      </c>
      <c r="AS715" s="6" t="str">
        <f>HYPERLINK("https://creighton-primo.hosted.exlibrisgroup.com/primo-explore/search?tab=default_tab&amp;search_scope=EVERYTHING&amp;vid=01CRU&amp;lang=en_US&amp;offset=0&amp;query=any,contains,991003186959702656","Catalog Record")</f>
        <v>Catalog Record</v>
      </c>
      <c r="AT715" s="6" t="str">
        <f>HYPERLINK("http://www.worldcat.org/oclc/713347","WorldCat Record")</f>
        <v>WorldCat Record</v>
      </c>
      <c r="AU715" s="3" t="s">
        <v>9051</v>
      </c>
      <c r="AV715" s="3" t="s">
        <v>9052</v>
      </c>
      <c r="AW715" s="3" t="s">
        <v>9053</v>
      </c>
      <c r="AX715" s="3" t="s">
        <v>9053</v>
      </c>
      <c r="AY715" s="3" t="s">
        <v>9054</v>
      </c>
      <c r="AZ715" s="3" t="s">
        <v>76</v>
      </c>
      <c r="BB715" s="3" t="s">
        <v>9055</v>
      </c>
      <c r="BC715" s="3" t="s">
        <v>9056</v>
      </c>
      <c r="BD715" s="3" t="s">
        <v>9057</v>
      </c>
    </row>
    <row r="716" spans="1:56" ht="52.5" customHeight="1" x14ac:dyDescent="0.25">
      <c r="A716" s="7" t="s">
        <v>59</v>
      </c>
      <c r="B716" s="2" t="s">
        <v>9058</v>
      </c>
      <c r="C716" s="2" t="s">
        <v>9059</v>
      </c>
      <c r="D716" s="2" t="s">
        <v>9060</v>
      </c>
      <c r="F716" s="3" t="s">
        <v>59</v>
      </c>
      <c r="G716" s="3" t="s">
        <v>60</v>
      </c>
      <c r="H716" s="3" t="s">
        <v>59</v>
      </c>
      <c r="I716" s="3" t="s">
        <v>59</v>
      </c>
      <c r="J716" s="3" t="s">
        <v>61</v>
      </c>
      <c r="K716" s="2" t="s">
        <v>9061</v>
      </c>
      <c r="L716" s="2" t="s">
        <v>9062</v>
      </c>
      <c r="M716" s="3" t="s">
        <v>405</v>
      </c>
      <c r="O716" s="3" t="s">
        <v>65</v>
      </c>
      <c r="P716" s="3" t="s">
        <v>699</v>
      </c>
      <c r="Q716" s="2" t="s">
        <v>3781</v>
      </c>
      <c r="R716" s="3" t="s">
        <v>68</v>
      </c>
      <c r="S716" s="4">
        <v>10</v>
      </c>
      <c r="T716" s="4">
        <v>10</v>
      </c>
      <c r="U716" s="5" t="s">
        <v>9063</v>
      </c>
      <c r="V716" s="5" t="s">
        <v>9063</v>
      </c>
      <c r="W716" s="5" t="s">
        <v>7672</v>
      </c>
      <c r="X716" s="5" t="s">
        <v>7672</v>
      </c>
      <c r="Y716" s="4">
        <v>284</v>
      </c>
      <c r="Z716" s="4">
        <v>239</v>
      </c>
      <c r="AA716" s="4">
        <v>240</v>
      </c>
      <c r="AB716" s="4">
        <v>2</v>
      </c>
      <c r="AC716" s="4">
        <v>2</v>
      </c>
      <c r="AD716" s="4">
        <v>13</v>
      </c>
      <c r="AE716" s="4">
        <v>13</v>
      </c>
      <c r="AF716" s="4">
        <v>3</v>
      </c>
      <c r="AG716" s="4">
        <v>3</v>
      </c>
      <c r="AH716" s="4">
        <v>5</v>
      </c>
      <c r="AI716" s="4">
        <v>5</v>
      </c>
      <c r="AJ716" s="4">
        <v>8</v>
      </c>
      <c r="AK716" s="4">
        <v>8</v>
      </c>
      <c r="AL716" s="4">
        <v>1</v>
      </c>
      <c r="AM716" s="4">
        <v>1</v>
      </c>
      <c r="AN716" s="4">
        <v>0</v>
      </c>
      <c r="AO716" s="4">
        <v>0</v>
      </c>
      <c r="AP716" s="3" t="s">
        <v>59</v>
      </c>
      <c r="AQ716" s="3" t="s">
        <v>71</v>
      </c>
      <c r="AR716" s="6" t="str">
        <f>HYPERLINK("http://catalog.hathitrust.org/Record/000817233","HathiTrust Record")</f>
        <v>HathiTrust Record</v>
      </c>
      <c r="AS716" s="6" t="str">
        <f>HYPERLINK("https://creighton-primo.hosted.exlibrisgroup.com/primo-explore/search?tab=default_tab&amp;search_scope=EVERYTHING&amp;vid=01CRU&amp;lang=en_US&amp;offset=0&amp;query=any,contains,991000941689702656","Catalog Record")</f>
        <v>Catalog Record</v>
      </c>
      <c r="AT716" s="6" t="str">
        <f>HYPERLINK("http://www.worldcat.org/oclc/14413159","WorldCat Record")</f>
        <v>WorldCat Record</v>
      </c>
      <c r="AU716" s="3" t="s">
        <v>9064</v>
      </c>
      <c r="AV716" s="3" t="s">
        <v>9065</v>
      </c>
      <c r="AW716" s="3" t="s">
        <v>9066</v>
      </c>
      <c r="AX716" s="3" t="s">
        <v>9066</v>
      </c>
      <c r="AY716" s="3" t="s">
        <v>9067</v>
      </c>
      <c r="AZ716" s="3" t="s">
        <v>76</v>
      </c>
      <c r="BB716" s="3" t="s">
        <v>9068</v>
      </c>
      <c r="BC716" s="3" t="s">
        <v>9069</v>
      </c>
      <c r="BD716" s="3" t="s">
        <v>9070</v>
      </c>
    </row>
    <row r="717" spans="1:56" ht="52.5" customHeight="1" x14ac:dyDescent="0.25">
      <c r="A717" s="7" t="s">
        <v>59</v>
      </c>
      <c r="B717" s="2" t="s">
        <v>9071</v>
      </c>
      <c r="C717" s="2" t="s">
        <v>9072</v>
      </c>
      <c r="D717" s="2" t="s">
        <v>9073</v>
      </c>
      <c r="F717" s="3" t="s">
        <v>59</v>
      </c>
      <c r="G717" s="3" t="s">
        <v>60</v>
      </c>
      <c r="H717" s="3" t="s">
        <v>59</v>
      </c>
      <c r="I717" s="3" t="s">
        <v>59</v>
      </c>
      <c r="J717" s="3" t="s">
        <v>61</v>
      </c>
      <c r="K717" s="2" t="s">
        <v>9074</v>
      </c>
      <c r="L717" s="2" t="s">
        <v>9075</v>
      </c>
      <c r="M717" s="3" t="s">
        <v>224</v>
      </c>
      <c r="N717" s="2" t="s">
        <v>887</v>
      </c>
      <c r="O717" s="3" t="s">
        <v>65</v>
      </c>
      <c r="P717" s="3" t="s">
        <v>66</v>
      </c>
      <c r="R717" s="3" t="s">
        <v>68</v>
      </c>
      <c r="S717" s="4">
        <v>5</v>
      </c>
      <c r="T717" s="4">
        <v>5</v>
      </c>
      <c r="U717" s="5" t="s">
        <v>9076</v>
      </c>
      <c r="V717" s="5" t="s">
        <v>9076</v>
      </c>
      <c r="W717" s="5" t="s">
        <v>7036</v>
      </c>
      <c r="X717" s="5" t="s">
        <v>7036</v>
      </c>
      <c r="Y717" s="4">
        <v>365</v>
      </c>
      <c r="Z717" s="4">
        <v>339</v>
      </c>
      <c r="AA717" s="4">
        <v>420</v>
      </c>
      <c r="AB717" s="4">
        <v>8</v>
      </c>
      <c r="AC717" s="4">
        <v>8</v>
      </c>
      <c r="AD717" s="4">
        <v>28</v>
      </c>
      <c r="AE717" s="4">
        <v>32</v>
      </c>
      <c r="AF717" s="4">
        <v>7</v>
      </c>
      <c r="AG717" s="4">
        <v>9</v>
      </c>
      <c r="AH717" s="4">
        <v>6</v>
      </c>
      <c r="AI717" s="4">
        <v>8</v>
      </c>
      <c r="AJ717" s="4">
        <v>19</v>
      </c>
      <c r="AK717" s="4">
        <v>21</v>
      </c>
      <c r="AL717" s="4">
        <v>4</v>
      </c>
      <c r="AM717" s="4">
        <v>4</v>
      </c>
      <c r="AN717" s="4">
        <v>0</v>
      </c>
      <c r="AO717" s="4">
        <v>0</v>
      </c>
      <c r="AP717" s="3" t="s">
        <v>59</v>
      </c>
      <c r="AQ717" s="3" t="s">
        <v>71</v>
      </c>
      <c r="AR717" s="6" t="str">
        <f>HYPERLINK("http://catalog.hathitrust.org/Record/009810119","HathiTrust Record")</f>
        <v>HathiTrust Record</v>
      </c>
      <c r="AS717" s="6" t="str">
        <f>HYPERLINK("https://creighton-primo.hosted.exlibrisgroup.com/primo-explore/search?tab=default_tab&amp;search_scope=EVERYTHING&amp;vid=01CRU&amp;lang=en_US&amp;offset=0&amp;query=any,contains,991003905599702656","Catalog Record")</f>
        <v>Catalog Record</v>
      </c>
      <c r="AT717" s="6" t="str">
        <f>HYPERLINK("http://www.worldcat.org/oclc/1836719","WorldCat Record")</f>
        <v>WorldCat Record</v>
      </c>
      <c r="AU717" s="3" t="s">
        <v>9077</v>
      </c>
      <c r="AV717" s="3" t="s">
        <v>9078</v>
      </c>
      <c r="AW717" s="3" t="s">
        <v>9079</v>
      </c>
      <c r="AX717" s="3" t="s">
        <v>9079</v>
      </c>
      <c r="AY717" s="3" t="s">
        <v>9080</v>
      </c>
      <c r="AZ717" s="3" t="s">
        <v>76</v>
      </c>
      <c r="BB717" s="3" t="s">
        <v>9081</v>
      </c>
      <c r="BC717" s="3" t="s">
        <v>9082</v>
      </c>
      <c r="BD717" s="3" t="s">
        <v>9083</v>
      </c>
    </row>
    <row r="718" spans="1:56" ht="52.5" customHeight="1" x14ac:dyDescent="0.25">
      <c r="A718" s="7" t="s">
        <v>59</v>
      </c>
      <c r="B718" s="2" t="s">
        <v>9084</v>
      </c>
      <c r="C718" s="2" t="s">
        <v>9085</v>
      </c>
      <c r="D718" s="2" t="s">
        <v>9086</v>
      </c>
      <c r="F718" s="3" t="s">
        <v>59</v>
      </c>
      <c r="G718" s="3" t="s">
        <v>60</v>
      </c>
      <c r="H718" s="3" t="s">
        <v>59</v>
      </c>
      <c r="I718" s="3" t="s">
        <v>59</v>
      </c>
      <c r="J718" s="3" t="s">
        <v>61</v>
      </c>
      <c r="K718" s="2" t="s">
        <v>9087</v>
      </c>
      <c r="L718" s="2" t="s">
        <v>9088</v>
      </c>
      <c r="M718" s="3" t="s">
        <v>1217</v>
      </c>
      <c r="N718" s="2" t="s">
        <v>887</v>
      </c>
      <c r="O718" s="3" t="s">
        <v>65</v>
      </c>
      <c r="P718" s="3" t="s">
        <v>66</v>
      </c>
      <c r="R718" s="3" t="s">
        <v>68</v>
      </c>
      <c r="S718" s="4">
        <v>17</v>
      </c>
      <c r="T718" s="4">
        <v>17</v>
      </c>
      <c r="U718" s="5" t="s">
        <v>9089</v>
      </c>
      <c r="V718" s="5" t="s">
        <v>9089</v>
      </c>
      <c r="W718" s="5" t="s">
        <v>9090</v>
      </c>
      <c r="X718" s="5" t="s">
        <v>9090</v>
      </c>
      <c r="Y718" s="4">
        <v>884</v>
      </c>
      <c r="Z718" s="4">
        <v>819</v>
      </c>
      <c r="AA718" s="4">
        <v>825</v>
      </c>
      <c r="AB718" s="4">
        <v>9</v>
      </c>
      <c r="AC718" s="4">
        <v>9</v>
      </c>
      <c r="AD718" s="4">
        <v>20</v>
      </c>
      <c r="AE718" s="4">
        <v>20</v>
      </c>
      <c r="AF718" s="4">
        <v>8</v>
      </c>
      <c r="AG718" s="4">
        <v>8</v>
      </c>
      <c r="AH718" s="4">
        <v>2</v>
      </c>
      <c r="AI718" s="4">
        <v>2</v>
      </c>
      <c r="AJ718" s="4">
        <v>8</v>
      </c>
      <c r="AK718" s="4">
        <v>8</v>
      </c>
      <c r="AL718" s="4">
        <v>6</v>
      </c>
      <c r="AM718" s="4">
        <v>6</v>
      </c>
      <c r="AN718" s="4">
        <v>0</v>
      </c>
      <c r="AO718" s="4">
        <v>0</v>
      </c>
      <c r="AP718" s="3" t="s">
        <v>59</v>
      </c>
      <c r="AQ718" s="3" t="s">
        <v>59</v>
      </c>
      <c r="AS718" s="6" t="str">
        <f>HYPERLINK("https://creighton-primo.hosted.exlibrisgroup.com/primo-explore/search?tab=default_tab&amp;search_scope=EVERYTHING&amp;vid=01CRU&amp;lang=en_US&amp;offset=0&amp;query=any,contains,991000408939702656","Catalog Record")</f>
        <v>Catalog Record</v>
      </c>
      <c r="AT718" s="6" t="str">
        <f>HYPERLINK("http://www.worldcat.org/oclc/10696798","WorldCat Record")</f>
        <v>WorldCat Record</v>
      </c>
      <c r="AU718" s="3" t="s">
        <v>9091</v>
      </c>
      <c r="AV718" s="3" t="s">
        <v>9092</v>
      </c>
      <c r="AW718" s="3" t="s">
        <v>9093</v>
      </c>
      <c r="AX718" s="3" t="s">
        <v>9093</v>
      </c>
      <c r="AY718" s="3" t="s">
        <v>9094</v>
      </c>
      <c r="AZ718" s="3" t="s">
        <v>76</v>
      </c>
      <c r="BB718" s="3" t="s">
        <v>9095</v>
      </c>
      <c r="BC718" s="3" t="s">
        <v>9096</v>
      </c>
      <c r="BD718" s="3" t="s">
        <v>9097</v>
      </c>
    </row>
    <row r="719" spans="1:56" ht="52.5" customHeight="1" x14ac:dyDescent="0.25">
      <c r="A719" s="7" t="s">
        <v>59</v>
      </c>
      <c r="B719" s="2" t="s">
        <v>9098</v>
      </c>
      <c r="C719" s="2" t="s">
        <v>9099</v>
      </c>
      <c r="D719" s="2" t="s">
        <v>9100</v>
      </c>
      <c r="F719" s="3" t="s">
        <v>59</v>
      </c>
      <c r="G719" s="3" t="s">
        <v>60</v>
      </c>
      <c r="H719" s="3" t="s">
        <v>59</v>
      </c>
      <c r="I719" s="3" t="s">
        <v>59</v>
      </c>
      <c r="J719" s="3" t="s">
        <v>61</v>
      </c>
      <c r="K719" s="2" t="s">
        <v>3716</v>
      </c>
      <c r="L719" s="2" t="s">
        <v>9101</v>
      </c>
      <c r="M719" s="3" t="s">
        <v>131</v>
      </c>
      <c r="O719" s="3" t="s">
        <v>65</v>
      </c>
      <c r="P719" s="3" t="s">
        <v>420</v>
      </c>
      <c r="R719" s="3" t="s">
        <v>68</v>
      </c>
      <c r="S719" s="4">
        <v>3</v>
      </c>
      <c r="T719" s="4">
        <v>3</v>
      </c>
      <c r="U719" s="5" t="s">
        <v>9102</v>
      </c>
      <c r="V719" s="5" t="s">
        <v>9102</v>
      </c>
      <c r="W719" s="5" t="s">
        <v>7804</v>
      </c>
      <c r="X719" s="5" t="s">
        <v>7804</v>
      </c>
      <c r="Y719" s="4">
        <v>422</v>
      </c>
      <c r="Z719" s="4">
        <v>336</v>
      </c>
      <c r="AA719" s="4">
        <v>338</v>
      </c>
      <c r="AB719" s="4">
        <v>4</v>
      </c>
      <c r="AC719" s="4">
        <v>4</v>
      </c>
      <c r="AD719" s="4">
        <v>16</v>
      </c>
      <c r="AE719" s="4">
        <v>16</v>
      </c>
      <c r="AF719" s="4">
        <v>8</v>
      </c>
      <c r="AG719" s="4">
        <v>8</v>
      </c>
      <c r="AH719" s="4">
        <v>3</v>
      </c>
      <c r="AI719" s="4">
        <v>3</v>
      </c>
      <c r="AJ719" s="4">
        <v>6</v>
      </c>
      <c r="AK719" s="4">
        <v>6</v>
      </c>
      <c r="AL719" s="4">
        <v>1</v>
      </c>
      <c r="AM719" s="4">
        <v>1</v>
      </c>
      <c r="AN719" s="4">
        <v>0</v>
      </c>
      <c r="AO719" s="4">
        <v>0</v>
      </c>
      <c r="AP719" s="3" t="s">
        <v>59</v>
      </c>
      <c r="AQ719" s="3" t="s">
        <v>71</v>
      </c>
      <c r="AR719" s="6" t="str">
        <f>HYPERLINK("http://catalog.hathitrust.org/Record/000015252","HathiTrust Record")</f>
        <v>HathiTrust Record</v>
      </c>
      <c r="AS719" s="6" t="str">
        <f>HYPERLINK("https://creighton-primo.hosted.exlibrisgroup.com/primo-explore/search?tab=default_tab&amp;search_scope=EVERYTHING&amp;vid=01CRU&amp;lang=en_US&amp;offset=0&amp;query=any,contains,991003408419702656","Catalog Record")</f>
        <v>Catalog Record</v>
      </c>
      <c r="AT719" s="6" t="str">
        <f>HYPERLINK("http://www.worldcat.org/oclc/947693","WorldCat Record")</f>
        <v>WorldCat Record</v>
      </c>
      <c r="AU719" s="3" t="s">
        <v>9103</v>
      </c>
      <c r="AV719" s="3" t="s">
        <v>9104</v>
      </c>
      <c r="AW719" s="3" t="s">
        <v>9105</v>
      </c>
      <c r="AX719" s="3" t="s">
        <v>9105</v>
      </c>
      <c r="AY719" s="3" t="s">
        <v>9106</v>
      </c>
      <c r="AZ719" s="3" t="s">
        <v>76</v>
      </c>
      <c r="BB719" s="3" t="s">
        <v>9107</v>
      </c>
      <c r="BC719" s="3" t="s">
        <v>9108</v>
      </c>
      <c r="BD719" s="3" t="s">
        <v>9109</v>
      </c>
    </row>
    <row r="720" spans="1:56" ht="52.5" customHeight="1" x14ac:dyDescent="0.25">
      <c r="A720" s="7" t="s">
        <v>59</v>
      </c>
      <c r="B720" s="2" t="s">
        <v>9110</v>
      </c>
      <c r="C720" s="2" t="s">
        <v>9111</v>
      </c>
      <c r="D720" s="2" t="s">
        <v>9112</v>
      </c>
      <c r="F720" s="3" t="s">
        <v>59</v>
      </c>
      <c r="G720" s="3" t="s">
        <v>60</v>
      </c>
      <c r="H720" s="3" t="s">
        <v>59</v>
      </c>
      <c r="I720" s="3" t="s">
        <v>59</v>
      </c>
      <c r="J720" s="3" t="s">
        <v>61</v>
      </c>
      <c r="K720" s="2" t="s">
        <v>9113</v>
      </c>
      <c r="L720" s="2" t="s">
        <v>7669</v>
      </c>
      <c r="M720" s="3" t="s">
        <v>684</v>
      </c>
      <c r="O720" s="3" t="s">
        <v>65</v>
      </c>
      <c r="P720" s="3" t="s">
        <v>66</v>
      </c>
      <c r="R720" s="3" t="s">
        <v>68</v>
      </c>
      <c r="S720" s="4">
        <v>5</v>
      </c>
      <c r="T720" s="4">
        <v>5</v>
      </c>
      <c r="U720" s="5" t="s">
        <v>9114</v>
      </c>
      <c r="V720" s="5" t="s">
        <v>9114</v>
      </c>
      <c r="W720" s="5" t="s">
        <v>7672</v>
      </c>
      <c r="X720" s="5" t="s">
        <v>7672</v>
      </c>
      <c r="Y720" s="4">
        <v>425</v>
      </c>
      <c r="Z720" s="4">
        <v>316</v>
      </c>
      <c r="AA720" s="4">
        <v>360</v>
      </c>
      <c r="AB720" s="4">
        <v>3</v>
      </c>
      <c r="AC720" s="4">
        <v>4</v>
      </c>
      <c r="AD720" s="4">
        <v>16</v>
      </c>
      <c r="AE720" s="4">
        <v>19</v>
      </c>
      <c r="AF720" s="4">
        <v>5</v>
      </c>
      <c r="AG720" s="4">
        <v>6</v>
      </c>
      <c r="AH720" s="4">
        <v>3</v>
      </c>
      <c r="AI720" s="4">
        <v>4</v>
      </c>
      <c r="AJ720" s="4">
        <v>13</v>
      </c>
      <c r="AK720" s="4">
        <v>13</v>
      </c>
      <c r="AL720" s="4">
        <v>2</v>
      </c>
      <c r="AM720" s="4">
        <v>3</v>
      </c>
      <c r="AN720" s="4">
        <v>0</v>
      </c>
      <c r="AO720" s="4">
        <v>0</v>
      </c>
      <c r="AP720" s="3" t="s">
        <v>59</v>
      </c>
      <c r="AQ720" s="3" t="s">
        <v>71</v>
      </c>
      <c r="AR720" s="6" t="str">
        <f>HYPERLINK("http://catalog.hathitrust.org/Record/000143869","HathiTrust Record")</f>
        <v>HathiTrust Record</v>
      </c>
      <c r="AS720" s="6" t="str">
        <f>HYPERLINK("https://creighton-primo.hosted.exlibrisgroup.com/primo-explore/search?tab=default_tab&amp;search_scope=EVERYTHING&amp;vid=01CRU&amp;lang=en_US&amp;offset=0&amp;query=any,contains,991005154869702656","Catalog Record")</f>
        <v>Catalog Record</v>
      </c>
      <c r="AT720" s="6" t="str">
        <f>HYPERLINK("http://www.worldcat.org/oclc/7738330","WorldCat Record")</f>
        <v>WorldCat Record</v>
      </c>
      <c r="AU720" s="3" t="s">
        <v>9115</v>
      </c>
      <c r="AV720" s="3" t="s">
        <v>9116</v>
      </c>
      <c r="AW720" s="3" t="s">
        <v>9117</v>
      </c>
      <c r="AX720" s="3" t="s">
        <v>9117</v>
      </c>
      <c r="AY720" s="3" t="s">
        <v>9118</v>
      </c>
      <c r="AZ720" s="3" t="s">
        <v>76</v>
      </c>
      <c r="BB720" s="3" t="s">
        <v>9119</v>
      </c>
      <c r="BC720" s="3" t="s">
        <v>9120</v>
      </c>
      <c r="BD720" s="3" t="s">
        <v>9121</v>
      </c>
    </row>
    <row r="721" spans="1:56" ht="52.5" customHeight="1" x14ac:dyDescent="0.25">
      <c r="A721" s="7" t="s">
        <v>59</v>
      </c>
      <c r="B721" s="2" t="s">
        <v>9122</v>
      </c>
      <c r="C721" s="2" t="s">
        <v>9123</v>
      </c>
      <c r="D721" s="2" t="s">
        <v>9124</v>
      </c>
      <c r="F721" s="3" t="s">
        <v>59</v>
      </c>
      <c r="G721" s="3" t="s">
        <v>60</v>
      </c>
      <c r="H721" s="3" t="s">
        <v>59</v>
      </c>
      <c r="I721" s="3" t="s">
        <v>59</v>
      </c>
      <c r="J721" s="3" t="s">
        <v>61</v>
      </c>
      <c r="K721" s="2" t="s">
        <v>9125</v>
      </c>
      <c r="L721" s="2" t="s">
        <v>9126</v>
      </c>
      <c r="M721" s="3" t="s">
        <v>1217</v>
      </c>
      <c r="O721" s="3" t="s">
        <v>65</v>
      </c>
      <c r="P721" s="3" t="s">
        <v>771</v>
      </c>
      <c r="R721" s="3" t="s">
        <v>68</v>
      </c>
      <c r="S721" s="4">
        <v>3</v>
      </c>
      <c r="T721" s="4">
        <v>3</v>
      </c>
      <c r="U721" s="5" t="s">
        <v>9127</v>
      </c>
      <c r="V721" s="5" t="s">
        <v>9127</v>
      </c>
      <c r="W721" s="5" t="s">
        <v>338</v>
      </c>
      <c r="X721" s="5" t="s">
        <v>338</v>
      </c>
      <c r="Y721" s="4">
        <v>714</v>
      </c>
      <c r="Z721" s="4">
        <v>600</v>
      </c>
      <c r="AA721" s="4">
        <v>766</v>
      </c>
      <c r="AB721" s="4">
        <v>5</v>
      </c>
      <c r="AC721" s="4">
        <v>5</v>
      </c>
      <c r="AD721" s="4">
        <v>24</v>
      </c>
      <c r="AE721" s="4">
        <v>33</v>
      </c>
      <c r="AF721" s="4">
        <v>8</v>
      </c>
      <c r="AG721" s="4">
        <v>14</v>
      </c>
      <c r="AH721" s="4">
        <v>7</v>
      </c>
      <c r="AI721" s="4">
        <v>10</v>
      </c>
      <c r="AJ721" s="4">
        <v>9</v>
      </c>
      <c r="AK721" s="4">
        <v>13</v>
      </c>
      <c r="AL721" s="4">
        <v>4</v>
      </c>
      <c r="AM721" s="4">
        <v>4</v>
      </c>
      <c r="AN721" s="4">
        <v>0</v>
      </c>
      <c r="AO721" s="4">
        <v>0</v>
      </c>
      <c r="AP721" s="3" t="s">
        <v>59</v>
      </c>
      <c r="AQ721" s="3" t="s">
        <v>59</v>
      </c>
      <c r="AS721" s="6" t="str">
        <f>HYPERLINK("https://creighton-primo.hosted.exlibrisgroup.com/primo-explore/search?tab=default_tab&amp;search_scope=EVERYTHING&amp;vid=01CRU&amp;lang=en_US&amp;offset=0&amp;query=any,contains,991000385769702656","Catalog Record")</f>
        <v>Catalog Record</v>
      </c>
      <c r="AT721" s="6" t="str">
        <f>HYPERLINK("http://www.worldcat.org/oclc/10507757","WorldCat Record")</f>
        <v>WorldCat Record</v>
      </c>
      <c r="AU721" s="3" t="s">
        <v>9128</v>
      </c>
      <c r="AV721" s="3" t="s">
        <v>9129</v>
      </c>
      <c r="AW721" s="3" t="s">
        <v>9130</v>
      </c>
      <c r="AX721" s="3" t="s">
        <v>9130</v>
      </c>
      <c r="AY721" s="3" t="s">
        <v>9131</v>
      </c>
      <c r="AZ721" s="3" t="s">
        <v>76</v>
      </c>
      <c r="BB721" s="3" t="s">
        <v>9132</v>
      </c>
      <c r="BC721" s="3" t="s">
        <v>9133</v>
      </c>
      <c r="BD721" s="3" t="s">
        <v>9134</v>
      </c>
    </row>
    <row r="722" spans="1:56" ht="52.5" customHeight="1" x14ac:dyDescent="0.25">
      <c r="A722" s="7" t="s">
        <v>59</v>
      </c>
      <c r="B722" s="2" t="s">
        <v>9135</v>
      </c>
      <c r="C722" s="2" t="s">
        <v>9136</v>
      </c>
      <c r="D722" s="2" t="s">
        <v>9137</v>
      </c>
      <c r="F722" s="3" t="s">
        <v>59</v>
      </c>
      <c r="G722" s="3" t="s">
        <v>60</v>
      </c>
      <c r="H722" s="3" t="s">
        <v>59</v>
      </c>
      <c r="I722" s="3" t="s">
        <v>59</v>
      </c>
      <c r="J722" s="3" t="s">
        <v>61</v>
      </c>
      <c r="K722" s="2" t="s">
        <v>9138</v>
      </c>
      <c r="L722" s="2" t="s">
        <v>9139</v>
      </c>
      <c r="M722" s="3" t="s">
        <v>224</v>
      </c>
      <c r="O722" s="3" t="s">
        <v>65</v>
      </c>
      <c r="P722" s="3" t="s">
        <v>771</v>
      </c>
      <c r="R722" s="3" t="s">
        <v>68</v>
      </c>
      <c r="S722" s="4">
        <v>13</v>
      </c>
      <c r="T722" s="4">
        <v>13</v>
      </c>
      <c r="U722" s="5" t="s">
        <v>9140</v>
      </c>
      <c r="V722" s="5" t="s">
        <v>9140</v>
      </c>
      <c r="W722" s="5" t="s">
        <v>1871</v>
      </c>
      <c r="X722" s="5" t="s">
        <v>1871</v>
      </c>
      <c r="Y722" s="4">
        <v>163</v>
      </c>
      <c r="Z722" s="4">
        <v>135</v>
      </c>
      <c r="AA722" s="4">
        <v>820</v>
      </c>
      <c r="AB722" s="4">
        <v>2</v>
      </c>
      <c r="AC722" s="4">
        <v>6</v>
      </c>
      <c r="AD722" s="4">
        <v>4</v>
      </c>
      <c r="AE722" s="4">
        <v>34</v>
      </c>
      <c r="AF722" s="4">
        <v>1</v>
      </c>
      <c r="AG722" s="4">
        <v>14</v>
      </c>
      <c r="AH722" s="4">
        <v>0</v>
      </c>
      <c r="AI722" s="4">
        <v>8</v>
      </c>
      <c r="AJ722" s="4">
        <v>2</v>
      </c>
      <c r="AK722" s="4">
        <v>16</v>
      </c>
      <c r="AL722" s="4">
        <v>1</v>
      </c>
      <c r="AM722" s="4">
        <v>3</v>
      </c>
      <c r="AN722" s="4">
        <v>0</v>
      </c>
      <c r="AO722" s="4">
        <v>1</v>
      </c>
      <c r="AP722" s="3" t="s">
        <v>59</v>
      </c>
      <c r="AQ722" s="3" t="s">
        <v>71</v>
      </c>
      <c r="AR722" s="6" t="str">
        <f>HYPERLINK("http://catalog.hathitrust.org/Record/000381977","HathiTrust Record")</f>
        <v>HathiTrust Record</v>
      </c>
      <c r="AS722" s="6" t="str">
        <f>HYPERLINK("https://creighton-primo.hosted.exlibrisgroup.com/primo-explore/search?tab=default_tab&amp;search_scope=EVERYTHING&amp;vid=01CRU&amp;lang=en_US&amp;offset=0&amp;query=any,contains,991003069229702656","Catalog Record")</f>
        <v>Catalog Record</v>
      </c>
      <c r="AT722" s="6" t="str">
        <f>HYPERLINK("http://www.worldcat.org/oclc/624002","WorldCat Record")</f>
        <v>WorldCat Record</v>
      </c>
      <c r="AU722" s="3" t="s">
        <v>9141</v>
      </c>
      <c r="AV722" s="3" t="s">
        <v>9142</v>
      </c>
      <c r="AW722" s="3" t="s">
        <v>9143</v>
      </c>
      <c r="AX722" s="3" t="s">
        <v>9143</v>
      </c>
      <c r="AY722" s="3" t="s">
        <v>9144</v>
      </c>
      <c r="AZ722" s="3" t="s">
        <v>76</v>
      </c>
      <c r="BB722" s="3" t="s">
        <v>9145</v>
      </c>
      <c r="BC722" s="3" t="s">
        <v>9146</v>
      </c>
      <c r="BD722" s="3" t="s">
        <v>9147</v>
      </c>
    </row>
    <row r="723" spans="1:56" ht="52.5" customHeight="1" x14ac:dyDescent="0.25">
      <c r="A723" s="7" t="s">
        <v>59</v>
      </c>
      <c r="B723" s="2" t="s">
        <v>9148</v>
      </c>
      <c r="C723" s="2" t="s">
        <v>9149</v>
      </c>
      <c r="D723" s="2" t="s">
        <v>9150</v>
      </c>
      <c r="F723" s="3" t="s">
        <v>59</v>
      </c>
      <c r="G723" s="3" t="s">
        <v>60</v>
      </c>
      <c r="H723" s="3" t="s">
        <v>59</v>
      </c>
      <c r="I723" s="3" t="s">
        <v>59</v>
      </c>
      <c r="J723" s="3" t="s">
        <v>61</v>
      </c>
      <c r="K723" s="2" t="s">
        <v>8016</v>
      </c>
      <c r="L723" s="2" t="s">
        <v>9151</v>
      </c>
      <c r="M723" s="3" t="s">
        <v>987</v>
      </c>
      <c r="O723" s="3" t="s">
        <v>65</v>
      </c>
      <c r="P723" s="3" t="s">
        <v>66</v>
      </c>
      <c r="R723" s="3" t="s">
        <v>68</v>
      </c>
      <c r="S723" s="4">
        <v>5</v>
      </c>
      <c r="T723" s="4">
        <v>5</v>
      </c>
      <c r="U723" s="5" t="s">
        <v>9152</v>
      </c>
      <c r="V723" s="5" t="s">
        <v>9152</v>
      </c>
      <c r="W723" s="5" t="s">
        <v>645</v>
      </c>
      <c r="X723" s="5" t="s">
        <v>645</v>
      </c>
      <c r="Y723" s="4">
        <v>328</v>
      </c>
      <c r="Z723" s="4">
        <v>297</v>
      </c>
      <c r="AA723" s="4">
        <v>448</v>
      </c>
      <c r="AB723" s="4">
        <v>3</v>
      </c>
      <c r="AC723" s="4">
        <v>5</v>
      </c>
      <c r="AD723" s="4">
        <v>5</v>
      </c>
      <c r="AE723" s="4">
        <v>13</v>
      </c>
      <c r="AF723" s="4">
        <v>1</v>
      </c>
      <c r="AG723" s="4">
        <v>4</v>
      </c>
      <c r="AH723" s="4">
        <v>1</v>
      </c>
      <c r="AI723" s="4">
        <v>2</v>
      </c>
      <c r="AJ723" s="4">
        <v>3</v>
      </c>
      <c r="AK723" s="4">
        <v>6</v>
      </c>
      <c r="AL723" s="4">
        <v>1</v>
      </c>
      <c r="AM723" s="4">
        <v>3</v>
      </c>
      <c r="AN723" s="4">
        <v>0</v>
      </c>
      <c r="AO723" s="4">
        <v>0</v>
      </c>
      <c r="AP723" s="3" t="s">
        <v>59</v>
      </c>
      <c r="AQ723" s="3" t="s">
        <v>71</v>
      </c>
      <c r="AR723" s="6" t="str">
        <f>HYPERLINK("http://catalog.hathitrust.org/Record/000382011","HathiTrust Record")</f>
        <v>HathiTrust Record</v>
      </c>
      <c r="AS723" s="6" t="str">
        <f>HYPERLINK("https://creighton-primo.hosted.exlibrisgroup.com/primo-explore/search?tab=default_tab&amp;search_scope=EVERYTHING&amp;vid=01CRU&amp;lang=en_US&amp;offset=0&amp;query=any,contains,991000604299702656","Catalog Record")</f>
        <v>Catalog Record</v>
      </c>
      <c r="AT723" s="6" t="str">
        <f>HYPERLINK("http://www.worldcat.org/oclc/98575","WorldCat Record")</f>
        <v>WorldCat Record</v>
      </c>
      <c r="AU723" s="3" t="s">
        <v>9153</v>
      </c>
      <c r="AV723" s="3" t="s">
        <v>9154</v>
      </c>
      <c r="AW723" s="3" t="s">
        <v>9155</v>
      </c>
      <c r="AX723" s="3" t="s">
        <v>9155</v>
      </c>
      <c r="AY723" s="3" t="s">
        <v>9156</v>
      </c>
      <c r="AZ723" s="3" t="s">
        <v>76</v>
      </c>
      <c r="BC723" s="3" t="s">
        <v>9157</v>
      </c>
      <c r="BD723" s="3" t="s">
        <v>9158</v>
      </c>
    </row>
    <row r="724" spans="1:56" ht="52.5" customHeight="1" x14ac:dyDescent="0.25">
      <c r="A724" s="7" t="s">
        <v>59</v>
      </c>
      <c r="B724" s="2" t="s">
        <v>9159</v>
      </c>
      <c r="C724" s="2" t="s">
        <v>9160</v>
      </c>
      <c r="D724" s="2" t="s">
        <v>9161</v>
      </c>
      <c r="F724" s="3" t="s">
        <v>59</v>
      </c>
      <c r="G724" s="3" t="s">
        <v>60</v>
      </c>
      <c r="H724" s="3" t="s">
        <v>59</v>
      </c>
      <c r="I724" s="3" t="s">
        <v>59</v>
      </c>
      <c r="J724" s="3" t="s">
        <v>61</v>
      </c>
      <c r="K724" s="2" t="s">
        <v>9162</v>
      </c>
      <c r="L724" s="2" t="s">
        <v>9163</v>
      </c>
      <c r="M724" s="3" t="s">
        <v>538</v>
      </c>
      <c r="N724" s="2" t="s">
        <v>1289</v>
      </c>
      <c r="O724" s="3" t="s">
        <v>65</v>
      </c>
      <c r="P724" s="3" t="s">
        <v>699</v>
      </c>
      <c r="R724" s="3" t="s">
        <v>68</v>
      </c>
      <c r="S724" s="4">
        <v>2</v>
      </c>
      <c r="T724" s="4">
        <v>2</v>
      </c>
      <c r="U724" s="5" t="s">
        <v>9164</v>
      </c>
      <c r="V724" s="5" t="s">
        <v>9164</v>
      </c>
      <c r="W724" s="5" t="s">
        <v>7036</v>
      </c>
      <c r="X724" s="5" t="s">
        <v>7036</v>
      </c>
      <c r="Y724" s="4">
        <v>292</v>
      </c>
      <c r="Z724" s="4">
        <v>247</v>
      </c>
      <c r="AA724" s="4">
        <v>477</v>
      </c>
      <c r="AB724" s="4">
        <v>4</v>
      </c>
      <c r="AC724" s="4">
        <v>6</v>
      </c>
      <c r="AD724" s="4">
        <v>13</v>
      </c>
      <c r="AE724" s="4">
        <v>26</v>
      </c>
      <c r="AF724" s="4">
        <v>5</v>
      </c>
      <c r="AG724" s="4">
        <v>9</v>
      </c>
      <c r="AH724" s="4">
        <v>3</v>
      </c>
      <c r="AI724" s="4">
        <v>6</v>
      </c>
      <c r="AJ724" s="4">
        <v>6</v>
      </c>
      <c r="AK724" s="4">
        <v>14</v>
      </c>
      <c r="AL724" s="4">
        <v>3</v>
      </c>
      <c r="AM724" s="4">
        <v>5</v>
      </c>
      <c r="AN724" s="4">
        <v>0</v>
      </c>
      <c r="AO724" s="4">
        <v>0</v>
      </c>
      <c r="AP724" s="3" t="s">
        <v>59</v>
      </c>
      <c r="AQ724" s="3" t="s">
        <v>71</v>
      </c>
      <c r="AR724" s="6" t="str">
        <f>HYPERLINK("http://catalog.hathitrust.org/Record/000385681","HathiTrust Record")</f>
        <v>HathiTrust Record</v>
      </c>
      <c r="AS724" s="6" t="str">
        <f>HYPERLINK("https://creighton-primo.hosted.exlibrisgroup.com/primo-explore/search?tab=default_tab&amp;search_scope=EVERYTHING&amp;vid=01CRU&amp;lang=en_US&amp;offset=0&amp;query=any,contains,991001377359702656","Catalog Record")</f>
        <v>Catalog Record</v>
      </c>
      <c r="AT724" s="6" t="str">
        <f>HYPERLINK("http://www.worldcat.org/oclc/225322","WorldCat Record")</f>
        <v>WorldCat Record</v>
      </c>
      <c r="AU724" s="3" t="s">
        <v>9165</v>
      </c>
      <c r="AV724" s="3" t="s">
        <v>9166</v>
      </c>
      <c r="AW724" s="3" t="s">
        <v>9167</v>
      </c>
      <c r="AX724" s="3" t="s">
        <v>9167</v>
      </c>
      <c r="AY724" s="3" t="s">
        <v>9168</v>
      </c>
      <c r="AZ724" s="3" t="s">
        <v>76</v>
      </c>
      <c r="BC724" s="3" t="s">
        <v>9169</v>
      </c>
      <c r="BD724" s="3" t="s">
        <v>9170</v>
      </c>
    </row>
    <row r="725" spans="1:56" ht="52.5" customHeight="1" x14ac:dyDescent="0.25">
      <c r="A725" s="7" t="s">
        <v>59</v>
      </c>
      <c r="B725" s="2" t="s">
        <v>9171</v>
      </c>
      <c r="C725" s="2" t="s">
        <v>9172</v>
      </c>
      <c r="D725" s="2" t="s">
        <v>9173</v>
      </c>
      <c r="F725" s="3" t="s">
        <v>59</v>
      </c>
      <c r="G725" s="3" t="s">
        <v>60</v>
      </c>
      <c r="H725" s="3" t="s">
        <v>59</v>
      </c>
      <c r="I725" s="3" t="s">
        <v>59</v>
      </c>
      <c r="J725" s="3" t="s">
        <v>61</v>
      </c>
      <c r="K725" s="2" t="s">
        <v>9174</v>
      </c>
      <c r="L725" s="2" t="s">
        <v>9175</v>
      </c>
      <c r="M725" s="3" t="s">
        <v>350</v>
      </c>
      <c r="O725" s="3" t="s">
        <v>65</v>
      </c>
      <c r="P725" s="3" t="s">
        <v>9176</v>
      </c>
      <c r="R725" s="3" t="s">
        <v>68</v>
      </c>
      <c r="S725" s="4">
        <v>6</v>
      </c>
      <c r="T725" s="4">
        <v>6</v>
      </c>
      <c r="U725" s="5" t="s">
        <v>9177</v>
      </c>
      <c r="V725" s="5" t="s">
        <v>9177</v>
      </c>
      <c r="W725" s="5" t="s">
        <v>9178</v>
      </c>
      <c r="X725" s="5" t="s">
        <v>9178</v>
      </c>
      <c r="Y725" s="4">
        <v>38</v>
      </c>
      <c r="Z725" s="4">
        <v>37</v>
      </c>
      <c r="AA725" s="4">
        <v>42</v>
      </c>
      <c r="AB725" s="4">
        <v>2</v>
      </c>
      <c r="AC725" s="4">
        <v>2</v>
      </c>
      <c r="AD725" s="4">
        <v>1</v>
      </c>
      <c r="AE725" s="4">
        <v>1</v>
      </c>
      <c r="AF725" s="4">
        <v>0</v>
      </c>
      <c r="AG725" s="4">
        <v>0</v>
      </c>
      <c r="AH725" s="4">
        <v>0</v>
      </c>
      <c r="AI725" s="4">
        <v>0</v>
      </c>
      <c r="AJ725" s="4">
        <v>1</v>
      </c>
      <c r="AK725" s="4">
        <v>1</v>
      </c>
      <c r="AL725" s="4">
        <v>0</v>
      </c>
      <c r="AM725" s="4">
        <v>0</v>
      </c>
      <c r="AN725" s="4">
        <v>0</v>
      </c>
      <c r="AO725" s="4">
        <v>0</v>
      </c>
      <c r="AP725" s="3" t="s">
        <v>59</v>
      </c>
      <c r="AQ725" s="3" t="s">
        <v>59</v>
      </c>
      <c r="AS725" s="6" t="str">
        <f>HYPERLINK("https://creighton-primo.hosted.exlibrisgroup.com/primo-explore/search?tab=default_tab&amp;search_scope=EVERYTHING&amp;vid=01CRU&amp;lang=en_US&amp;offset=0&amp;query=any,contains,991004710269702656","Catalog Record")</f>
        <v>Catalog Record</v>
      </c>
      <c r="AT725" s="6" t="str">
        <f>HYPERLINK("http://www.worldcat.org/oclc/3776657","WorldCat Record")</f>
        <v>WorldCat Record</v>
      </c>
      <c r="AU725" s="3" t="s">
        <v>9179</v>
      </c>
      <c r="AV725" s="3" t="s">
        <v>9180</v>
      </c>
      <c r="AW725" s="3" t="s">
        <v>9181</v>
      </c>
      <c r="AX725" s="3" t="s">
        <v>9181</v>
      </c>
      <c r="AY725" s="3" t="s">
        <v>9182</v>
      </c>
      <c r="AZ725" s="3" t="s">
        <v>76</v>
      </c>
      <c r="BC725" s="3" t="s">
        <v>9183</v>
      </c>
      <c r="BD725" s="3" t="s">
        <v>9184</v>
      </c>
    </row>
    <row r="726" spans="1:56" ht="52.5" customHeight="1" x14ac:dyDescent="0.25">
      <c r="A726" s="7" t="s">
        <v>59</v>
      </c>
      <c r="B726" s="2" t="s">
        <v>9185</v>
      </c>
      <c r="C726" s="2" t="s">
        <v>9186</v>
      </c>
      <c r="D726" s="2" t="s">
        <v>9187</v>
      </c>
      <c r="F726" s="3" t="s">
        <v>59</v>
      </c>
      <c r="G726" s="3" t="s">
        <v>60</v>
      </c>
      <c r="H726" s="3" t="s">
        <v>59</v>
      </c>
      <c r="I726" s="3" t="s">
        <v>59</v>
      </c>
      <c r="J726" s="3" t="s">
        <v>61</v>
      </c>
      <c r="K726" s="2" t="s">
        <v>9188</v>
      </c>
      <c r="L726" s="2" t="s">
        <v>9189</v>
      </c>
      <c r="M726" s="3" t="s">
        <v>405</v>
      </c>
      <c r="O726" s="3" t="s">
        <v>65</v>
      </c>
      <c r="P726" s="3" t="s">
        <v>66</v>
      </c>
      <c r="Q726" s="2" t="s">
        <v>9190</v>
      </c>
      <c r="R726" s="3" t="s">
        <v>68</v>
      </c>
      <c r="S726" s="4">
        <v>4</v>
      </c>
      <c r="T726" s="4">
        <v>4</v>
      </c>
      <c r="U726" s="5" t="s">
        <v>9191</v>
      </c>
      <c r="V726" s="5" t="s">
        <v>9191</v>
      </c>
      <c r="W726" s="5" t="s">
        <v>9192</v>
      </c>
      <c r="X726" s="5" t="s">
        <v>9192</v>
      </c>
      <c r="Y726" s="4">
        <v>581</v>
      </c>
      <c r="Z726" s="4">
        <v>460</v>
      </c>
      <c r="AA726" s="4">
        <v>467</v>
      </c>
      <c r="AB726" s="4">
        <v>3</v>
      </c>
      <c r="AC726" s="4">
        <v>3</v>
      </c>
      <c r="AD726" s="4">
        <v>23</v>
      </c>
      <c r="AE726" s="4">
        <v>23</v>
      </c>
      <c r="AF726" s="4">
        <v>10</v>
      </c>
      <c r="AG726" s="4">
        <v>10</v>
      </c>
      <c r="AH726" s="4">
        <v>6</v>
      </c>
      <c r="AI726" s="4">
        <v>6</v>
      </c>
      <c r="AJ726" s="4">
        <v>13</v>
      </c>
      <c r="AK726" s="4">
        <v>13</v>
      </c>
      <c r="AL726" s="4">
        <v>2</v>
      </c>
      <c r="AM726" s="4">
        <v>2</v>
      </c>
      <c r="AN726" s="4">
        <v>0</v>
      </c>
      <c r="AO726" s="4">
        <v>0</v>
      </c>
      <c r="AP726" s="3" t="s">
        <v>59</v>
      </c>
      <c r="AQ726" s="3" t="s">
        <v>71</v>
      </c>
      <c r="AR726" s="6" t="str">
        <f>HYPERLINK("http://catalog.hathitrust.org/Record/000873071","HathiTrust Record")</f>
        <v>HathiTrust Record</v>
      </c>
      <c r="AS726" s="6" t="str">
        <f>HYPERLINK("https://creighton-primo.hosted.exlibrisgroup.com/primo-explore/search?tab=default_tab&amp;search_scope=EVERYTHING&amp;vid=01CRU&amp;lang=en_US&amp;offset=0&amp;query=any,contains,991000914039702656","Catalog Record")</f>
        <v>Catalog Record</v>
      </c>
      <c r="AT726" s="6" t="str">
        <f>HYPERLINK("http://www.worldcat.org/oclc/14165557","WorldCat Record")</f>
        <v>WorldCat Record</v>
      </c>
      <c r="AU726" s="3" t="s">
        <v>9193</v>
      </c>
      <c r="AV726" s="3" t="s">
        <v>9194</v>
      </c>
      <c r="AW726" s="3" t="s">
        <v>9195</v>
      </c>
      <c r="AX726" s="3" t="s">
        <v>9195</v>
      </c>
      <c r="AY726" s="3" t="s">
        <v>9196</v>
      </c>
      <c r="AZ726" s="3" t="s">
        <v>76</v>
      </c>
      <c r="BB726" s="3" t="s">
        <v>9197</v>
      </c>
      <c r="BC726" s="3" t="s">
        <v>9198</v>
      </c>
      <c r="BD726" s="3" t="s">
        <v>9199</v>
      </c>
    </row>
    <row r="727" spans="1:56" ht="52.5" customHeight="1" x14ac:dyDescent="0.25">
      <c r="A727" s="7" t="s">
        <v>59</v>
      </c>
      <c r="B727" s="2" t="s">
        <v>9200</v>
      </c>
      <c r="C727" s="2" t="s">
        <v>9201</v>
      </c>
      <c r="D727" s="2" t="s">
        <v>9202</v>
      </c>
      <c r="F727" s="3" t="s">
        <v>59</v>
      </c>
      <c r="G727" s="3" t="s">
        <v>60</v>
      </c>
      <c r="H727" s="3" t="s">
        <v>59</v>
      </c>
      <c r="I727" s="3" t="s">
        <v>59</v>
      </c>
      <c r="J727" s="3" t="s">
        <v>61</v>
      </c>
      <c r="K727" s="2" t="s">
        <v>9203</v>
      </c>
      <c r="L727" s="2" t="s">
        <v>9204</v>
      </c>
      <c r="M727" s="3" t="s">
        <v>85</v>
      </c>
      <c r="N727" s="2" t="s">
        <v>435</v>
      </c>
      <c r="O727" s="3" t="s">
        <v>65</v>
      </c>
      <c r="P727" s="3" t="s">
        <v>66</v>
      </c>
      <c r="R727" s="3" t="s">
        <v>68</v>
      </c>
      <c r="S727" s="4">
        <v>3</v>
      </c>
      <c r="T727" s="4">
        <v>3</v>
      </c>
      <c r="U727" s="5" t="s">
        <v>9205</v>
      </c>
      <c r="V727" s="5" t="s">
        <v>9205</v>
      </c>
      <c r="W727" s="5" t="s">
        <v>9206</v>
      </c>
      <c r="X727" s="5" t="s">
        <v>9206</v>
      </c>
      <c r="Y727" s="4">
        <v>286</v>
      </c>
      <c r="Z727" s="4">
        <v>259</v>
      </c>
      <c r="AA727" s="4">
        <v>264</v>
      </c>
      <c r="AB727" s="4">
        <v>1</v>
      </c>
      <c r="AC727" s="4">
        <v>1</v>
      </c>
      <c r="AD727" s="4">
        <v>9</v>
      </c>
      <c r="AE727" s="4">
        <v>9</v>
      </c>
      <c r="AF727" s="4">
        <v>6</v>
      </c>
      <c r="AG727" s="4">
        <v>6</v>
      </c>
      <c r="AH727" s="4">
        <v>2</v>
      </c>
      <c r="AI727" s="4">
        <v>2</v>
      </c>
      <c r="AJ727" s="4">
        <v>4</v>
      </c>
      <c r="AK727" s="4">
        <v>4</v>
      </c>
      <c r="AL727" s="4">
        <v>0</v>
      </c>
      <c r="AM727" s="4">
        <v>0</v>
      </c>
      <c r="AN727" s="4">
        <v>0</v>
      </c>
      <c r="AO727" s="4">
        <v>0</v>
      </c>
      <c r="AP727" s="3" t="s">
        <v>71</v>
      </c>
      <c r="AQ727" s="3" t="s">
        <v>59</v>
      </c>
      <c r="AR727" s="6" t="str">
        <f>HYPERLINK("http://catalog.hathitrust.org/Record/009057123","HathiTrust Record")</f>
        <v>HathiTrust Record</v>
      </c>
      <c r="AS727" s="6" t="str">
        <f>HYPERLINK("https://creighton-primo.hosted.exlibrisgroup.com/primo-explore/search?tab=default_tab&amp;search_scope=EVERYTHING&amp;vid=01CRU&amp;lang=en_US&amp;offset=0&amp;query=any,contains,991003544969702656","Catalog Record")</f>
        <v>Catalog Record</v>
      </c>
      <c r="AT727" s="6" t="str">
        <f>HYPERLINK("http://www.worldcat.org/oclc/1110993","WorldCat Record")</f>
        <v>WorldCat Record</v>
      </c>
      <c r="AU727" s="3" t="s">
        <v>9207</v>
      </c>
      <c r="AV727" s="3" t="s">
        <v>9208</v>
      </c>
      <c r="AW727" s="3" t="s">
        <v>9209</v>
      </c>
      <c r="AX727" s="3" t="s">
        <v>9209</v>
      </c>
      <c r="AY727" s="3" t="s">
        <v>9210</v>
      </c>
      <c r="AZ727" s="3" t="s">
        <v>76</v>
      </c>
      <c r="BC727" s="3" t="s">
        <v>9211</v>
      </c>
      <c r="BD727" s="3" t="s">
        <v>9212</v>
      </c>
    </row>
    <row r="728" spans="1:56" ht="52.5" customHeight="1" x14ac:dyDescent="0.25">
      <c r="A728" s="7" t="s">
        <v>59</v>
      </c>
      <c r="B728" s="2" t="s">
        <v>9213</v>
      </c>
      <c r="C728" s="2" t="s">
        <v>9214</v>
      </c>
      <c r="D728" s="2" t="s">
        <v>9215</v>
      </c>
      <c r="F728" s="3" t="s">
        <v>59</v>
      </c>
      <c r="G728" s="3" t="s">
        <v>60</v>
      </c>
      <c r="H728" s="3" t="s">
        <v>59</v>
      </c>
      <c r="I728" s="3" t="s">
        <v>59</v>
      </c>
      <c r="J728" s="3" t="s">
        <v>61</v>
      </c>
      <c r="K728" s="2" t="s">
        <v>9216</v>
      </c>
      <c r="L728" s="2" t="s">
        <v>9217</v>
      </c>
      <c r="M728" s="3" t="s">
        <v>1586</v>
      </c>
      <c r="O728" s="3" t="s">
        <v>65</v>
      </c>
      <c r="P728" s="3" t="s">
        <v>491</v>
      </c>
      <c r="R728" s="3" t="s">
        <v>68</v>
      </c>
      <c r="S728" s="4">
        <v>1</v>
      </c>
      <c r="T728" s="4">
        <v>1</v>
      </c>
      <c r="U728" s="5" t="s">
        <v>9114</v>
      </c>
      <c r="V728" s="5" t="s">
        <v>9114</v>
      </c>
      <c r="W728" s="5" t="s">
        <v>7036</v>
      </c>
      <c r="X728" s="5" t="s">
        <v>7036</v>
      </c>
      <c r="Y728" s="4">
        <v>227</v>
      </c>
      <c r="Z728" s="4">
        <v>210</v>
      </c>
      <c r="AA728" s="4">
        <v>232</v>
      </c>
      <c r="AB728" s="4">
        <v>3</v>
      </c>
      <c r="AC728" s="4">
        <v>4</v>
      </c>
      <c r="AD728" s="4">
        <v>9</v>
      </c>
      <c r="AE728" s="4">
        <v>11</v>
      </c>
      <c r="AF728" s="4">
        <v>2</v>
      </c>
      <c r="AG728" s="4">
        <v>2</v>
      </c>
      <c r="AH728" s="4">
        <v>4</v>
      </c>
      <c r="AI728" s="4">
        <v>4</v>
      </c>
      <c r="AJ728" s="4">
        <v>3</v>
      </c>
      <c r="AK728" s="4">
        <v>4</v>
      </c>
      <c r="AL728" s="4">
        <v>1</v>
      </c>
      <c r="AM728" s="4">
        <v>2</v>
      </c>
      <c r="AN728" s="4">
        <v>0</v>
      </c>
      <c r="AO728" s="4">
        <v>0</v>
      </c>
      <c r="AP728" s="3" t="s">
        <v>71</v>
      </c>
      <c r="AQ728" s="3" t="s">
        <v>59</v>
      </c>
      <c r="AR728" s="6" t="str">
        <f>HYPERLINK("http://catalog.hathitrust.org/Record/001109447","HathiTrust Record")</f>
        <v>HathiTrust Record</v>
      </c>
      <c r="AS728" s="6" t="str">
        <f>HYPERLINK("https://creighton-primo.hosted.exlibrisgroup.com/primo-explore/search?tab=default_tab&amp;search_scope=EVERYTHING&amp;vid=01CRU&amp;lang=en_US&amp;offset=0&amp;query=any,contains,991003544859702656","Catalog Record")</f>
        <v>Catalog Record</v>
      </c>
      <c r="AT728" s="6" t="str">
        <f>HYPERLINK("http://www.worldcat.org/oclc/1110827","WorldCat Record")</f>
        <v>WorldCat Record</v>
      </c>
      <c r="AU728" s="3" t="s">
        <v>9218</v>
      </c>
      <c r="AV728" s="3" t="s">
        <v>9219</v>
      </c>
      <c r="AW728" s="3" t="s">
        <v>9220</v>
      </c>
      <c r="AX728" s="3" t="s">
        <v>9220</v>
      </c>
      <c r="AY728" s="3" t="s">
        <v>9221</v>
      </c>
      <c r="AZ728" s="3" t="s">
        <v>76</v>
      </c>
      <c r="BC728" s="3" t="s">
        <v>9222</v>
      </c>
      <c r="BD728" s="3" t="s">
        <v>9223</v>
      </c>
    </row>
    <row r="729" spans="1:56" ht="52.5" customHeight="1" x14ac:dyDescent="0.25">
      <c r="A729" s="7" t="s">
        <v>59</v>
      </c>
      <c r="B729" s="2" t="s">
        <v>9224</v>
      </c>
      <c r="C729" s="2" t="s">
        <v>9225</v>
      </c>
      <c r="D729" s="2" t="s">
        <v>9226</v>
      </c>
      <c r="F729" s="3" t="s">
        <v>59</v>
      </c>
      <c r="G729" s="3" t="s">
        <v>60</v>
      </c>
      <c r="H729" s="3" t="s">
        <v>59</v>
      </c>
      <c r="I729" s="3" t="s">
        <v>59</v>
      </c>
      <c r="J729" s="3" t="s">
        <v>61</v>
      </c>
      <c r="K729" s="2" t="s">
        <v>9227</v>
      </c>
      <c r="L729" s="2" t="s">
        <v>9228</v>
      </c>
      <c r="M729" s="3" t="s">
        <v>434</v>
      </c>
      <c r="O729" s="3" t="s">
        <v>65</v>
      </c>
      <c r="P729" s="3" t="s">
        <v>491</v>
      </c>
      <c r="R729" s="3" t="s">
        <v>68</v>
      </c>
      <c r="S729" s="4">
        <v>6</v>
      </c>
      <c r="T729" s="4">
        <v>6</v>
      </c>
      <c r="U729" s="5" t="s">
        <v>9229</v>
      </c>
      <c r="V729" s="5" t="s">
        <v>9229</v>
      </c>
      <c r="W729" s="5" t="s">
        <v>7036</v>
      </c>
      <c r="X729" s="5" t="s">
        <v>7036</v>
      </c>
      <c r="Y729" s="4">
        <v>367</v>
      </c>
      <c r="Z729" s="4">
        <v>337</v>
      </c>
      <c r="AA729" s="4">
        <v>356</v>
      </c>
      <c r="AB729" s="4">
        <v>5</v>
      </c>
      <c r="AC729" s="4">
        <v>5</v>
      </c>
      <c r="AD729" s="4">
        <v>18</v>
      </c>
      <c r="AE729" s="4">
        <v>20</v>
      </c>
      <c r="AF729" s="4">
        <v>4</v>
      </c>
      <c r="AG729" s="4">
        <v>6</v>
      </c>
      <c r="AH729" s="4">
        <v>4</v>
      </c>
      <c r="AI729" s="4">
        <v>4</v>
      </c>
      <c r="AJ729" s="4">
        <v>9</v>
      </c>
      <c r="AK729" s="4">
        <v>10</v>
      </c>
      <c r="AL729" s="4">
        <v>4</v>
      </c>
      <c r="AM729" s="4">
        <v>4</v>
      </c>
      <c r="AN729" s="4">
        <v>0</v>
      </c>
      <c r="AO729" s="4">
        <v>0</v>
      </c>
      <c r="AP729" s="3" t="s">
        <v>71</v>
      </c>
      <c r="AQ729" s="3" t="s">
        <v>59</v>
      </c>
      <c r="AR729" s="6" t="str">
        <f>HYPERLINK("http://catalog.hathitrust.org/Record/000429480","HathiTrust Record")</f>
        <v>HathiTrust Record</v>
      </c>
      <c r="AS729" s="6" t="str">
        <f>HYPERLINK("https://creighton-primo.hosted.exlibrisgroup.com/primo-explore/search?tab=default_tab&amp;search_scope=EVERYTHING&amp;vid=01CRU&amp;lang=en_US&amp;offset=0&amp;query=any,contains,991002114359702656","Catalog Record")</f>
        <v>Catalog Record</v>
      </c>
      <c r="AT729" s="6" t="str">
        <f>HYPERLINK("http://www.worldcat.org/oclc/268040","WorldCat Record")</f>
        <v>WorldCat Record</v>
      </c>
      <c r="AU729" s="3" t="s">
        <v>9230</v>
      </c>
      <c r="AV729" s="3" t="s">
        <v>9231</v>
      </c>
      <c r="AW729" s="3" t="s">
        <v>9232</v>
      </c>
      <c r="AX729" s="3" t="s">
        <v>9232</v>
      </c>
      <c r="AY729" s="3" t="s">
        <v>9233</v>
      </c>
      <c r="AZ729" s="3" t="s">
        <v>76</v>
      </c>
      <c r="BC729" s="3" t="s">
        <v>9234</v>
      </c>
      <c r="BD729" s="3" t="s">
        <v>9235</v>
      </c>
    </row>
    <row r="730" spans="1:56" ht="52.5" customHeight="1" x14ac:dyDescent="0.25">
      <c r="A730" s="7" t="s">
        <v>59</v>
      </c>
      <c r="B730" s="2" t="s">
        <v>9236</v>
      </c>
      <c r="C730" s="2" t="s">
        <v>9237</v>
      </c>
      <c r="D730" s="2" t="s">
        <v>9238</v>
      </c>
      <c r="F730" s="3" t="s">
        <v>59</v>
      </c>
      <c r="G730" s="3" t="s">
        <v>60</v>
      </c>
      <c r="H730" s="3" t="s">
        <v>59</v>
      </c>
      <c r="I730" s="3" t="s">
        <v>59</v>
      </c>
      <c r="J730" s="3" t="s">
        <v>61</v>
      </c>
      <c r="K730" s="2" t="s">
        <v>9239</v>
      </c>
      <c r="L730" s="2" t="s">
        <v>9240</v>
      </c>
      <c r="M730" s="3" t="s">
        <v>9241</v>
      </c>
      <c r="O730" s="3" t="s">
        <v>65</v>
      </c>
      <c r="P730" s="3" t="s">
        <v>323</v>
      </c>
      <c r="R730" s="3" t="s">
        <v>68</v>
      </c>
      <c r="S730" s="4">
        <v>2</v>
      </c>
      <c r="T730" s="4">
        <v>2</v>
      </c>
      <c r="U730" s="5" t="s">
        <v>3821</v>
      </c>
      <c r="V730" s="5" t="s">
        <v>3821</v>
      </c>
      <c r="W730" s="5" t="s">
        <v>7036</v>
      </c>
      <c r="X730" s="5" t="s">
        <v>7036</v>
      </c>
      <c r="Y730" s="4">
        <v>90</v>
      </c>
      <c r="Z730" s="4">
        <v>83</v>
      </c>
      <c r="AA730" s="4">
        <v>171</v>
      </c>
      <c r="AB730" s="4">
        <v>1</v>
      </c>
      <c r="AC730" s="4">
        <v>2</v>
      </c>
      <c r="AD730" s="4">
        <v>2</v>
      </c>
      <c r="AE730" s="4">
        <v>7</v>
      </c>
      <c r="AF730" s="4">
        <v>0</v>
      </c>
      <c r="AG730" s="4">
        <v>2</v>
      </c>
      <c r="AH730" s="4">
        <v>0</v>
      </c>
      <c r="AI730" s="4">
        <v>0</v>
      </c>
      <c r="AJ730" s="4">
        <v>2</v>
      </c>
      <c r="AK730" s="4">
        <v>4</v>
      </c>
      <c r="AL730" s="4">
        <v>0</v>
      </c>
      <c r="AM730" s="4">
        <v>1</v>
      </c>
      <c r="AN730" s="4">
        <v>0</v>
      </c>
      <c r="AO730" s="4">
        <v>0</v>
      </c>
      <c r="AP730" s="3" t="s">
        <v>71</v>
      </c>
      <c r="AQ730" s="3" t="s">
        <v>59</v>
      </c>
      <c r="AR730" s="6" t="str">
        <f>HYPERLINK("http://catalog.hathitrust.org/Record/005764437","HathiTrust Record")</f>
        <v>HathiTrust Record</v>
      </c>
      <c r="AS730" s="6" t="str">
        <f>HYPERLINK("https://creighton-primo.hosted.exlibrisgroup.com/primo-explore/search?tab=default_tab&amp;search_scope=EVERYTHING&amp;vid=01CRU&amp;lang=en_US&amp;offset=0&amp;query=any,contains,991001232679702656","Catalog Record")</f>
        <v>Catalog Record</v>
      </c>
      <c r="AT730" s="6" t="str">
        <f>HYPERLINK("http://www.worldcat.org/oclc/204113","WorldCat Record")</f>
        <v>WorldCat Record</v>
      </c>
      <c r="AU730" s="3" t="s">
        <v>9242</v>
      </c>
      <c r="AV730" s="3" t="s">
        <v>9243</v>
      </c>
      <c r="AW730" s="3" t="s">
        <v>9244</v>
      </c>
      <c r="AX730" s="3" t="s">
        <v>9244</v>
      </c>
      <c r="AY730" s="3" t="s">
        <v>9245</v>
      </c>
      <c r="AZ730" s="3" t="s">
        <v>76</v>
      </c>
      <c r="BC730" s="3" t="s">
        <v>9246</v>
      </c>
      <c r="BD730" s="3" t="s">
        <v>9247</v>
      </c>
    </row>
    <row r="731" spans="1:56" ht="52.5" customHeight="1" x14ac:dyDescent="0.25">
      <c r="A731" s="7" t="s">
        <v>59</v>
      </c>
      <c r="B731" s="2" t="s">
        <v>9248</v>
      </c>
      <c r="C731" s="2" t="s">
        <v>9249</v>
      </c>
      <c r="D731" s="2" t="s">
        <v>9250</v>
      </c>
      <c r="F731" s="3" t="s">
        <v>59</v>
      </c>
      <c r="G731" s="3" t="s">
        <v>60</v>
      </c>
      <c r="H731" s="3" t="s">
        <v>59</v>
      </c>
      <c r="I731" s="3" t="s">
        <v>59</v>
      </c>
      <c r="J731" s="3" t="s">
        <v>61</v>
      </c>
      <c r="K731" s="2" t="s">
        <v>9251</v>
      </c>
      <c r="L731" s="2" t="s">
        <v>9252</v>
      </c>
      <c r="M731" s="3" t="s">
        <v>943</v>
      </c>
      <c r="O731" s="3" t="s">
        <v>65</v>
      </c>
      <c r="P731" s="3" t="s">
        <v>66</v>
      </c>
      <c r="R731" s="3" t="s">
        <v>68</v>
      </c>
      <c r="S731" s="4">
        <v>5</v>
      </c>
      <c r="T731" s="4">
        <v>5</v>
      </c>
      <c r="U731" s="5" t="s">
        <v>9253</v>
      </c>
      <c r="V731" s="5" t="s">
        <v>9253</v>
      </c>
      <c r="W731" s="5" t="s">
        <v>9254</v>
      </c>
      <c r="X731" s="5" t="s">
        <v>9254</v>
      </c>
      <c r="Y731" s="4">
        <v>246</v>
      </c>
      <c r="Z731" s="4">
        <v>167</v>
      </c>
      <c r="AA731" s="4">
        <v>169</v>
      </c>
      <c r="AB731" s="4">
        <v>3</v>
      </c>
      <c r="AC731" s="4">
        <v>3</v>
      </c>
      <c r="AD731" s="4">
        <v>10</v>
      </c>
      <c r="AE731" s="4">
        <v>10</v>
      </c>
      <c r="AF731" s="4">
        <v>3</v>
      </c>
      <c r="AG731" s="4">
        <v>3</v>
      </c>
      <c r="AH731" s="4">
        <v>4</v>
      </c>
      <c r="AI731" s="4">
        <v>4</v>
      </c>
      <c r="AJ731" s="4">
        <v>6</v>
      </c>
      <c r="AK731" s="4">
        <v>6</v>
      </c>
      <c r="AL731" s="4">
        <v>2</v>
      </c>
      <c r="AM731" s="4">
        <v>2</v>
      </c>
      <c r="AN731" s="4">
        <v>0</v>
      </c>
      <c r="AO731" s="4">
        <v>0</v>
      </c>
      <c r="AP731" s="3" t="s">
        <v>59</v>
      </c>
      <c r="AQ731" s="3" t="s">
        <v>71</v>
      </c>
      <c r="AR731" s="6" t="str">
        <f>HYPERLINK("http://catalog.hathitrust.org/Record/101930394","HathiTrust Record")</f>
        <v>HathiTrust Record</v>
      </c>
      <c r="AS731" s="6" t="str">
        <f>HYPERLINK("https://creighton-primo.hosted.exlibrisgroup.com/primo-explore/search?tab=default_tab&amp;search_scope=EVERYTHING&amp;vid=01CRU&amp;lang=en_US&amp;offset=0&amp;query=any,contains,991001799249702656","Catalog Record")</f>
        <v>Catalog Record</v>
      </c>
      <c r="AT731" s="6" t="str">
        <f>HYPERLINK("http://www.worldcat.org/oclc/22628953","WorldCat Record")</f>
        <v>WorldCat Record</v>
      </c>
      <c r="AU731" s="3" t="s">
        <v>9255</v>
      </c>
      <c r="AV731" s="3" t="s">
        <v>9256</v>
      </c>
      <c r="AW731" s="3" t="s">
        <v>9257</v>
      </c>
      <c r="AX731" s="3" t="s">
        <v>9257</v>
      </c>
      <c r="AY731" s="3" t="s">
        <v>9258</v>
      </c>
      <c r="AZ731" s="3" t="s">
        <v>76</v>
      </c>
      <c r="BB731" s="3" t="s">
        <v>9259</v>
      </c>
      <c r="BC731" s="3" t="s">
        <v>9260</v>
      </c>
      <c r="BD731" s="3" t="s">
        <v>9261</v>
      </c>
    </row>
    <row r="732" spans="1:56" ht="52.5" customHeight="1" x14ac:dyDescent="0.25">
      <c r="A732" s="7" t="s">
        <v>59</v>
      </c>
      <c r="B732" s="2" t="s">
        <v>9262</v>
      </c>
      <c r="C732" s="2" t="s">
        <v>9263</v>
      </c>
      <c r="D732" s="2" t="s">
        <v>9264</v>
      </c>
      <c r="F732" s="3" t="s">
        <v>59</v>
      </c>
      <c r="G732" s="3" t="s">
        <v>60</v>
      </c>
      <c r="H732" s="3" t="s">
        <v>59</v>
      </c>
      <c r="I732" s="3" t="s">
        <v>59</v>
      </c>
      <c r="J732" s="3" t="s">
        <v>61</v>
      </c>
      <c r="K732" s="2" t="s">
        <v>9265</v>
      </c>
      <c r="L732" s="2" t="s">
        <v>9266</v>
      </c>
      <c r="M732" s="3" t="s">
        <v>148</v>
      </c>
      <c r="O732" s="3" t="s">
        <v>65</v>
      </c>
      <c r="P732" s="3" t="s">
        <v>66</v>
      </c>
      <c r="R732" s="3" t="s">
        <v>68</v>
      </c>
      <c r="S732" s="4">
        <v>3</v>
      </c>
      <c r="T732" s="4">
        <v>3</v>
      </c>
      <c r="U732" s="5" t="s">
        <v>9267</v>
      </c>
      <c r="V732" s="5" t="s">
        <v>9267</v>
      </c>
      <c r="W732" s="5" t="s">
        <v>7036</v>
      </c>
      <c r="X732" s="5" t="s">
        <v>7036</v>
      </c>
      <c r="Y732" s="4">
        <v>424</v>
      </c>
      <c r="Z732" s="4">
        <v>373</v>
      </c>
      <c r="AA732" s="4">
        <v>380</v>
      </c>
      <c r="AB732" s="4">
        <v>4</v>
      </c>
      <c r="AC732" s="4">
        <v>4</v>
      </c>
      <c r="AD732" s="4">
        <v>11</v>
      </c>
      <c r="AE732" s="4">
        <v>11</v>
      </c>
      <c r="AF732" s="4">
        <v>3</v>
      </c>
      <c r="AG732" s="4">
        <v>3</v>
      </c>
      <c r="AH732" s="4">
        <v>3</v>
      </c>
      <c r="AI732" s="4">
        <v>3</v>
      </c>
      <c r="AJ732" s="4">
        <v>6</v>
      </c>
      <c r="AK732" s="4">
        <v>6</v>
      </c>
      <c r="AL732" s="4">
        <v>2</v>
      </c>
      <c r="AM732" s="4">
        <v>2</v>
      </c>
      <c r="AN732" s="4">
        <v>0</v>
      </c>
      <c r="AO732" s="4">
        <v>0</v>
      </c>
      <c r="AP732" s="3" t="s">
        <v>59</v>
      </c>
      <c r="AQ732" s="3" t="s">
        <v>71</v>
      </c>
      <c r="AR732" s="6" t="str">
        <f>HYPERLINK("http://catalog.hathitrust.org/Record/000698276","HathiTrust Record")</f>
        <v>HathiTrust Record</v>
      </c>
      <c r="AS732" s="6" t="str">
        <f>HYPERLINK("https://creighton-primo.hosted.exlibrisgroup.com/primo-explore/search?tab=default_tab&amp;search_scope=EVERYTHING&amp;vid=01CRU&amp;lang=en_US&amp;offset=0&amp;query=any,contains,991003918139702656","Catalog Record")</f>
        <v>Catalog Record</v>
      </c>
      <c r="AT732" s="6" t="str">
        <f>HYPERLINK("http://www.worldcat.org/oclc/1863588","WorldCat Record")</f>
        <v>WorldCat Record</v>
      </c>
      <c r="AU732" s="3" t="s">
        <v>9268</v>
      </c>
      <c r="AV732" s="3" t="s">
        <v>9269</v>
      </c>
      <c r="AW732" s="3" t="s">
        <v>9270</v>
      </c>
      <c r="AX732" s="3" t="s">
        <v>9270</v>
      </c>
      <c r="AY732" s="3" t="s">
        <v>9271</v>
      </c>
      <c r="AZ732" s="3" t="s">
        <v>76</v>
      </c>
      <c r="BB732" s="3" t="s">
        <v>9272</v>
      </c>
      <c r="BC732" s="3" t="s">
        <v>9273</v>
      </c>
      <c r="BD732" s="3" t="s">
        <v>9274</v>
      </c>
    </row>
    <row r="733" spans="1:56" ht="52.5" customHeight="1" x14ac:dyDescent="0.25">
      <c r="A733" s="7" t="s">
        <v>59</v>
      </c>
      <c r="B733" s="2" t="s">
        <v>9275</v>
      </c>
      <c r="C733" s="2" t="s">
        <v>9276</v>
      </c>
      <c r="D733" s="2" t="s">
        <v>9277</v>
      </c>
      <c r="F733" s="3" t="s">
        <v>59</v>
      </c>
      <c r="G733" s="3" t="s">
        <v>60</v>
      </c>
      <c r="H733" s="3" t="s">
        <v>59</v>
      </c>
      <c r="I733" s="3" t="s">
        <v>59</v>
      </c>
      <c r="J733" s="3" t="s">
        <v>61</v>
      </c>
      <c r="K733" s="2" t="s">
        <v>9278</v>
      </c>
      <c r="L733" s="2" t="s">
        <v>9279</v>
      </c>
      <c r="M733" s="3" t="s">
        <v>1233</v>
      </c>
      <c r="O733" s="3" t="s">
        <v>65</v>
      </c>
      <c r="P733" s="3" t="s">
        <v>296</v>
      </c>
      <c r="R733" s="3" t="s">
        <v>68</v>
      </c>
      <c r="S733" s="4">
        <v>1</v>
      </c>
      <c r="T733" s="4">
        <v>1</v>
      </c>
      <c r="U733" s="5" t="s">
        <v>9267</v>
      </c>
      <c r="V733" s="5" t="s">
        <v>9267</v>
      </c>
      <c r="W733" s="5" t="s">
        <v>7036</v>
      </c>
      <c r="X733" s="5" t="s">
        <v>7036</v>
      </c>
      <c r="Y733" s="4">
        <v>273</v>
      </c>
      <c r="Z733" s="4">
        <v>241</v>
      </c>
      <c r="AA733" s="4">
        <v>247</v>
      </c>
      <c r="AB733" s="4">
        <v>3</v>
      </c>
      <c r="AC733" s="4">
        <v>3</v>
      </c>
      <c r="AD733" s="4">
        <v>6</v>
      </c>
      <c r="AE733" s="4">
        <v>6</v>
      </c>
      <c r="AF733" s="4">
        <v>0</v>
      </c>
      <c r="AG733" s="4">
        <v>0</v>
      </c>
      <c r="AH733" s="4">
        <v>3</v>
      </c>
      <c r="AI733" s="4">
        <v>3</v>
      </c>
      <c r="AJ733" s="4">
        <v>3</v>
      </c>
      <c r="AK733" s="4">
        <v>3</v>
      </c>
      <c r="AL733" s="4">
        <v>2</v>
      </c>
      <c r="AM733" s="4">
        <v>2</v>
      </c>
      <c r="AN733" s="4">
        <v>0</v>
      </c>
      <c r="AO733" s="4">
        <v>0</v>
      </c>
      <c r="AP733" s="3" t="s">
        <v>59</v>
      </c>
      <c r="AQ733" s="3" t="s">
        <v>71</v>
      </c>
      <c r="AR733" s="6" t="str">
        <f>HYPERLINK("http://catalog.hathitrust.org/Record/007417772","HathiTrust Record")</f>
        <v>HathiTrust Record</v>
      </c>
      <c r="AS733" s="6" t="str">
        <f>HYPERLINK("https://creighton-primo.hosted.exlibrisgroup.com/primo-explore/search?tab=default_tab&amp;search_scope=EVERYTHING&amp;vid=01CRU&amp;lang=en_US&amp;offset=0&amp;query=any,contains,991003164489702656","Catalog Record")</f>
        <v>Catalog Record</v>
      </c>
      <c r="AT733" s="6" t="str">
        <f>HYPERLINK("http://www.worldcat.org/oclc/702828","WorldCat Record")</f>
        <v>WorldCat Record</v>
      </c>
      <c r="AU733" s="3" t="s">
        <v>9280</v>
      </c>
      <c r="AV733" s="3" t="s">
        <v>9281</v>
      </c>
      <c r="AW733" s="3" t="s">
        <v>9282</v>
      </c>
      <c r="AX733" s="3" t="s">
        <v>9282</v>
      </c>
      <c r="AY733" s="3" t="s">
        <v>9283</v>
      </c>
      <c r="AZ733" s="3" t="s">
        <v>76</v>
      </c>
      <c r="BB733" s="3" t="s">
        <v>9284</v>
      </c>
      <c r="BC733" s="3" t="s">
        <v>9285</v>
      </c>
      <c r="BD733" s="3" t="s">
        <v>9286</v>
      </c>
    </row>
    <row r="734" spans="1:56" ht="52.5" customHeight="1" x14ac:dyDescent="0.25">
      <c r="A734" s="7" t="s">
        <v>59</v>
      </c>
      <c r="B734" s="2" t="s">
        <v>9287</v>
      </c>
      <c r="C734" s="2" t="s">
        <v>9288</v>
      </c>
      <c r="D734" s="2" t="s">
        <v>9289</v>
      </c>
      <c r="F734" s="3" t="s">
        <v>59</v>
      </c>
      <c r="G734" s="3" t="s">
        <v>60</v>
      </c>
      <c r="H734" s="3" t="s">
        <v>59</v>
      </c>
      <c r="I734" s="3" t="s">
        <v>59</v>
      </c>
      <c r="J734" s="3" t="s">
        <v>61</v>
      </c>
      <c r="K734" s="2" t="s">
        <v>9290</v>
      </c>
      <c r="L734" s="2" t="s">
        <v>9291</v>
      </c>
      <c r="M734" s="3" t="s">
        <v>350</v>
      </c>
      <c r="O734" s="3" t="s">
        <v>65</v>
      </c>
      <c r="P734" s="3" t="s">
        <v>829</v>
      </c>
      <c r="R734" s="3" t="s">
        <v>68</v>
      </c>
      <c r="S734" s="4">
        <v>3</v>
      </c>
      <c r="T734" s="4">
        <v>3</v>
      </c>
      <c r="U734" s="5" t="s">
        <v>9292</v>
      </c>
      <c r="V734" s="5" t="s">
        <v>9292</v>
      </c>
      <c r="W734" s="5" t="s">
        <v>7036</v>
      </c>
      <c r="X734" s="5" t="s">
        <v>7036</v>
      </c>
      <c r="Y734" s="4">
        <v>262</v>
      </c>
      <c r="Z734" s="4">
        <v>206</v>
      </c>
      <c r="AA734" s="4">
        <v>266</v>
      </c>
      <c r="AB734" s="4">
        <v>4</v>
      </c>
      <c r="AC734" s="4">
        <v>4</v>
      </c>
      <c r="AD734" s="4">
        <v>8</v>
      </c>
      <c r="AE734" s="4">
        <v>9</v>
      </c>
      <c r="AF734" s="4">
        <v>1</v>
      </c>
      <c r="AG734" s="4">
        <v>2</v>
      </c>
      <c r="AH734" s="4">
        <v>1</v>
      </c>
      <c r="AI734" s="4">
        <v>1</v>
      </c>
      <c r="AJ734" s="4">
        <v>4</v>
      </c>
      <c r="AK734" s="4">
        <v>5</v>
      </c>
      <c r="AL734" s="4">
        <v>3</v>
      </c>
      <c r="AM734" s="4">
        <v>3</v>
      </c>
      <c r="AN734" s="4">
        <v>0</v>
      </c>
      <c r="AO734" s="4">
        <v>0</v>
      </c>
      <c r="AP734" s="3" t="s">
        <v>59</v>
      </c>
      <c r="AQ734" s="3" t="s">
        <v>59</v>
      </c>
      <c r="AS734" s="6" t="str">
        <f>HYPERLINK("https://creighton-primo.hosted.exlibrisgroup.com/primo-explore/search?tab=default_tab&amp;search_scope=EVERYTHING&amp;vid=01CRU&amp;lang=en_US&amp;offset=0&amp;query=any,contains,991005265539702656","Catalog Record")</f>
        <v>Catalog Record</v>
      </c>
      <c r="AT734" s="6" t="str">
        <f>HYPERLINK("http://www.worldcat.org/oclc/2632596","WorldCat Record")</f>
        <v>WorldCat Record</v>
      </c>
      <c r="AU734" s="3" t="s">
        <v>9293</v>
      </c>
      <c r="AV734" s="3" t="s">
        <v>9294</v>
      </c>
      <c r="AW734" s="3" t="s">
        <v>9295</v>
      </c>
      <c r="AX734" s="3" t="s">
        <v>9295</v>
      </c>
      <c r="AY734" s="3" t="s">
        <v>9296</v>
      </c>
      <c r="AZ734" s="3" t="s">
        <v>76</v>
      </c>
      <c r="BB734" s="3" t="s">
        <v>9297</v>
      </c>
      <c r="BC734" s="3" t="s">
        <v>9298</v>
      </c>
      <c r="BD734" s="3" t="s">
        <v>9299</v>
      </c>
    </row>
    <row r="735" spans="1:56" ht="52.5" customHeight="1" x14ac:dyDescent="0.25">
      <c r="A735" s="7" t="s">
        <v>59</v>
      </c>
      <c r="B735" s="2" t="s">
        <v>9300</v>
      </c>
      <c r="C735" s="2" t="s">
        <v>9301</v>
      </c>
      <c r="D735" s="2" t="s">
        <v>9302</v>
      </c>
      <c r="F735" s="3" t="s">
        <v>59</v>
      </c>
      <c r="G735" s="3" t="s">
        <v>60</v>
      </c>
      <c r="H735" s="3" t="s">
        <v>59</v>
      </c>
      <c r="I735" s="3" t="s">
        <v>59</v>
      </c>
      <c r="J735" s="3" t="s">
        <v>61</v>
      </c>
      <c r="K735" s="2" t="s">
        <v>9303</v>
      </c>
      <c r="L735" s="2" t="s">
        <v>9304</v>
      </c>
      <c r="M735" s="3" t="s">
        <v>224</v>
      </c>
      <c r="O735" s="3" t="s">
        <v>65</v>
      </c>
      <c r="P735" s="3" t="s">
        <v>283</v>
      </c>
      <c r="R735" s="3" t="s">
        <v>68</v>
      </c>
      <c r="S735" s="4">
        <v>5</v>
      </c>
      <c r="T735" s="4">
        <v>5</v>
      </c>
      <c r="U735" s="5" t="s">
        <v>9305</v>
      </c>
      <c r="V735" s="5" t="s">
        <v>9305</v>
      </c>
      <c r="W735" s="5" t="s">
        <v>2073</v>
      </c>
      <c r="X735" s="5" t="s">
        <v>2073</v>
      </c>
      <c r="Y735" s="4">
        <v>412</v>
      </c>
      <c r="Z735" s="4">
        <v>347</v>
      </c>
      <c r="AA735" s="4">
        <v>354</v>
      </c>
      <c r="AB735" s="4">
        <v>5</v>
      </c>
      <c r="AC735" s="4">
        <v>5</v>
      </c>
      <c r="AD735" s="4">
        <v>17</v>
      </c>
      <c r="AE735" s="4">
        <v>17</v>
      </c>
      <c r="AF735" s="4">
        <v>3</v>
      </c>
      <c r="AG735" s="4">
        <v>3</v>
      </c>
      <c r="AH735" s="4">
        <v>5</v>
      </c>
      <c r="AI735" s="4">
        <v>5</v>
      </c>
      <c r="AJ735" s="4">
        <v>10</v>
      </c>
      <c r="AK735" s="4">
        <v>10</v>
      </c>
      <c r="AL735" s="4">
        <v>3</v>
      </c>
      <c r="AM735" s="4">
        <v>3</v>
      </c>
      <c r="AN735" s="4">
        <v>0</v>
      </c>
      <c r="AO735" s="4">
        <v>0</v>
      </c>
      <c r="AP735" s="3" t="s">
        <v>59</v>
      </c>
      <c r="AQ735" s="3" t="s">
        <v>71</v>
      </c>
      <c r="AR735" s="6" t="str">
        <f>HYPERLINK("http://catalog.hathitrust.org/Record/000044784","HathiTrust Record")</f>
        <v>HathiTrust Record</v>
      </c>
      <c r="AS735" s="6" t="str">
        <f>HYPERLINK("https://creighton-primo.hosted.exlibrisgroup.com/primo-explore/search?tab=default_tab&amp;search_scope=EVERYTHING&amp;vid=01CRU&amp;lang=en_US&amp;offset=0&amp;query=any,contains,991003801089702656","Catalog Record")</f>
        <v>Catalog Record</v>
      </c>
      <c r="AT735" s="6" t="str">
        <f>HYPERLINK("http://www.worldcat.org/oclc/1527485","WorldCat Record")</f>
        <v>WorldCat Record</v>
      </c>
      <c r="AU735" s="3" t="s">
        <v>9306</v>
      </c>
      <c r="AV735" s="3" t="s">
        <v>9307</v>
      </c>
      <c r="AW735" s="3" t="s">
        <v>9308</v>
      </c>
      <c r="AX735" s="3" t="s">
        <v>9308</v>
      </c>
      <c r="AY735" s="3" t="s">
        <v>9309</v>
      </c>
      <c r="AZ735" s="3" t="s">
        <v>76</v>
      </c>
      <c r="BB735" s="3" t="s">
        <v>9310</v>
      </c>
      <c r="BC735" s="3" t="s">
        <v>9311</v>
      </c>
      <c r="BD735" s="3" t="s">
        <v>9312</v>
      </c>
    </row>
    <row r="736" spans="1:56" ht="52.5" customHeight="1" x14ac:dyDescent="0.25">
      <c r="A736" s="7" t="s">
        <v>59</v>
      </c>
      <c r="B736" s="2" t="s">
        <v>9313</v>
      </c>
      <c r="C736" s="2" t="s">
        <v>9314</v>
      </c>
      <c r="D736" s="2" t="s">
        <v>9315</v>
      </c>
      <c r="F736" s="3" t="s">
        <v>59</v>
      </c>
      <c r="G736" s="3" t="s">
        <v>60</v>
      </c>
      <c r="H736" s="3" t="s">
        <v>59</v>
      </c>
      <c r="I736" s="3" t="s">
        <v>59</v>
      </c>
      <c r="J736" s="3" t="s">
        <v>61</v>
      </c>
      <c r="K736" s="2" t="s">
        <v>9316</v>
      </c>
      <c r="L736" s="2" t="s">
        <v>9317</v>
      </c>
      <c r="M736" s="3" t="s">
        <v>350</v>
      </c>
      <c r="N736" s="2" t="s">
        <v>9318</v>
      </c>
      <c r="O736" s="3" t="s">
        <v>65</v>
      </c>
      <c r="P736" s="3" t="s">
        <v>296</v>
      </c>
      <c r="R736" s="3" t="s">
        <v>68</v>
      </c>
      <c r="S736" s="4">
        <v>2</v>
      </c>
      <c r="T736" s="4">
        <v>2</v>
      </c>
      <c r="U736" s="5" t="s">
        <v>9319</v>
      </c>
      <c r="V736" s="5" t="s">
        <v>9319</v>
      </c>
      <c r="W736" s="5" t="s">
        <v>9192</v>
      </c>
      <c r="X736" s="5" t="s">
        <v>9192</v>
      </c>
      <c r="Y736" s="4">
        <v>23</v>
      </c>
      <c r="Z736" s="4">
        <v>21</v>
      </c>
      <c r="AA736" s="4">
        <v>456</v>
      </c>
      <c r="AB736" s="4">
        <v>1</v>
      </c>
      <c r="AC736" s="4">
        <v>5</v>
      </c>
      <c r="AD736" s="4">
        <v>0</v>
      </c>
      <c r="AE736" s="4">
        <v>15</v>
      </c>
      <c r="AF736" s="4">
        <v>0</v>
      </c>
      <c r="AG736" s="4">
        <v>8</v>
      </c>
      <c r="AH736" s="4">
        <v>0</v>
      </c>
      <c r="AI736" s="4">
        <v>3</v>
      </c>
      <c r="AJ736" s="4">
        <v>0</v>
      </c>
      <c r="AK736" s="4">
        <v>5</v>
      </c>
      <c r="AL736" s="4">
        <v>0</v>
      </c>
      <c r="AM736" s="4">
        <v>4</v>
      </c>
      <c r="AN736" s="4">
        <v>0</v>
      </c>
      <c r="AO736" s="4">
        <v>0</v>
      </c>
      <c r="AP736" s="3" t="s">
        <v>59</v>
      </c>
      <c r="AQ736" s="3" t="s">
        <v>59</v>
      </c>
      <c r="AS736" s="6" t="str">
        <f>HYPERLINK("https://creighton-primo.hosted.exlibrisgroup.com/primo-explore/search?tab=default_tab&amp;search_scope=EVERYTHING&amp;vid=01CRU&amp;lang=en_US&amp;offset=0&amp;query=any,contains,991004522949702656","Catalog Record")</f>
        <v>Catalog Record</v>
      </c>
      <c r="AT736" s="6" t="str">
        <f>HYPERLINK("http://www.worldcat.org/oclc/3830331","WorldCat Record")</f>
        <v>WorldCat Record</v>
      </c>
      <c r="AU736" s="3" t="s">
        <v>9320</v>
      </c>
      <c r="AV736" s="3" t="s">
        <v>9321</v>
      </c>
      <c r="AW736" s="3" t="s">
        <v>9322</v>
      </c>
      <c r="AX736" s="3" t="s">
        <v>9322</v>
      </c>
      <c r="AY736" s="3" t="s">
        <v>9323</v>
      </c>
      <c r="AZ736" s="3" t="s">
        <v>76</v>
      </c>
      <c r="BC736" s="3" t="s">
        <v>9324</v>
      </c>
      <c r="BD736" s="3" t="s">
        <v>9325</v>
      </c>
    </row>
    <row r="737" spans="1:56" ht="52.5" customHeight="1" x14ac:dyDescent="0.25">
      <c r="A737" s="7" t="s">
        <v>59</v>
      </c>
      <c r="B737" s="2" t="s">
        <v>9326</v>
      </c>
      <c r="C737" s="2" t="s">
        <v>9327</v>
      </c>
      <c r="D737" s="2" t="s">
        <v>9328</v>
      </c>
      <c r="F737" s="3" t="s">
        <v>59</v>
      </c>
      <c r="G737" s="3" t="s">
        <v>60</v>
      </c>
      <c r="H737" s="3" t="s">
        <v>59</v>
      </c>
      <c r="I737" s="3" t="s">
        <v>59</v>
      </c>
      <c r="J737" s="3" t="s">
        <v>61</v>
      </c>
      <c r="K737" s="2" t="s">
        <v>9329</v>
      </c>
      <c r="L737" s="2" t="s">
        <v>9330</v>
      </c>
      <c r="M737" s="3" t="s">
        <v>131</v>
      </c>
      <c r="O737" s="3" t="s">
        <v>65</v>
      </c>
      <c r="P737" s="3" t="s">
        <v>2845</v>
      </c>
      <c r="R737" s="3" t="s">
        <v>68</v>
      </c>
      <c r="S737" s="4">
        <v>3</v>
      </c>
      <c r="T737" s="4">
        <v>3</v>
      </c>
      <c r="U737" s="5" t="s">
        <v>9331</v>
      </c>
      <c r="V737" s="5" t="s">
        <v>9331</v>
      </c>
      <c r="W737" s="5" t="s">
        <v>7421</v>
      </c>
      <c r="X737" s="5" t="s">
        <v>7421</v>
      </c>
      <c r="Y737" s="4">
        <v>169</v>
      </c>
      <c r="Z737" s="4">
        <v>159</v>
      </c>
      <c r="AA737" s="4">
        <v>180</v>
      </c>
      <c r="AB737" s="4">
        <v>4</v>
      </c>
      <c r="AC737" s="4">
        <v>4</v>
      </c>
      <c r="AD737" s="4">
        <v>13</v>
      </c>
      <c r="AE737" s="4">
        <v>14</v>
      </c>
      <c r="AF737" s="4">
        <v>4</v>
      </c>
      <c r="AG737" s="4">
        <v>5</v>
      </c>
      <c r="AH737" s="4">
        <v>4</v>
      </c>
      <c r="AI737" s="4">
        <v>4</v>
      </c>
      <c r="AJ737" s="4">
        <v>5</v>
      </c>
      <c r="AK737" s="4">
        <v>5</v>
      </c>
      <c r="AL737" s="4">
        <v>3</v>
      </c>
      <c r="AM737" s="4">
        <v>3</v>
      </c>
      <c r="AN737" s="4">
        <v>0</v>
      </c>
      <c r="AO737" s="4">
        <v>0</v>
      </c>
      <c r="AP737" s="3" t="s">
        <v>59</v>
      </c>
      <c r="AQ737" s="3" t="s">
        <v>59</v>
      </c>
      <c r="AS737" s="6" t="str">
        <f>HYPERLINK("https://creighton-primo.hosted.exlibrisgroup.com/primo-explore/search?tab=default_tab&amp;search_scope=EVERYTHING&amp;vid=01CRU&amp;lang=en_US&amp;offset=0&amp;query=any,contains,991003600369702656","Catalog Record")</f>
        <v>Catalog Record</v>
      </c>
      <c r="AT737" s="6" t="str">
        <f>HYPERLINK("http://www.worldcat.org/oclc/1177592","WorldCat Record")</f>
        <v>WorldCat Record</v>
      </c>
      <c r="AU737" s="3" t="s">
        <v>9332</v>
      </c>
      <c r="AV737" s="3" t="s">
        <v>9333</v>
      </c>
      <c r="AW737" s="3" t="s">
        <v>9334</v>
      </c>
      <c r="AX737" s="3" t="s">
        <v>9334</v>
      </c>
      <c r="AY737" s="3" t="s">
        <v>9335</v>
      </c>
      <c r="AZ737" s="3" t="s">
        <v>76</v>
      </c>
      <c r="BB737" s="3" t="s">
        <v>9336</v>
      </c>
      <c r="BC737" s="3" t="s">
        <v>9337</v>
      </c>
      <c r="BD737" s="3" t="s">
        <v>9338</v>
      </c>
    </row>
    <row r="738" spans="1:56" ht="52.5" customHeight="1" x14ac:dyDescent="0.25">
      <c r="A738" s="7" t="s">
        <v>59</v>
      </c>
      <c r="B738" s="2" t="s">
        <v>9339</v>
      </c>
      <c r="C738" s="2" t="s">
        <v>9340</v>
      </c>
      <c r="D738" s="2" t="s">
        <v>9341</v>
      </c>
      <c r="F738" s="3" t="s">
        <v>59</v>
      </c>
      <c r="G738" s="3" t="s">
        <v>60</v>
      </c>
      <c r="H738" s="3" t="s">
        <v>59</v>
      </c>
      <c r="I738" s="3" t="s">
        <v>59</v>
      </c>
      <c r="J738" s="3" t="s">
        <v>61</v>
      </c>
      <c r="L738" s="2" t="s">
        <v>9342</v>
      </c>
      <c r="M738" s="3" t="s">
        <v>549</v>
      </c>
      <c r="N738" s="2" t="s">
        <v>1975</v>
      </c>
      <c r="O738" s="3" t="s">
        <v>65</v>
      </c>
      <c r="P738" s="3" t="s">
        <v>66</v>
      </c>
      <c r="Q738" s="2" t="s">
        <v>9343</v>
      </c>
      <c r="R738" s="3" t="s">
        <v>68</v>
      </c>
      <c r="S738" s="4">
        <v>7</v>
      </c>
      <c r="T738" s="4">
        <v>7</v>
      </c>
      <c r="U738" s="5" t="s">
        <v>7252</v>
      </c>
      <c r="V738" s="5" t="s">
        <v>7252</v>
      </c>
      <c r="W738" s="5" t="s">
        <v>3251</v>
      </c>
      <c r="X738" s="5" t="s">
        <v>3251</v>
      </c>
      <c r="Y738" s="4">
        <v>486</v>
      </c>
      <c r="Z738" s="4">
        <v>369</v>
      </c>
      <c r="AA738" s="4">
        <v>892</v>
      </c>
      <c r="AB738" s="4">
        <v>3</v>
      </c>
      <c r="AC738" s="4">
        <v>9</v>
      </c>
      <c r="AD738" s="4">
        <v>18</v>
      </c>
      <c r="AE738" s="4">
        <v>39</v>
      </c>
      <c r="AF738" s="4">
        <v>7</v>
      </c>
      <c r="AG738" s="4">
        <v>13</v>
      </c>
      <c r="AH738" s="4">
        <v>4</v>
      </c>
      <c r="AI738" s="4">
        <v>10</v>
      </c>
      <c r="AJ738" s="4">
        <v>10</v>
      </c>
      <c r="AK738" s="4">
        <v>20</v>
      </c>
      <c r="AL738" s="4">
        <v>2</v>
      </c>
      <c r="AM738" s="4">
        <v>6</v>
      </c>
      <c r="AN738" s="4">
        <v>0</v>
      </c>
      <c r="AO738" s="4">
        <v>0</v>
      </c>
      <c r="AP738" s="3" t="s">
        <v>59</v>
      </c>
      <c r="AQ738" s="3" t="s">
        <v>71</v>
      </c>
      <c r="AR738" s="6" t="str">
        <f>HYPERLINK("http://catalog.hathitrust.org/Record/000477434","HathiTrust Record")</f>
        <v>HathiTrust Record</v>
      </c>
      <c r="AS738" s="6" t="str">
        <f>HYPERLINK("https://creighton-primo.hosted.exlibrisgroup.com/primo-explore/search?tab=default_tab&amp;search_scope=EVERYTHING&amp;vid=01CRU&amp;lang=en_US&amp;offset=0&amp;query=any,contains,991000601449702656","Catalog Record")</f>
        <v>Catalog Record</v>
      </c>
      <c r="AT738" s="6" t="str">
        <f>HYPERLINK("http://www.worldcat.org/oclc/11841560","WorldCat Record")</f>
        <v>WorldCat Record</v>
      </c>
      <c r="AU738" s="3" t="s">
        <v>9344</v>
      </c>
      <c r="AV738" s="3" t="s">
        <v>9345</v>
      </c>
      <c r="AW738" s="3" t="s">
        <v>9346</v>
      </c>
      <c r="AX738" s="3" t="s">
        <v>9346</v>
      </c>
      <c r="AY738" s="3" t="s">
        <v>9347</v>
      </c>
      <c r="AZ738" s="3" t="s">
        <v>76</v>
      </c>
      <c r="BB738" s="3" t="s">
        <v>9348</v>
      </c>
      <c r="BC738" s="3" t="s">
        <v>9349</v>
      </c>
      <c r="BD738" s="3" t="s">
        <v>9350</v>
      </c>
    </row>
    <row r="739" spans="1:56" ht="52.5" customHeight="1" x14ac:dyDescent="0.25">
      <c r="A739" s="7" t="s">
        <v>59</v>
      </c>
      <c r="B739" s="2" t="s">
        <v>9351</v>
      </c>
      <c r="C739" s="2" t="s">
        <v>9352</v>
      </c>
      <c r="D739" s="2" t="s">
        <v>9353</v>
      </c>
      <c r="F739" s="3" t="s">
        <v>59</v>
      </c>
      <c r="G739" s="3" t="s">
        <v>60</v>
      </c>
      <c r="H739" s="3" t="s">
        <v>59</v>
      </c>
      <c r="I739" s="3" t="s">
        <v>59</v>
      </c>
      <c r="J739" s="3" t="s">
        <v>61</v>
      </c>
      <c r="K739" s="2" t="s">
        <v>9354</v>
      </c>
      <c r="L739" s="2" t="s">
        <v>9355</v>
      </c>
      <c r="M739" s="3" t="s">
        <v>309</v>
      </c>
      <c r="O739" s="3" t="s">
        <v>65</v>
      </c>
      <c r="P739" s="3" t="s">
        <v>829</v>
      </c>
      <c r="R739" s="3" t="s">
        <v>68</v>
      </c>
      <c r="S739" s="4">
        <v>1</v>
      </c>
      <c r="T739" s="4">
        <v>1</v>
      </c>
      <c r="U739" s="5" t="s">
        <v>9356</v>
      </c>
      <c r="V739" s="5" t="s">
        <v>9356</v>
      </c>
      <c r="W739" s="5" t="s">
        <v>7036</v>
      </c>
      <c r="X739" s="5" t="s">
        <v>7036</v>
      </c>
      <c r="Y739" s="4">
        <v>740</v>
      </c>
      <c r="Z739" s="4">
        <v>609</v>
      </c>
      <c r="AA739" s="4">
        <v>617</v>
      </c>
      <c r="AB739" s="4">
        <v>5</v>
      </c>
      <c r="AC739" s="4">
        <v>5</v>
      </c>
      <c r="AD739" s="4">
        <v>28</v>
      </c>
      <c r="AE739" s="4">
        <v>28</v>
      </c>
      <c r="AF739" s="4">
        <v>13</v>
      </c>
      <c r="AG739" s="4">
        <v>13</v>
      </c>
      <c r="AH739" s="4">
        <v>5</v>
      </c>
      <c r="AI739" s="4">
        <v>5</v>
      </c>
      <c r="AJ739" s="4">
        <v>15</v>
      </c>
      <c r="AK739" s="4">
        <v>15</v>
      </c>
      <c r="AL739" s="4">
        <v>4</v>
      </c>
      <c r="AM739" s="4">
        <v>4</v>
      </c>
      <c r="AN739" s="4">
        <v>0</v>
      </c>
      <c r="AO739" s="4">
        <v>0</v>
      </c>
      <c r="AP739" s="3" t="s">
        <v>59</v>
      </c>
      <c r="AQ739" s="3" t="s">
        <v>71</v>
      </c>
      <c r="AR739" s="6" t="str">
        <f>HYPERLINK("http://catalog.hathitrust.org/Record/000687270","HathiTrust Record")</f>
        <v>HathiTrust Record</v>
      </c>
      <c r="AS739" s="6" t="str">
        <f>HYPERLINK("https://creighton-primo.hosted.exlibrisgroup.com/primo-explore/search?tab=default_tab&amp;search_scope=EVERYTHING&amp;vid=01CRU&amp;lang=en_US&amp;offset=0&amp;query=any,contains,991004445759702656","Catalog Record")</f>
        <v>Catalog Record</v>
      </c>
      <c r="AT739" s="6" t="str">
        <f>HYPERLINK("http://www.worldcat.org/oclc/3481427","WorldCat Record")</f>
        <v>WorldCat Record</v>
      </c>
      <c r="AU739" s="3" t="s">
        <v>9357</v>
      </c>
      <c r="AV739" s="3" t="s">
        <v>9358</v>
      </c>
      <c r="AW739" s="3" t="s">
        <v>9359</v>
      </c>
      <c r="AX739" s="3" t="s">
        <v>9359</v>
      </c>
      <c r="AY739" s="3" t="s">
        <v>9360</v>
      </c>
      <c r="AZ739" s="3" t="s">
        <v>76</v>
      </c>
      <c r="BB739" s="3" t="s">
        <v>9361</v>
      </c>
      <c r="BC739" s="3" t="s">
        <v>9362</v>
      </c>
      <c r="BD739" s="3" t="s">
        <v>9363</v>
      </c>
    </row>
    <row r="740" spans="1:56" ht="52.5" customHeight="1" x14ac:dyDescent="0.25">
      <c r="A740" s="7" t="s">
        <v>59</v>
      </c>
      <c r="B740" s="2" t="s">
        <v>9364</v>
      </c>
      <c r="C740" s="2" t="s">
        <v>9365</v>
      </c>
      <c r="D740" s="2" t="s">
        <v>9366</v>
      </c>
      <c r="F740" s="3" t="s">
        <v>59</v>
      </c>
      <c r="G740" s="3" t="s">
        <v>60</v>
      </c>
      <c r="H740" s="3" t="s">
        <v>59</v>
      </c>
      <c r="I740" s="3" t="s">
        <v>71</v>
      </c>
      <c r="J740" s="3" t="s">
        <v>61</v>
      </c>
      <c r="K740" s="2" t="s">
        <v>9367</v>
      </c>
      <c r="L740" s="2" t="s">
        <v>9368</v>
      </c>
      <c r="M740" s="3" t="s">
        <v>350</v>
      </c>
      <c r="O740" s="3" t="s">
        <v>65</v>
      </c>
      <c r="P740" s="3" t="s">
        <v>66</v>
      </c>
      <c r="Q740" s="2" t="s">
        <v>9369</v>
      </c>
      <c r="R740" s="3" t="s">
        <v>68</v>
      </c>
      <c r="S740" s="4">
        <v>2</v>
      </c>
      <c r="T740" s="4">
        <v>2</v>
      </c>
      <c r="U740" s="5" t="s">
        <v>9370</v>
      </c>
      <c r="V740" s="5" t="s">
        <v>9370</v>
      </c>
      <c r="W740" s="5" t="s">
        <v>7036</v>
      </c>
      <c r="X740" s="5" t="s">
        <v>7036</v>
      </c>
      <c r="Y740" s="4">
        <v>956</v>
      </c>
      <c r="Z740" s="4">
        <v>746</v>
      </c>
      <c r="AA740" s="4">
        <v>787</v>
      </c>
      <c r="AB740" s="4">
        <v>5</v>
      </c>
      <c r="AC740" s="4">
        <v>5</v>
      </c>
      <c r="AD740" s="4">
        <v>35</v>
      </c>
      <c r="AE740" s="4">
        <v>38</v>
      </c>
      <c r="AF740" s="4">
        <v>18</v>
      </c>
      <c r="AG740" s="4">
        <v>21</v>
      </c>
      <c r="AH740" s="4">
        <v>6</v>
      </c>
      <c r="AI740" s="4">
        <v>7</v>
      </c>
      <c r="AJ740" s="4">
        <v>16</v>
      </c>
      <c r="AK740" s="4">
        <v>17</v>
      </c>
      <c r="AL740" s="4">
        <v>3</v>
      </c>
      <c r="AM740" s="4">
        <v>3</v>
      </c>
      <c r="AN740" s="4">
        <v>0</v>
      </c>
      <c r="AO740" s="4">
        <v>0</v>
      </c>
      <c r="AP740" s="3" t="s">
        <v>59</v>
      </c>
      <c r="AQ740" s="3" t="s">
        <v>59</v>
      </c>
      <c r="AS740" s="6" t="str">
        <f>HYPERLINK("https://creighton-primo.hosted.exlibrisgroup.com/primo-explore/search?tab=default_tab&amp;search_scope=EVERYTHING&amp;vid=01CRU&amp;lang=en_US&amp;offset=0&amp;query=any,contains,991004275659702656","Catalog Record")</f>
        <v>Catalog Record</v>
      </c>
      <c r="AT740" s="6" t="str">
        <f>HYPERLINK("http://www.worldcat.org/oclc/2894019","WorldCat Record")</f>
        <v>WorldCat Record</v>
      </c>
      <c r="AU740" s="3" t="s">
        <v>9371</v>
      </c>
      <c r="AV740" s="3" t="s">
        <v>9372</v>
      </c>
      <c r="AW740" s="3" t="s">
        <v>9373</v>
      </c>
      <c r="AX740" s="3" t="s">
        <v>9373</v>
      </c>
      <c r="AY740" s="3" t="s">
        <v>9374</v>
      </c>
      <c r="AZ740" s="3" t="s">
        <v>76</v>
      </c>
      <c r="BB740" s="3" t="s">
        <v>9375</v>
      </c>
      <c r="BC740" s="3" t="s">
        <v>9376</v>
      </c>
      <c r="BD740" s="3" t="s">
        <v>9377</v>
      </c>
    </row>
    <row r="741" spans="1:56" ht="52.5" customHeight="1" x14ac:dyDescent="0.25">
      <c r="A741" s="7" t="s">
        <v>59</v>
      </c>
      <c r="B741" s="2" t="s">
        <v>9378</v>
      </c>
      <c r="C741" s="2" t="s">
        <v>9379</v>
      </c>
      <c r="D741" s="2" t="s">
        <v>9380</v>
      </c>
      <c r="F741" s="3" t="s">
        <v>59</v>
      </c>
      <c r="G741" s="3" t="s">
        <v>60</v>
      </c>
      <c r="H741" s="3" t="s">
        <v>59</v>
      </c>
      <c r="I741" s="3" t="s">
        <v>59</v>
      </c>
      <c r="J741" s="3" t="s">
        <v>61</v>
      </c>
      <c r="K741" s="2" t="s">
        <v>9381</v>
      </c>
      <c r="L741" s="2" t="s">
        <v>335</v>
      </c>
      <c r="M741" s="3" t="s">
        <v>309</v>
      </c>
      <c r="O741" s="3" t="s">
        <v>65</v>
      </c>
      <c r="P741" s="3" t="s">
        <v>66</v>
      </c>
      <c r="R741" s="3" t="s">
        <v>68</v>
      </c>
      <c r="S741" s="4">
        <v>2</v>
      </c>
      <c r="T741" s="4">
        <v>2</v>
      </c>
      <c r="U741" s="5" t="s">
        <v>9382</v>
      </c>
      <c r="V741" s="5" t="s">
        <v>9382</v>
      </c>
      <c r="W741" s="5" t="s">
        <v>9383</v>
      </c>
      <c r="X741" s="5" t="s">
        <v>9383</v>
      </c>
      <c r="Y741" s="4">
        <v>243</v>
      </c>
      <c r="Z741" s="4">
        <v>179</v>
      </c>
      <c r="AA741" s="4">
        <v>539</v>
      </c>
      <c r="AB741" s="4">
        <v>3</v>
      </c>
      <c r="AC741" s="4">
        <v>5</v>
      </c>
      <c r="AD741" s="4">
        <v>7</v>
      </c>
      <c r="AE741" s="4">
        <v>26</v>
      </c>
      <c r="AF741" s="4">
        <v>4</v>
      </c>
      <c r="AG741" s="4">
        <v>13</v>
      </c>
      <c r="AH741" s="4">
        <v>1</v>
      </c>
      <c r="AI741" s="4">
        <v>4</v>
      </c>
      <c r="AJ741" s="4">
        <v>4</v>
      </c>
      <c r="AK741" s="4">
        <v>16</v>
      </c>
      <c r="AL741" s="4">
        <v>0</v>
      </c>
      <c r="AM741" s="4">
        <v>2</v>
      </c>
      <c r="AN741" s="4">
        <v>0</v>
      </c>
      <c r="AO741" s="4">
        <v>0</v>
      </c>
      <c r="AP741" s="3" t="s">
        <v>59</v>
      </c>
      <c r="AQ741" s="3" t="s">
        <v>71</v>
      </c>
      <c r="AR741" s="6" t="str">
        <f>HYPERLINK("http://catalog.hathitrust.org/Record/000695120","HathiTrust Record")</f>
        <v>HathiTrust Record</v>
      </c>
      <c r="AS741" s="6" t="str">
        <f>HYPERLINK("https://creighton-primo.hosted.exlibrisgroup.com/primo-explore/search?tab=default_tab&amp;search_scope=EVERYTHING&amp;vid=01CRU&amp;lang=en_US&amp;offset=0&amp;query=any,contains,991004403389702656","Catalog Record")</f>
        <v>Catalog Record</v>
      </c>
      <c r="AT741" s="6" t="str">
        <f>HYPERLINK("http://www.worldcat.org/oclc/3311592","WorldCat Record")</f>
        <v>WorldCat Record</v>
      </c>
      <c r="AU741" s="3" t="s">
        <v>9384</v>
      </c>
      <c r="AV741" s="3" t="s">
        <v>9385</v>
      </c>
      <c r="AW741" s="3" t="s">
        <v>9386</v>
      </c>
      <c r="AX741" s="3" t="s">
        <v>9386</v>
      </c>
      <c r="AY741" s="3" t="s">
        <v>9387</v>
      </c>
      <c r="AZ741" s="3" t="s">
        <v>76</v>
      </c>
      <c r="BB741" s="3" t="s">
        <v>9388</v>
      </c>
      <c r="BC741" s="3" t="s">
        <v>9389</v>
      </c>
      <c r="BD741" s="3" t="s">
        <v>9390</v>
      </c>
    </row>
    <row r="742" spans="1:56" ht="52.5" customHeight="1" x14ac:dyDescent="0.25">
      <c r="A742" s="7" t="s">
        <v>59</v>
      </c>
      <c r="B742" s="2" t="s">
        <v>9391</v>
      </c>
      <c r="C742" s="2" t="s">
        <v>9392</v>
      </c>
      <c r="D742" s="2" t="s">
        <v>9393</v>
      </c>
      <c r="F742" s="3" t="s">
        <v>59</v>
      </c>
      <c r="G742" s="3" t="s">
        <v>60</v>
      </c>
      <c r="H742" s="3" t="s">
        <v>59</v>
      </c>
      <c r="I742" s="3" t="s">
        <v>59</v>
      </c>
      <c r="J742" s="3" t="s">
        <v>61</v>
      </c>
      <c r="L742" s="2" t="s">
        <v>9394</v>
      </c>
      <c r="M742" s="3" t="s">
        <v>309</v>
      </c>
      <c r="O742" s="3" t="s">
        <v>65</v>
      </c>
      <c r="P742" s="3" t="s">
        <v>771</v>
      </c>
      <c r="R742" s="3" t="s">
        <v>68</v>
      </c>
      <c r="S742" s="4">
        <v>2</v>
      </c>
      <c r="T742" s="4">
        <v>2</v>
      </c>
      <c r="U742" s="5" t="s">
        <v>87</v>
      </c>
      <c r="V742" s="5" t="s">
        <v>87</v>
      </c>
      <c r="W742" s="5" t="s">
        <v>9192</v>
      </c>
      <c r="X742" s="5" t="s">
        <v>9192</v>
      </c>
      <c r="Y742" s="4">
        <v>269</v>
      </c>
      <c r="Z742" s="4">
        <v>230</v>
      </c>
      <c r="AA742" s="4">
        <v>232</v>
      </c>
      <c r="AB742" s="4">
        <v>2</v>
      </c>
      <c r="AC742" s="4">
        <v>2</v>
      </c>
      <c r="AD742" s="4">
        <v>10</v>
      </c>
      <c r="AE742" s="4">
        <v>10</v>
      </c>
      <c r="AF742" s="4">
        <v>5</v>
      </c>
      <c r="AG742" s="4">
        <v>5</v>
      </c>
      <c r="AH742" s="4">
        <v>0</v>
      </c>
      <c r="AI742" s="4">
        <v>0</v>
      </c>
      <c r="AJ742" s="4">
        <v>6</v>
      </c>
      <c r="AK742" s="4">
        <v>6</v>
      </c>
      <c r="AL742" s="4">
        <v>1</v>
      </c>
      <c r="AM742" s="4">
        <v>1</v>
      </c>
      <c r="AN742" s="4">
        <v>0</v>
      </c>
      <c r="AO742" s="4">
        <v>0</v>
      </c>
      <c r="AP742" s="3" t="s">
        <v>59</v>
      </c>
      <c r="AQ742" s="3" t="s">
        <v>71</v>
      </c>
      <c r="AR742" s="6" t="str">
        <f>HYPERLINK("http://catalog.hathitrust.org/Record/000753466","HathiTrust Record")</f>
        <v>HathiTrust Record</v>
      </c>
      <c r="AS742" s="6" t="str">
        <f>HYPERLINK("https://creighton-primo.hosted.exlibrisgroup.com/primo-explore/search?tab=default_tab&amp;search_scope=EVERYTHING&amp;vid=01CRU&amp;lang=en_US&amp;offset=0&amp;query=any,contains,991004442609702656","Catalog Record")</f>
        <v>Catalog Record</v>
      </c>
      <c r="AT742" s="6" t="str">
        <f>HYPERLINK("http://www.worldcat.org/oclc/3471099","WorldCat Record")</f>
        <v>WorldCat Record</v>
      </c>
      <c r="AU742" s="3" t="s">
        <v>9395</v>
      </c>
      <c r="AV742" s="3" t="s">
        <v>9396</v>
      </c>
      <c r="AW742" s="3" t="s">
        <v>9397</v>
      </c>
      <c r="AX742" s="3" t="s">
        <v>9397</v>
      </c>
      <c r="AY742" s="3" t="s">
        <v>9398</v>
      </c>
      <c r="AZ742" s="3" t="s">
        <v>76</v>
      </c>
      <c r="BB742" s="3" t="s">
        <v>9399</v>
      </c>
      <c r="BC742" s="3" t="s">
        <v>9400</v>
      </c>
      <c r="BD742" s="3" t="s">
        <v>9401</v>
      </c>
    </row>
    <row r="743" spans="1:56" ht="52.5" customHeight="1" x14ac:dyDescent="0.25">
      <c r="A743" s="7" t="s">
        <v>59</v>
      </c>
      <c r="B743" s="2" t="s">
        <v>9402</v>
      </c>
      <c r="C743" s="2" t="s">
        <v>9403</v>
      </c>
      <c r="D743" s="2" t="s">
        <v>9404</v>
      </c>
      <c r="F743" s="3" t="s">
        <v>59</v>
      </c>
      <c r="G743" s="3" t="s">
        <v>60</v>
      </c>
      <c r="H743" s="3" t="s">
        <v>59</v>
      </c>
      <c r="I743" s="3" t="s">
        <v>59</v>
      </c>
      <c r="J743" s="3" t="s">
        <v>61</v>
      </c>
      <c r="K743" s="2" t="s">
        <v>9405</v>
      </c>
      <c r="L743" s="2" t="s">
        <v>1615</v>
      </c>
      <c r="M743" s="3" t="s">
        <v>131</v>
      </c>
      <c r="O743" s="3" t="s">
        <v>65</v>
      </c>
      <c r="P743" s="3" t="s">
        <v>66</v>
      </c>
      <c r="Q743" s="2" t="s">
        <v>3470</v>
      </c>
      <c r="R743" s="3" t="s">
        <v>68</v>
      </c>
      <c r="S743" s="4">
        <v>2</v>
      </c>
      <c r="T743" s="4">
        <v>2</v>
      </c>
      <c r="U743" s="5" t="s">
        <v>9305</v>
      </c>
      <c r="V743" s="5" t="s">
        <v>9305</v>
      </c>
      <c r="W743" s="5" t="s">
        <v>9406</v>
      </c>
      <c r="X743" s="5" t="s">
        <v>9406</v>
      </c>
      <c r="Y743" s="4">
        <v>569</v>
      </c>
      <c r="Z743" s="4">
        <v>432</v>
      </c>
      <c r="AA743" s="4">
        <v>433</v>
      </c>
      <c r="AB743" s="4">
        <v>7</v>
      </c>
      <c r="AC743" s="4">
        <v>7</v>
      </c>
      <c r="AD743" s="4">
        <v>19</v>
      </c>
      <c r="AE743" s="4">
        <v>19</v>
      </c>
      <c r="AF743" s="4">
        <v>8</v>
      </c>
      <c r="AG743" s="4">
        <v>8</v>
      </c>
      <c r="AH743" s="4">
        <v>2</v>
      </c>
      <c r="AI743" s="4">
        <v>2</v>
      </c>
      <c r="AJ743" s="4">
        <v>9</v>
      </c>
      <c r="AK743" s="4">
        <v>9</v>
      </c>
      <c r="AL743" s="4">
        <v>4</v>
      </c>
      <c r="AM743" s="4">
        <v>4</v>
      </c>
      <c r="AN743" s="4">
        <v>0</v>
      </c>
      <c r="AO743" s="4">
        <v>0</v>
      </c>
      <c r="AP743" s="3" t="s">
        <v>59</v>
      </c>
      <c r="AQ743" s="3" t="s">
        <v>71</v>
      </c>
      <c r="AR743" s="6" t="str">
        <f>HYPERLINK("http://catalog.hathitrust.org/Record/000382699","HathiTrust Record")</f>
        <v>HathiTrust Record</v>
      </c>
      <c r="AS743" s="6" t="str">
        <f>HYPERLINK("https://creighton-primo.hosted.exlibrisgroup.com/primo-explore/search?tab=default_tab&amp;search_scope=EVERYTHING&amp;vid=01CRU&amp;lang=en_US&amp;offset=0&amp;query=any,contains,991003165879702656","Catalog Record")</f>
        <v>Catalog Record</v>
      </c>
      <c r="AT743" s="6" t="str">
        <f>HYPERLINK("http://www.worldcat.org/oclc/703274","WorldCat Record")</f>
        <v>WorldCat Record</v>
      </c>
      <c r="AU743" s="3" t="s">
        <v>9407</v>
      </c>
      <c r="AV743" s="3" t="s">
        <v>9408</v>
      </c>
      <c r="AW743" s="3" t="s">
        <v>9409</v>
      </c>
      <c r="AX743" s="3" t="s">
        <v>9409</v>
      </c>
      <c r="AY743" s="3" t="s">
        <v>9410</v>
      </c>
      <c r="AZ743" s="3" t="s">
        <v>76</v>
      </c>
      <c r="BB743" s="3" t="s">
        <v>9411</v>
      </c>
      <c r="BC743" s="3" t="s">
        <v>9412</v>
      </c>
      <c r="BD743" s="3" t="s">
        <v>9413</v>
      </c>
    </row>
    <row r="744" spans="1:56" ht="52.5" customHeight="1" x14ac:dyDescent="0.25">
      <c r="A744" s="7" t="s">
        <v>59</v>
      </c>
      <c r="B744" s="2" t="s">
        <v>9414</v>
      </c>
      <c r="C744" s="2" t="s">
        <v>9415</v>
      </c>
      <c r="D744" s="2" t="s">
        <v>9416</v>
      </c>
      <c r="F744" s="3" t="s">
        <v>59</v>
      </c>
      <c r="G744" s="3" t="s">
        <v>60</v>
      </c>
      <c r="H744" s="3" t="s">
        <v>59</v>
      </c>
      <c r="I744" s="3" t="s">
        <v>59</v>
      </c>
      <c r="J744" s="3" t="s">
        <v>61</v>
      </c>
      <c r="K744" s="2" t="s">
        <v>9417</v>
      </c>
      <c r="L744" s="2" t="s">
        <v>4080</v>
      </c>
      <c r="M744" s="3" t="s">
        <v>1233</v>
      </c>
      <c r="O744" s="3" t="s">
        <v>65</v>
      </c>
      <c r="P744" s="3" t="s">
        <v>420</v>
      </c>
      <c r="R744" s="3" t="s">
        <v>68</v>
      </c>
      <c r="S744" s="4">
        <v>6</v>
      </c>
      <c r="T744" s="4">
        <v>6</v>
      </c>
      <c r="U744" s="5" t="s">
        <v>9331</v>
      </c>
      <c r="V744" s="5" t="s">
        <v>9331</v>
      </c>
      <c r="W744" s="5" t="s">
        <v>5662</v>
      </c>
      <c r="X744" s="5" t="s">
        <v>5662</v>
      </c>
      <c r="Y744" s="4">
        <v>482</v>
      </c>
      <c r="Z744" s="4">
        <v>394</v>
      </c>
      <c r="AA744" s="4">
        <v>396</v>
      </c>
      <c r="AB744" s="4">
        <v>4</v>
      </c>
      <c r="AC744" s="4">
        <v>4</v>
      </c>
      <c r="AD744" s="4">
        <v>18</v>
      </c>
      <c r="AE744" s="4">
        <v>18</v>
      </c>
      <c r="AF744" s="4">
        <v>9</v>
      </c>
      <c r="AG744" s="4">
        <v>9</v>
      </c>
      <c r="AH744" s="4">
        <v>2</v>
      </c>
      <c r="AI744" s="4">
        <v>2</v>
      </c>
      <c r="AJ744" s="4">
        <v>7</v>
      </c>
      <c r="AK744" s="4">
        <v>7</v>
      </c>
      <c r="AL744" s="4">
        <v>3</v>
      </c>
      <c r="AM744" s="4">
        <v>3</v>
      </c>
      <c r="AN744" s="4">
        <v>0</v>
      </c>
      <c r="AO744" s="4">
        <v>0</v>
      </c>
      <c r="AP744" s="3" t="s">
        <v>59</v>
      </c>
      <c r="AQ744" s="3" t="s">
        <v>71</v>
      </c>
      <c r="AR744" s="6" t="str">
        <f>HYPERLINK("http://catalog.hathitrust.org/Record/000008186","HathiTrust Record")</f>
        <v>HathiTrust Record</v>
      </c>
      <c r="AS744" s="6" t="str">
        <f>HYPERLINK("https://creighton-primo.hosted.exlibrisgroup.com/primo-explore/search?tab=default_tab&amp;search_scope=EVERYTHING&amp;vid=01CRU&amp;lang=en_US&amp;offset=0&amp;query=any,contains,991003038739702656","Catalog Record")</f>
        <v>Catalog Record</v>
      </c>
      <c r="AT744" s="6" t="str">
        <f>HYPERLINK("http://www.worldcat.org/oclc/600414","WorldCat Record")</f>
        <v>WorldCat Record</v>
      </c>
      <c r="AU744" s="3" t="s">
        <v>9418</v>
      </c>
      <c r="AV744" s="3" t="s">
        <v>9419</v>
      </c>
      <c r="AW744" s="3" t="s">
        <v>9420</v>
      </c>
      <c r="AX744" s="3" t="s">
        <v>9420</v>
      </c>
      <c r="AY744" s="3" t="s">
        <v>9421</v>
      </c>
      <c r="AZ744" s="3" t="s">
        <v>76</v>
      </c>
      <c r="BB744" s="3" t="s">
        <v>9422</v>
      </c>
      <c r="BC744" s="3" t="s">
        <v>9423</v>
      </c>
      <c r="BD744" s="3" t="s">
        <v>9424</v>
      </c>
    </row>
    <row r="745" spans="1:56" ht="52.5" customHeight="1" x14ac:dyDescent="0.25">
      <c r="A745" s="7" t="s">
        <v>59</v>
      </c>
      <c r="B745" s="2" t="s">
        <v>9425</v>
      </c>
      <c r="C745" s="2" t="s">
        <v>9426</v>
      </c>
      <c r="D745" s="2" t="s">
        <v>9427</v>
      </c>
      <c r="F745" s="3" t="s">
        <v>59</v>
      </c>
      <c r="G745" s="3" t="s">
        <v>60</v>
      </c>
      <c r="H745" s="3" t="s">
        <v>59</v>
      </c>
      <c r="I745" s="3" t="s">
        <v>59</v>
      </c>
      <c r="J745" s="3" t="s">
        <v>61</v>
      </c>
      <c r="K745" s="2" t="s">
        <v>9428</v>
      </c>
      <c r="L745" s="2" t="s">
        <v>5722</v>
      </c>
      <c r="M745" s="3" t="s">
        <v>309</v>
      </c>
      <c r="N745" s="2" t="s">
        <v>887</v>
      </c>
      <c r="O745" s="3" t="s">
        <v>65</v>
      </c>
      <c r="P745" s="3" t="s">
        <v>420</v>
      </c>
      <c r="Q745" s="2" t="s">
        <v>5723</v>
      </c>
      <c r="R745" s="3" t="s">
        <v>68</v>
      </c>
      <c r="S745" s="4">
        <v>7</v>
      </c>
      <c r="T745" s="4">
        <v>7</v>
      </c>
      <c r="U745" s="5" t="s">
        <v>9429</v>
      </c>
      <c r="V745" s="5" t="s">
        <v>9429</v>
      </c>
      <c r="W745" s="5" t="s">
        <v>9430</v>
      </c>
      <c r="X745" s="5" t="s">
        <v>9430</v>
      </c>
      <c r="Y745" s="4">
        <v>693</v>
      </c>
      <c r="Z745" s="4">
        <v>587</v>
      </c>
      <c r="AA745" s="4">
        <v>599</v>
      </c>
      <c r="AB745" s="4">
        <v>7</v>
      </c>
      <c r="AC745" s="4">
        <v>7</v>
      </c>
      <c r="AD745" s="4">
        <v>30</v>
      </c>
      <c r="AE745" s="4">
        <v>31</v>
      </c>
      <c r="AF745" s="4">
        <v>11</v>
      </c>
      <c r="AG745" s="4">
        <v>11</v>
      </c>
      <c r="AH745" s="4">
        <v>6</v>
      </c>
      <c r="AI745" s="4">
        <v>7</v>
      </c>
      <c r="AJ745" s="4">
        <v>14</v>
      </c>
      <c r="AK745" s="4">
        <v>15</v>
      </c>
      <c r="AL745" s="4">
        <v>5</v>
      </c>
      <c r="AM745" s="4">
        <v>5</v>
      </c>
      <c r="AN745" s="4">
        <v>1</v>
      </c>
      <c r="AO745" s="4">
        <v>1</v>
      </c>
      <c r="AP745" s="3" t="s">
        <v>59</v>
      </c>
      <c r="AQ745" s="3" t="s">
        <v>71</v>
      </c>
      <c r="AR745" s="6" t="str">
        <f>HYPERLINK("http://catalog.hathitrust.org/Record/000134745","HathiTrust Record")</f>
        <v>HathiTrust Record</v>
      </c>
      <c r="AS745" s="6" t="str">
        <f>HYPERLINK("https://creighton-primo.hosted.exlibrisgroup.com/primo-explore/search?tab=default_tab&amp;search_scope=EVERYTHING&amp;vid=01CRU&amp;lang=en_US&amp;offset=0&amp;query=any,contains,991004522999702656","Catalog Record")</f>
        <v>Catalog Record</v>
      </c>
      <c r="AT745" s="6" t="str">
        <f>HYPERLINK("http://www.worldcat.org/oclc/3830822","WorldCat Record")</f>
        <v>WorldCat Record</v>
      </c>
      <c r="AU745" s="3" t="s">
        <v>9431</v>
      </c>
      <c r="AV745" s="3" t="s">
        <v>9432</v>
      </c>
      <c r="AW745" s="3" t="s">
        <v>9433</v>
      </c>
      <c r="AX745" s="3" t="s">
        <v>9433</v>
      </c>
      <c r="AY745" s="3" t="s">
        <v>9434</v>
      </c>
      <c r="AZ745" s="3" t="s">
        <v>76</v>
      </c>
      <c r="BB745" s="3" t="s">
        <v>9435</v>
      </c>
      <c r="BC745" s="3" t="s">
        <v>9436</v>
      </c>
      <c r="BD745" s="3" t="s">
        <v>9437</v>
      </c>
    </row>
    <row r="746" spans="1:56" ht="52.5" customHeight="1" x14ac:dyDescent="0.25">
      <c r="A746" s="7" t="s">
        <v>59</v>
      </c>
      <c r="B746" s="2" t="s">
        <v>9438</v>
      </c>
      <c r="C746" s="2" t="s">
        <v>9439</v>
      </c>
      <c r="D746" s="2" t="s">
        <v>9440</v>
      </c>
      <c r="F746" s="3" t="s">
        <v>59</v>
      </c>
      <c r="G746" s="3" t="s">
        <v>60</v>
      </c>
      <c r="H746" s="3" t="s">
        <v>59</v>
      </c>
      <c r="I746" s="3" t="s">
        <v>59</v>
      </c>
      <c r="J746" s="3" t="s">
        <v>61</v>
      </c>
      <c r="K746" s="2" t="s">
        <v>3716</v>
      </c>
      <c r="L746" s="2" t="s">
        <v>9441</v>
      </c>
      <c r="M746" s="3" t="s">
        <v>5648</v>
      </c>
      <c r="O746" s="3" t="s">
        <v>65</v>
      </c>
      <c r="P746" s="3" t="s">
        <v>66</v>
      </c>
      <c r="R746" s="3" t="s">
        <v>68</v>
      </c>
      <c r="S746" s="4">
        <v>4</v>
      </c>
      <c r="T746" s="4">
        <v>4</v>
      </c>
      <c r="U746" s="5" t="s">
        <v>9442</v>
      </c>
      <c r="V746" s="5" t="s">
        <v>9442</v>
      </c>
      <c r="W746" s="5" t="s">
        <v>4595</v>
      </c>
      <c r="X746" s="5" t="s">
        <v>4595</v>
      </c>
      <c r="Y746" s="4">
        <v>629</v>
      </c>
      <c r="Z746" s="4">
        <v>517</v>
      </c>
      <c r="AA746" s="4">
        <v>519</v>
      </c>
      <c r="AB746" s="4">
        <v>7</v>
      </c>
      <c r="AC746" s="4">
        <v>7</v>
      </c>
      <c r="AD746" s="4">
        <v>31</v>
      </c>
      <c r="AE746" s="4">
        <v>31</v>
      </c>
      <c r="AF746" s="4">
        <v>11</v>
      </c>
      <c r="AG746" s="4">
        <v>11</v>
      </c>
      <c r="AH746" s="4">
        <v>7</v>
      </c>
      <c r="AI746" s="4">
        <v>7</v>
      </c>
      <c r="AJ746" s="4">
        <v>16</v>
      </c>
      <c r="AK746" s="4">
        <v>16</v>
      </c>
      <c r="AL746" s="4">
        <v>6</v>
      </c>
      <c r="AM746" s="4">
        <v>6</v>
      </c>
      <c r="AN746" s="4">
        <v>0</v>
      </c>
      <c r="AO746" s="4">
        <v>0</v>
      </c>
      <c r="AP746" s="3" t="s">
        <v>59</v>
      </c>
      <c r="AQ746" s="3" t="s">
        <v>71</v>
      </c>
      <c r="AR746" s="6" t="str">
        <f>HYPERLINK("http://catalog.hathitrust.org/Record/002704823","HathiTrust Record")</f>
        <v>HathiTrust Record</v>
      </c>
      <c r="AS746" s="6" t="str">
        <f>HYPERLINK("https://creighton-primo.hosted.exlibrisgroup.com/primo-explore/search?tab=default_tab&amp;search_scope=EVERYTHING&amp;vid=01CRU&amp;lang=en_US&amp;offset=0&amp;query=any,contains,991001783149702656","Catalog Record")</f>
        <v>Catalog Record</v>
      </c>
      <c r="AT746" s="6" t="str">
        <f>HYPERLINK("http://www.worldcat.org/oclc/22489415","WorldCat Record")</f>
        <v>WorldCat Record</v>
      </c>
      <c r="AU746" s="3" t="s">
        <v>9443</v>
      </c>
      <c r="AV746" s="3" t="s">
        <v>9444</v>
      </c>
      <c r="AW746" s="3" t="s">
        <v>9445</v>
      </c>
      <c r="AX746" s="3" t="s">
        <v>9445</v>
      </c>
      <c r="AY746" s="3" t="s">
        <v>9446</v>
      </c>
      <c r="AZ746" s="3" t="s">
        <v>76</v>
      </c>
      <c r="BB746" s="3" t="s">
        <v>9447</v>
      </c>
      <c r="BC746" s="3" t="s">
        <v>9448</v>
      </c>
      <c r="BD746" s="3" t="s">
        <v>9449</v>
      </c>
    </row>
    <row r="747" spans="1:56" ht="52.5" customHeight="1" x14ac:dyDescent="0.25">
      <c r="A747" s="7" t="s">
        <v>59</v>
      </c>
      <c r="B747" s="2" t="s">
        <v>9450</v>
      </c>
      <c r="C747" s="2" t="s">
        <v>9451</v>
      </c>
      <c r="D747" s="2" t="s">
        <v>9452</v>
      </c>
      <c r="F747" s="3" t="s">
        <v>59</v>
      </c>
      <c r="G747" s="3" t="s">
        <v>60</v>
      </c>
      <c r="H747" s="3" t="s">
        <v>59</v>
      </c>
      <c r="I747" s="3" t="s">
        <v>59</v>
      </c>
      <c r="J747" s="3" t="s">
        <v>61</v>
      </c>
      <c r="K747" s="2" t="s">
        <v>9453</v>
      </c>
      <c r="L747" s="2" t="s">
        <v>9454</v>
      </c>
      <c r="M747" s="3" t="s">
        <v>195</v>
      </c>
      <c r="O747" s="3" t="s">
        <v>65</v>
      </c>
      <c r="P747" s="3" t="s">
        <v>1262</v>
      </c>
      <c r="Q747" s="2" t="s">
        <v>9455</v>
      </c>
      <c r="R747" s="3" t="s">
        <v>68</v>
      </c>
      <c r="S747" s="4">
        <v>4</v>
      </c>
      <c r="T747" s="4">
        <v>4</v>
      </c>
      <c r="U747" s="5" t="s">
        <v>3080</v>
      </c>
      <c r="V747" s="5" t="s">
        <v>3080</v>
      </c>
      <c r="W747" s="5" t="s">
        <v>9192</v>
      </c>
      <c r="X747" s="5" t="s">
        <v>9192</v>
      </c>
      <c r="Y747" s="4">
        <v>570</v>
      </c>
      <c r="Z747" s="4">
        <v>412</v>
      </c>
      <c r="AA747" s="4">
        <v>414</v>
      </c>
      <c r="AB747" s="4">
        <v>5</v>
      </c>
      <c r="AC747" s="4">
        <v>5</v>
      </c>
      <c r="AD747" s="4">
        <v>25</v>
      </c>
      <c r="AE747" s="4">
        <v>25</v>
      </c>
      <c r="AF747" s="4">
        <v>13</v>
      </c>
      <c r="AG747" s="4">
        <v>13</v>
      </c>
      <c r="AH747" s="4">
        <v>4</v>
      </c>
      <c r="AI747" s="4">
        <v>4</v>
      </c>
      <c r="AJ747" s="4">
        <v>10</v>
      </c>
      <c r="AK747" s="4">
        <v>10</v>
      </c>
      <c r="AL747" s="4">
        <v>4</v>
      </c>
      <c r="AM747" s="4">
        <v>4</v>
      </c>
      <c r="AN747" s="4">
        <v>0</v>
      </c>
      <c r="AO747" s="4">
        <v>0</v>
      </c>
      <c r="AP747" s="3" t="s">
        <v>59</v>
      </c>
      <c r="AQ747" s="3" t="s">
        <v>71</v>
      </c>
      <c r="AR747" s="6" t="str">
        <f>HYPERLINK("http://catalog.hathitrust.org/Record/000233562","HathiTrust Record")</f>
        <v>HathiTrust Record</v>
      </c>
      <c r="AS747" s="6" t="str">
        <f>HYPERLINK("https://creighton-primo.hosted.exlibrisgroup.com/primo-explore/search?tab=default_tab&amp;search_scope=EVERYTHING&amp;vid=01CRU&amp;lang=en_US&amp;offset=0&amp;query=any,contains,991000144199702656","Catalog Record")</f>
        <v>Catalog Record</v>
      </c>
      <c r="AT747" s="6" t="str">
        <f>HYPERLINK("http://www.worldcat.org/oclc/9188089","WorldCat Record")</f>
        <v>WorldCat Record</v>
      </c>
      <c r="AU747" s="3" t="s">
        <v>9456</v>
      </c>
      <c r="AV747" s="3" t="s">
        <v>9457</v>
      </c>
      <c r="AW747" s="3" t="s">
        <v>9458</v>
      </c>
      <c r="AX747" s="3" t="s">
        <v>9458</v>
      </c>
      <c r="AY747" s="3" t="s">
        <v>9459</v>
      </c>
      <c r="AZ747" s="3" t="s">
        <v>76</v>
      </c>
      <c r="BB747" s="3" t="s">
        <v>9460</v>
      </c>
      <c r="BC747" s="3" t="s">
        <v>9461</v>
      </c>
      <c r="BD747" s="3" t="s">
        <v>9462</v>
      </c>
    </row>
    <row r="748" spans="1:56" ht="52.5" customHeight="1" x14ac:dyDescent="0.25">
      <c r="A748" s="7" t="s">
        <v>59</v>
      </c>
      <c r="B748" s="2" t="s">
        <v>9463</v>
      </c>
      <c r="C748" s="2" t="s">
        <v>9464</v>
      </c>
      <c r="D748" s="2" t="s">
        <v>9465</v>
      </c>
      <c r="F748" s="3" t="s">
        <v>59</v>
      </c>
      <c r="G748" s="3" t="s">
        <v>60</v>
      </c>
      <c r="H748" s="3" t="s">
        <v>71</v>
      </c>
      <c r="I748" s="3" t="s">
        <v>59</v>
      </c>
      <c r="J748" s="3" t="s">
        <v>61</v>
      </c>
      <c r="K748" s="2" t="s">
        <v>9466</v>
      </c>
      <c r="L748" s="2" t="s">
        <v>9467</v>
      </c>
      <c r="M748" s="3" t="s">
        <v>475</v>
      </c>
      <c r="O748" s="3" t="s">
        <v>65</v>
      </c>
      <c r="P748" s="3" t="s">
        <v>1262</v>
      </c>
      <c r="R748" s="3" t="s">
        <v>68</v>
      </c>
      <c r="S748" s="4">
        <v>19</v>
      </c>
      <c r="T748" s="4">
        <v>24</v>
      </c>
      <c r="U748" s="5" t="s">
        <v>9468</v>
      </c>
      <c r="V748" s="5" t="s">
        <v>9468</v>
      </c>
      <c r="W748" s="5" t="s">
        <v>5949</v>
      </c>
      <c r="X748" s="5" t="s">
        <v>5949</v>
      </c>
      <c r="Y748" s="4">
        <v>543</v>
      </c>
      <c r="Z748" s="4">
        <v>425</v>
      </c>
      <c r="AA748" s="4">
        <v>431</v>
      </c>
      <c r="AB748" s="4">
        <v>4</v>
      </c>
      <c r="AC748" s="4">
        <v>4</v>
      </c>
      <c r="AD748" s="4">
        <v>18</v>
      </c>
      <c r="AE748" s="4">
        <v>18</v>
      </c>
      <c r="AF748" s="4">
        <v>5</v>
      </c>
      <c r="AG748" s="4">
        <v>5</v>
      </c>
      <c r="AH748" s="4">
        <v>4</v>
      </c>
      <c r="AI748" s="4">
        <v>4</v>
      </c>
      <c r="AJ748" s="4">
        <v>12</v>
      </c>
      <c r="AK748" s="4">
        <v>12</v>
      </c>
      <c r="AL748" s="4">
        <v>2</v>
      </c>
      <c r="AM748" s="4">
        <v>2</v>
      </c>
      <c r="AN748" s="4">
        <v>0</v>
      </c>
      <c r="AO748" s="4">
        <v>0</v>
      </c>
      <c r="AP748" s="3" t="s">
        <v>59</v>
      </c>
      <c r="AQ748" s="3" t="s">
        <v>71</v>
      </c>
      <c r="AR748" s="6" t="str">
        <f>HYPERLINK("http://catalog.hathitrust.org/Record/000202924","HathiTrust Record")</f>
        <v>HathiTrust Record</v>
      </c>
      <c r="AS748" s="6" t="str">
        <f>HYPERLINK("https://creighton-primo.hosted.exlibrisgroup.com/primo-explore/search?tab=default_tab&amp;search_scope=EVERYTHING&amp;vid=01CRU&amp;lang=en_US&amp;offset=0&amp;query=any,contains,991001762539702656","Catalog Record")</f>
        <v>Catalog Record</v>
      </c>
      <c r="AT748" s="6" t="str">
        <f>HYPERLINK("http://www.worldcat.org/oclc/9082713","WorldCat Record")</f>
        <v>WorldCat Record</v>
      </c>
      <c r="AU748" s="3" t="s">
        <v>9469</v>
      </c>
      <c r="AV748" s="3" t="s">
        <v>9470</v>
      </c>
      <c r="AW748" s="3" t="s">
        <v>9471</v>
      </c>
      <c r="AX748" s="3" t="s">
        <v>9471</v>
      </c>
      <c r="AY748" s="3" t="s">
        <v>9472</v>
      </c>
      <c r="AZ748" s="3" t="s">
        <v>76</v>
      </c>
      <c r="BB748" s="3" t="s">
        <v>9473</v>
      </c>
      <c r="BC748" s="3" t="s">
        <v>9474</v>
      </c>
      <c r="BD748" s="3" t="s">
        <v>9475</v>
      </c>
    </row>
    <row r="749" spans="1:56" ht="52.5" customHeight="1" x14ac:dyDescent="0.25">
      <c r="A749" s="7" t="s">
        <v>59</v>
      </c>
      <c r="B749" s="2" t="s">
        <v>9476</v>
      </c>
      <c r="C749" s="2" t="s">
        <v>9477</v>
      </c>
      <c r="D749" s="2" t="s">
        <v>9478</v>
      </c>
      <c r="F749" s="3" t="s">
        <v>59</v>
      </c>
      <c r="G749" s="3" t="s">
        <v>60</v>
      </c>
      <c r="H749" s="3" t="s">
        <v>59</v>
      </c>
      <c r="I749" s="3" t="s">
        <v>59</v>
      </c>
      <c r="J749" s="3" t="s">
        <v>61</v>
      </c>
      <c r="L749" s="2" t="s">
        <v>9479</v>
      </c>
      <c r="M749" s="3" t="s">
        <v>1217</v>
      </c>
      <c r="O749" s="3" t="s">
        <v>65</v>
      </c>
      <c r="P749" s="3" t="s">
        <v>420</v>
      </c>
      <c r="Q749" s="2" t="s">
        <v>9480</v>
      </c>
      <c r="R749" s="3" t="s">
        <v>68</v>
      </c>
      <c r="S749" s="4">
        <v>8</v>
      </c>
      <c r="T749" s="4">
        <v>8</v>
      </c>
      <c r="U749" s="5" t="s">
        <v>9481</v>
      </c>
      <c r="V749" s="5" t="s">
        <v>9481</v>
      </c>
      <c r="W749" s="5" t="s">
        <v>3874</v>
      </c>
      <c r="X749" s="5" t="s">
        <v>3874</v>
      </c>
      <c r="Y749" s="4">
        <v>428</v>
      </c>
      <c r="Z749" s="4">
        <v>331</v>
      </c>
      <c r="AA749" s="4">
        <v>333</v>
      </c>
      <c r="AB749" s="4">
        <v>4</v>
      </c>
      <c r="AC749" s="4">
        <v>4</v>
      </c>
      <c r="AD749" s="4">
        <v>19</v>
      </c>
      <c r="AE749" s="4">
        <v>19</v>
      </c>
      <c r="AF749" s="4">
        <v>5</v>
      </c>
      <c r="AG749" s="4">
        <v>5</v>
      </c>
      <c r="AH749" s="4">
        <v>3</v>
      </c>
      <c r="AI749" s="4">
        <v>3</v>
      </c>
      <c r="AJ749" s="4">
        <v>11</v>
      </c>
      <c r="AK749" s="4">
        <v>11</v>
      </c>
      <c r="AL749" s="4">
        <v>3</v>
      </c>
      <c r="AM749" s="4">
        <v>3</v>
      </c>
      <c r="AN749" s="4">
        <v>0</v>
      </c>
      <c r="AO749" s="4">
        <v>0</v>
      </c>
      <c r="AP749" s="3" t="s">
        <v>59</v>
      </c>
      <c r="AQ749" s="3" t="s">
        <v>71</v>
      </c>
      <c r="AR749" s="6" t="str">
        <f>HYPERLINK("http://catalog.hathitrust.org/Record/000589373","HathiTrust Record")</f>
        <v>HathiTrust Record</v>
      </c>
      <c r="AS749" s="6" t="str">
        <f>HYPERLINK("https://creighton-primo.hosted.exlibrisgroup.com/primo-explore/search?tab=default_tab&amp;search_scope=EVERYTHING&amp;vid=01CRU&amp;lang=en_US&amp;offset=0&amp;query=any,contains,991000389449702656","Catalog Record")</f>
        <v>Catalog Record</v>
      </c>
      <c r="AT749" s="6" t="str">
        <f>HYPERLINK("http://www.worldcat.org/oclc/10533660","WorldCat Record")</f>
        <v>WorldCat Record</v>
      </c>
      <c r="AU749" s="3" t="s">
        <v>9482</v>
      </c>
      <c r="AV749" s="3" t="s">
        <v>9483</v>
      </c>
      <c r="AW749" s="3" t="s">
        <v>9484</v>
      </c>
      <c r="AX749" s="3" t="s">
        <v>9484</v>
      </c>
      <c r="AY749" s="3" t="s">
        <v>9485</v>
      </c>
      <c r="AZ749" s="3" t="s">
        <v>76</v>
      </c>
      <c r="BB749" s="3" t="s">
        <v>9486</v>
      </c>
      <c r="BC749" s="3" t="s">
        <v>9487</v>
      </c>
      <c r="BD749" s="3" t="s">
        <v>9488</v>
      </c>
    </row>
    <row r="750" spans="1:56" ht="52.5" customHeight="1" x14ac:dyDescent="0.25">
      <c r="A750" s="7" t="s">
        <v>59</v>
      </c>
      <c r="B750" s="2" t="s">
        <v>9489</v>
      </c>
      <c r="C750" s="2" t="s">
        <v>9490</v>
      </c>
      <c r="D750" s="2" t="s">
        <v>9491</v>
      </c>
      <c r="F750" s="3" t="s">
        <v>59</v>
      </c>
      <c r="G750" s="3" t="s">
        <v>60</v>
      </c>
      <c r="H750" s="3" t="s">
        <v>59</v>
      </c>
      <c r="I750" s="3" t="s">
        <v>59</v>
      </c>
      <c r="J750" s="3" t="s">
        <v>61</v>
      </c>
      <c r="L750" s="2" t="s">
        <v>9492</v>
      </c>
      <c r="M750" s="3" t="s">
        <v>1217</v>
      </c>
      <c r="O750" s="3" t="s">
        <v>65</v>
      </c>
      <c r="P750" s="3" t="s">
        <v>4685</v>
      </c>
      <c r="R750" s="3" t="s">
        <v>68</v>
      </c>
      <c r="S750" s="4">
        <v>29</v>
      </c>
      <c r="T750" s="4">
        <v>29</v>
      </c>
      <c r="U750" s="5" t="s">
        <v>5861</v>
      </c>
      <c r="V750" s="5" t="s">
        <v>5861</v>
      </c>
      <c r="W750" s="5" t="s">
        <v>4686</v>
      </c>
      <c r="X750" s="5" t="s">
        <v>4686</v>
      </c>
      <c r="Y750" s="4">
        <v>569</v>
      </c>
      <c r="Z750" s="4">
        <v>452</v>
      </c>
      <c r="AA750" s="4">
        <v>486</v>
      </c>
      <c r="AB750" s="4">
        <v>6</v>
      </c>
      <c r="AC750" s="4">
        <v>7</v>
      </c>
      <c r="AD750" s="4">
        <v>26</v>
      </c>
      <c r="AE750" s="4">
        <v>30</v>
      </c>
      <c r="AF750" s="4">
        <v>9</v>
      </c>
      <c r="AG750" s="4">
        <v>11</v>
      </c>
      <c r="AH750" s="4">
        <v>7</v>
      </c>
      <c r="AI750" s="4">
        <v>9</v>
      </c>
      <c r="AJ750" s="4">
        <v>12</v>
      </c>
      <c r="AK750" s="4">
        <v>12</v>
      </c>
      <c r="AL750" s="4">
        <v>5</v>
      </c>
      <c r="AM750" s="4">
        <v>6</v>
      </c>
      <c r="AN750" s="4">
        <v>0</v>
      </c>
      <c r="AO750" s="4">
        <v>0</v>
      </c>
      <c r="AP750" s="3" t="s">
        <v>59</v>
      </c>
      <c r="AQ750" s="3" t="s">
        <v>71</v>
      </c>
      <c r="AR750" s="6" t="str">
        <f>HYPERLINK("http://catalog.hathitrust.org/Record/000286866","HathiTrust Record")</f>
        <v>HathiTrust Record</v>
      </c>
      <c r="AS750" s="6" t="str">
        <f>HYPERLINK("https://creighton-primo.hosted.exlibrisgroup.com/primo-explore/search?tab=default_tab&amp;search_scope=EVERYTHING&amp;vid=01CRU&amp;lang=en_US&amp;offset=0&amp;query=any,contains,991000329279702656","Catalog Record")</f>
        <v>Catalog Record</v>
      </c>
      <c r="AT750" s="6" t="str">
        <f>HYPERLINK("http://www.worldcat.org/oclc/10185532","WorldCat Record")</f>
        <v>WorldCat Record</v>
      </c>
      <c r="AU750" s="3" t="s">
        <v>9493</v>
      </c>
      <c r="AV750" s="3" t="s">
        <v>9494</v>
      </c>
      <c r="AW750" s="3" t="s">
        <v>9495</v>
      </c>
      <c r="AX750" s="3" t="s">
        <v>9495</v>
      </c>
      <c r="AY750" s="3" t="s">
        <v>9496</v>
      </c>
      <c r="AZ750" s="3" t="s">
        <v>76</v>
      </c>
      <c r="BB750" s="3" t="s">
        <v>9497</v>
      </c>
      <c r="BC750" s="3" t="s">
        <v>9498</v>
      </c>
      <c r="BD750" s="3" t="s">
        <v>9499</v>
      </c>
    </row>
    <row r="751" spans="1:56" ht="52.5" customHeight="1" x14ac:dyDescent="0.25">
      <c r="A751" s="7" t="s">
        <v>59</v>
      </c>
      <c r="B751" s="2" t="s">
        <v>9500</v>
      </c>
      <c r="C751" s="2" t="s">
        <v>9501</v>
      </c>
      <c r="D751" s="2" t="s">
        <v>9502</v>
      </c>
      <c r="F751" s="3" t="s">
        <v>59</v>
      </c>
      <c r="G751" s="3" t="s">
        <v>60</v>
      </c>
      <c r="H751" s="3" t="s">
        <v>59</v>
      </c>
      <c r="I751" s="3" t="s">
        <v>59</v>
      </c>
      <c r="J751" s="3" t="s">
        <v>61</v>
      </c>
      <c r="K751" s="2" t="s">
        <v>9503</v>
      </c>
      <c r="L751" s="2" t="s">
        <v>9504</v>
      </c>
      <c r="M751" s="3" t="s">
        <v>148</v>
      </c>
      <c r="N751" s="2" t="s">
        <v>887</v>
      </c>
      <c r="O751" s="3" t="s">
        <v>65</v>
      </c>
      <c r="P751" s="3" t="s">
        <v>66</v>
      </c>
      <c r="Q751" s="2" t="s">
        <v>9505</v>
      </c>
      <c r="R751" s="3" t="s">
        <v>68</v>
      </c>
      <c r="S751" s="4">
        <v>6</v>
      </c>
      <c r="T751" s="4">
        <v>6</v>
      </c>
      <c r="U751" s="5" t="s">
        <v>9506</v>
      </c>
      <c r="V751" s="5" t="s">
        <v>9506</v>
      </c>
      <c r="W751" s="5" t="s">
        <v>7060</v>
      </c>
      <c r="X751" s="5" t="s">
        <v>7060</v>
      </c>
      <c r="Y751" s="4">
        <v>449</v>
      </c>
      <c r="Z751" s="4">
        <v>270</v>
      </c>
      <c r="AA751" s="4">
        <v>311</v>
      </c>
      <c r="AB751" s="4">
        <v>3</v>
      </c>
      <c r="AC751" s="4">
        <v>4</v>
      </c>
      <c r="AD751" s="4">
        <v>14</v>
      </c>
      <c r="AE751" s="4">
        <v>18</v>
      </c>
      <c r="AF751" s="4">
        <v>5</v>
      </c>
      <c r="AG751" s="4">
        <v>7</v>
      </c>
      <c r="AH751" s="4">
        <v>4</v>
      </c>
      <c r="AI751" s="4">
        <v>6</v>
      </c>
      <c r="AJ751" s="4">
        <v>9</v>
      </c>
      <c r="AK751" s="4">
        <v>9</v>
      </c>
      <c r="AL751" s="4">
        <v>2</v>
      </c>
      <c r="AM751" s="4">
        <v>3</v>
      </c>
      <c r="AN751" s="4">
        <v>0</v>
      </c>
      <c r="AO751" s="4">
        <v>0</v>
      </c>
      <c r="AP751" s="3" t="s">
        <v>59</v>
      </c>
      <c r="AQ751" s="3" t="s">
        <v>59</v>
      </c>
      <c r="AS751" s="6" t="str">
        <f>HYPERLINK("https://creighton-primo.hosted.exlibrisgroup.com/primo-explore/search?tab=default_tab&amp;search_scope=EVERYTHING&amp;vid=01CRU&amp;lang=en_US&amp;offset=0&amp;query=any,contains,991003538019702656","Catalog Record")</f>
        <v>Catalog Record</v>
      </c>
      <c r="AT751" s="6" t="str">
        <f>HYPERLINK("http://www.worldcat.org/oclc/1103178","WorldCat Record")</f>
        <v>WorldCat Record</v>
      </c>
      <c r="AU751" s="3" t="s">
        <v>9507</v>
      </c>
      <c r="AV751" s="3" t="s">
        <v>9508</v>
      </c>
      <c r="AW751" s="3" t="s">
        <v>9509</v>
      </c>
      <c r="AX751" s="3" t="s">
        <v>9509</v>
      </c>
      <c r="AY751" s="3" t="s">
        <v>9510</v>
      </c>
      <c r="AZ751" s="3" t="s">
        <v>76</v>
      </c>
      <c r="BB751" s="3" t="s">
        <v>9511</v>
      </c>
      <c r="BC751" s="3" t="s">
        <v>9512</v>
      </c>
      <c r="BD751" s="3" t="s">
        <v>9513</v>
      </c>
    </row>
    <row r="752" spans="1:56" ht="52.5" customHeight="1" x14ac:dyDescent="0.25">
      <c r="A752" s="7" t="s">
        <v>59</v>
      </c>
      <c r="B752" s="2" t="s">
        <v>9514</v>
      </c>
      <c r="C752" s="2" t="s">
        <v>9515</v>
      </c>
      <c r="D752" s="2" t="s">
        <v>9516</v>
      </c>
      <c r="F752" s="3" t="s">
        <v>59</v>
      </c>
      <c r="G752" s="3" t="s">
        <v>60</v>
      </c>
      <c r="H752" s="3" t="s">
        <v>59</v>
      </c>
      <c r="I752" s="3" t="s">
        <v>59</v>
      </c>
      <c r="J752" s="3" t="s">
        <v>61</v>
      </c>
      <c r="K752" s="2" t="s">
        <v>9517</v>
      </c>
      <c r="L752" s="2" t="s">
        <v>9518</v>
      </c>
      <c r="M752" s="3" t="s">
        <v>115</v>
      </c>
      <c r="O752" s="3" t="s">
        <v>65</v>
      </c>
      <c r="P752" s="3" t="s">
        <v>66</v>
      </c>
      <c r="R752" s="3" t="s">
        <v>68</v>
      </c>
      <c r="S752" s="4">
        <v>4</v>
      </c>
      <c r="T752" s="4">
        <v>4</v>
      </c>
      <c r="U752" s="5" t="s">
        <v>9519</v>
      </c>
      <c r="V752" s="5" t="s">
        <v>9519</v>
      </c>
      <c r="W752" s="5" t="s">
        <v>7060</v>
      </c>
      <c r="X752" s="5" t="s">
        <v>7060</v>
      </c>
      <c r="Y752" s="4">
        <v>450</v>
      </c>
      <c r="Z752" s="4">
        <v>374</v>
      </c>
      <c r="AA752" s="4">
        <v>380</v>
      </c>
      <c r="AB752" s="4">
        <v>3</v>
      </c>
      <c r="AC752" s="4">
        <v>3</v>
      </c>
      <c r="AD752" s="4">
        <v>14</v>
      </c>
      <c r="AE752" s="4">
        <v>14</v>
      </c>
      <c r="AF752" s="4">
        <v>5</v>
      </c>
      <c r="AG752" s="4">
        <v>5</v>
      </c>
      <c r="AH752" s="4">
        <v>3</v>
      </c>
      <c r="AI752" s="4">
        <v>3</v>
      </c>
      <c r="AJ752" s="4">
        <v>8</v>
      </c>
      <c r="AK752" s="4">
        <v>8</v>
      </c>
      <c r="AL752" s="4">
        <v>2</v>
      </c>
      <c r="AM752" s="4">
        <v>2</v>
      </c>
      <c r="AN752" s="4">
        <v>0</v>
      </c>
      <c r="AO752" s="4">
        <v>0</v>
      </c>
      <c r="AP752" s="3" t="s">
        <v>59</v>
      </c>
      <c r="AQ752" s="3" t="s">
        <v>71</v>
      </c>
      <c r="AR752" s="6" t="str">
        <f>HYPERLINK("http://catalog.hathitrust.org/Record/000383897","HathiTrust Record")</f>
        <v>HathiTrust Record</v>
      </c>
      <c r="AS752" s="6" t="str">
        <f>HYPERLINK("https://creighton-primo.hosted.exlibrisgroup.com/primo-explore/search?tab=default_tab&amp;search_scope=EVERYTHING&amp;vid=01CRU&amp;lang=en_US&amp;offset=0&amp;query=any,contains,991003024749702656","Catalog Record")</f>
        <v>Catalog Record</v>
      </c>
      <c r="AT752" s="6" t="str">
        <f>HYPERLINK("http://www.worldcat.org/oclc/589052","WorldCat Record")</f>
        <v>WorldCat Record</v>
      </c>
      <c r="AU752" s="3" t="s">
        <v>9520</v>
      </c>
      <c r="AV752" s="3" t="s">
        <v>9521</v>
      </c>
      <c r="AW752" s="3" t="s">
        <v>9522</v>
      </c>
      <c r="AX752" s="3" t="s">
        <v>9522</v>
      </c>
      <c r="AY752" s="3" t="s">
        <v>9523</v>
      </c>
      <c r="AZ752" s="3" t="s">
        <v>76</v>
      </c>
      <c r="BB752" s="3" t="s">
        <v>9524</v>
      </c>
      <c r="BC752" s="3" t="s">
        <v>9525</v>
      </c>
      <c r="BD752" s="3" t="s">
        <v>9526</v>
      </c>
    </row>
    <row r="753" spans="1:56" ht="52.5" customHeight="1" x14ac:dyDescent="0.25">
      <c r="A753" s="7" t="s">
        <v>59</v>
      </c>
      <c r="B753" s="2" t="s">
        <v>9527</v>
      </c>
      <c r="C753" s="2" t="s">
        <v>9528</v>
      </c>
      <c r="D753" s="2" t="s">
        <v>9529</v>
      </c>
      <c r="F753" s="3" t="s">
        <v>59</v>
      </c>
      <c r="G753" s="3" t="s">
        <v>60</v>
      </c>
      <c r="H753" s="3" t="s">
        <v>59</v>
      </c>
      <c r="I753" s="3" t="s">
        <v>59</v>
      </c>
      <c r="J753" s="3" t="s">
        <v>61</v>
      </c>
      <c r="K753" s="2" t="s">
        <v>9530</v>
      </c>
      <c r="L753" s="2" t="s">
        <v>9531</v>
      </c>
      <c r="M753" s="3" t="s">
        <v>350</v>
      </c>
      <c r="O753" s="3" t="s">
        <v>65</v>
      </c>
      <c r="P753" s="3" t="s">
        <v>699</v>
      </c>
      <c r="R753" s="3" t="s">
        <v>68</v>
      </c>
      <c r="S753" s="4">
        <v>3</v>
      </c>
      <c r="T753" s="4">
        <v>3</v>
      </c>
      <c r="U753" s="5" t="s">
        <v>4512</v>
      </c>
      <c r="V753" s="5" t="s">
        <v>4512</v>
      </c>
      <c r="W753" s="5" t="s">
        <v>9532</v>
      </c>
      <c r="X753" s="5" t="s">
        <v>9532</v>
      </c>
      <c r="Y753" s="4">
        <v>537</v>
      </c>
      <c r="Z753" s="4">
        <v>398</v>
      </c>
      <c r="AA753" s="4">
        <v>427</v>
      </c>
      <c r="AB753" s="4">
        <v>3</v>
      </c>
      <c r="AC753" s="4">
        <v>3</v>
      </c>
      <c r="AD753" s="4">
        <v>22</v>
      </c>
      <c r="AE753" s="4">
        <v>22</v>
      </c>
      <c r="AF753" s="4">
        <v>8</v>
      </c>
      <c r="AG753" s="4">
        <v>8</v>
      </c>
      <c r="AH753" s="4">
        <v>7</v>
      </c>
      <c r="AI753" s="4">
        <v>7</v>
      </c>
      <c r="AJ753" s="4">
        <v>11</v>
      </c>
      <c r="AK753" s="4">
        <v>11</v>
      </c>
      <c r="AL753" s="4">
        <v>2</v>
      </c>
      <c r="AM753" s="4">
        <v>2</v>
      </c>
      <c r="AN753" s="4">
        <v>0</v>
      </c>
      <c r="AO753" s="4">
        <v>0</v>
      </c>
      <c r="AP753" s="3" t="s">
        <v>59</v>
      </c>
      <c r="AQ753" s="3" t="s">
        <v>71</v>
      </c>
      <c r="AR753" s="6" t="str">
        <f>HYPERLINK("http://catalog.hathitrust.org/Record/000689542","HathiTrust Record")</f>
        <v>HathiTrust Record</v>
      </c>
      <c r="AS753" s="6" t="str">
        <f>HYPERLINK("https://creighton-primo.hosted.exlibrisgroup.com/primo-explore/search?tab=default_tab&amp;search_scope=EVERYTHING&amp;vid=01CRU&amp;lang=en_US&amp;offset=0&amp;query=any,contains,991004244559702656","Catalog Record")</f>
        <v>Catalog Record</v>
      </c>
      <c r="AT753" s="6" t="str">
        <f>HYPERLINK("http://www.worldcat.org/oclc/2797933","WorldCat Record")</f>
        <v>WorldCat Record</v>
      </c>
      <c r="AU753" s="3" t="s">
        <v>9533</v>
      </c>
      <c r="AV753" s="3" t="s">
        <v>9534</v>
      </c>
      <c r="AW753" s="3" t="s">
        <v>9535</v>
      </c>
      <c r="AX753" s="3" t="s">
        <v>9535</v>
      </c>
      <c r="AY753" s="3" t="s">
        <v>9536</v>
      </c>
      <c r="AZ753" s="3" t="s">
        <v>76</v>
      </c>
      <c r="BB753" s="3" t="s">
        <v>9537</v>
      </c>
      <c r="BC753" s="3" t="s">
        <v>9538</v>
      </c>
      <c r="BD753" s="3" t="s">
        <v>9539</v>
      </c>
    </row>
    <row r="754" spans="1:56" ht="52.5" customHeight="1" x14ac:dyDescent="0.25">
      <c r="A754" s="7" t="s">
        <v>59</v>
      </c>
      <c r="B754" s="2" t="s">
        <v>9540</v>
      </c>
      <c r="C754" s="2" t="s">
        <v>9541</v>
      </c>
      <c r="D754" s="2" t="s">
        <v>9542</v>
      </c>
      <c r="F754" s="3" t="s">
        <v>59</v>
      </c>
      <c r="G754" s="3" t="s">
        <v>60</v>
      </c>
      <c r="H754" s="3" t="s">
        <v>59</v>
      </c>
      <c r="I754" s="3" t="s">
        <v>59</v>
      </c>
      <c r="J754" s="3" t="s">
        <v>61</v>
      </c>
      <c r="L754" s="2" t="s">
        <v>9543</v>
      </c>
      <c r="M754" s="3" t="s">
        <v>148</v>
      </c>
      <c r="O754" s="3" t="s">
        <v>65</v>
      </c>
      <c r="P754" s="3" t="s">
        <v>420</v>
      </c>
      <c r="Q754" s="2" t="s">
        <v>9544</v>
      </c>
      <c r="R754" s="3" t="s">
        <v>68</v>
      </c>
      <c r="S754" s="4">
        <v>6</v>
      </c>
      <c r="T754" s="4">
        <v>6</v>
      </c>
      <c r="U754" s="5" t="s">
        <v>5861</v>
      </c>
      <c r="V754" s="5" t="s">
        <v>5861</v>
      </c>
      <c r="W754" s="5" t="s">
        <v>6704</v>
      </c>
      <c r="X754" s="5" t="s">
        <v>6704</v>
      </c>
      <c r="Y754" s="4">
        <v>594</v>
      </c>
      <c r="Z754" s="4">
        <v>450</v>
      </c>
      <c r="AA754" s="4">
        <v>451</v>
      </c>
      <c r="AB754" s="4">
        <v>6</v>
      </c>
      <c r="AC754" s="4">
        <v>6</v>
      </c>
      <c r="AD754" s="4">
        <v>26</v>
      </c>
      <c r="AE754" s="4">
        <v>26</v>
      </c>
      <c r="AF754" s="4">
        <v>11</v>
      </c>
      <c r="AG754" s="4">
        <v>11</v>
      </c>
      <c r="AH754" s="4">
        <v>5</v>
      </c>
      <c r="AI754" s="4">
        <v>5</v>
      </c>
      <c r="AJ754" s="4">
        <v>13</v>
      </c>
      <c r="AK754" s="4">
        <v>13</v>
      </c>
      <c r="AL754" s="4">
        <v>4</v>
      </c>
      <c r="AM754" s="4">
        <v>4</v>
      </c>
      <c r="AN754" s="4">
        <v>0</v>
      </c>
      <c r="AO754" s="4">
        <v>0</v>
      </c>
      <c r="AP754" s="3" t="s">
        <v>59</v>
      </c>
      <c r="AQ754" s="3" t="s">
        <v>59</v>
      </c>
      <c r="AS754" s="6" t="str">
        <f>HYPERLINK("https://creighton-primo.hosted.exlibrisgroup.com/primo-explore/search?tab=default_tab&amp;search_scope=EVERYTHING&amp;vid=01CRU&amp;lang=en_US&amp;offset=0&amp;query=any,contains,991004302769702656","Catalog Record")</f>
        <v>Catalog Record</v>
      </c>
      <c r="AT754" s="6" t="str">
        <f>HYPERLINK("http://www.worldcat.org/oclc/2971288","WorldCat Record")</f>
        <v>WorldCat Record</v>
      </c>
      <c r="AU754" s="3" t="s">
        <v>9545</v>
      </c>
      <c r="AV754" s="3" t="s">
        <v>9546</v>
      </c>
      <c r="AW754" s="3" t="s">
        <v>9547</v>
      </c>
      <c r="AX754" s="3" t="s">
        <v>9547</v>
      </c>
      <c r="AY754" s="3" t="s">
        <v>9548</v>
      </c>
      <c r="AZ754" s="3" t="s">
        <v>76</v>
      </c>
      <c r="BB754" s="3" t="s">
        <v>9549</v>
      </c>
      <c r="BC754" s="3" t="s">
        <v>9550</v>
      </c>
      <c r="BD754" s="3" t="s">
        <v>9551</v>
      </c>
    </row>
    <row r="755" spans="1:56" ht="52.5" customHeight="1" x14ac:dyDescent="0.25">
      <c r="A755" s="7" t="s">
        <v>59</v>
      </c>
      <c r="B755" s="2" t="s">
        <v>9552</v>
      </c>
      <c r="C755" s="2" t="s">
        <v>9553</v>
      </c>
      <c r="D755" s="2" t="s">
        <v>9554</v>
      </c>
      <c r="F755" s="3" t="s">
        <v>59</v>
      </c>
      <c r="G755" s="3" t="s">
        <v>60</v>
      </c>
      <c r="H755" s="3" t="s">
        <v>59</v>
      </c>
      <c r="I755" s="3" t="s">
        <v>59</v>
      </c>
      <c r="J755" s="3" t="s">
        <v>61</v>
      </c>
      <c r="L755" s="2" t="s">
        <v>9555</v>
      </c>
      <c r="M755" s="3" t="s">
        <v>1233</v>
      </c>
      <c r="O755" s="3" t="s">
        <v>65</v>
      </c>
      <c r="P755" s="3" t="s">
        <v>420</v>
      </c>
      <c r="R755" s="3" t="s">
        <v>68</v>
      </c>
      <c r="S755" s="4">
        <v>12</v>
      </c>
      <c r="T755" s="4">
        <v>12</v>
      </c>
      <c r="U755" s="5" t="s">
        <v>9468</v>
      </c>
      <c r="V755" s="5" t="s">
        <v>9468</v>
      </c>
      <c r="W755" s="5" t="s">
        <v>9192</v>
      </c>
      <c r="X755" s="5" t="s">
        <v>9192</v>
      </c>
      <c r="Y755" s="4">
        <v>238</v>
      </c>
      <c r="Z755" s="4">
        <v>206</v>
      </c>
      <c r="AA755" s="4">
        <v>225</v>
      </c>
      <c r="AB755" s="4">
        <v>3</v>
      </c>
      <c r="AC755" s="4">
        <v>3</v>
      </c>
      <c r="AD755" s="4">
        <v>7</v>
      </c>
      <c r="AE755" s="4">
        <v>8</v>
      </c>
      <c r="AF755" s="4">
        <v>2</v>
      </c>
      <c r="AG755" s="4">
        <v>2</v>
      </c>
      <c r="AH755" s="4">
        <v>2</v>
      </c>
      <c r="AI755" s="4">
        <v>2</v>
      </c>
      <c r="AJ755" s="4">
        <v>3</v>
      </c>
      <c r="AK755" s="4">
        <v>4</v>
      </c>
      <c r="AL755" s="4">
        <v>2</v>
      </c>
      <c r="AM755" s="4">
        <v>2</v>
      </c>
      <c r="AN755" s="4">
        <v>0</v>
      </c>
      <c r="AO755" s="4">
        <v>0</v>
      </c>
      <c r="AP755" s="3" t="s">
        <v>59</v>
      </c>
      <c r="AQ755" s="3" t="s">
        <v>59</v>
      </c>
      <c r="AS755" s="6" t="str">
        <f>HYPERLINK("https://creighton-primo.hosted.exlibrisgroup.com/primo-explore/search?tab=default_tab&amp;search_scope=EVERYTHING&amp;vid=01CRU&amp;lang=en_US&amp;offset=0&amp;query=any,contains,991003115899702656","Catalog Record")</f>
        <v>Catalog Record</v>
      </c>
      <c r="AT755" s="6" t="str">
        <f>HYPERLINK("http://www.worldcat.org/oclc/661574","WorldCat Record")</f>
        <v>WorldCat Record</v>
      </c>
      <c r="AU755" s="3" t="s">
        <v>9556</v>
      </c>
      <c r="AV755" s="3" t="s">
        <v>9557</v>
      </c>
      <c r="AW755" s="3" t="s">
        <v>9558</v>
      </c>
      <c r="AX755" s="3" t="s">
        <v>9558</v>
      </c>
      <c r="AY755" s="3" t="s">
        <v>9559</v>
      </c>
      <c r="AZ755" s="3" t="s">
        <v>76</v>
      </c>
      <c r="BB755" s="3" t="s">
        <v>9560</v>
      </c>
      <c r="BC755" s="3" t="s">
        <v>9561</v>
      </c>
      <c r="BD755" s="3" t="s">
        <v>9562</v>
      </c>
    </row>
    <row r="756" spans="1:56" ht="52.5" customHeight="1" x14ac:dyDescent="0.25">
      <c r="A756" s="7" t="s">
        <v>59</v>
      </c>
      <c r="B756" s="2" t="s">
        <v>9563</v>
      </c>
      <c r="C756" s="2" t="s">
        <v>9564</v>
      </c>
      <c r="D756" s="2" t="s">
        <v>9565</v>
      </c>
      <c r="F756" s="3" t="s">
        <v>59</v>
      </c>
      <c r="G756" s="3" t="s">
        <v>60</v>
      </c>
      <c r="H756" s="3" t="s">
        <v>59</v>
      </c>
      <c r="I756" s="3" t="s">
        <v>59</v>
      </c>
      <c r="J756" s="3" t="s">
        <v>61</v>
      </c>
      <c r="K756" s="2" t="s">
        <v>9566</v>
      </c>
      <c r="L756" s="2" t="s">
        <v>9567</v>
      </c>
      <c r="M756" s="3" t="s">
        <v>131</v>
      </c>
      <c r="O756" s="3" t="s">
        <v>65</v>
      </c>
      <c r="P756" s="3" t="s">
        <v>4872</v>
      </c>
      <c r="Q756" s="2" t="s">
        <v>9568</v>
      </c>
      <c r="R756" s="3" t="s">
        <v>68</v>
      </c>
      <c r="S756" s="4">
        <v>5</v>
      </c>
      <c r="T756" s="4">
        <v>5</v>
      </c>
      <c r="U756" s="5" t="s">
        <v>9569</v>
      </c>
      <c r="V756" s="5" t="s">
        <v>9569</v>
      </c>
      <c r="W756" s="5" t="s">
        <v>9570</v>
      </c>
      <c r="X756" s="5" t="s">
        <v>9570</v>
      </c>
      <c r="Y756" s="4">
        <v>239</v>
      </c>
      <c r="Z756" s="4">
        <v>201</v>
      </c>
      <c r="AA756" s="4">
        <v>206</v>
      </c>
      <c r="AB756" s="4">
        <v>3</v>
      </c>
      <c r="AC756" s="4">
        <v>3</v>
      </c>
      <c r="AD756" s="4">
        <v>9</v>
      </c>
      <c r="AE756" s="4">
        <v>9</v>
      </c>
      <c r="AF756" s="4">
        <v>3</v>
      </c>
      <c r="AG756" s="4">
        <v>3</v>
      </c>
      <c r="AH756" s="4">
        <v>2</v>
      </c>
      <c r="AI756" s="4">
        <v>2</v>
      </c>
      <c r="AJ756" s="4">
        <v>3</v>
      </c>
      <c r="AK756" s="4">
        <v>3</v>
      </c>
      <c r="AL756" s="4">
        <v>2</v>
      </c>
      <c r="AM756" s="4">
        <v>2</v>
      </c>
      <c r="AN756" s="4">
        <v>0</v>
      </c>
      <c r="AO756" s="4">
        <v>0</v>
      </c>
      <c r="AP756" s="3" t="s">
        <v>59</v>
      </c>
      <c r="AQ756" s="3" t="s">
        <v>59</v>
      </c>
      <c r="AS756" s="6" t="str">
        <f>HYPERLINK("https://creighton-primo.hosted.exlibrisgroup.com/primo-explore/search?tab=default_tab&amp;search_scope=EVERYTHING&amp;vid=01CRU&amp;lang=en_US&amp;offset=0&amp;query=any,contains,991003379609702656","Catalog Record")</f>
        <v>Catalog Record</v>
      </c>
      <c r="AT756" s="6" t="str">
        <f>HYPERLINK("http://www.worldcat.org/oclc/915757","WorldCat Record")</f>
        <v>WorldCat Record</v>
      </c>
      <c r="AU756" s="3" t="s">
        <v>9571</v>
      </c>
      <c r="AV756" s="3" t="s">
        <v>9572</v>
      </c>
      <c r="AW756" s="3" t="s">
        <v>9573</v>
      </c>
      <c r="AX756" s="3" t="s">
        <v>9573</v>
      </c>
      <c r="AY756" s="3" t="s">
        <v>9574</v>
      </c>
      <c r="AZ756" s="3" t="s">
        <v>76</v>
      </c>
      <c r="BB756" s="3" t="s">
        <v>9575</v>
      </c>
      <c r="BC756" s="3" t="s">
        <v>9576</v>
      </c>
      <c r="BD756" s="3" t="s">
        <v>9577</v>
      </c>
    </row>
    <row r="757" spans="1:56" ht="52.5" customHeight="1" x14ac:dyDescent="0.25">
      <c r="A757" s="7" t="s">
        <v>59</v>
      </c>
      <c r="B757" s="2" t="s">
        <v>9578</v>
      </c>
      <c r="C757" s="2" t="s">
        <v>9579</v>
      </c>
      <c r="D757" s="2" t="s">
        <v>9580</v>
      </c>
      <c r="F757" s="3" t="s">
        <v>59</v>
      </c>
      <c r="G757" s="3" t="s">
        <v>60</v>
      </c>
      <c r="H757" s="3" t="s">
        <v>59</v>
      </c>
      <c r="I757" s="3" t="s">
        <v>59</v>
      </c>
      <c r="J757" s="3" t="s">
        <v>61</v>
      </c>
      <c r="L757" s="2" t="s">
        <v>9581</v>
      </c>
      <c r="M757" s="3" t="s">
        <v>195</v>
      </c>
      <c r="O757" s="3" t="s">
        <v>65</v>
      </c>
      <c r="P757" s="3" t="s">
        <v>1262</v>
      </c>
      <c r="Q757" s="2" t="s">
        <v>9582</v>
      </c>
      <c r="R757" s="3" t="s">
        <v>68</v>
      </c>
      <c r="S757" s="4">
        <v>4</v>
      </c>
      <c r="T757" s="4">
        <v>4</v>
      </c>
      <c r="U757" s="5" t="s">
        <v>9583</v>
      </c>
      <c r="V757" s="5" t="s">
        <v>9583</v>
      </c>
      <c r="W757" s="5" t="s">
        <v>9584</v>
      </c>
      <c r="X757" s="5" t="s">
        <v>9584</v>
      </c>
      <c r="Y757" s="4">
        <v>732</v>
      </c>
      <c r="Z757" s="4">
        <v>554</v>
      </c>
      <c r="AA757" s="4">
        <v>559</v>
      </c>
      <c r="AB757" s="4">
        <v>3</v>
      </c>
      <c r="AC757" s="4">
        <v>3</v>
      </c>
      <c r="AD757" s="4">
        <v>31</v>
      </c>
      <c r="AE757" s="4">
        <v>31</v>
      </c>
      <c r="AF757" s="4">
        <v>17</v>
      </c>
      <c r="AG757" s="4">
        <v>17</v>
      </c>
      <c r="AH757" s="4">
        <v>6</v>
      </c>
      <c r="AI757" s="4">
        <v>6</v>
      </c>
      <c r="AJ757" s="4">
        <v>15</v>
      </c>
      <c r="AK757" s="4">
        <v>15</v>
      </c>
      <c r="AL757" s="4">
        <v>2</v>
      </c>
      <c r="AM757" s="4">
        <v>2</v>
      </c>
      <c r="AN757" s="4">
        <v>0</v>
      </c>
      <c r="AO757" s="4">
        <v>0</v>
      </c>
      <c r="AP757" s="3" t="s">
        <v>59</v>
      </c>
      <c r="AQ757" s="3" t="s">
        <v>59</v>
      </c>
      <c r="AS757" s="6" t="str">
        <f>HYPERLINK("https://creighton-primo.hosted.exlibrisgroup.com/primo-explore/search?tab=default_tab&amp;search_scope=EVERYTHING&amp;vid=01CRU&amp;lang=en_US&amp;offset=0&amp;query=any,contains,991005126079702656","Catalog Record")</f>
        <v>Catalog Record</v>
      </c>
      <c r="AT757" s="6" t="str">
        <f>HYPERLINK("http://www.worldcat.org/oclc/7553663","WorldCat Record")</f>
        <v>WorldCat Record</v>
      </c>
      <c r="AU757" s="3" t="s">
        <v>9585</v>
      </c>
      <c r="AV757" s="3" t="s">
        <v>9586</v>
      </c>
      <c r="AW757" s="3" t="s">
        <v>9587</v>
      </c>
      <c r="AX757" s="3" t="s">
        <v>9587</v>
      </c>
      <c r="AY757" s="3" t="s">
        <v>9588</v>
      </c>
      <c r="AZ757" s="3" t="s">
        <v>76</v>
      </c>
      <c r="BB757" s="3" t="s">
        <v>9589</v>
      </c>
      <c r="BC757" s="3" t="s">
        <v>9590</v>
      </c>
      <c r="BD757" s="3" t="s">
        <v>9591</v>
      </c>
    </row>
    <row r="758" spans="1:56" ht="52.5" customHeight="1" x14ac:dyDescent="0.25">
      <c r="A758" s="7" t="s">
        <v>59</v>
      </c>
      <c r="B758" s="2" t="s">
        <v>9592</v>
      </c>
      <c r="C758" s="2" t="s">
        <v>9593</v>
      </c>
      <c r="D758" s="2" t="s">
        <v>9594</v>
      </c>
      <c r="F758" s="3" t="s">
        <v>59</v>
      </c>
      <c r="G758" s="3" t="s">
        <v>60</v>
      </c>
      <c r="H758" s="3" t="s">
        <v>59</v>
      </c>
      <c r="I758" s="3" t="s">
        <v>59</v>
      </c>
      <c r="J758" s="3" t="s">
        <v>61</v>
      </c>
      <c r="K758" s="2" t="s">
        <v>9595</v>
      </c>
      <c r="L758" s="2" t="s">
        <v>7942</v>
      </c>
      <c r="M758" s="3" t="s">
        <v>131</v>
      </c>
      <c r="O758" s="3" t="s">
        <v>65</v>
      </c>
      <c r="P758" s="3" t="s">
        <v>699</v>
      </c>
      <c r="Q758" s="2" t="s">
        <v>9596</v>
      </c>
      <c r="R758" s="3" t="s">
        <v>68</v>
      </c>
      <c r="S758" s="4">
        <v>21</v>
      </c>
      <c r="T758" s="4">
        <v>21</v>
      </c>
      <c r="U758" s="5" t="s">
        <v>9597</v>
      </c>
      <c r="V758" s="5" t="s">
        <v>9597</v>
      </c>
      <c r="W758" s="5" t="s">
        <v>9598</v>
      </c>
      <c r="X758" s="5" t="s">
        <v>9598</v>
      </c>
      <c r="Y758" s="4">
        <v>751</v>
      </c>
      <c r="Z758" s="4">
        <v>633</v>
      </c>
      <c r="AA758" s="4">
        <v>640</v>
      </c>
      <c r="AB758" s="4">
        <v>8</v>
      </c>
      <c r="AC758" s="4">
        <v>8</v>
      </c>
      <c r="AD758" s="4">
        <v>20</v>
      </c>
      <c r="AE758" s="4">
        <v>20</v>
      </c>
      <c r="AF758" s="4">
        <v>7</v>
      </c>
      <c r="AG758" s="4">
        <v>7</v>
      </c>
      <c r="AH758" s="4">
        <v>4</v>
      </c>
      <c r="AI758" s="4">
        <v>4</v>
      </c>
      <c r="AJ758" s="4">
        <v>8</v>
      </c>
      <c r="AK758" s="4">
        <v>8</v>
      </c>
      <c r="AL758" s="4">
        <v>5</v>
      </c>
      <c r="AM758" s="4">
        <v>5</v>
      </c>
      <c r="AN758" s="4">
        <v>0</v>
      </c>
      <c r="AO758" s="4">
        <v>0</v>
      </c>
      <c r="AP758" s="3" t="s">
        <v>59</v>
      </c>
      <c r="AQ758" s="3" t="s">
        <v>71</v>
      </c>
      <c r="AR758" s="6" t="str">
        <f>HYPERLINK("http://catalog.hathitrust.org/Record/000387418","HathiTrust Record")</f>
        <v>HathiTrust Record</v>
      </c>
      <c r="AS758" s="6" t="str">
        <f>HYPERLINK("https://creighton-primo.hosted.exlibrisgroup.com/primo-explore/search?tab=default_tab&amp;search_scope=EVERYTHING&amp;vid=01CRU&amp;lang=en_US&amp;offset=0&amp;query=any,contains,991003200219702656","Catalog Record")</f>
        <v>Catalog Record</v>
      </c>
      <c r="AT758" s="6" t="str">
        <f>HYPERLINK("http://www.worldcat.org/oclc/724307","WorldCat Record")</f>
        <v>WorldCat Record</v>
      </c>
      <c r="AU758" s="3" t="s">
        <v>9599</v>
      </c>
      <c r="AV758" s="3" t="s">
        <v>9600</v>
      </c>
      <c r="AW758" s="3" t="s">
        <v>9601</v>
      </c>
      <c r="AX758" s="3" t="s">
        <v>9601</v>
      </c>
      <c r="AY758" s="3" t="s">
        <v>9602</v>
      </c>
      <c r="AZ758" s="3" t="s">
        <v>76</v>
      </c>
      <c r="BB758" s="3" t="s">
        <v>9603</v>
      </c>
      <c r="BC758" s="3" t="s">
        <v>9604</v>
      </c>
      <c r="BD758" s="3" t="s">
        <v>9605</v>
      </c>
    </row>
    <row r="759" spans="1:56" ht="52.5" customHeight="1" x14ac:dyDescent="0.25">
      <c r="A759" s="7" t="s">
        <v>59</v>
      </c>
      <c r="B759" s="2" t="s">
        <v>9606</v>
      </c>
      <c r="C759" s="2" t="s">
        <v>9607</v>
      </c>
      <c r="D759" s="2" t="s">
        <v>9608</v>
      </c>
      <c r="F759" s="3" t="s">
        <v>59</v>
      </c>
      <c r="G759" s="3" t="s">
        <v>60</v>
      </c>
      <c r="H759" s="3" t="s">
        <v>59</v>
      </c>
      <c r="I759" s="3" t="s">
        <v>59</v>
      </c>
      <c r="J759" s="3" t="s">
        <v>61</v>
      </c>
      <c r="L759" s="2" t="s">
        <v>9609</v>
      </c>
      <c r="M759" s="3" t="s">
        <v>365</v>
      </c>
      <c r="O759" s="3" t="s">
        <v>65</v>
      </c>
      <c r="P759" s="3" t="s">
        <v>1262</v>
      </c>
      <c r="Q759" s="2" t="s">
        <v>9582</v>
      </c>
      <c r="R759" s="3" t="s">
        <v>68</v>
      </c>
      <c r="S759" s="4">
        <v>5</v>
      </c>
      <c r="T759" s="4">
        <v>5</v>
      </c>
      <c r="U759" s="5" t="s">
        <v>9610</v>
      </c>
      <c r="V759" s="5" t="s">
        <v>9610</v>
      </c>
      <c r="W759" s="5" t="s">
        <v>7060</v>
      </c>
      <c r="X759" s="5" t="s">
        <v>7060</v>
      </c>
      <c r="Y759" s="4">
        <v>468</v>
      </c>
      <c r="Z759" s="4">
        <v>347</v>
      </c>
      <c r="AA759" s="4">
        <v>350</v>
      </c>
      <c r="AB759" s="4">
        <v>3</v>
      </c>
      <c r="AC759" s="4">
        <v>3</v>
      </c>
      <c r="AD759" s="4">
        <v>19</v>
      </c>
      <c r="AE759" s="4">
        <v>19</v>
      </c>
      <c r="AF759" s="4">
        <v>4</v>
      </c>
      <c r="AG759" s="4">
        <v>4</v>
      </c>
      <c r="AH759" s="4">
        <v>7</v>
      </c>
      <c r="AI759" s="4">
        <v>7</v>
      </c>
      <c r="AJ759" s="4">
        <v>11</v>
      </c>
      <c r="AK759" s="4">
        <v>11</v>
      </c>
      <c r="AL759" s="4">
        <v>2</v>
      </c>
      <c r="AM759" s="4">
        <v>2</v>
      </c>
      <c r="AN759" s="4">
        <v>0</v>
      </c>
      <c r="AO759" s="4">
        <v>0</v>
      </c>
      <c r="AP759" s="3" t="s">
        <v>59</v>
      </c>
      <c r="AQ759" s="3" t="s">
        <v>59</v>
      </c>
      <c r="AS759" s="6" t="str">
        <f>HYPERLINK("https://creighton-primo.hosted.exlibrisgroup.com/primo-explore/search?tab=default_tab&amp;search_scope=EVERYTHING&amp;vid=01CRU&amp;lang=en_US&amp;offset=0&amp;query=any,contains,991001486689702656","Catalog Record")</f>
        <v>Catalog Record</v>
      </c>
      <c r="AT759" s="6" t="str">
        <f>HYPERLINK("http://www.worldcat.org/oclc/19670020","WorldCat Record")</f>
        <v>WorldCat Record</v>
      </c>
      <c r="AU759" s="3" t="s">
        <v>9611</v>
      </c>
      <c r="AV759" s="3" t="s">
        <v>9612</v>
      </c>
      <c r="AW759" s="3" t="s">
        <v>9613</v>
      </c>
      <c r="AX759" s="3" t="s">
        <v>9613</v>
      </c>
      <c r="AY759" s="3" t="s">
        <v>9614</v>
      </c>
      <c r="AZ759" s="3" t="s">
        <v>76</v>
      </c>
      <c r="BB759" s="3" t="s">
        <v>9615</v>
      </c>
      <c r="BC759" s="3" t="s">
        <v>9616</v>
      </c>
      <c r="BD759" s="3" t="s">
        <v>9617</v>
      </c>
    </row>
    <row r="760" spans="1:56" ht="52.5" customHeight="1" x14ac:dyDescent="0.25">
      <c r="A760" s="7" t="s">
        <v>59</v>
      </c>
      <c r="B760" s="2" t="s">
        <v>9618</v>
      </c>
      <c r="C760" s="2" t="s">
        <v>9619</v>
      </c>
      <c r="D760" s="2" t="s">
        <v>9620</v>
      </c>
      <c r="F760" s="3" t="s">
        <v>59</v>
      </c>
      <c r="G760" s="3" t="s">
        <v>60</v>
      </c>
      <c r="H760" s="3" t="s">
        <v>59</v>
      </c>
      <c r="I760" s="3" t="s">
        <v>59</v>
      </c>
      <c r="J760" s="3" t="s">
        <v>61</v>
      </c>
      <c r="L760" s="2" t="s">
        <v>9621</v>
      </c>
      <c r="M760" s="3" t="s">
        <v>405</v>
      </c>
      <c r="O760" s="3" t="s">
        <v>65</v>
      </c>
      <c r="P760" s="3" t="s">
        <v>420</v>
      </c>
      <c r="Q760" s="2" t="s">
        <v>9622</v>
      </c>
      <c r="R760" s="3" t="s">
        <v>68</v>
      </c>
      <c r="S760" s="4">
        <v>9</v>
      </c>
      <c r="T760" s="4">
        <v>9</v>
      </c>
      <c r="U760" s="5" t="s">
        <v>9623</v>
      </c>
      <c r="V760" s="5" t="s">
        <v>9623</v>
      </c>
      <c r="W760" s="5" t="s">
        <v>9584</v>
      </c>
      <c r="X760" s="5" t="s">
        <v>9584</v>
      </c>
      <c r="Y760" s="4">
        <v>500</v>
      </c>
      <c r="Z760" s="4">
        <v>370</v>
      </c>
      <c r="AA760" s="4">
        <v>379</v>
      </c>
      <c r="AB760" s="4">
        <v>4</v>
      </c>
      <c r="AC760" s="4">
        <v>4</v>
      </c>
      <c r="AD760" s="4">
        <v>25</v>
      </c>
      <c r="AE760" s="4">
        <v>25</v>
      </c>
      <c r="AF760" s="4">
        <v>10</v>
      </c>
      <c r="AG760" s="4">
        <v>10</v>
      </c>
      <c r="AH760" s="4">
        <v>5</v>
      </c>
      <c r="AI760" s="4">
        <v>5</v>
      </c>
      <c r="AJ760" s="4">
        <v>11</v>
      </c>
      <c r="AK760" s="4">
        <v>11</v>
      </c>
      <c r="AL760" s="4">
        <v>3</v>
      </c>
      <c r="AM760" s="4">
        <v>3</v>
      </c>
      <c r="AN760" s="4">
        <v>1</v>
      </c>
      <c r="AO760" s="4">
        <v>1</v>
      </c>
      <c r="AP760" s="3" t="s">
        <v>59</v>
      </c>
      <c r="AQ760" s="3" t="s">
        <v>71</v>
      </c>
      <c r="AR760" s="6" t="str">
        <f>HYPERLINK("http://catalog.hathitrust.org/Record/000876149","HathiTrust Record")</f>
        <v>HathiTrust Record</v>
      </c>
      <c r="AS760" s="6" t="str">
        <f>HYPERLINK("https://creighton-primo.hosted.exlibrisgroup.com/primo-explore/search?tab=default_tab&amp;search_scope=EVERYTHING&amp;vid=01CRU&amp;lang=en_US&amp;offset=0&amp;query=any,contains,991001038789702656","Catalog Record")</f>
        <v>Catalog Record</v>
      </c>
      <c r="AT760" s="6" t="str">
        <f>HYPERLINK("http://www.worldcat.org/oclc/15551716","WorldCat Record")</f>
        <v>WorldCat Record</v>
      </c>
      <c r="AU760" s="3" t="s">
        <v>9624</v>
      </c>
      <c r="AV760" s="3" t="s">
        <v>9625</v>
      </c>
      <c r="AW760" s="3" t="s">
        <v>9626</v>
      </c>
      <c r="AX760" s="3" t="s">
        <v>9626</v>
      </c>
      <c r="AY760" s="3" t="s">
        <v>9627</v>
      </c>
      <c r="AZ760" s="3" t="s">
        <v>76</v>
      </c>
      <c r="BB760" s="3" t="s">
        <v>9628</v>
      </c>
      <c r="BC760" s="3" t="s">
        <v>9629</v>
      </c>
      <c r="BD760" s="3" t="s">
        <v>9630</v>
      </c>
    </row>
    <row r="761" spans="1:56" ht="52.5" customHeight="1" x14ac:dyDescent="0.25">
      <c r="A761" s="7" t="s">
        <v>59</v>
      </c>
      <c r="B761" s="2" t="s">
        <v>9631</v>
      </c>
      <c r="C761" s="2" t="s">
        <v>9632</v>
      </c>
      <c r="D761" s="2" t="s">
        <v>9633</v>
      </c>
      <c r="F761" s="3" t="s">
        <v>59</v>
      </c>
      <c r="G761" s="3" t="s">
        <v>60</v>
      </c>
      <c r="H761" s="3" t="s">
        <v>59</v>
      </c>
      <c r="I761" s="3" t="s">
        <v>59</v>
      </c>
      <c r="J761" s="3" t="s">
        <v>61</v>
      </c>
      <c r="L761" s="2" t="s">
        <v>2175</v>
      </c>
      <c r="M761" s="3" t="s">
        <v>164</v>
      </c>
      <c r="O761" s="3" t="s">
        <v>65</v>
      </c>
      <c r="P761" s="3" t="s">
        <v>66</v>
      </c>
      <c r="Q761" s="2" t="s">
        <v>9634</v>
      </c>
      <c r="R761" s="3" t="s">
        <v>68</v>
      </c>
      <c r="S761" s="4">
        <v>10</v>
      </c>
      <c r="T761" s="4">
        <v>10</v>
      </c>
      <c r="U761" s="5" t="s">
        <v>9635</v>
      </c>
      <c r="V761" s="5" t="s">
        <v>9635</v>
      </c>
      <c r="W761" s="5" t="s">
        <v>9192</v>
      </c>
      <c r="X761" s="5" t="s">
        <v>9192</v>
      </c>
      <c r="Y761" s="4">
        <v>386</v>
      </c>
      <c r="Z761" s="4">
        <v>297</v>
      </c>
      <c r="AA761" s="4">
        <v>330</v>
      </c>
      <c r="AB761" s="4">
        <v>3</v>
      </c>
      <c r="AC761" s="4">
        <v>4</v>
      </c>
      <c r="AD761" s="4">
        <v>14</v>
      </c>
      <c r="AE761" s="4">
        <v>18</v>
      </c>
      <c r="AF761" s="4">
        <v>5</v>
      </c>
      <c r="AG761" s="4">
        <v>7</v>
      </c>
      <c r="AH761" s="4">
        <v>3</v>
      </c>
      <c r="AI761" s="4">
        <v>5</v>
      </c>
      <c r="AJ761" s="4">
        <v>8</v>
      </c>
      <c r="AK761" s="4">
        <v>8</v>
      </c>
      <c r="AL761" s="4">
        <v>2</v>
      </c>
      <c r="AM761" s="4">
        <v>3</v>
      </c>
      <c r="AN761" s="4">
        <v>0</v>
      </c>
      <c r="AO761" s="4">
        <v>0</v>
      </c>
      <c r="AP761" s="3" t="s">
        <v>59</v>
      </c>
      <c r="AQ761" s="3" t="s">
        <v>71</v>
      </c>
      <c r="AR761" s="6" t="str">
        <f>HYPERLINK("http://catalog.hathitrust.org/Record/000737073","HathiTrust Record")</f>
        <v>HathiTrust Record</v>
      </c>
      <c r="AS761" s="6" t="str">
        <f>HYPERLINK("https://creighton-primo.hosted.exlibrisgroup.com/primo-explore/search?tab=default_tab&amp;search_scope=EVERYTHING&amp;vid=01CRU&amp;lang=en_US&amp;offset=0&amp;query=any,contains,991005015139702656","Catalog Record")</f>
        <v>Catalog Record</v>
      </c>
      <c r="AT761" s="6" t="str">
        <f>HYPERLINK("http://www.worldcat.org/oclc/6625480","WorldCat Record")</f>
        <v>WorldCat Record</v>
      </c>
      <c r="AU761" s="3" t="s">
        <v>9636</v>
      </c>
      <c r="AV761" s="3" t="s">
        <v>9637</v>
      </c>
      <c r="AW761" s="3" t="s">
        <v>9638</v>
      </c>
      <c r="AX761" s="3" t="s">
        <v>9638</v>
      </c>
      <c r="AY761" s="3" t="s">
        <v>9639</v>
      </c>
      <c r="AZ761" s="3" t="s">
        <v>76</v>
      </c>
      <c r="BB761" s="3" t="s">
        <v>9640</v>
      </c>
      <c r="BC761" s="3" t="s">
        <v>9641</v>
      </c>
      <c r="BD761" s="3" t="s">
        <v>9642</v>
      </c>
    </row>
    <row r="762" spans="1:56" ht="52.5" customHeight="1" x14ac:dyDescent="0.25">
      <c r="A762" s="7" t="s">
        <v>59</v>
      </c>
      <c r="B762" s="2" t="s">
        <v>9643</v>
      </c>
      <c r="C762" s="2" t="s">
        <v>9644</v>
      </c>
      <c r="D762" s="2" t="s">
        <v>9645</v>
      </c>
      <c r="F762" s="3" t="s">
        <v>59</v>
      </c>
      <c r="G762" s="3" t="s">
        <v>60</v>
      </c>
      <c r="H762" s="3" t="s">
        <v>59</v>
      </c>
      <c r="I762" s="3" t="s">
        <v>59</v>
      </c>
      <c r="J762" s="3" t="s">
        <v>61</v>
      </c>
      <c r="L762" s="2" t="s">
        <v>9646</v>
      </c>
      <c r="M762" s="3" t="s">
        <v>115</v>
      </c>
      <c r="O762" s="3" t="s">
        <v>65</v>
      </c>
      <c r="P762" s="3" t="s">
        <v>1262</v>
      </c>
      <c r="R762" s="3" t="s">
        <v>68</v>
      </c>
      <c r="S762" s="4">
        <v>9</v>
      </c>
      <c r="T762" s="4">
        <v>9</v>
      </c>
      <c r="U762" s="5" t="s">
        <v>9647</v>
      </c>
      <c r="V762" s="5" t="s">
        <v>9647</v>
      </c>
      <c r="W762" s="5" t="s">
        <v>9648</v>
      </c>
      <c r="X762" s="5" t="s">
        <v>9648</v>
      </c>
      <c r="Y762" s="4">
        <v>1154</v>
      </c>
      <c r="Z762" s="4">
        <v>828</v>
      </c>
      <c r="AA762" s="4">
        <v>831</v>
      </c>
      <c r="AB762" s="4">
        <v>10</v>
      </c>
      <c r="AC762" s="4">
        <v>10</v>
      </c>
      <c r="AD762" s="4">
        <v>47</v>
      </c>
      <c r="AE762" s="4">
        <v>47</v>
      </c>
      <c r="AF762" s="4">
        <v>17</v>
      </c>
      <c r="AG762" s="4">
        <v>17</v>
      </c>
      <c r="AH762" s="4">
        <v>9</v>
      </c>
      <c r="AI762" s="4">
        <v>9</v>
      </c>
      <c r="AJ762" s="4">
        <v>21</v>
      </c>
      <c r="AK762" s="4">
        <v>21</v>
      </c>
      <c r="AL762" s="4">
        <v>8</v>
      </c>
      <c r="AM762" s="4">
        <v>8</v>
      </c>
      <c r="AN762" s="4">
        <v>2</v>
      </c>
      <c r="AO762" s="4">
        <v>2</v>
      </c>
      <c r="AP762" s="3" t="s">
        <v>59</v>
      </c>
      <c r="AQ762" s="3" t="s">
        <v>59</v>
      </c>
      <c r="AS762" s="6" t="str">
        <f>HYPERLINK("https://creighton-primo.hosted.exlibrisgroup.com/primo-explore/search?tab=default_tab&amp;search_scope=EVERYTHING&amp;vid=01CRU&amp;lang=en_US&amp;offset=0&amp;query=any,contains,991002180659702656","Catalog Record")</f>
        <v>Catalog Record</v>
      </c>
      <c r="AT762" s="6" t="str">
        <f>HYPERLINK("http://www.worldcat.org/oclc/278974","WorldCat Record")</f>
        <v>WorldCat Record</v>
      </c>
      <c r="AU762" s="3" t="s">
        <v>9649</v>
      </c>
      <c r="AV762" s="3" t="s">
        <v>9650</v>
      </c>
      <c r="AW762" s="3" t="s">
        <v>9651</v>
      </c>
      <c r="AX762" s="3" t="s">
        <v>9651</v>
      </c>
      <c r="AY762" s="3" t="s">
        <v>9652</v>
      </c>
      <c r="AZ762" s="3" t="s">
        <v>76</v>
      </c>
      <c r="BB762" s="3" t="s">
        <v>9653</v>
      </c>
      <c r="BC762" s="3" t="s">
        <v>9654</v>
      </c>
      <c r="BD762" s="3" t="s">
        <v>9655</v>
      </c>
    </row>
    <row r="763" spans="1:56" ht="52.5" customHeight="1" x14ac:dyDescent="0.25">
      <c r="A763" s="7" t="s">
        <v>59</v>
      </c>
      <c r="B763" s="2" t="s">
        <v>9656</v>
      </c>
      <c r="C763" s="2" t="s">
        <v>9657</v>
      </c>
      <c r="D763" s="2" t="s">
        <v>9658</v>
      </c>
      <c r="F763" s="3" t="s">
        <v>59</v>
      </c>
      <c r="G763" s="3" t="s">
        <v>60</v>
      </c>
      <c r="H763" s="3" t="s">
        <v>59</v>
      </c>
      <c r="I763" s="3" t="s">
        <v>59</v>
      </c>
      <c r="J763" s="3" t="s">
        <v>61</v>
      </c>
      <c r="K763" s="2" t="s">
        <v>9659</v>
      </c>
      <c r="L763" s="2" t="s">
        <v>9660</v>
      </c>
      <c r="M763" s="3" t="s">
        <v>475</v>
      </c>
      <c r="O763" s="3" t="s">
        <v>65</v>
      </c>
      <c r="P763" s="3" t="s">
        <v>420</v>
      </c>
      <c r="Q763" s="2" t="s">
        <v>9661</v>
      </c>
      <c r="R763" s="3" t="s">
        <v>68</v>
      </c>
      <c r="S763" s="4">
        <v>10</v>
      </c>
      <c r="T763" s="4">
        <v>10</v>
      </c>
      <c r="U763" s="5" t="s">
        <v>8412</v>
      </c>
      <c r="V763" s="5" t="s">
        <v>8412</v>
      </c>
      <c r="W763" s="5" t="s">
        <v>9662</v>
      </c>
      <c r="X763" s="5" t="s">
        <v>9662</v>
      </c>
      <c r="Y763" s="4">
        <v>445</v>
      </c>
      <c r="Z763" s="4">
        <v>356</v>
      </c>
      <c r="AA763" s="4">
        <v>362</v>
      </c>
      <c r="AB763" s="4">
        <v>5</v>
      </c>
      <c r="AC763" s="4">
        <v>5</v>
      </c>
      <c r="AD763" s="4">
        <v>23</v>
      </c>
      <c r="AE763" s="4">
        <v>23</v>
      </c>
      <c r="AF763" s="4">
        <v>10</v>
      </c>
      <c r="AG763" s="4">
        <v>10</v>
      </c>
      <c r="AH763" s="4">
        <v>4</v>
      </c>
      <c r="AI763" s="4">
        <v>4</v>
      </c>
      <c r="AJ763" s="4">
        <v>13</v>
      </c>
      <c r="AK763" s="4">
        <v>13</v>
      </c>
      <c r="AL763" s="4">
        <v>4</v>
      </c>
      <c r="AM763" s="4">
        <v>4</v>
      </c>
      <c r="AN763" s="4">
        <v>0</v>
      </c>
      <c r="AO763" s="4">
        <v>0</v>
      </c>
      <c r="AP763" s="3" t="s">
        <v>59</v>
      </c>
      <c r="AQ763" s="3" t="s">
        <v>71</v>
      </c>
      <c r="AR763" s="6" t="str">
        <f>HYPERLINK("http://catalog.hathitrust.org/Record/000482592","HathiTrust Record")</f>
        <v>HathiTrust Record</v>
      </c>
      <c r="AS763" s="6" t="str">
        <f>HYPERLINK("https://creighton-primo.hosted.exlibrisgroup.com/primo-explore/search?tab=default_tab&amp;search_scope=EVERYTHING&amp;vid=01CRU&amp;lang=en_US&amp;offset=0&amp;query=any,contains,991000251859702656","Catalog Record")</f>
        <v>Catalog Record</v>
      </c>
      <c r="AT763" s="6" t="str">
        <f>HYPERLINK("http://www.worldcat.org/oclc/9758647","WorldCat Record")</f>
        <v>WorldCat Record</v>
      </c>
      <c r="AU763" s="3" t="s">
        <v>9663</v>
      </c>
      <c r="AV763" s="3" t="s">
        <v>9664</v>
      </c>
      <c r="AW763" s="3" t="s">
        <v>9665</v>
      </c>
      <c r="AX763" s="3" t="s">
        <v>9665</v>
      </c>
      <c r="AY763" s="3" t="s">
        <v>9666</v>
      </c>
      <c r="AZ763" s="3" t="s">
        <v>76</v>
      </c>
      <c r="BB763" s="3" t="s">
        <v>9667</v>
      </c>
      <c r="BC763" s="3" t="s">
        <v>9668</v>
      </c>
      <c r="BD763" s="3" t="s">
        <v>9669</v>
      </c>
    </row>
    <row r="764" spans="1:56" ht="52.5" customHeight="1" x14ac:dyDescent="0.25">
      <c r="A764" s="7" t="s">
        <v>59</v>
      </c>
      <c r="B764" s="2" t="s">
        <v>9670</v>
      </c>
      <c r="C764" s="2" t="s">
        <v>9671</v>
      </c>
      <c r="D764" s="2" t="s">
        <v>9672</v>
      </c>
      <c r="F764" s="3" t="s">
        <v>59</v>
      </c>
      <c r="G764" s="3" t="s">
        <v>60</v>
      </c>
      <c r="H764" s="3" t="s">
        <v>59</v>
      </c>
      <c r="I764" s="3" t="s">
        <v>59</v>
      </c>
      <c r="J764" s="3" t="s">
        <v>61</v>
      </c>
      <c r="K764" s="2" t="s">
        <v>9673</v>
      </c>
      <c r="L764" s="2" t="s">
        <v>9674</v>
      </c>
      <c r="M764" s="3" t="s">
        <v>1015</v>
      </c>
      <c r="O764" s="3" t="s">
        <v>65</v>
      </c>
      <c r="P764" s="3" t="s">
        <v>66</v>
      </c>
      <c r="R764" s="3" t="s">
        <v>68</v>
      </c>
      <c r="S764" s="4">
        <v>4</v>
      </c>
      <c r="T764" s="4">
        <v>4</v>
      </c>
      <c r="U764" s="5" t="s">
        <v>9675</v>
      </c>
      <c r="V764" s="5" t="s">
        <v>9675</v>
      </c>
      <c r="W764" s="5" t="s">
        <v>9570</v>
      </c>
      <c r="X764" s="5" t="s">
        <v>9570</v>
      </c>
      <c r="Y764" s="4">
        <v>292</v>
      </c>
      <c r="Z764" s="4">
        <v>267</v>
      </c>
      <c r="AA764" s="4">
        <v>359</v>
      </c>
      <c r="AB764" s="4">
        <v>3</v>
      </c>
      <c r="AC764" s="4">
        <v>3</v>
      </c>
      <c r="AD764" s="4">
        <v>11</v>
      </c>
      <c r="AE764" s="4">
        <v>14</v>
      </c>
      <c r="AF764" s="4">
        <v>3</v>
      </c>
      <c r="AG764" s="4">
        <v>4</v>
      </c>
      <c r="AH764" s="4">
        <v>3</v>
      </c>
      <c r="AI764" s="4">
        <v>4</v>
      </c>
      <c r="AJ764" s="4">
        <v>5</v>
      </c>
      <c r="AK764" s="4">
        <v>6</v>
      </c>
      <c r="AL764" s="4">
        <v>2</v>
      </c>
      <c r="AM764" s="4">
        <v>2</v>
      </c>
      <c r="AN764" s="4">
        <v>0</v>
      </c>
      <c r="AO764" s="4">
        <v>0</v>
      </c>
      <c r="AP764" s="3" t="s">
        <v>59</v>
      </c>
      <c r="AQ764" s="3" t="s">
        <v>71</v>
      </c>
      <c r="AR764" s="6" t="str">
        <f>HYPERLINK("http://catalog.hathitrust.org/Record/000386168","HathiTrust Record")</f>
        <v>HathiTrust Record</v>
      </c>
      <c r="AS764" s="6" t="str">
        <f>HYPERLINK("https://creighton-primo.hosted.exlibrisgroup.com/primo-explore/search?tab=default_tab&amp;search_scope=EVERYTHING&amp;vid=01CRU&amp;lang=en_US&amp;offset=0&amp;query=any,contains,991001215909702656","Catalog Record")</f>
        <v>Catalog Record</v>
      </c>
      <c r="AT764" s="6" t="str">
        <f>HYPERLINK("http://www.worldcat.org/oclc/194108","WorldCat Record")</f>
        <v>WorldCat Record</v>
      </c>
      <c r="AU764" s="3" t="s">
        <v>9676</v>
      </c>
      <c r="AV764" s="3" t="s">
        <v>9677</v>
      </c>
      <c r="AW764" s="3" t="s">
        <v>9678</v>
      </c>
      <c r="AX764" s="3" t="s">
        <v>9678</v>
      </c>
      <c r="AY764" s="3" t="s">
        <v>9679</v>
      </c>
      <c r="AZ764" s="3" t="s">
        <v>76</v>
      </c>
      <c r="BC764" s="3" t="s">
        <v>9680</v>
      </c>
      <c r="BD764" s="3" t="s">
        <v>9681</v>
      </c>
    </row>
    <row r="765" spans="1:56" ht="52.5" customHeight="1" x14ac:dyDescent="0.25">
      <c r="A765" s="7" t="s">
        <v>59</v>
      </c>
      <c r="B765" s="2" t="s">
        <v>9682</v>
      </c>
      <c r="C765" s="2" t="s">
        <v>9683</v>
      </c>
      <c r="D765" s="2" t="s">
        <v>9684</v>
      </c>
      <c r="F765" s="3" t="s">
        <v>59</v>
      </c>
      <c r="G765" s="3" t="s">
        <v>60</v>
      </c>
      <c r="H765" s="3" t="s">
        <v>59</v>
      </c>
      <c r="I765" s="3" t="s">
        <v>59</v>
      </c>
      <c r="J765" s="3" t="s">
        <v>61</v>
      </c>
      <c r="K765" s="2" t="s">
        <v>9685</v>
      </c>
      <c r="L765" s="2" t="s">
        <v>9686</v>
      </c>
      <c r="M765" s="3" t="s">
        <v>475</v>
      </c>
      <c r="O765" s="3" t="s">
        <v>65</v>
      </c>
      <c r="P765" s="3" t="s">
        <v>66</v>
      </c>
      <c r="Q765" s="2" t="s">
        <v>9687</v>
      </c>
      <c r="R765" s="3" t="s">
        <v>68</v>
      </c>
      <c r="S765" s="4">
        <v>31</v>
      </c>
      <c r="T765" s="4">
        <v>31</v>
      </c>
      <c r="U765" s="5" t="s">
        <v>9089</v>
      </c>
      <c r="V765" s="5" t="s">
        <v>9089</v>
      </c>
      <c r="W765" s="5" t="s">
        <v>8064</v>
      </c>
      <c r="X765" s="5" t="s">
        <v>8064</v>
      </c>
      <c r="Y765" s="4">
        <v>415</v>
      </c>
      <c r="Z765" s="4">
        <v>304</v>
      </c>
      <c r="AA765" s="4">
        <v>326</v>
      </c>
      <c r="AB765" s="4">
        <v>3</v>
      </c>
      <c r="AC765" s="4">
        <v>3</v>
      </c>
      <c r="AD765" s="4">
        <v>13</v>
      </c>
      <c r="AE765" s="4">
        <v>15</v>
      </c>
      <c r="AF765" s="4">
        <v>4</v>
      </c>
      <c r="AG765" s="4">
        <v>6</v>
      </c>
      <c r="AH765" s="4">
        <v>3</v>
      </c>
      <c r="AI765" s="4">
        <v>3</v>
      </c>
      <c r="AJ765" s="4">
        <v>8</v>
      </c>
      <c r="AK765" s="4">
        <v>9</v>
      </c>
      <c r="AL765" s="4">
        <v>2</v>
      </c>
      <c r="AM765" s="4">
        <v>2</v>
      </c>
      <c r="AN765" s="4">
        <v>0</v>
      </c>
      <c r="AO765" s="4">
        <v>0</v>
      </c>
      <c r="AP765" s="3" t="s">
        <v>59</v>
      </c>
      <c r="AQ765" s="3" t="s">
        <v>71</v>
      </c>
      <c r="AR765" s="6" t="str">
        <f>HYPERLINK("http://catalog.hathitrust.org/Record/000159005","HathiTrust Record")</f>
        <v>HathiTrust Record</v>
      </c>
      <c r="AS765" s="6" t="str">
        <f>HYPERLINK("https://creighton-primo.hosted.exlibrisgroup.com/primo-explore/search?tab=default_tab&amp;search_scope=EVERYTHING&amp;vid=01CRU&amp;lang=en_US&amp;offset=0&amp;query=any,contains,991000217919702656","Catalog Record")</f>
        <v>Catalog Record</v>
      </c>
      <c r="AT765" s="6" t="str">
        <f>HYPERLINK("http://www.worldcat.org/oclc/9575040","WorldCat Record")</f>
        <v>WorldCat Record</v>
      </c>
      <c r="AU765" s="3" t="s">
        <v>9688</v>
      </c>
      <c r="AV765" s="3" t="s">
        <v>9689</v>
      </c>
      <c r="AW765" s="3" t="s">
        <v>9690</v>
      </c>
      <c r="AX765" s="3" t="s">
        <v>9690</v>
      </c>
      <c r="AY765" s="3" t="s">
        <v>9691</v>
      </c>
      <c r="AZ765" s="3" t="s">
        <v>76</v>
      </c>
      <c r="BB765" s="3" t="s">
        <v>9692</v>
      </c>
      <c r="BC765" s="3" t="s">
        <v>9693</v>
      </c>
      <c r="BD765" s="3" t="s">
        <v>9694</v>
      </c>
    </row>
    <row r="766" spans="1:56" ht="52.5" customHeight="1" x14ac:dyDescent="0.25">
      <c r="A766" s="7" t="s">
        <v>59</v>
      </c>
      <c r="B766" s="2" t="s">
        <v>9695</v>
      </c>
      <c r="C766" s="2" t="s">
        <v>9696</v>
      </c>
      <c r="D766" s="2" t="s">
        <v>9697</v>
      </c>
      <c r="F766" s="3" t="s">
        <v>59</v>
      </c>
      <c r="G766" s="3" t="s">
        <v>60</v>
      </c>
      <c r="H766" s="3" t="s">
        <v>59</v>
      </c>
      <c r="I766" s="3" t="s">
        <v>71</v>
      </c>
      <c r="J766" s="3" t="s">
        <v>61</v>
      </c>
      <c r="K766" s="2" t="s">
        <v>9698</v>
      </c>
      <c r="L766" s="2" t="s">
        <v>9699</v>
      </c>
      <c r="M766" s="3" t="s">
        <v>1233</v>
      </c>
      <c r="O766" s="3" t="s">
        <v>65</v>
      </c>
      <c r="P766" s="3" t="s">
        <v>296</v>
      </c>
      <c r="R766" s="3" t="s">
        <v>68</v>
      </c>
      <c r="S766" s="4">
        <v>10</v>
      </c>
      <c r="T766" s="4">
        <v>10</v>
      </c>
      <c r="U766" s="5" t="s">
        <v>9700</v>
      </c>
      <c r="V766" s="5" t="s">
        <v>9700</v>
      </c>
      <c r="W766" s="5" t="s">
        <v>6704</v>
      </c>
      <c r="X766" s="5" t="s">
        <v>6704</v>
      </c>
      <c r="Y766" s="4">
        <v>173</v>
      </c>
      <c r="Z766" s="4">
        <v>148</v>
      </c>
      <c r="AA766" s="4">
        <v>303</v>
      </c>
      <c r="AB766" s="4">
        <v>2</v>
      </c>
      <c r="AC766" s="4">
        <v>4</v>
      </c>
      <c r="AD766" s="4">
        <v>1</v>
      </c>
      <c r="AE766" s="4">
        <v>8</v>
      </c>
      <c r="AF766" s="4">
        <v>0</v>
      </c>
      <c r="AG766" s="4">
        <v>3</v>
      </c>
      <c r="AH766" s="4">
        <v>0</v>
      </c>
      <c r="AI766" s="4">
        <v>0</v>
      </c>
      <c r="AJ766" s="4">
        <v>0</v>
      </c>
      <c r="AK766" s="4">
        <v>3</v>
      </c>
      <c r="AL766" s="4">
        <v>1</v>
      </c>
      <c r="AM766" s="4">
        <v>3</v>
      </c>
      <c r="AN766" s="4">
        <v>0</v>
      </c>
      <c r="AO766" s="4">
        <v>0</v>
      </c>
      <c r="AP766" s="3" t="s">
        <v>59</v>
      </c>
      <c r="AQ766" s="3" t="s">
        <v>59</v>
      </c>
      <c r="AS766" s="6" t="str">
        <f>HYPERLINK("https://creighton-primo.hosted.exlibrisgroup.com/primo-explore/search?tab=default_tab&amp;search_scope=EVERYTHING&amp;vid=01CRU&amp;lang=en_US&amp;offset=0&amp;query=any,contains,991003230089702656","Catalog Record")</f>
        <v>Catalog Record</v>
      </c>
      <c r="AT766" s="6" t="str">
        <f>HYPERLINK("http://www.worldcat.org/oclc/754653","WorldCat Record")</f>
        <v>WorldCat Record</v>
      </c>
      <c r="AU766" s="3" t="s">
        <v>9701</v>
      </c>
      <c r="AV766" s="3" t="s">
        <v>9702</v>
      </c>
      <c r="AW766" s="3" t="s">
        <v>9703</v>
      </c>
      <c r="AX766" s="3" t="s">
        <v>9703</v>
      </c>
      <c r="AY766" s="3" t="s">
        <v>9704</v>
      </c>
      <c r="AZ766" s="3" t="s">
        <v>76</v>
      </c>
      <c r="BB766" s="3" t="s">
        <v>9705</v>
      </c>
      <c r="BC766" s="3" t="s">
        <v>9706</v>
      </c>
      <c r="BD766" s="3" t="s">
        <v>9707</v>
      </c>
    </row>
    <row r="767" spans="1:56" ht="52.5" customHeight="1" x14ac:dyDescent="0.25">
      <c r="A767" s="7" t="s">
        <v>59</v>
      </c>
      <c r="B767" s="2" t="s">
        <v>9708</v>
      </c>
      <c r="C767" s="2" t="s">
        <v>9709</v>
      </c>
      <c r="D767" s="2" t="s">
        <v>9710</v>
      </c>
      <c r="F767" s="3" t="s">
        <v>59</v>
      </c>
      <c r="G767" s="3" t="s">
        <v>60</v>
      </c>
      <c r="H767" s="3" t="s">
        <v>59</v>
      </c>
      <c r="I767" s="3" t="s">
        <v>71</v>
      </c>
      <c r="J767" s="3" t="s">
        <v>61</v>
      </c>
      <c r="K767" s="2" t="s">
        <v>9711</v>
      </c>
      <c r="L767" s="2" t="s">
        <v>9712</v>
      </c>
      <c r="M767" s="3" t="s">
        <v>350</v>
      </c>
      <c r="N767" s="2" t="s">
        <v>1289</v>
      </c>
      <c r="O767" s="3" t="s">
        <v>65</v>
      </c>
      <c r="P767" s="3" t="s">
        <v>296</v>
      </c>
      <c r="R767" s="3" t="s">
        <v>68</v>
      </c>
      <c r="S767" s="4">
        <v>7</v>
      </c>
      <c r="T767" s="4">
        <v>7</v>
      </c>
      <c r="U767" s="5" t="s">
        <v>9675</v>
      </c>
      <c r="V767" s="5" t="s">
        <v>9675</v>
      </c>
      <c r="W767" s="5" t="s">
        <v>9713</v>
      </c>
      <c r="X767" s="5" t="s">
        <v>9713</v>
      </c>
      <c r="Y767" s="4">
        <v>140</v>
      </c>
      <c r="Z767" s="4">
        <v>114</v>
      </c>
      <c r="AA767" s="4">
        <v>303</v>
      </c>
      <c r="AB767" s="4">
        <v>3</v>
      </c>
      <c r="AC767" s="4">
        <v>4</v>
      </c>
      <c r="AD767" s="4">
        <v>4</v>
      </c>
      <c r="AE767" s="4">
        <v>8</v>
      </c>
      <c r="AF767" s="4">
        <v>2</v>
      </c>
      <c r="AG767" s="4">
        <v>3</v>
      </c>
      <c r="AH767" s="4">
        <v>0</v>
      </c>
      <c r="AI767" s="4">
        <v>0</v>
      </c>
      <c r="AJ767" s="4">
        <v>0</v>
      </c>
      <c r="AK767" s="4">
        <v>3</v>
      </c>
      <c r="AL767" s="4">
        <v>2</v>
      </c>
      <c r="AM767" s="4">
        <v>3</v>
      </c>
      <c r="AN767" s="4">
        <v>0</v>
      </c>
      <c r="AO767" s="4">
        <v>0</v>
      </c>
      <c r="AP767" s="3" t="s">
        <v>59</v>
      </c>
      <c r="AQ767" s="3" t="s">
        <v>59</v>
      </c>
      <c r="AS767" s="6" t="str">
        <f>HYPERLINK("https://creighton-primo.hosted.exlibrisgroup.com/primo-explore/search?tab=default_tab&amp;search_scope=EVERYTHING&amp;vid=01CRU&amp;lang=en_US&amp;offset=0&amp;query=any,contains,991004101999702656","Catalog Record")</f>
        <v>Catalog Record</v>
      </c>
      <c r="AT767" s="6" t="str">
        <f>HYPERLINK("http://www.worldcat.org/oclc/2372914","WorldCat Record")</f>
        <v>WorldCat Record</v>
      </c>
      <c r="AU767" s="3" t="s">
        <v>9701</v>
      </c>
      <c r="AV767" s="3" t="s">
        <v>9714</v>
      </c>
      <c r="AW767" s="3" t="s">
        <v>9715</v>
      </c>
      <c r="AX767" s="3" t="s">
        <v>9715</v>
      </c>
      <c r="AY767" s="3" t="s">
        <v>9716</v>
      </c>
      <c r="AZ767" s="3" t="s">
        <v>76</v>
      </c>
      <c r="BB767" s="3" t="s">
        <v>9717</v>
      </c>
      <c r="BC767" s="3" t="s">
        <v>9718</v>
      </c>
      <c r="BD767" s="3" t="s">
        <v>9719</v>
      </c>
    </row>
    <row r="768" spans="1:56" ht="52.5" customHeight="1" x14ac:dyDescent="0.25">
      <c r="A768" s="7" t="s">
        <v>59</v>
      </c>
      <c r="B768" s="2" t="s">
        <v>9720</v>
      </c>
      <c r="C768" s="2" t="s">
        <v>9721</v>
      </c>
      <c r="D768" s="2" t="s">
        <v>9722</v>
      </c>
      <c r="F768" s="3" t="s">
        <v>59</v>
      </c>
      <c r="G768" s="3" t="s">
        <v>60</v>
      </c>
      <c r="H768" s="3" t="s">
        <v>59</v>
      </c>
      <c r="I768" s="3" t="s">
        <v>59</v>
      </c>
      <c r="J768" s="3" t="s">
        <v>61</v>
      </c>
      <c r="L768" s="2" t="s">
        <v>9723</v>
      </c>
      <c r="M768" s="3" t="s">
        <v>1217</v>
      </c>
      <c r="O768" s="3" t="s">
        <v>65</v>
      </c>
      <c r="P768" s="3" t="s">
        <v>1262</v>
      </c>
      <c r="Q768" s="2" t="s">
        <v>9724</v>
      </c>
      <c r="R768" s="3" t="s">
        <v>68</v>
      </c>
      <c r="S768" s="4">
        <v>8</v>
      </c>
      <c r="T768" s="4">
        <v>8</v>
      </c>
      <c r="U768" s="5" t="s">
        <v>9725</v>
      </c>
      <c r="V768" s="5" t="s">
        <v>9725</v>
      </c>
      <c r="W768" s="5" t="s">
        <v>9192</v>
      </c>
      <c r="X768" s="5" t="s">
        <v>9192</v>
      </c>
      <c r="Y768" s="4">
        <v>369</v>
      </c>
      <c r="Z768" s="4">
        <v>253</v>
      </c>
      <c r="AA768" s="4">
        <v>258</v>
      </c>
      <c r="AB768" s="4">
        <v>3</v>
      </c>
      <c r="AC768" s="4">
        <v>3</v>
      </c>
      <c r="AD768" s="4">
        <v>12</v>
      </c>
      <c r="AE768" s="4">
        <v>12</v>
      </c>
      <c r="AF768" s="4">
        <v>4</v>
      </c>
      <c r="AG768" s="4">
        <v>4</v>
      </c>
      <c r="AH768" s="4">
        <v>3</v>
      </c>
      <c r="AI768" s="4">
        <v>3</v>
      </c>
      <c r="AJ768" s="4">
        <v>6</v>
      </c>
      <c r="AK768" s="4">
        <v>6</v>
      </c>
      <c r="AL768" s="4">
        <v>2</v>
      </c>
      <c r="AM768" s="4">
        <v>2</v>
      </c>
      <c r="AN768" s="4">
        <v>0</v>
      </c>
      <c r="AO768" s="4">
        <v>0</v>
      </c>
      <c r="AP768" s="3" t="s">
        <v>59</v>
      </c>
      <c r="AQ768" s="3" t="s">
        <v>59</v>
      </c>
      <c r="AS768" s="6" t="str">
        <f>HYPERLINK("https://creighton-primo.hosted.exlibrisgroup.com/primo-explore/search?tab=default_tab&amp;search_scope=EVERYTHING&amp;vid=01CRU&amp;lang=en_US&amp;offset=0&amp;query=any,contains,991000555669702656","Catalog Record")</f>
        <v>Catalog Record</v>
      </c>
      <c r="AT768" s="6" t="str">
        <f>HYPERLINK("http://www.worldcat.org/oclc/13328793","WorldCat Record")</f>
        <v>WorldCat Record</v>
      </c>
      <c r="AU768" s="3" t="s">
        <v>9726</v>
      </c>
      <c r="AV768" s="3" t="s">
        <v>9727</v>
      </c>
      <c r="AW768" s="3" t="s">
        <v>9728</v>
      </c>
      <c r="AX768" s="3" t="s">
        <v>9728</v>
      </c>
      <c r="AY768" s="3" t="s">
        <v>9729</v>
      </c>
      <c r="AZ768" s="3" t="s">
        <v>76</v>
      </c>
      <c r="BB768" s="3" t="s">
        <v>9730</v>
      </c>
      <c r="BC768" s="3" t="s">
        <v>9731</v>
      </c>
      <c r="BD768" s="3" t="s">
        <v>9732</v>
      </c>
    </row>
    <row r="769" spans="1:56" ht="52.5" customHeight="1" x14ac:dyDescent="0.25">
      <c r="A769" s="7" t="s">
        <v>59</v>
      </c>
      <c r="B769" s="2" t="s">
        <v>9733</v>
      </c>
      <c r="C769" s="2" t="s">
        <v>9734</v>
      </c>
      <c r="D769" s="2" t="s">
        <v>9735</v>
      </c>
      <c r="F769" s="3" t="s">
        <v>59</v>
      </c>
      <c r="G769" s="3" t="s">
        <v>60</v>
      </c>
      <c r="H769" s="3" t="s">
        <v>59</v>
      </c>
      <c r="I769" s="3" t="s">
        <v>59</v>
      </c>
      <c r="J769" s="3" t="s">
        <v>61</v>
      </c>
      <c r="L769" s="2" t="s">
        <v>9736</v>
      </c>
      <c r="M769" s="3" t="s">
        <v>3897</v>
      </c>
      <c r="O769" s="3" t="s">
        <v>65</v>
      </c>
      <c r="P769" s="3" t="s">
        <v>699</v>
      </c>
      <c r="R769" s="3" t="s">
        <v>68</v>
      </c>
      <c r="S769" s="4">
        <v>2</v>
      </c>
      <c r="T769" s="4">
        <v>2</v>
      </c>
      <c r="U769" s="5" t="s">
        <v>9737</v>
      </c>
      <c r="V769" s="5" t="s">
        <v>9737</v>
      </c>
      <c r="W769" s="5" t="s">
        <v>9738</v>
      </c>
      <c r="X769" s="5" t="s">
        <v>9738</v>
      </c>
      <c r="Y769" s="4">
        <v>546</v>
      </c>
      <c r="Z769" s="4">
        <v>455</v>
      </c>
      <c r="AA769" s="4">
        <v>480</v>
      </c>
      <c r="AB769" s="4">
        <v>6</v>
      </c>
      <c r="AC769" s="4">
        <v>6</v>
      </c>
      <c r="AD769" s="4">
        <v>31</v>
      </c>
      <c r="AE769" s="4">
        <v>31</v>
      </c>
      <c r="AF769" s="4">
        <v>12</v>
      </c>
      <c r="AG769" s="4">
        <v>12</v>
      </c>
      <c r="AH769" s="4">
        <v>8</v>
      </c>
      <c r="AI769" s="4">
        <v>8</v>
      </c>
      <c r="AJ769" s="4">
        <v>16</v>
      </c>
      <c r="AK769" s="4">
        <v>16</v>
      </c>
      <c r="AL769" s="4">
        <v>5</v>
      </c>
      <c r="AM769" s="4">
        <v>5</v>
      </c>
      <c r="AN769" s="4">
        <v>0</v>
      </c>
      <c r="AO769" s="4">
        <v>0</v>
      </c>
      <c r="AP769" s="3" t="s">
        <v>59</v>
      </c>
      <c r="AQ769" s="3" t="s">
        <v>71</v>
      </c>
      <c r="AR769" s="6" t="str">
        <f>HYPERLINK("http://catalog.hathitrust.org/Record/003982177","HathiTrust Record")</f>
        <v>HathiTrust Record</v>
      </c>
      <c r="AS769" s="6" t="str">
        <f>HYPERLINK("https://creighton-primo.hosted.exlibrisgroup.com/primo-explore/search?tab=default_tab&amp;search_scope=EVERYTHING&amp;vid=01CRU&amp;lang=en_US&amp;offset=0&amp;query=any,contains,991004268809702656","Catalog Record")</f>
        <v>Catalog Record</v>
      </c>
      <c r="AT769" s="6" t="str">
        <f>HYPERLINK("http://www.worldcat.org/oclc/36961118","WorldCat Record")</f>
        <v>WorldCat Record</v>
      </c>
      <c r="AU769" s="3" t="s">
        <v>9739</v>
      </c>
      <c r="AV769" s="3" t="s">
        <v>9740</v>
      </c>
      <c r="AW769" s="3" t="s">
        <v>9741</v>
      </c>
      <c r="AX769" s="3" t="s">
        <v>9741</v>
      </c>
      <c r="AY769" s="3" t="s">
        <v>9742</v>
      </c>
      <c r="AZ769" s="3" t="s">
        <v>76</v>
      </c>
      <c r="BB769" s="3" t="s">
        <v>9743</v>
      </c>
      <c r="BC769" s="3" t="s">
        <v>9744</v>
      </c>
      <c r="BD769" s="3" t="s">
        <v>9745</v>
      </c>
    </row>
    <row r="770" spans="1:56" ht="52.5" customHeight="1" x14ac:dyDescent="0.25">
      <c r="A770" s="7" t="s">
        <v>59</v>
      </c>
      <c r="B770" s="2" t="s">
        <v>9746</v>
      </c>
      <c r="C770" s="2" t="s">
        <v>9747</v>
      </c>
      <c r="D770" s="2" t="s">
        <v>9748</v>
      </c>
      <c r="F770" s="3" t="s">
        <v>59</v>
      </c>
      <c r="G770" s="3" t="s">
        <v>60</v>
      </c>
      <c r="H770" s="3" t="s">
        <v>59</v>
      </c>
      <c r="I770" s="3" t="s">
        <v>59</v>
      </c>
      <c r="J770" s="3" t="s">
        <v>61</v>
      </c>
      <c r="K770" s="2" t="s">
        <v>9749</v>
      </c>
      <c r="L770" s="2" t="s">
        <v>9750</v>
      </c>
      <c r="M770" s="3" t="s">
        <v>131</v>
      </c>
      <c r="O770" s="3" t="s">
        <v>65</v>
      </c>
      <c r="P770" s="3" t="s">
        <v>66</v>
      </c>
      <c r="R770" s="3" t="s">
        <v>68</v>
      </c>
      <c r="S770" s="4">
        <v>13</v>
      </c>
      <c r="T770" s="4">
        <v>13</v>
      </c>
      <c r="U770" s="5" t="s">
        <v>9089</v>
      </c>
      <c r="V770" s="5" t="s">
        <v>9089</v>
      </c>
      <c r="W770" s="5" t="s">
        <v>9751</v>
      </c>
      <c r="X770" s="5" t="s">
        <v>9751</v>
      </c>
      <c r="Y770" s="4">
        <v>903</v>
      </c>
      <c r="Z770" s="4">
        <v>775</v>
      </c>
      <c r="AA770" s="4">
        <v>781</v>
      </c>
      <c r="AB770" s="4">
        <v>7</v>
      </c>
      <c r="AC770" s="4">
        <v>7</v>
      </c>
      <c r="AD770" s="4">
        <v>35</v>
      </c>
      <c r="AE770" s="4">
        <v>35</v>
      </c>
      <c r="AF770" s="4">
        <v>15</v>
      </c>
      <c r="AG770" s="4">
        <v>15</v>
      </c>
      <c r="AH770" s="4">
        <v>5</v>
      </c>
      <c r="AI770" s="4">
        <v>5</v>
      </c>
      <c r="AJ770" s="4">
        <v>16</v>
      </c>
      <c r="AK770" s="4">
        <v>16</v>
      </c>
      <c r="AL770" s="4">
        <v>6</v>
      </c>
      <c r="AM770" s="4">
        <v>6</v>
      </c>
      <c r="AN770" s="4">
        <v>0</v>
      </c>
      <c r="AO770" s="4">
        <v>0</v>
      </c>
      <c r="AP770" s="3" t="s">
        <v>59</v>
      </c>
      <c r="AQ770" s="3" t="s">
        <v>71</v>
      </c>
      <c r="AR770" s="6" t="str">
        <f>HYPERLINK("http://catalog.hathitrust.org/Record/000011260","HathiTrust Record")</f>
        <v>HathiTrust Record</v>
      </c>
      <c r="AS770" s="6" t="str">
        <f>HYPERLINK("https://creighton-primo.hosted.exlibrisgroup.com/primo-explore/search?tab=default_tab&amp;search_scope=EVERYTHING&amp;vid=01CRU&amp;lang=en_US&amp;offset=0&amp;query=any,contains,991003240509702656","Catalog Record")</f>
        <v>Catalog Record</v>
      </c>
      <c r="AT770" s="6" t="str">
        <f>HYPERLINK("http://www.worldcat.org/oclc/763549","WorldCat Record")</f>
        <v>WorldCat Record</v>
      </c>
      <c r="AU770" s="3" t="s">
        <v>9752</v>
      </c>
      <c r="AV770" s="3" t="s">
        <v>9753</v>
      </c>
      <c r="AW770" s="3" t="s">
        <v>9754</v>
      </c>
      <c r="AX770" s="3" t="s">
        <v>9754</v>
      </c>
      <c r="AY770" s="3" t="s">
        <v>9755</v>
      </c>
      <c r="AZ770" s="3" t="s">
        <v>76</v>
      </c>
      <c r="BB770" s="3" t="s">
        <v>9756</v>
      </c>
      <c r="BC770" s="3" t="s">
        <v>9757</v>
      </c>
      <c r="BD770" s="3" t="s">
        <v>9758</v>
      </c>
    </row>
    <row r="771" spans="1:56" ht="52.5" customHeight="1" x14ac:dyDescent="0.25">
      <c r="A771" s="7" t="s">
        <v>59</v>
      </c>
      <c r="B771" s="2" t="s">
        <v>9759</v>
      </c>
      <c r="C771" s="2" t="s">
        <v>9760</v>
      </c>
      <c r="D771" s="2" t="s">
        <v>9761</v>
      </c>
      <c r="F771" s="3" t="s">
        <v>59</v>
      </c>
      <c r="G771" s="3" t="s">
        <v>60</v>
      </c>
      <c r="H771" s="3" t="s">
        <v>59</v>
      </c>
      <c r="I771" s="3" t="s">
        <v>59</v>
      </c>
      <c r="J771" s="3" t="s">
        <v>61</v>
      </c>
      <c r="K771" s="2" t="s">
        <v>9762</v>
      </c>
      <c r="L771" s="2" t="s">
        <v>9763</v>
      </c>
      <c r="M771" s="3" t="s">
        <v>350</v>
      </c>
      <c r="O771" s="3" t="s">
        <v>65</v>
      </c>
      <c r="P771" s="3" t="s">
        <v>296</v>
      </c>
      <c r="R771" s="3" t="s">
        <v>68</v>
      </c>
      <c r="S771" s="4">
        <v>16</v>
      </c>
      <c r="T771" s="4">
        <v>16</v>
      </c>
      <c r="U771" s="5" t="s">
        <v>9764</v>
      </c>
      <c r="V771" s="5" t="s">
        <v>9764</v>
      </c>
      <c r="W771" s="5" t="s">
        <v>9765</v>
      </c>
      <c r="X771" s="5" t="s">
        <v>9765</v>
      </c>
      <c r="Y771" s="4">
        <v>385</v>
      </c>
      <c r="Z771" s="4">
        <v>329</v>
      </c>
      <c r="AA771" s="4">
        <v>331</v>
      </c>
      <c r="AB771" s="4">
        <v>7</v>
      </c>
      <c r="AC771" s="4">
        <v>7</v>
      </c>
      <c r="AD771" s="4">
        <v>14</v>
      </c>
      <c r="AE771" s="4">
        <v>14</v>
      </c>
      <c r="AF771" s="4">
        <v>6</v>
      </c>
      <c r="AG771" s="4">
        <v>6</v>
      </c>
      <c r="AH771" s="4">
        <v>2</v>
      </c>
      <c r="AI771" s="4">
        <v>2</v>
      </c>
      <c r="AJ771" s="4">
        <v>4</v>
      </c>
      <c r="AK771" s="4">
        <v>4</v>
      </c>
      <c r="AL771" s="4">
        <v>4</v>
      </c>
      <c r="AM771" s="4">
        <v>4</v>
      </c>
      <c r="AN771" s="4">
        <v>1</v>
      </c>
      <c r="AO771" s="4">
        <v>1</v>
      </c>
      <c r="AP771" s="3" t="s">
        <v>59</v>
      </c>
      <c r="AQ771" s="3" t="s">
        <v>71</v>
      </c>
      <c r="AR771" s="6" t="str">
        <f>HYPERLINK("http://catalog.hathitrust.org/Record/000093768","HathiTrust Record")</f>
        <v>HathiTrust Record</v>
      </c>
      <c r="AS771" s="6" t="str">
        <f>HYPERLINK("https://creighton-primo.hosted.exlibrisgroup.com/primo-explore/search?tab=default_tab&amp;search_scope=EVERYTHING&amp;vid=01CRU&amp;lang=en_US&amp;offset=0&amp;query=any,contains,991004494099702656","Catalog Record")</f>
        <v>Catalog Record</v>
      </c>
      <c r="AT771" s="6" t="str">
        <f>HYPERLINK("http://www.worldcat.org/oclc/3681552","WorldCat Record")</f>
        <v>WorldCat Record</v>
      </c>
      <c r="AU771" s="3" t="s">
        <v>9766</v>
      </c>
      <c r="AV771" s="3" t="s">
        <v>9767</v>
      </c>
      <c r="AW771" s="3" t="s">
        <v>9768</v>
      </c>
      <c r="AX771" s="3" t="s">
        <v>9768</v>
      </c>
      <c r="AY771" s="3" t="s">
        <v>9769</v>
      </c>
      <c r="AZ771" s="3" t="s">
        <v>76</v>
      </c>
      <c r="BB771" s="3" t="s">
        <v>9770</v>
      </c>
      <c r="BC771" s="3" t="s">
        <v>9771</v>
      </c>
      <c r="BD771" s="3" t="s">
        <v>9772</v>
      </c>
    </row>
    <row r="772" spans="1:56" ht="52.5" customHeight="1" x14ac:dyDescent="0.25">
      <c r="A772" s="7" t="s">
        <v>59</v>
      </c>
      <c r="B772" s="2" t="s">
        <v>9773</v>
      </c>
      <c r="C772" s="2" t="s">
        <v>9774</v>
      </c>
      <c r="D772" s="2" t="s">
        <v>9775</v>
      </c>
      <c r="F772" s="3" t="s">
        <v>59</v>
      </c>
      <c r="G772" s="3" t="s">
        <v>60</v>
      </c>
      <c r="H772" s="3" t="s">
        <v>59</v>
      </c>
      <c r="I772" s="3" t="s">
        <v>59</v>
      </c>
      <c r="J772" s="3" t="s">
        <v>61</v>
      </c>
      <c r="K772" s="2" t="s">
        <v>9776</v>
      </c>
      <c r="L772" s="2" t="s">
        <v>9777</v>
      </c>
      <c r="M772" s="3" t="s">
        <v>1233</v>
      </c>
      <c r="O772" s="3" t="s">
        <v>65</v>
      </c>
      <c r="P772" s="3" t="s">
        <v>283</v>
      </c>
      <c r="R772" s="3" t="s">
        <v>68</v>
      </c>
      <c r="S772" s="4">
        <v>2</v>
      </c>
      <c r="T772" s="4">
        <v>2</v>
      </c>
      <c r="U772" s="5" t="s">
        <v>9778</v>
      </c>
      <c r="V772" s="5" t="s">
        <v>9778</v>
      </c>
      <c r="W772" s="5" t="s">
        <v>9570</v>
      </c>
      <c r="X772" s="5" t="s">
        <v>9570</v>
      </c>
      <c r="Y772" s="4">
        <v>228</v>
      </c>
      <c r="Z772" s="4">
        <v>200</v>
      </c>
      <c r="AA772" s="4">
        <v>201</v>
      </c>
      <c r="AB772" s="4">
        <v>4</v>
      </c>
      <c r="AC772" s="4">
        <v>4</v>
      </c>
      <c r="AD772" s="4">
        <v>10</v>
      </c>
      <c r="AE772" s="4">
        <v>10</v>
      </c>
      <c r="AF772" s="4">
        <v>4</v>
      </c>
      <c r="AG772" s="4">
        <v>4</v>
      </c>
      <c r="AH772" s="4">
        <v>4</v>
      </c>
      <c r="AI772" s="4">
        <v>4</v>
      </c>
      <c r="AJ772" s="4">
        <v>4</v>
      </c>
      <c r="AK772" s="4">
        <v>4</v>
      </c>
      <c r="AL772" s="4">
        <v>3</v>
      </c>
      <c r="AM772" s="4">
        <v>3</v>
      </c>
      <c r="AN772" s="4">
        <v>0</v>
      </c>
      <c r="AO772" s="4">
        <v>0</v>
      </c>
      <c r="AP772" s="3" t="s">
        <v>59</v>
      </c>
      <c r="AQ772" s="3" t="s">
        <v>59</v>
      </c>
      <c r="AS772" s="6" t="str">
        <f>HYPERLINK("https://creighton-primo.hosted.exlibrisgroup.com/primo-explore/search?tab=default_tab&amp;search_scope=EVERYTHING&amp;vid=01CRU&amp;lang=en_US&amp;offset=0&amp;query=any,contains,991003086289702656","Catalog Record")</f>
        <v>Catalog Record</v>
      </c>
      <c r="AT772" s="6" t="str">
        <f>HYPERLINK("http://www.worldcat.org/oclc/636494","WorldCat Record")</f>
        <v>WorldCat Record</v>
      </c>
      <c r="AU772" s="3" t="s">
        <v>9779</v>
      </c>
      <c r="AV772" s="3" t="s">
        <v>9780</v>
      </c>
      <c r="AW772" s="3" t="s">
        <v>9781</v>
      </c>
      <c r="AX772" s="3" t="s">
        <v>9781</v>
      </c>
      <c r="AY772" s="3" t="s">
        <v>9782</v>
      </c>
      <c r="AZ772" s="3" t="s">
        <v>76</v>
      </c>
      <c r="BC772" s="3" t="s">
        <v>9783</v>
      </c>
      <c r="BD772" s="3" t="s">
        <v>9784</v>
      </c>
    </row>
    <row r="773" spans="1:56" ht="52.5" customHeight="1" x14ac:dyDescent="0.25">
      <c r="A773" s="7" t="s">
        <v>59</v>
      </c>
      <c r="B773" s="2" t="s">
        <v>9785</v>
      </c>
      <c r="C773" s="2" t="s">
        <v>9786</v>
      </c>
      <c r="D773" s="2" t="s">
        <v>9787</v>
      </c>
      <c r="F773" s="3" t="s">
        <v>59</v>
      </c>
      <c r="G773" s="3" t="s">
        <v>60</v>
      </c>
      <c r="H773" s="3" t="s">
        <v>59</v>
      </c>
      <c r="I773" s="3" t="s">
        <v>59</v>
      </c>
      <c r="J773" s="3" t="s">
        <v>61</v>
      </c>
      <c r="K773" s="2" t="s">
        <v>9788</v>
      </c>
      <c r="L773" s="2" t="s">
        <v>5105</v>
      </c>
      <c r="M773" s="3" t="s">
        <v>164</v>
      </c>
      <c r="O773" s="3" t="s">
        <v>65</v>
      </c>
      <c r="P773" s="3" t="s">
        <v>66</v>
      </c>
      <c r="R773" s="3" t="s">
        <v>68</v>
      </c>
      <c r="S773" s="4">
        <v>7</v>
      </c>
      <c r="T773" s="4">
        <v>7</v>
      </c>
      <c r="U773" s="5" t="s">
        <v>9789</v>
      </c>
      <c r="V773" s="5" t="s">
        <v>9789</v>
      </c>
      <c r="W773" s="5" t="s">
        <v>9192</v>
      </c>
      <c r="X773" s="5" t="s">
        <v>9192</v>
      </c>
      <c r="Y773" s="4">
        <v>740</v>
      </c>
      <c r="Z773" s="4">
        <v>677</v>
      </c>
      <c r="AA773" s="4">
        <v>678</v>
      </c>
      <c r="AB773" s="4">
        <v>2</v>
      </c>
      <c r="AC773" s="4">
        <v>2</v>
      </c>
      <c r="AD773" s="4">
        <v>12</v>
      </c>
      <c r="AE773" s="4">
        <v>12</v>
      </c>
      <c r="AF773" s="4">
        <v>4</v>
      </c>
      <c r="AG773" s="4">
        <v>4</v>
      </c>
      <c r="AH773" s="4">
        <v>2</v>
      </c>
      <c r="AI773" s="4">
        <v>2</v>
      </c>
      <c r="AJ773" s="4">
        <v>6</v>
      </c>
      <c r="AK773" s="4">
        <v>6</v>
      </c>
      <c r="AL773" s="4">
        <v>1</v>
      </c>
      <c r="AM773" s="4">
        <v>1</v>
      </c>
      <c r="AN773" s="4">
        <v>0</v>
      </c>
      <c r="AO773" s="4">
        <v>0</v>
      </c>
      <c r="AP773" s="3" t="s">
        <v>59</v>
      </c>
      <c r="AQ773" s="3" t="s">
        <v>59</v>
      </c>
      <c r="AS773" s="6" t="str">
        <f>HYPERLINK("https://creighton-primo.hosted.exlibrisgroup.com/primo-explore/search?tab=default_tab&amp;search_scope=EVERYTHING&amp;vid=01CRU&amp;lang=en_US&amp;offset=0&amp;query=any,contains,991004751369702656","Catalog Record")</f>
        <v>Catalog Record</v>
      </c>
      <c r="AT773" s="6" t="str">
        <f>HYPERLINK("http://www.worldcat.org/oclc/4933827","WorldCat Record")</f>
        <v>WorldCat Record</v>
      </c>
      <c r="AU773" s="3" t="s">
        <v>9790</v>
      </c>
      <c r="AV773" s="3" t="s">
        <v>9791</v>
      </c>
      <c r="AW773" s="3" t="s">
        <v>9792</v>
      </c>
      <c r="AX773" s="3" t="s">
        <v>9792</v>
      </c>
      <c r="AY773" s="3" t="s">
        <v>9793</v>
      </c>
      <c r="AZ773" s="3" t="s">
        <v>76</v>
      </c>
      <c r="BB773" s="3" t="s">
        <v>9794</v>
      </c>
      <c r="BC773" s="3" t="s">
        <v>9795</v>
      </c>
      <c r="BD773" s="3" t="s">
        <v>9796</v>
      </c>
    </row>
    <row r="774" spans="1:56" ht="52.5" customHeight="1" x14ac:dyDescent="0.25">
      <c r="A774" s="7" t="s">
        <v>59</v>
      </c>
      <c r="B774" s="2" t="s">
        <v>9797</v>
      </c>
      <c r="C774" s="2" t="s">
        <v>9798</v>
      </c>
      <c r="D774" s="2" t="s">
        <v>9799</v>
      </c>
      <c r="F774" s="3" t="s">
        <v>59</v>
      </c>
      <c r="G774" s="3" t="s">
        <v>60</v>
      </c>
      <c r="H774" s="3" t="s">
        <v>59</v>
      </c>
      <c r="I774" s="3" t="s">
        <v>59</v>
      </c>
      <c r="J774" s="3" t="s">
        <v>61</v>
      </c>
      <c r="K774" s="2" t="s">
        <v>9800</v>
      </c>
      <c r="L774" s="2" t="s">
        <v>9801</v>
      </c>
      <c r="M774" s="3" t="s">
        <v>5648</v>
      </c>
      <c r="O774" s="3" t="s">
        <v>65</v>
      </c>
      <c r="P774" s="3" t="s">
        <v>66</v>
      </c>
      <c r="R774" s="3" t="s">
        <v>68</v>
      </c>
      <c r="S774" s="4">
        <v>3</v>
      </c>
      <c r="T774" s="4">
        <v>3</v>
      </c>
      <c r="U774" s="5" t="s">
        <v>9802</v>
      </c>
      <c r="V774" s="5" t="s">
        <v>9802</v>
      </c>
      <c r="W774" s="5" t="s">
        <v>9803</v>
      </c>
      <c r="X774" s="5" t="s">
        <v>9803</v>
      </c>
      <c r="Y774" s="4">
        <v>686</v>
      </c>
      <c r="Z774" s="4">
        <v>580</v>
      </c>
      <c r="AA774" s="4">
        <v>594</v>
      </c>
      <c r="AB774" s="4">
        <v>5</v>
      </c>
      <c r="AC774" s="4">
        <v>5</v>
      </c>
      <c r="AD774" s="4">
        <v>30</v>
      </c>
      <c r="AE774" s="4">
        <v>32</v>
      </c>
      <c r="AF774" s="4">
        <v>14</v>
      </c>
      <c r="AG774" s="4">
        <v>14</v>
      </c>
      <c r="AH774" s="4">
        <v>6</v>
      </c>
      <c r="AI774" s="4">
        <v>7</v>
      </c>
      <c r="AJ774" s="4">
        <v>15</v>
      </c>
      <c r="AK774" s="4">
        <v>15</v>
      </c>
      <c r="AL774" s="4">
        <v>4</v>
      </c>
      <c r="AM774" s="4">
        <v>4</v>
      </c>
      <c r="AN774" s="4">
        <v>0</v>
      </c>
      <c r="AO774" s="4">
        <v>1</v>
      </c>
      <c r="AP774" s="3" t="s">
        <v>59</v>
      </c>
      <c r="AQ774" s="3" t="s">
        <v>59</v>
      </c>
      <c r="AS774" s="6" t="str">
        <f>HYPERLINK("https://creighton-primo.hosted.exlibrisgroup.com/primo-explore/search?tab=default_tab&amp;search_scope=EVERYTHING&amp;vid=01CRU&amp;lang=en_US&amp;offset=0&amp;query=any,contains,991001637709702656","Catalog Record")</f>
        <v>Catalog Record</v>
      </c>
      <c r="AT774" s="6" t="str">
        <f>HYPERLINK("http://www.worldcat.org/oclc/20992818","WorldCat Record")</f>
        <v>WorldCat Record</v>
      </c>
      <c r="AU774" s="3" t="s">
        <v>9804</v>
      </c>
      <c r="AV774" s="3" t="s">
        <v>9805</v>
      </c>
      <c r="AW774" s="3" t="s">
        <v>9806</v>
      </c>
      <c r="AX774" s="3" t="s">
        <v>9806</v>
      </c>
      <c r="AY774" s="3" t="s">
        <v>9807</v>
      </c>
      <c r="AZ774" s="3" t="s">
        <v>76</v>
      </c>
      <c r="BB774" s="3" t="s">
        <v>9808</v>
      </c>
      <c r="BC774" s="3" t="s">
        <v>9809</v>
      </c>
      <c r="BD774" s="3" t="s">
        <v>9810</v>
      </c>
    </row>
    <row r="775" spans="1:56" ht="52.5" customHeight="1" x14ac:dyDescent="0.25">
      <c r="A775" s="7" t="s">
        <v>59</v>
      </c>
      <c r="B775" s="2" t="s">
        <v>9811</v>
      </c>
      <c r="C775" s="2" t="s">
        <v>9812</v>
      </c>
      <c r="D775" s="2" t="s">
        <v>9813</v>
      </c>
      <c r="F775" s="3" t="s">
        <v>59</v>
      </c>
      <c r="G775" s="3" t="s">
        <v>60</v>
      </c>
      <c r="H775" s="3" t="s">
        <v>59</v>
      </c>
      <c r="I775" s="3" t="s">
        <v>59</v>
      </c>
      <c r="J775" s="3" t="s">
        <v>61</v>
      </c>
      <c r="L775" s="2" t="s">
        <v>9814</v>
      </c>
      <c r="M775" s="3" t="s">
        <v>195</v>
      </c>
      <c r="O775" s="3" t="s">
        <v>65</v>
      </c>
      <c r="P775" s="3" t="s">
        <v>1262</v>
      </c>
      <c r="Q775" s="2" t="s">
        <v>9815</v>
      </c>
      <c r="R775" s="3" t="s">
        <v>68</v>
      </c>
      <c r="S775" s="4">
        <v>3</v>
      </c>
      <c r="T775" s="4">
        <v>3</v>
      </c>
      <c r="U775" s="5" t="s">
        <v>9816</v>
      </c>
      <c r="V775" s="5" t="s">
        <v>9816</v>
      </c>
      <c r="W775" s="5" t="s">
        <v>9192</v>
      </c>
      <c r="X775" s="5" t="s">
        <v>9192</v>
      </c>
      <c r="Y775" s="4">
        <v>274</v>
      </c>
      <c r="Z775" s="4">
        <v>194</v>
      </c>
      <c r="AA775" s="4">
        <v>210</v>
      </c>
      <c r="AB775" s="4">
        <v>2</v>
      </c>
      <c r="AC775" s="4">
        <v>2</v>
      </c>
      <c r="AD775" s="4">
        <v>6</v>
      </c>
      <c r="AE775" s="4">
        <v>6</v>
      </c>
      <c r="AF775" s="4">
        <v>1</v>
      </c>
      <c r="AG775" s="4">
        <v>1</v>
      </c>
      <c r="AH775" s="4">
        <v>4</v>
      </c>
      <c r="AI775" s="4">
        <v>4</v>
      </c>
      <c r="AJ775" s="4">
        <v>2</v>
      </c>
      <c r="AK775" s="4">
        <v>2</v>
      </c>
      <c r="AL775" s="4">
        <v>1</v>
      </c>
      <c r="AM775" s="4">
        <v>1</v>
      </c>
      <c r="AN775" s="4">
        <v>0</v>
      </c>
      <c r="AO775" s="4">
        <v>0</v>
      </c>
      <c r="AP775" s="3" t="s">
        <v>59</v>
      </c>
      <c r="AQ775" s="3" t="s">
        <v>71</v>
      </c>
      <c r="AR775" s="6" t="str">
        <f>HYPERLINK("http://catalog.hathitrust.org/Record/000194989","HathiTrust Record")</f>
        <v>HathiTrust Record</v>
      </c>
      <c r="AS775" s="6" t="str">
        <f>HYPERLINK("https://creighton-primo.hosted.exlibrisgroup.com/primo-explore/search?tab=default_tab&amp;search_scope=EVERYTHING&amp;vid=01CRU&amp;lang=en_US&amp;offset=0&amp;query=any,contains,991005240229702656","Catalog Record")</f>
        <v>Catalog Record</v>
      </c>
      <c r="AT775" s="6" t="str">
        <f>HYPERLINK("http://www.worldcat.org/oclc/8410344","WorldCat Record")</f>
        <v>WorldCat Record</v>
      </c>
      <c r="AU775" s="3" t="s">
        <v>9817</v>
      </c>
      <c r="AV775" s="3" t="s">
        <v>9818</v>
      </c>
      <c r="AW775" s="3" t="s">
        <v>9819</v>
      </c>
      <c r="AX775" s="3" t="s">
        <v>9819</v>
      </c>
      <c r="AY775" s="3" t="s">
        <v>9820</v>
      </c>
      <c r="AZ775" s="3" t="s">
        <v>76</v>
      </c>
      <c r="BB775" s="3" t="s">
        <v>9821</v>
      </c>
      <c r="BC775" s="3" t="s">
        <v>9822</v>
      </c>
      <c r="BD775" s="3" t="s">
        <v>9823</v>
      </c>
    </row>
    <row r="776" spans="1:56" ht="52.5" customHeight="1" x14ac:dyDescent="0.25">
      <c r="A776" s="7" t="s">
        <v>59</v>
      </c>
      <c r="B776" s="2" t="s">
        <v>9824</v>
      </c>
      <c r="C776" s="2" t="s">
        <v>9825</v>
      </c>
      <c r="D776" s="2" t="s">
        <v>9826</v>
      </c>
      <c r="F776" s="3" t="s">
        <v>59</v>
      </c>
      <c r="G776" s="3" t="s">
        <v>60</v>
      </c>
      <c r="H776" s="3" t="s">
        <v>59</v>
      </c>
      <c r="I776" s="3" t="s">
        <v>59</v>
      </c>
      <c r="J776" s="3" t="s">
        <v>61</v>
      </c>
      <c r="K776" s="2" t="s">
        <v>9827</v>
      </c>
      <c r="L776" s="2" t="s">
        <v>9828</v>
      </c>
      <c r="M776" s="3" t="s">
        <v>1015</v>
      </c>
      <c r="O776" s="3" t="s">
        <v>65</v>
      </c>
      <c r="P776" s="3" t="s">
        <v>4872</v>
      </c>
      <c r="Q776" s="2" t="s">
        <v>9829</v>
      </c>
      <c r="R776" s="3" t="s">
        <v>68</v>
      </c>
      <c r="S776" s="4">
        <v>4</v>
      </c>
      <c r="T776" s="4">
        <v>4</v>
      </c>
      <c r="U776" s="5" t="s">
        <v>5148</v>
      </c>
      <c r="V776" s="5" t="s">
        <v>5148</v>
      </c>
      <c r="W776" s="5" t="s">
        <v>773</v>
      </c>
      <c r="X776" s="5" t="s">
        <v>773</v>
      </c>
      <c r="Y776" s="4">
        <v>313</v>
      </c>
      <c r="Z776" s="4">
        <v>266</v>
      </c>
      <c r="AA776" s="4">
        <v>268</v>
      </c>
      <c r="AB776" s="4">
        <v>3</v>
      </c>
      <c r="AC776" s="4">
        <v>3</v>
      </c>
      <c r="AD776" s="4">
        <v>12</v>
      </c>
      <c r="AE776" s="4">
        <v>12</v>
      </c>
      <c r="AF776" s="4">
        <v>4</v>
      </c>
      <c r="AG776" s="4">
        <v>4</v>
      </c>
      <c r="AH776" s="4">
        <v>0</v>
      </c>
      <c r="AI776" s="4">
        <v>0</v>
      </c>
      <c r="AJ776" s="4">
        <v>8</v>
      </c>
      <c r="AK776" s="4">
        <v>8</v>
      </c>
      <c r="AL776" s="4">
        <v>2</v>
      </c>
      <c r="AM776" s="4">
        <v>2</v>
      </c>
      <c r="AN776" s="4">
        <v>0</v>
      </c>
      <c r="AO776" s="4">
        <v>0</v>
      </c>
      <c r="AP776" s="3" t="s">
        <v>59</v>
      </c>
      <c r="AQ776" s="3" t="s">
        <v>71</v>
      </c>
      <c r="AR776" s="6" t="str">
        <f>HYPERLINK("http://catalog.hathitrust.org/Record/000387422","HathiTrust Record")</f>
        <v>HathiTrust Record</v>
      </c>
      <c r="AS776" s="6" t="str">
        <f>HYPERLINK("https://creighton-primo.hosted.exlibrisgroup.com/primo-explore/search?tab=default_tab&amp;search_scope=EVERYTHING&amp;vid=01CRU&amp;lang=en_US&amp;offset=0&amp;query=any,contains,991001366059702656","Catalog Record")</f>
        <v>Catalog Record</v>
      </c>
      <c r="AT776" s="6" t="str">
        <f>HYPERLINK("http://www.worldcat.org/oclc/222581","WorldCat Record")</f>
        <v>WorldCat Record</v>
      </c>
      <c r="AU776" s="3" t="s">
        <v>9830</v>
      </c>
      <c r="AV776" s="3" t="s">
        <v>9831</v>
      </c>
      <c r="AW776" s="3" t="s">
        <v>9832</v>
      </c>
      <c r="AX776" s="3" t="s">
        <v>9832</v>
      </c>
      <c r="AY776" s="3" t="s">
        <v>9833</v>
      </c>
      <c r="AZ776" s="3" t="s">
        <v>76</v>
      </c>
      <c r="BC776" s="3" t="s">
        <v>9834</v>
      </c>
      <c r="BD776" s="3" t="s">
        <v>9835</v>
      </c>
    </row>
    <row r="777" spans="1:56" ht="52.5" customHeight="1" x14ac:dyDescent="0.25">
      <c r="A777" s="7" t="s">
        <v>59</v>
      </c>
      <c r="B777" s="2" t="s">
        <v>9836</v>
      </c>
      <c r="C777" s="2" t="s">
        <v>9837</v>
      </c>
      <c r="D777" s="2" t="s">
        <v>9838</v>
      </c>
      <c r="F777" s="3" t="s">
        <v>59</v>
      </c>
      <c r="G777" s="3" t="s">
        <v>60</v>
      </c>
      <c r="H777" s="3" t="s">
        <v>59</v>
      </c>
      <c r="I777" s="3" t="s">
        <v>59</v>
      </c>
      <c r="J777" s="3" t="s">
        <v>61</v>
      </c>
      <c r="K777" s="2" t="s">
        <v>9839</v>
      </c>
      <c r="L777" s="2" t="s">
        <v>9840</v>
      </c>
      <c r="M777" s="3" t="s">
        <v>9841</v>
      </c>
      <c r="N777" s="2" t="s">
        <v>5106</v>
      </c>
      <c r="O777" s="3" t="s">
        <v>65</v>
      </c>
      <c r="P777" s="3" t="s">
        <v>5660</v>
      </c>
      <c r="R777" s="3" t="s">
        <v>68</v>
      </c>
      <c r="S777" s="4">
        <v>0</v>
      </c>
      <c r="T777" s="4">
        <v>0</v>
      </c>
      <c r="U777" s="5" t="s">
        <v>9842</v>
      </c>
      <c r="V777" s="5" t="s">
        <v>9842</v>
      </c>
      <c r="W777" s="5" t="s">
        <v>9843</v>
      </c>
      <c r="X777" s="5" t="s">
        <v>9843</v>
      </c>
      <c r="Y777" s="4">
        <v>230</v>
      </c>
      <c r="Z777" s="4">
        <v>200</v>
      </c>
      <c r="AA777" s="4">
        <v>821</v>
      </c>
      <c r="AB777" s="4">
        <v>1</v>
      </c>
      <c r="AC777" s="4">
        <v>8</v>
      </c>
      <c r="AD777" s="4">
        <v>12</v>
      </c>
      <c r="AE777" s="4">
        <v>46</v>
      </c>
      <c r="AF777" s="4">
        <v>8</v>
      </c>
      <c r="AG777" s="4">
        <v>20</v>
      </c>
      <c r="AH777" s="4">
        <v>1</v>
      </c>
      <c r="AI777" s="4">
        <v>8</v>
      </c>
      <c r="AJ777" s="4">
        <v>6</v>
      </c>
      <c r="AK777" s="4">
        <v>20</v>
      </c>
      <c r="AL777" s="4">
        <v>0</v>
      </c>
      <c r="AM777" s="4">
        <v>7</v>
      </c>
      <c r="AN777" s="4">
        <v>1</v>
      </c>
      <c r="AO777" s="4">
        <v>2</v>
      </c>
      <c r="AP777" s="3" t="s">
        <v>59</v>
      </c>
      <c r="AQ777" s="3" t="s">
        <v>71</v>
      </c>
      <c r="AR777" s="6" t="str">
        <f>HYPERLINK("http://catalog.hathitrust.org/Record/004156678","HathiTrust Record")</f>
        <v>HathiTrust Record</v>
      </c>
      <c r="AS777" s="6" t="str">
        <f>HYPERLINK("https://creighton-primo.hosted.exlibrisgroup.com/primo-explore/search?tab=default_tab&amp;search_scope=EVERYTHING&amp;vid=01CRU&amp;lang=en_US&amp;offset=0&amp;query=any,contains,991002557979702656","Catalog Record")</f>
        <v>Catalog Record</v>
      </c>
      <c r="AT777" s="6" t="str">
        <f>HYPERLINK("http://www.worldcat.org/oclc/33245056","WorldCat Record")</f>
        <v>WorldCat Record</v>
      </c>
      <c r="AU777" s="3" t="s">
        <v>9844</v>
      </c>
      <c r="AV777" s="3" t="s">
        <v>9845</v>
      </c>
      <c r="AW777" s="3" t="s">
        <v>9846</v>
      </c>
      <c r="AX777" s="3" t="s">
        <v>9846</v>
      </c>
      <c r="AY777" s="3" t="s">
        <v>9847</v>
      </c>
      <c r="AZ777" s="3" t="s">
        <v>76</v>
      </c>
      <c r="BB777" s="3" t="s">
        <v>9848</v>
      </c>
      <c r="BC777" s="3" t="s">
        <v>9849</v>
      </c>
      <c r="BD777" s="3" t="s">
        <v>9850</v>
      </c>
    </row>
    <row r="778" spans="1:56" ht="52.5" customHeight="1" x14ac:dyDescent="0.25">
      <c r="A778" s="7" t="s">
        <v>59</v>
      </c>
      <c r="B778" s="2" t="s">
        <v>9851</v>
      </c>
      <c r="C778" s="2" t="s">
        <v>9852</v>
      </c>
      <c r="D778" s="2" t="s">
        <v>9853</v>
      </c>
      <c r="F778" s="3" t="s">
        <v>59</v>
      </c>
      <c r="G778" s="3" t="s">
        <v>60</v>
      </c>
      <c r="H778" s="3" t="s">
        <v>59</v>
      </c>
      <c r="I778" s="3" t="s">
        <v>59</v>
      </c>
      <c r="J778" s="3" t="s">
        <v>61</v>
      </c>
      <c r="K778" s="2" t="s">
        <v>9854</v>
      </c>
      <c r="L778" s="2" t="s">
        <v>9855</v>
      </c>
      <c r="M778" s="3" t="s">
        <v>1217</v>
      </c>
      <c r="O778" s="3" t="s">
        <v>65</v>
      </c>
      <c r="P778" s="3" t="s">
        <v>66</v>
      </c>
      <c r="R778" s="3" t="s">
        <v>68</v>
      </c>
      <c r="S778" s="4">
        <v>3</v>
      </c>
      <c r="T778" s="4">
        <v>3</v>
      </c>
      <c r="U778" s="5" t="s">
        <v>9856</v>
      </c>
      <c r="V778" s="5" t="s">
        <v>9856</v>
      </c>
      <c r="W778" s="5" t="s">
        <v>9857</v>
      </c>
      <c r="X778" s="5" t="s">
        <v>9857</v>
      </c>
      <c r="Y778" s="4">
        <v>408</v>
      </c>
      <c r="Z778" s="4">
        <v>352</v>
      </c>
      <c r="AA778" s="4">
        <v>354</v>
      </c>
      <c r="AB778" s="4">
        <v>4</v>
      </c>
      <c r="AC778" s="4">
        <v>4</v>
      </c>
      <c r="AD778" s="4">
        <v>15</v>
      </c>
      <c r="AE778" s="4">
        <v>15</v>
      </c>
      <c r="AF778" s="4">
        <v>4</v>
      </c>
      <c r="AG778" s="4">
        <v>4</v>
      </c>
      <c r="AH778" s="4">
        <v>4</v>
      </c>
      <c r="AI778" s="4">
        <v>4</v>
      </c>
      <c r="AJ778" s="4">
        <v>7</v>
      </c>
      <c r="AK778" s="4">
        <v>7</v>
      </c>
      <c r="AL778" s="4">
        <v>3</v>
      </c>
      <c r="AM778" s="4">
        <v>3</v>
      </c>
      <c r="AN778" s="4">
        <v>0</v>
      </c>
      <c r="AO778" s="4">
        <v>0</v>
      </c>
      <c r="AP778" s="3" t="s">
        <v>59</v>
      </c>
      <c r="AQ778" s="3" t="s">
        <v>71</v>
      </c>
      <c r="AR778" s="6" t="str">
        <f>HYPERLINK("http://catalog.hathitrust.org/Record/000464765","HathiTrust Record")</f>
        <v>HathiTrust Record</v>
      </c>
      <c r="AS778" s="6" t="str">
        <f>HYPERLINK("https://creighton-primo.hosted.exlibrisgroup.com/primo-explore/search?tab=default_tab&amp;search_scope=EVERYTHING&amp;vid=01CRU&amp;lang=en_US&amp;offset=0&amp;query=any,contains,991005265559702656","Catalog Record")</f>
        <v>Catalog Record</v>
      </c>
      <c r="AT778" s="6" t="str">
        <f>HYPERLINK("http://www.worldcat.org/oclc/10133791","WorldCat Record")</f>
        <v>WorldCat Record</v>
      </c>
      <c r="AU778" s="3" t="s">
        <v>9858</v>
      </c>
      <c r="AV778" s="3" t="s">
        <v>9859</v>
      </c>
      <c r="AW778" s="3" t="s">
        <v>9860</v>
      </c>
      <c r="AX778" s="3" t="s">
        <v>9860</v>
      </c>
      <c r="AY778" s="3" t="s">
        <v>9861</v>
      </c>
      <c r="AZ778" s="3" t="s">
        <v>76</v>
      </c>
      <c r="BB778" s="3" t="s">
        <v>9862</v>
      </c>
      <c r="BC778" s="3" t="s">
        <v>9863</v>
      </c>
      <c r="BD778" s="3" t="s">
        <v>9864</v>
      </c>
    </row>
    <row r="779" spans="1:56" ht="52.5" customHeight="1" x14ac:dyDescent="0.25">
      <c r="A779" s="7" t="s">
        <v>59</v>
      </c>
      <c r="B779" s="2" t="s">
        <v>9865</v>
      </c>
      <c r="C779" s="2" t="s">
        <v>9866</v>
      </c>
      <c r="D779" s="2" t="s">
        <v>9867</v>
      </c>
      <c r="F779" s="3" t="s">
        <v>59</v>
      </c>
      <c r="G779" s="3" t="s">
        <v>60</v>
      </c>
      <c r="H779" s="3" t="s">
        <v>59</v>
      </c>
      <c r="I779" s="3" t="s">
        <v>71</v>
      </c>
      <c r="J779" s="3" t="s">
        <v>61</v>
      </c>
      <c r="K779" s="2" t="s">
        <v>9868</v>
      </c>
      <c r="L779" s="2" t="s">
        <v>6716</v>
      </c>
      <c r="M779" s="3" t="s">
        <v>987</v>
      </c>
      <c r="N779" s="2" t="s">
        <v>1289</v>
      </c>
      <c r="O779" s="3" t="s">
        <v>65</v>
      </c>
      <c r="P779" s="3" t="s">
        <v>283</v>
      </c>
      <c r="R779" s="3" t="s">
        <v>68</v>
      </c>
      <c r="S779" s="4">
        <v>3</v>
      </c>
      <c r="T779" s="4">
        <v>3</v>
      </c>
      <c r="U779" s="5" t="s">
        <v>9869</v>
      </c>
      <c r="V779" s="5" t="s">
        <v>9869</v>
      </c>
      <c r="W779" s="5" t="s">
        <v>4712</v>
      </c>
      <c r="X779" s="5" t="s">
        <v>4712</v>
      </c>
      <c r="Y779" s="4">
        <v>301</v>
      </c>
      <c r="Z779" s="4">
        <v>256</v>
      </c>
      <c r="AA779" s="4">
        <v>518</v>
      </c>
      <c r="AB779" s="4">
        <v>4</v>
      </c>
      <c r="AC779" s="4">
        <v>4</v>
      </c>
      <c r="AD779" s="4">
        <v>12</v>
      </c>
      <c r="AE779" s="4">
        <v>28</v>
      </c>
      <c r="AF779" s="4">
        <v>7</v>
      </c>
      <c r="AG779" s="4">
        <v>15</v>
      </c>
      <c r="AH779" s="4">
        <v>2</v>
      </c>
      <c r="AI779" s="4">
        <v>6</v>
      </c>
      <c r="AJ779" s="4">
        <v>4</v>
      </c>
      <c r="AK779" s="4">
        <v>12</v>
      </c>
      <c r="AL779" s="4">
        <v>3</v>
      </c>
      <c r="AM779" s="4">
        <v>3</v>
      </c>
      <c r="AN779" s="4">
        <v>0</v>
      </c>
      <c r="AO779" s="4">
        <v>0</v>
      </c>
      <c r="AP779" s="3" t="s">
        <v>59</v>
      </c>
      <c r="AQ779" s="3" t="s">
        <v>59</v>
      </c>
      <c r="AS779" s="6" t="str">
        <f>HYPERLINK("https://creighton-primo.hosted.exlibrisgroup.com/primo-explore/search?tab=default_tab&amp;search_scope=EVERYTHING&amp;vid=01CRU&amp;lang=en_US&amp;offset=0&amp;query=any,contains,991000455449702656","Catalog Record")</f>
        <v>Catalog Record</v>
      </c>
      <c r="AT779" s="6" t="str">
        <f>HYPERLINK("http://www.worldcat.org/oclc/78067","WorldCat Record")</f>
        <v>WorldCat Record</v>
      </c>
      <c r="AU779" s="3" t="s">
        <v>9870</v>
      </c>
      <c r="AV779" s="3" t="s">
        <v>9871</v>
      </c>
      <c r="AW779" s="3" t="s">
        <v>9872</v>
      </c>
      <c r="AX779" s="3" t="s">
        <v>9872</v>
      </c>
      <c r="AY779" s="3" t="s">
        <v>9873</v>
      </c>
      <c r="AZ779" s="3" t="s">
        <v>76</v>
      </c>
      <c r="BC779" s="3" t="s">
        <v>9874</v>
      </c>
      <c r="BD779" s="3" t="s">
        <v>9875</v>
      </c>
    </row>
    <row r="780" spans="1:56" ht="52.5" customHeight="1" x14ac:dyDescent="0.25">
      <c r="A780" s="7" t="s">
        <v>59</v>
      </c>
      <c r="B780" s="2" t="s">
        <v>9876</v>
      </c>
      <c r="C780" s="2" t="s">
        <v>9877</v>
      </c>
      <c r="D780" s="2" t="s">
        <v>9878</v>
      </c>
      <c r="F780" s="3" t="s">
        <v>59</v>
      </c>
      <c r="G780" s="3" t="s">
        <v>60</v>
      </c>
      <c r="H780" s="3" t="s">
        <v>59</v>
      </c>
      <c r="I780" s="3" t="s">
        <v>59</v>
      </c>
      <c r="J780" s="3" t="s">
        <v>61</v>
      </c>
      <c r="K780" s="2" t="s">
        <v>9879</v>
      </c>
      <c r="L780" s="2" t="s">
        <v>9880</v>
      </c>
      <c r="M780" s="3" t="s">
        <v>475</v>
      </c>
      <c r="O780" s="3" t="s">
        <v>65</v>
      </c>
      <c r="P780" s="3" t="s">
        <v>829</v>
      </c>
      <c r="R780" s="3" t="s">
        <v>68</v>
      </c>
      <c r="S780" s="4">
        <v>1</v>
      </c>
      <c r="T780" s="4">
        <v>1</v>
      </c>
      <c r="U780" s="5" t="s">
        <v>9881</v>
      </c>
      <c r="V780" s="5" t="s">
        <v>9881</v>
      </c>
      <c r="W780" s="5" t="s">
        <v>9882</v>
      </c>
      <c r="X780" s="5" t="s">
        <v>9882</v>
      </c>
      <c r="Y780" s="4">
        <v>196</v>
      </c>
      <c r="Z780" s="4">
        <v>167</v>
      </c>
      <c r="AA780" s="4">
        <v>172</v>
      </c>
      <c r="AB780" s="4">
        <v>3</v>
      </c>
      <c r="AC780" s="4">
        <v>3</v>
      </c>
      <c r="AD780" s="4">
        <v>11</v>
      </c>
      <c r="AE780" s="4">
        <v>12</v>
      </c>
      <c r="AF780" s="4">
        <v>3</v>
      </c>
      <c r="AG780" s="4">
        <v>4</v>
      </c>
      <c r="AH780" s="4">
        <v>2</v>
      </c>
      <c r="AI780" s="4">
        <v>2</v>
      </c>
      <c r="AJ780" s="4">
        <v>7</v>
      </c>
      <c r="AK780" s="4">
        <v>8</v>
      </c>
      <c r="AL780" s="4">
        <v>2</v>
      </c>
      <c r="AM780" s="4">
        <v>2</v>
      </c>
      <c r="AN780" s="4">
        <v>0</v>
      </c>
      <c r="AO780" s="4">
        <v>0</v>
      </c>
      <c r="AP780" s="3" t="s">
        <v>59</v>
      </c>
      <c r="AQ780" s="3" t="s">
        <v>59</v>
      </c>
      <c r="AS780" s="6" t="str">
        <f>HYPERLINK("https://creighton-primo.hosted.exlibrisgroup.com/primo-explore/search?tab=default_tab&amp;search_scope=EVERYTHING&amp;vid=01CRU&amp;lang=en_US&amp;offset=0&amp;query=any,contains,991000202539702656","Catalog Record")</f>
        <v>Catalog Record</v>
      </c>
      <c r="AT780" s="6" t="str">
        <f>HYPERLINK("http://www.worldcat.org/oclc/9465876","WorldCat Record")</f>
        <v>WorldCat Record</v>
      </c>
      <c r="AU780" s="3" t="s">
        <v>9883</v>
      </c>
      <c r="AV780" s="3" t="s">
        <v>9884</v>
      </c>
      <c r="AW780" s="3" t="s">
        <v>9885</v>
      </c>
      <c r="AX780" s="3" t="s">
        <v>9885</v>
      </c>
      <c r="AY780" s="3" t="s">
        <v>9886</v>
      </c>
      <c r="AZ780" s="3" t="s">
        <v>76</v>
      </c>
      <c r="BB780" s="3" t="s">
        <v>9887</v>
      </c>
      <c r="BC780" s="3" t="s">
        <v>9888</v>
      </c>
      <c r="BD780" s="3" t="s">
        <v>9889</v>
      </c>
    </row>
    <row r="781" spans="1:56" ht="52.5" customHeight="1" x14ac:dyDescent="0.25">
      <c r="A781" s="7" t="s">
        <v>59</v>
      </c>
      <c r="B781" s="2" t="s">
        <v>9890</v>
      </c>
      <c r="C781" s="2" t="s">
        <v>9891</v>
      </c>
      <c r="D781" s="2" t="s">
        <v>9892</v>
      </c>
      <c r="F781" s="3" t="s">
        <v>59</v>
      </c>
      <c r="G781" s="3" t="s">
        <v>60</v>
      </c>
      <c r="H781" s="3" t="s">
        <v>59</v>
      </c>
      <c r="I781" s="3" t="s">
        <v>59</v>
      </c>
      <c r="J781" s="3" t="s">
        <v>61</v>
      </c>
      <c r="K781" s="2" t="s">
        <v>9893</v>
      </c>
      <c r="L781" s="2" t="s">
        <v>9894</v>
      </c>
      <c r="M781" s="3" t="s">
        <v>514</v>
      </c>
      <c r="O781" s="3" t="s">
        <v>65</v>
      </c>
      <c r="P781" s="3" t="s">
        <v>1290</v>
      </c>
      <c r="Q781" s="2" t="s">
        <v>9895</v>
      </c>
      <c r="R781" s="3" t="s">
        <v>68</v>
      </c>
      <c r="S781" s="4">
        <v>1</v>
      </c>
      <c r="T781" s="4">
        <v>1</v>
      </c>
      <c r="U781" s="5" t="s">
        <v>9896</v>
      </c>
      <c r="V781" s="5" t="s">
        <v>9896</v>
      </c>
      <c r="W781" s="5" t="s">
        <v>3458</v>
      </c>
      <c r="X781" s="5" t="s">
        <v>3458</v>
      </c>
      <c r="Y781" s="4">
        <v>313</v>
      </c>
      <c r="Z781" s="4">
        <v>285</v>
      </c>
      <c r="AA781" s="4">
        <v>287</v>
      </c>
      <c r="AB781" s="4">
        <v>3</v>
      </c>
      <c r="AC781" s="4">
        <v>3</v>
      </c>
      <c r="AD781" s="4">
        <v>15</v>
      </c>
      <c r="AE781" s="4">
        <v>15</v>
      </c>
      <c r="AF781" s="4">
        <v>5</v>
      </c>
      <c r="AG781" s="4">
        <v>5</v>
      </c>
      <c r="AH781" s="4">
        <v>5</v>
      </c>
      <c r="AI781" s="4">
        <v>5</v>
      </c>
      <c r="AJ781" s="4">
        <v>9</v>
      </c>
      <c r="AK781" s="4">
        <v>9</v>
      </c>
      <c r="AL781" s="4">
        <v>2</v>
      </c>
      <c r="AM781" s="4">
        <v>2</v>
      </c>
      <c r="AN781" s="4">
        <v>0</v>
      </c>
      <c r="AO781" s="4">
        <v>0</v>
      </c>
      <c r="AP781" s="3" t="s">
        <v>59</v>
      </c>
      <c r="AQ781" s="3" t="s">
        <v>71</v>
      </c>
      <c r="AR781" s="6" t="str">
        <f>HYPERLINK("http://catalog.hathitrust.org/Record/000387427","HathiTrust Record")</f>
        <v>HathiTrust Record</v>
      </c>
      <c r="AS781" s="6" t="str">
        <f>HYPERLINK("https://creighton-primo.hosted.exlibrisgroup.com/primo-explore/search?tab=default_tab&amp;search_scope=EVERYTHING&amp;vid=01CRU&amp;lang=en_US&amp;offset=0&amp;query=any,contains,991001366869702656","Catalog Record")</f>
        <v>Catalog Record</v>
      </c>
      <c r="AT781" s="6" t="str">
        <f>HYPERLINK("http://www.worldcat.org/oclc/222729","WorldCat Record")</f>
        <v>WorldCat Record</v>
      </c>
      <c r="AU781" s="3" t="s">
        <v>9897</v>
      </c>
      <c r="AV781" s="3" t="s">
        <v>9898</v>
      </c>
      <c r="AW781" s="3" t="s">
        <v>9899</v>
      </c>
      <c r="AX781" s="3" t="s">
        <v>9899</v>
      </c>
      <c r="AY781" s="3" t="s">
        <v>9900</v>
      </c>
      <c r="AZ781" s="3" t="s">
        <v>76</v>
      </c>
      <c r="BC781" s="3" t="s">
        <v>9901</v>
      </c>
      <c r="BD781" s="3" t="s">
        <v>9902</v>
      </c>
    </row>
    <row r="782" spans="1:56" ht="52.5" customHeight="1" x14ac:dyDescent="0.25">
      <c r="A782" s="7" t="s">
        <v>59</v>
      </c>
      <c r="B782" s="2" t="s">
        <v>9903</v>
      </c>
      <c r="C782" s="2" t="s">
        <v>9904</v>
      </c>
      <c r="D782" s="2" t="s">
        <v>9905</v>
      </c>
      <c r="F782" s="3" t="s">
        <v>59</v>
      </c>
      <c r="G782" s="3" t="s">
        <v>60</v>
      </c>
      <c r="H782" s="3" t="s">
        <v>59</v>
      </c>
      <c r="I782" s="3" t="s">
        <v>59</v>
      </c>
      <c r="J782" s="3" t="s">
        <v>61</v>
      </c>
      <c r="K782" s="2" t="s">
        <v>9893</v>
      </c>
      <c r="L782" s="2" t="s">
        <v>9906</v>
      </c>
      <c r="M782" s="3" t="s">
        <v>1467</v>
      </c>
      <c r="O782" s="3" t="s">
        <v>65</v>
      </c>
      <c r="P782" s="3" t="s">
        <v>699</v>
      </c>
      <c r="R782" s="3" t="s">
        <v>68</v>
      </c>
      <c r="S782" s="4">
        <v>1</v>
      </c>
      <c r="T782" s="4">
        <v>1</v>
      </c>
      <c r="U782" s="5" t="s">
        <v>9907</v>
      </c>
      <c r="V782" s="5" t="s">
        <v>9907</v>
      </c>
      <c r="W782" s="5" t="s">
        <v>527</v>
      </c>
      <c r="X782" s="5" t="s">
        <v>527</v>
      </c>
      <c r="Y782" s="4">
        <v>455</v>
      </c>
      <c r="Z782" s="4">
        <v>393</v>
      </c>
      <c r="AA782" s="4">
        <v>394</v>
      </c>
      <c r="AB782" s="4">
        <v>2</v>
      </c>
      <c r="AC782" s="4">
        <v>2</v>
      </c>
      <c r="AD782" s="4">
        <v>20</v>
      </c>
      <c r="AE782" s="4">
        <v>20</v>
      </c>
      <c r="AF782" s="4">
        <v>8</v>
      </c>
      <c r="AG782" s="4">
        <v>8</v>
      </c>
      <c r="AH782" s="4">
        <v>3</v>
      </c>
      <c r="AI782" s="4">
        <v>3</v>
      </c>
      <c r="AJ782" s="4">
        <v>16</v>
      </c>
      <c r="AK782" s="4">
        <v>16</v>
      </c>
      <c r="AL782" s="4">
        <v>1</v>
      </c>
      <c r="AM782" s="4">
        <v>1</v>
      </c>
      <c r="AN782" s="4">
        <v>0</v>
      </c>
      <c r="AO782" s="4">
        <v>0</v>
      </c>
      <c r="AP782" s="3" t="s">
        <v>59</v>
      </c>
      <c r="AQ782" s="3" t="s">
        <v>59</v>
      </c>
      <c r="AS782" s="6" t="str">
        <f>HYPERLINK("https://creighton-primo.hosted.exlibrisgroup.com/primo-explore/search?tab=default_tab&amp;search_scope=EVERYTHING&amp;vid=01CRU&amp;lang=en_US&amp;offset=0&amp;query=any,contains,991001215949702656","Catalog Record")</f>
        <v>Catalog Record</v>
      </c>
      <c r="AT782" s="6" t="str">
        <f>HYPERLINK("http://www.worldcat.org/oclc/194115","WorldCat Record")</f>
        <v>WorldCat Record</v>
      </c>
      <c r="AU782" s="3" t="s">
        <v>9908</v>
      </c>
      <c r="AV782" s="3" t="s">
        <v>9909</v>
      </c>
      <c r="AW782" s="3" t="s">
        <v>9910</v>
      </c>
      <c r="AX782" s="3" t="s">
        <v>9910</v>
      </c>
      <c r="AY782" s="3" t="s">
        <v>9911</v>
      </c>
      <c r="AZ782" s="3" t="s">
        <v>76</v>
      </c>
      <c r="BC782" s="3" t="s">
        <v>9912</v>
      </c>
      <c r="BD782" s="3" t="s">
        <v>9913</v>
      </c>
    </row>
    <row r="783" spans="1:56" ht="52.5" customHeight="1" x14ac:dyDescent="0.25">
      <c r="A783" s="7" t="s">
        <v>59</v>
      </c>
      <c r="B783" s="2" t="s">
        <v>9914</v>
      </c>
      <c r="C783" s="2" t="s">
        <v>9915</v>
      </c>
      <c r="D783" s="2" t="s">
        <v>9916</v>
      </c>
      <c r="F783" s="3" t="s">
        <v>59</v>
      </c>
      <c r="G783" s="3" t="s">
        <v>60</v>
      </c>
      <c r="H783" s="3" t="s">
        <v>59</v>
      </c>
      <c r="I783" s="3" t="s">
        <v>59</v>
      </c>
      <c r="J783" s="3" t="s">
        <v>61</v>
      </c>
      <c r="K783" s="2" t="s">
        <v>9917</v>
      </c>
      <c r="L783" s="2" t="s">
        <v>9918</v>
      </c>
      <c r="M783" s="3" t="s">
        <v>195</v>
      </c>
      <c r="O783" s="3" t="s">
        <v>65</v>
      </c>
      <c r="P783" s="3" t="s">
        <v>66</v>
      </c>
      <c r="R783" s="3" t="s">
        <v>68</v>
      </c>
      <c r="S783" s="4">
        <v>14</v>
      </c>
      <c r="T783" s="4">
        <v>14</v>
      </c>
      <c r="U783" s="5" t="s">
        <v>9919</v>
      </c>
      <c r="V783" s="5" t="s">
        <v>9919</v>
      </c>
      <c r="W783" s="5" t="s">
        <v>3251</v>
      </c>
      <c r="X783" s="5" t="s">
        <v>3251</v>
      </c>
      <c r="Y783" s="4">
        <v>332</v>
      </c>
      <c r="Z783" s="4">
        <v>256</v>
      </c>
      <c r="AA783" s="4">
        <v>279</v>
      </c>
      <c r="AB783" s="4">
        <v>4</v>
      </c>
      <c r="AC783" s="4">
        <v>5</v>
      </c>
      <c r="AD783" s="4">
        <v>5</v>
      </c>
      <c r="AE783" s="4">
        <v>6</v>
      </c>
      <c r="AF783" s="4">
        <v>1</v>
      </c>
      <c r="AG783" s="4">
        <v>1</v>
      </c>
      <c r="AH783" s="4">
        <v>1</v>
      </c>
      <c r="AI783" s="4">
        <v>1</v>
      </c>
      <c r="AJ783" s="4">
        <v>3</v>
      </c>
      <c r="AK783" s="4">
        <v>3</v>
      </c>
      <c r="AL783" s="4">
        <v>1</v>
      </c>
      <c r="AM783" s="4">
        <v>2</v>
      </c>
      <c r="AN783" s="4">
        <v>0</v>
      </c>
      <c r="AO783" s="4">
        <v>0</v>
      </c>
      <c r="AP783" s="3" t="s">
        <v>59</v>
      </c>
      <c r="AQ783" s="3" t="s">
        <v>59</v>
      </c>
      <c r="AS783" s="6" t="str">
        <f>HYPERLINK("https://creighton-primo.hosted.exlibrisgroup.com/primo-explore/search?tab=default_tab&amp;search_scope=EVERYTHING&amp;vid=01CRU&amp;lang=en_US&amp;offset=0&amp;query=any,contains,991005222779702656","Catalog Record")</f>
        <v>Catalog Record</v>
      </c>
      <c r="AT783" s="6" t="str">
        <f>HYPERLINK("http://www.worldcat.org/oclc/8243213","WorldCat Record")</f>
        <v>WorldCat Record</v>
      </c>
      <c r="AU783" s="3" t="s">
        <v>9920</v>
      </c>
      <c r="AV783" s="3" t="s">
        <v>9921</v>
      </c>
      <c r="AW783" s="3" t="s">
        <v>9922</v>
      </c>
      <c r="AX783" s="3" t="s">
        <v>9922</v>
      </c>
      <c r="AY783" s="3" t="s">
        <v>9923</v>
      </c>
      <c r="AZ783" s="3" t="s">
        <v>76</v>
      </c>
      <c r="BB783" s="3" t="s">
        <v>9924</v>
      </c>
      <c r="BC783" s="3" t="s">
        <v>9925</v>
      </c>
      <c r="BD783" s="3" t="s">
        <v>9926</v>
      </c>
    </row>
    <row r="784" spans="1:56" ht="52.5" customHeight="1" x14ac:dyDescent="0.25">
      <c r="A784" s="7" t="s">
        <v>59</v>
      </c>
      <c r="B784" s="2" t="s">
        <v>9927</v>
      </c>
      <c r="C784" s="2" t="s">
        <v>9928</v>
      </c>
      <c r="D784" s="2" t="s">
        <v>9929</v>
      </c>
      <c r="E784" s="3" t="s">
        <v>9930</v>
      </c>
      <c r="F784" s="3" t="s">
        <v>59</v>
      </c>
      <c r="G784" s="3" t="s">
        <v>60</v>
      </c>
      <c r="H784" s="3" t="s">
        <v>59</v>
      </c>
      <c r="I784" s="3" t="s">
        <v>59</v>
      </c>
      <c r="J784" s="3" t="s">
        <v>61</v>
      </c>
      <c r="K784" s="2" t="s">
        <v>9917</v>
      </c>
      <c r="L784" s="2" t="s">
        <v>9918</v>
      </c>
      <c r="M784" s="3" t="s">
        <v>195</v>
      </c>
      <c r="O784" s="3" t="s">
        <v>65</v>
      </c>
      <c r="P784" s="3" t="s">
        <v>66</v>
      </c>
      <c r="R784" s="3" t="s">
        <v>68</v>
      </c>
      <c r="S784" s="4">
        <v>3</v>
      </c>
      <c r="T784" s="4">
        <v>3</v>
      </c>
      <c r="U784" s="5" t="s">
        <v>9919</v>
      </c>
      <c r="V784" s="5" t="s">
        <v>9919</v>
      </c>
      <c r="W784" s="5" t="s">
        <v>9192</v>
      </c>
      <c r="X784" s="5" t="s">
        <v>9192</v>
      </c>
      <c r="Y784" s="4">
        <v>85</v>
      </c>
      <c r="Z784" s="4">
        <v>72</v>
      </c>
      <c r="AA784" s="4">
        <v>72</v>
      </c>
      <c r="AB784" s="4">
        <v>1</v>
      </c>
      <c r="AC784" s="4">
        <v>1</v>
      </c>
      <c r="AD784" s="4">
        <v>2</v>
      </c>
      <c r="AE784" s="4">
        <v>2</v>
      </c>
      <c r="AF784" s="4">
        <v>1</v>
      </c>
      <c r="AG784" s="4">
        <v>1</v>
      </c>
      <c r="AH784" s="4">
        <v>1</v>
      </c>
      <c r="AI784" s="4">
        <v>1</v>
      </c>
      <c r="AJ784" s="4">
        <v>0</v>
      </c>
      <c r="AK784" s="4">
        <v>0</v>
      </c>
      <c r="AL784" s="4">
        <v>0</v>
      </c>
      <c r="AM784" s="4">
        <v>0</v>
      </c>
      <c r="AN784" s="4">
        <v>0</v>
      </c>
      <c r="AO784" s="4">
        <v>0</v>
      </c>
      <c r="AP784" s="3" t="s">
        <v>59</v>
      </c>
      <c r="AQ784" s="3" t="s">
        <v>59</v>
      </c>
      <c r="AS784" s="6" t="str">
        <f>HYPERLINK("https://creighton-primo.hosted.exlibrisgroup.com/primo-explore/search?tab=default_tab&amp;search_scope=EVERYTHING&amp;vid=01CRU&amp;lang=en_US&amp;offset=0&amp;query=any,contains,991000089439702656","Catalog Record")</f>
        <v>Catalog Record</v>
      </c>
      <c r="AT784" s="6" t="str">
        <f>HYPERLINK("http://www.worldcat.org/oclc/8889606","WorldCat Record")</f>
        <v>WorldCat Record</v>
      </c>
      <c r="AU784" s="3" t="s">
        <v>9931</v>
      </c>
      <c r="AV784" s="3" t="s">
        <v>9932</v>
      </c>
      <c r="AW784" s="3" t="s">
        <v>9933</v>
      </c>
      <c r="AX784" s="3" t="s">
        <v>9933</v>
      </c>
      <c r="AY784" s="3" t="s">
        <v>9934</v>
      </c>
      <c r="AZ784" s="3" t="s">
        <v>76</v>
      </c>
      <c r="BC784" s="3" t="s">
        <v>9935</v>
      </c>
      <c r="BD784" s="3" t="s">
        <v>9936</v>
      </c>
    </row>
    <row r="785" spans="1:56" ht="52.5" customHeight="1" x14ac:dyDescent="0.25">
      <c r="A785" s="7" t="s">
        <v>59</v>
      </c>
      <c r="B785" s="2" t="s">
        <v>9937</v>
      </c>
      <c r="C785" s="2" t="s">
        <v>9938</v>
      </c>
      <c r="D785" s="2" t="s">
        <v>9939</v>
      </c>
      <c r="F785" s="3" t="s">
        <v>59</v>
      </c>
      <c r="G785" s="3" t="s">
        <v>60</v>
      </c>
      <c r="H785" s="3" t="s">
        <v>59</v>
      </c>
      <c r="I785" s="3" t="s">
        <v>71</v>
      </c>
      <c r="J785" s="3" t="s">
        <v>61</v>
      </c>
      <c r="K785" s="2" t="s">
        <v>9940</v>
      </c>
      <c r="L785" s="2" t="s">
        <v>4176</v>
      </c>
      <c r="M785" s="3" t="s">
        <v>1000</v>
      </c>
      <c r="N785" s="2" t="s">
        <v>1289</v>
      </c>
      <c r="O785" s="3" t="s">
        <v>65</v>
      </c>
      <c r="P785" s="3" t="s">
        <v>699</v>
      </c>
      <c r="Q785" s="2" t="s">
        <v>9941</v>
      </c>
      <c r="R785" s="3" t="s">
        <v>68</v>
      </c>
      <c r="S785" s="4">
        <v>12</v>
      </c>
      <c r="T785" s="4">
        <v>12</v>
      </c>
      <c r="U785" s="5" t="s">
        <v>9942</v>
      </c>
      <c r="V785" s="5" t="s">
        <v>9942</v>
      </c>
      <c r="W785" s="5" t="s">
        <v>773</v>
      </c>
      <c r="X785" s="5" t="s">
        <v>773</v>
      </c>
      <c r="Y785" s="4">
        <v>512</v>
      </c>
      <c r="Z785" s="4">
        <v>378</v>
      </c>
      <c r="AA785" s="4">
        <v>1150</v>
      </c>
      <c r="AB785" s="4">
        <v>3</v>
      </c>
      <c r="AC785" s="4">
        <v>10</v>
      </c>
      <c r="AD785" s="4">
        <v>19</v>
      </c>
      <c r="AE785" s="4">
        <v>41</v>
      </c>
      <c r="AF785" s="4">
        <v>5</v>
      </c>
      <c r="AG785" s="4">
        <v>15</v>
      </c>
      <c r="AH785" s="4">
        <v>4</v>
      </c>
      <c r="AI785" s="4">
        <v>9</v>
      </c>
      <c r="AJ785" s="4">
        <v>12</v>
      </c>
      <c r="AK785" s="4">
        <v>22</v>
      </c>
      <c r="AL785" s="4">
        <v>2</v>
      </c>
      <c r="AM785" s="4">
        <v>6</v>
      </c>
      <c r="AN785" s="4">
        <v>0</v>
      </c>
      <c r="AO785" s="4">
        <v>0</v>
      </c>
      <c r="AP785" s="3" t="s">
        <v>59</v>
      </c>
      <c r="AQ785" s="3" t="s">
        <v>71</v>
      </c>
      <c r="AR785" s="6" t="str">
        <f>HYPERLINK("http://catalog.hathitrust.org/Record/000715357","HathiTrust Record")</f>
        <v>HathiTrust Record</v>
      </c>
      <c r="AS785" s="6" t="str">
        <f>HYPERLINK("https://creighton-primo.hosted.exlibrisgroup.com/primo-explore/search?tab=default_tab&amp;search_scope=EVERYTHING&amp;vid=01CRU&amp;lang=en_US&amp;offset=0&amp;query=any,contains,991004662069702656","Catalog Record")</f>
        <v>Catalog Record</v>
      </c>
      <c r="AT785" s="6" t="str">
        <f>HYPERLINK("http://www.worldcat.org/oclc/4497434","WorldCat Record")</f>
        <v>WorldCat Record</v>
      </c>
      <c r="AU785" s="3" t="s">
        <v>9943</v>
      </c>
      <c r="AV785" s="3" t="s">
        <v>9944</v>
      </c>
      <c r="AW785" s="3" t="s">
        <v>9945</v>
      </c>
      <c r="AX785" s="3" t="s">
        <v>9945</v>
      </c>
      <c r="AY785" s="3" t="s">
        <v>9946</v>
      </c>
      <c r="AZ785" s="3" t="s">
        <v>76</v>
      </c>
      <c r="BB785" s="3" t="s">
        <v>9947</v>
      </c>
      <c r="BC785" s="3" t="s">
        <v>9948</v>
      </c>
      <c r="BD785" s="3" t="s">
        <v>9949</v>
      </c>
    </row>
    <row r="786" spans="1:56" ht="52.5" customHeight="1" x14ac:dyDescent="0.25">
      <c r="A786" s="7" t="s">
        <v>59</v>
      </c>
      <c r="B786" s="2" t="s">
        <v>9950</v>
      </c>
      <c r="C786" s="2" t="s">
        <v>9951</v>
      </c>
      <c r="D786" s="2" t="s">
        <v>9952</v>
      </c>
      <c r="F786" s="3" t="s">
        <v>59</v>
      </c>
      <c r="G786" s="3" t="s">
        <v>60</v>
      </c>
      <c r="H786" s="3" t="s">
        <v>59</v>
      </c>
      <c r="I786" s="3" t="s">
        <v>59</v>
      </c>
      <c r="J786" s="3" t="s">
        <v>61</v>
      </c>
      <c r="K786" s="2" t="s">
        <v>9953</v>
      </c>
      <c r="L786" s="2" t="s">
        <v>9763</v>
      </c>
      <c r="M786" s="3" t="s">
        <v>350</v>
      </c>
      <c r="O786" s="3" t="s">
        <v>65</v>
      </c>
      <c r="P786" s="3" t="s">
        <v>296</v>
      </c>
      <c r="R786" s="3" t="s">
        <v>68</v>
      </c>
      <c r="S786" s="4">
        <v>2</v>
      </c>
      <c r="T786" s="4">
        <v>2</v>
      </c>
      <c r="U786" s="5" t="s">
        <v>9177</v>
      </c>
      <c r="V786" s="5" t="s">
        <v>9177</v>
      </c>
      <c r="W786" s="5" t="s">
        <v>8379</v>
      </c>
      <c r="X786" s="5" t="s">
        <v>8379</v>
      </c>
      <c r="Y786" s="4">
        <v>259</v>
      </c>
      <c r="Z786" s="4">
        <v>218</v>
      </c>
      <c r="AA786" s="4">
        <v>224</v>
      </c>
      <c r="AB786" s="4">
        <v>2</v>
      </c>
      <c r="AC786" s="4">
        <v>2</v>
      </c>
      <c r="AD786" s="4">
        <v>7</v>
      </c>
      <c r="AE786" s="4">
        <v>7</v>
      </c>
      <c r="AF786" s="4">
        <v>3</v>
      </c>
      <c r="AG786" s="4">
        <v>3</v>
      </c>
      <c r="AH786" s="4">
        <v>0</v>
      </c>
      <c r="AI786" s="4">
        <v>0</v>
      </c>
      <c r="AJ786" s="4">
        <v>4</v>
      </c>
      <c r="AK786" s="4">
        <v>4</v>
      </c>
      <c r="AL786" s="4">
        <v>1</v>
      </c>
      <c r="AM786" s="4">
        <v>1</v>
      </c>
      <c r="AN786" s="4">
        <v>0</v>
      </c>
      <c r="AO786" s="4">
        <v>0</v>
      </c>
      <c r="AP786" s="3" t="s">
        <v>59</v>
      </c>
      <c r="AQ786" s="3" t="s">
        <v>71</v>
      </c>
      <c r="AR786" s="6" t="str">
        <f>HYPERLINK("http://catalog.hathitrust.org/Record/000093767","HathiTrust Record")</f>
        <v>HathiTrust Record</v>
      </c>
      <c r="AS786" s="6" t="str">
        <f>HYPERLINK("https://creighton-primo.hosted.exlibrisgroup.com/primo-explore/search?tab=default_tab&amp;search_scope=EVERYTHING&amp;vid=01CRU&amp;lang=en_US&amp;offset=0&amp;query=any,contains,991004494069702656","Catalog Record")</f>
        <v>Catalog Record</v>
      </c>
      <c r="AT786" s="6" t="str">
        <f>HYPERLINK("http://www.worldcat.org/oclc/3681545","WorldCat Record")</f>
        <v>WorldCat Record</v>
      </c>
      <c r="AU786" s="3" t="s">
        <v>9954</v>
      </c>
      <c r="AV786" s="3" t="s">
        <v>9955</v>
      </c>
      <c r="AW786" s="3" t="s">
        <v>9956</v>
      </c>
      <c r="AX786" s="3" t="s">
        <v>9956</v>
      </c>
      <c r="AY786" s="3" t="s">
        <v>9957</v>
      </c>
      <c r="AZ786" s="3" t="s">
        <v>76</v>
      </c>
      <c r="BB786" s="3" t="s">
        <v>9958</v>
      </c>
      <c r="BC786" s="3" t="s">
        <v>9959</v>
      </c>
      <c r="BD786" s="3" t="s">
        <v>9960</v>
      </c>
    </row>
    <row r="787" spans="1:56" ht="52.5" customHeight="1" x14ac:dyDescent="0.25">
      <c r="A787" s="7" t="s">
        <v>59</v>
      </c>
      <c r="B787" s="2" t="s">
        <v>9961</v>
      </c>
      <c r="C787" s="2" t="s">
        <v>9962</v>
      </c>
      <c r="D787" s="2" t="s">
        <v>9963</v>
      </c>
      <c r="F787" s="3" t="s">
        <v>59</v>
      </c>
      <c r="G787" s="3" t="s">
        <v>60</v>
      </c>
      <c r="H787" s="3" t="s">
        <v>59</v>
      </c>
      <c r="I787" s="3" t="s">
        <v>59</v>
      </c>
      <c r="J787" s="3" t="s">
        <v>61</v>
      </c>
      <c r="K787" s="2" t="s">
        <v>9964</v>
      </c>
      <c r="L787" s="2" t="s">
        <v>9965</v>
      </c>
      <c r="M787" s="3" t="s">
        <v>616</v>
      </c>
      <c r="O787" s="3" t="s">
        <v>65</v>
      </c>
      <c r="P787" s="3" t="s">
        <v>699</v>
      </c>
      <c r="R787" s="3" t="s">
        <v>68</v>
      </c>
      <c r="S787" s="4">
        <v>13</v>
      </c>
      <c r="T787" s="4">
        <v>13</v>
      </c>
      <c r="U787" s="5" t="s">
        <v>9966</v>
      </c>
      <c r="V787" s="5" t="s">
        <v>9966</v>
      </c>
      <c r="W787" s="5" t="s">
        <v>5936</v>
      </c>
      <c r="X787" s="5" t="s">
        <v>5936</v>
      </c>
      <c r="Y787" s="4">
        <v>124</v>
      </c>
      <c r="Z787" s="4">
        <v>98</v>
      </c>
      <c r="AA787" s="4">
        <v>206</v>
      </c>
      <c r="AB787" s="4">
        <v>1</v>
      </c>
      <c r="AC787" s="4">
        <v>1</v>
      </c>
      <c r="AD787" s="4">
        <v>3</v>
      </c>
      <c r="AE787" s="4">
        <v>8</v>
      </c>
      <c r="AF787" s="4">
        <v>1</v>
      </c>
      <c r="AG787" s="4">
        <v>4</v>
      </c>
      <c r="AH787" s="4">
        <v>1</v>
      </c>
      <c r="AI787" s="4">
        <v>2</v>
      </c>
      <c r="AJ787" s="4">
        <v>3</v>
      </c>
      <c r="AK787" s="4">
        <v>5</v>
      </c>
      <c r="AL787" s="4">
        <v>0</v>
      </c>
      <c r="AM787" s="4">
        <v>0</v>
      </c>
      <c r="AN787" s="4">
        <v>0</v>
      </c>
      <c r="AO787" s="4">
        <v>0</v>
      </c>
      <c r="AP787" s="3" t="s">
        <v>59</v>
      </c>
      <c r="AQ787" s="3" t="s">
        <v>71</v>
      </c>
      <c r="AR787" s="6" t="str">
        <f>HYPERLINK("http://catalog.hathitrust.org/Record/000919264","HathiTrust Record")</f>
        <v>HathiTrust Record</v>
      </c>
      <c r="AS787" s="6" t="str">
        <f>HYPERLINK("https://creighton-primo.hosted.exlibrisgroup.com/primo-explore/search?tab=default_tab&amp;search_scope=EVERYTHING&amp;vid=01CRU&amp;lang=en_US&amp;offset=0&amp;query=any,contains,991001165279702656","Catalog Record")</f>
        <v>Catalog Record</v>
      </c>
      <c r="AT787" s="6" t="str">
        <f>HYPERLINK("http://www.worldcat.org/oclc/16922774","WorldCat Record")</f>
        <v>WorldCat Record</v>
      </c>
      <c r="AU787" s="3" t="s">
        <v>9967</v>
      </c>
      <c r="AV787" s="3" t="s">
        <v>9968</v>
      </c>
      <c r="AW787" s="3" t="s">
        <v>9969</v>
      </c>
      <c r="AX787" s="3" t="s">
        <v>9969</v>
      </c>
      <c r="AY787" s="3" t="s">
        <v>9970</v>
      </c>
      <c r="AZ787" s="3" t="s">
        <v>76</v>
      </c>
      <c r="BB787" s="3" t="s">
        <v>9971</v>
      </c>
      <c r="BC787" s="3" t="s">
        <v>9972</v>
      </c>
      <c r="BD787" s="3" t="s">
        <v>9973</v>
      </c>
    </row>
    <row r="788" spans="1:56" ht="52.5" customHeight="1" x14ac:dyDescent="0.25">
      <c r="A788" s="7" t="s">
        <v>59</v>
      </c>
      <c r="B788" s="2" t="s">
        <v>9974</v>
      </c>
      <c r="C788" s="2" t="s">
        <v>9975</v>
      </c>
      <c r="D788" s="2" t="s">
        <v>9976</v>
      </c>
      <c r="F788" s="3" t="s">
        <v>59</v>
      </c>
      <c r="G788" s="3" t="s">
        <v>60</v>
      </c>
      <c r="H788" s="3" t="s">
        <v>59</v>
      </c>
      <c r="I788" s="3" t="s">
        <v>59</v>
      </c>
      <c r="J788" s="3" t="s">
        <v>61</v>
      </c>
      <c r="K788" s="2" t="s">
        <v>9977</v>
      </c>
      <c r="L788" s="2" t="s">
        <v>9978</v>
      </c>
      <c r="M788" s="3" t="s">
        <v>254</v>
      </c>
      <c r="O788" s="3" t="s">
        <v>65</v>
      </c>
      <c r="P788" s="3" t="s">
        <v>66</v>
      </c>
      <c r="R788" s="3" t="s">
        <v>68</v>
      </c>
      <c r="S788" s="4">
        <v>3</v>
      </c>
      <c r="T788" s="4">
        <v>3</v>
      </c>
      <c r="U788" s="5" t="s">
        <v>9979</v>
      </c>
      <c r="V788" s="5" t="s">
        <v>9979</v>
      </c>
      <c r="W788" s="5" t="s">
        <v>5437</v>
      </c>
      <c r="X788" s="5" t="s">
        <v>5437</v>
      </c>
      <c r="Y788" s="4">
        <v>811</v>
      </c>
      <c r="Z788" s="4">
        <v>655</v>
      </c>
      <c r="AA788" s="4">
        <v>662</v>
      </c>
      <c r="AB788" s="4">
        <v>5</v>
      </c>
      <c r="AC788" s="4">
        <v>5</v>
      </c>
      <c r="AD788" s="4">
        <v>24</v>
      </c>
      <c r="AE788" s="4">
        <v>24</v>
      </c>
      <c r="AF788" s="4">
        <v>7</v>
      </c>
      <c r="AG788" s="4">
        <v>7</v>
      </c>
      <c r="AH788" s="4">
        <v>4</v>
      </c>
      <c r="AI788" s="4">
        <v>4</v>
      </c>
      <c r="AJ788" s="4">
        <v>16</v>
      </c>
      <c r="AK788" s="4">
        <v>16</v>
      </c>
      <c r="AL788" s="4">
        <v>4</v>
      </c>
      <c r="AM788" s="4">
        <v>4</v>
      </c>
      <c r="AN788" s="4">
        <v>0</v>
      </c>
      <c r="AO788" s="4">
        <v>0</v>
      </c>
      <c r="AP788" s="3" t="s">
        <v>59</v>
      </c>
      <c r="AQ788" s="3" t="s">
        <v>71</v>
      </c>
      <c r="AR788" s="6" t="str">
        <f>HYPERLINK("http://catalog.hathitrust.org/Record/000386434","HathiTrust Record")</f>
        <v>HathiTrust Record</v>
      </c>
      <c r="AS788" s="6" t="str">
        <f>HYPERLINK("https://creighton-primo.hosted.exlibrisgroup.com/primo-explore/search?tab=default_tab&amp;search_scope=EVERYTHING&amp;vid=01CRU&amp;lang=en_US&amp;offset=0&amp;query=any,contains,991000650229702656","Catalog Record")</f>
        <v>Catalog Record</v>
      </c>
      <c r="AT788" s="6" t="str">
        <f>HYPERLINK("http://www.worldcat.org/oclc/112894","WorldCat Record")</f>
        <v>WorldCat Record</v>
      </c>
      <c r="AU788" s="3" t="s">
        <v>9980</v>
      </c>
      <c r="AV788" s="3" t="s">
        <v>9981</v>
      </c>
      <c r="AW788" s="3" t="s">
        <v>9982</v>
      </c>
      <c r="AX788" s="3" t="s">
        <v>9982</v>
      </c>
      <c r="AY788" s="3" t="s">
        <v>9983</v>
      </c>
      <c r="AZ788" s="3" t="s">
        <v>76</v>
      </c>
      <c r="BB788" s="3" t="s">
        <v>9984</v>
      </c>
      <c r="BC788" s="3" t="s">
        <v>9985</v>
      </c>
      <c r="BD788" s="3" t="s">
        <v>9986</v>
      </c>
    </row>
    <row r="789" spans="1:56" ht="52.5" customHeight="1" x14ac:dyDescent="0.25">
      <c r="A789" s="7" t="s">
        <v>59</v>
      </c>
      <c r="B789" s="2" t="s">
        <v>9987</v>
      </c>
      <c r="C789" s="2" t="s">
        <v>9988</v>
      </c>
      <c r="D789" s="2" t="s">
        <v>9989</v>
      </c>
      <c r="F789" s="3" t="s">
        <v>59</v>
      </c>
      <c r="G789" s="3" t="s">
        <v>60</v>
      </c>
      <c r="H789" s="3" t="s">
        <v>59</v>
      </c>
      <c r="I789" s="3" t="s">
        <v>59</v>
      </c>
      <c r="J789" s="3" t="s">
        <v>61</v>
      </c>
      <c r="K789" s="2" t="s">
        <v>9977</v>
      </c>
      <c r="L789" s="2" t="s">
        <v>9990</v>
      </c>
      <c r="M789" s="3" t="s">
        <v>1000</v>
      </c>
      <c r="N789" s="2" t="s">
        <v>887</v>
      </c>
      <c r="O789" s="3" t="s">
        <v>65</v>
      </c>
      <c r="P789" s="3" t="s">
        <v>283</v>
      </c>
      <c r="R789" s="3" t="s">
        <v>68</v>
      </c>
      <c r="S789" s="4">
        <v>7</v>
      </c>
      <c r="T789" s="4">
        <v>7</v>
      </c>
      <c r="U789" s="5" t="s">
        <v>9991</v>
      </c>
      <c r="V789" s="5" t="s">
        <v>9991</v>
      </c>
      <c r="W789" s="5" t="s">
        <v>2164</v>
      </c>
      <c r="X789" s="5" t="s">
        <v>2164</v>
      </c>
      <c r="Y789" s="4">
        <v>372</v>
      </c>
      <c r="Z789" s="4">
        <v>293</v>
      </c>
      <c r="AA789" s="4">
        <v>314</v>
      </c>
      <c r="AB789" s="4">
        <v>3</v>
      </c>
      <c r="AC789" s="4">
        <v>3</v>
      </c>
      <c r="AD789" s="4">
        <v>9</v>
      </c>
      <c r="AE789" s="4">
        <v>11</v>
      </c>
      <c r="AF789" s="4">
        <v>3</v>
      </c>
      <c r="AG789" s="4">
        <v>5</v>
      </c>
      <c r="AH789" s="4">
        <v>2</v>
      </c>
      <c r="AI789" s="4">
        <v>2</v>
      </c>
      <c r="AJ789" s="4">
        <v>6</v>
      </c>
      <c r="AK789" s="4">
        <v>6</v>
      </c>
      <c r="AL789" s="4">
        <v>2</v>
      </c>
      <c r="AM789" s="4">
        <v>2</v>
      </c>
      <c r="AN789" s="4">
        <v>0</v>
      </c>
      <c r="AO789" s="4">
        <v>0</v>
      </c>
      <c r="AP789" s="3" t="s">
        <v>59</v>
      </c>
      <c r="AQ789" s="3" t="s">
        <v>59</v>
      </c>
      <c r="AS789" s="6" t="str">
        <f>HYPERLINK("https://creighton-primo.hosted.exlibrisgroup.com/primo-explore/search?tab=default_tab&amp;search_scope=EVERYTHING&amp;vid=01CRU&amp;lang=en_US&amp;offset=0&amp;query=any,contains,991004770619702656","Catalog Record")</f>
        <v>Catalog Record</v>
      </c>
      <c r="AT789" s="6" t="str">
        <f>HYPERLINK("http://www.worldcat.org/oclc/5057951","WorldCat Record")</f>
        <v>WorldCat Record</v>
      </c>
      <c r="AU789" s="3" t="s">
        <v>9992</v>
      </c>
      <c r="AV789" s="3" t="s">
        <v>9993</v>
      </c>
      <c r="AW789" s="3" t="s">
        <v>9994</v>
      </c>
      <c r="AX789" s="3" t="s">
        <v>9994</v>
      </c>
      <c r="AY789" s="3" t="s">
        <v>9995</v>
      </c>
      <c r="AZ789" s="3" t="s">
        <v>76</v>
      </c>
      <c r="BB789" s="3" t="s">
        <v>9996</v>
      </c>
      <c r="BC789" s="3" t="s">
        <v>9997</v>
      </c>
      <c r="BD789" s="3" t="s">
        <v>9998</v>
      </c>
    </row>
    <row r="790" spans="1:56" ht="52.5" customHeight="1" x14ac:dyDescent="0.25">
      <c r="A790" s="7" t="s">
        <v>59</v>
      </c>
      <c r="B790" s="2" t="s">
        <v>9999</v>
      </c>
      <c r="C790" s="2" t="s">
        <v>10000</v>
      </c>
      <c r="D790" s="2" t="s">
        <v>10001</v>
      </c>
      <c r="F790" s="3" t="s">
        <v>59</v>
      </c>
      <c r="G790" s="3" t="s">
        <v>60</v>
      </c>
      <c r="H790" s="3" t="s">
        <v>59</v>
      </c>
      <c r="I790" s="3" t="s">
        <v>59</v>
      </c>
      <c r="J790" s="3" t="s">
        <v>61</v>
      </c>
      <c r="K790" s="2" t="s">
        <v>10002</v>
      </c>
      <c r="L790" s="2" t="s">
        <v>10003</v>
      </c>
      <c r="M790" s="3" t="s">
        <v>2389</v>
      </c>
      <c r="O790" s="3" t="s">
        <v>65</v>
      </c>
      <c r="P790" s="3" t="s">
        <v>1218</v>
      </c>
      <c r="R790" s="3" t="s">
        <v>68</v>
      </c>
      <c r="S790" s="4">
        <v>1</v>
      </c>
      <c r="T790" s="4">
        <v>1</v>
      </c>
      <c r="U790" s="5" t="s">
        <v>9802</v>
      </c>
      <c r="V790" s="5" t="s">
        <v>9802</v>
      </c>
      <c r="W790" s="5" t="s">
        <v>9570</v>
      </c>
      <c r="X790" s="5" t="s">
        <v>9570</v>
      </c>
      <c r="Y790" s="4">
        <v>116</v>
      </c>
      <c r="Z790" s="4">
        <v>110</v>
      </c>
      <c r="AA790" s="4">
        <v>110</v>
      </c>
      <c r="AB790" s="4">
        <v>1</v>
      </c>
      <c r="AC790" s="4">
        <v>1</v>
      </c>
      <c r="AD790" s="4">
        <v>6</v>
      </c>
      <c r="AE790" s="4">
        <v>6</v>
      </c>
      <c r="AF790" s="4">
        <v>3</v>
      </c>
      <c r="AG790" s="4">
        <v>3</v>
      </c>
      <c r="AH790" s="4">
        <v>0</v>
      </c>
      <c r="AI790" s="4">
        <v>0</v>
      </c>
      <c r="AJ790" s="4">
        <v>5</v>
      </c>
      <c r="AK790" s="4">
        <v>5</v>
      </c>
      <c r="AL790" s="4">
        <v>0</v>
      </c>
      <c r="AM790" s="4">
        <v>0</v>
      </c>
      <c r="AN790" s="4">
        <v>0</v>
      </c>
      <c r="AO790" s="4">
        <v>0</v>
      </c>
      <c r="AP790" s="3" t="s">
        <v>59</v>
      </c>
      <c r="AQ790" s="3" t="s">
        <v>59</v>
      </c>
      <c r="AR790" s="6" t="str">
        <f>HYPERLINK("http://catalog.hathitrust.org/Record/006754251","HathiTrust Record")</f>
        <v>HathiTrust Record</v>
      </c>
      <c r="AS790" s="6" t="str">
        <f>HYPERLINK("https://creighton-primo.hosted.exlibrisgroup.com/primo-explore/search?tab=default_tab&amp;search_scope=EVERYTHING&amp;vid=01CRU&amp;lang=en_US&amp;offset=0&amp;query=any,contains,991002262039702656","Catalog Record")</f>
        <v>Catalog Record</v>
      </c>
      <c r="AT790" s="6" t="str">
        <f>HYPERLINK("http://www.worldcat.org/oclc/304863","WorldCat Record")</f>
        <v>WorldCat Record</v>
      </c>
      <c r="AU790" s="3" t="s">
        <v>10004</v>
      </c>
      <c r="AV790" s="3" t="s">
        <v>10005</v>
      </c>
      <c r="AW790" s="3" t="s">
        <v>10006</v>
      </c>
      <c r="AX790" s="3" t="s">
        <v>10006</v>
      </c>
      <c r="AY790" s="3" t="s">
        <v>10007</v>
      </c>
      <c r="AZ790" s="3" t="s">
        <v>76</v>
      </c>
      <c r="BC790" s="3" t="s">
        <v>10008</v>
      </c>
      <c r="BD790" s="3" t="s">
        <v>10009</v>
      </c>
    </row>
    <row r="791" spans="1:56" ht="52.5" customHeight="1" x14ac:dyDescent="0.25">
      <c r="A791" s="7" t="s">
        <v>59</v>
      </c>
      <c r="B791" s="2" t="s">
        <v>10010</v>
      </c>
      <c r="C791" s="2" t="s">
        <v>10011</v>
      </c>
      <c r="D791" s="2" t="s">
        <v>10012</v>
      </c>
      <c r="F791" s="3" t="s">
        <v>59</v>
      </c>
      <c r="G791" s="3" t="s">
        <v>60</v>
      </c>
      <c r="H791" s="3" t="s">
        <v>59</v>
      </c>
      <c r="I791" s="3" t="s">
        <v>59</v>
      </c>
      <c r="J791" s="3" t="s">
        <v>61</v>
      </c>
      <c r="L791" s="2" t="s">
        <v>10013</v>
      </c>
      <c r="M791" s="3" t="s">
        <v>309</v>
      </c>
      <c r="O791" s="3" t="s">
        <v>65</v>
      </c>
      <c r="P791" s="3" t="s">
        <v>296</v>
      </c>
      <c r="Q791" s="2" t="s">
        <v>10014</v>
      </c>
      <c r="R791" s="3" t="s">
        <v>68</v>
      </c>
      <c r="S791" s="4">
        <v>13</v>
      </c>
      <c r="T791" s="4">
        <v>13</v>
      </c>
      <c r="U791" s="5" t="s">
        <v>10015</v>
      </c>
      <c r="V791" s="5" t="s">
        <v>10015</v>
      </c>
      <c r="W791" s="5" t="s">
        <v>1085</v>
      </c>
      <c r="X791" s="5" t="s">
        <v>1085</v>
      </c>
      <c r="Y791" s="4">
        <v>230</v>
      </c>
      <c r="Z791" s="4">
        <v>173</v>
      </c>
      <c r="AA791" s="4">
        <v>181</v>
      </c>
      <c r="AB791" s="4">
        <v>2</v>
      </c>
      <c r="AC791" s="4">
        <v>2</v>
      </c>
      <c r="AD791" s="4">
        <v>6</v>
      </c>
      <c r="AE791" s="4">
        <v>6</v>
      </c>
      <c r="AF791" s="4">
        <v>3</v>
      </c>
      <c r="AG791" s="4">
        <v>3</v>
      </c>
      <c r="AH791" s="4">
        <v>1</v>
      </c>
      <c r="AI791" s="4">
        <v>1</v>
      </c>
      <c r="AJ791" s="4">
        <v>5</v>
      </c>
      <c r="AK791" s="4">
        <v>5</v>
      </c>
      <c r="AL791" s="4">
        <v>0</v>
      </c>
      <c r="AM791" s="4">
        <v>0</v>
      </c>
      <c r="AN791" s="4">
        <v>0</v>
      </c>
      <c r="AO791" s="4">
        <v>0</v>
      </c>
      <c r="AP791" s="3" t="s">
        <v>59</v>
      </c>
      <c r="AQ791" s="3" t="s">
        <v>71</v>
      </c>
      <c r="AR791" s="6" t="str">
        <f>HYPERLINK("http://catalog.hathitrust.org/Record/000175047","HathiTrust Record")</f>
        <v>HathiTrust Record</v>
      </c>
      <c r="AS791" s="6" t="str">
        <f>HYPERLINK("https://creighton-primo.hosted.exlibrisgroup.com/primo-explore/search?tab=default_tab&amp;search_scope=EVERYTHING&amp;vid=01CRU&amp;lang=en_US&amp;offset=0&amp;query=any,contains,991004663999702656","Catalog Record")</f>
        <v>Catalog Record</v>
      </c>
      <c r="AT791" s="6" t="str">
        <f>HYPERLINK("http://www.worldcat.org/oclc/4499719","WorldCat Record")</f>
        <v>WorldCat Record</v>
      </c>
      <c r="AU791" s="3" t="s">
        <v>10016</v>
      </c>
      <c r="AV791" s="3" t="s">
        <v>10017</v>
      </c>
      <c r="AW791" s="3" t="s">
        <v>10018</v>
      </c>
      <c r="AX791" s="3" t="s">
        <v>10018</v>
      </c>
      <c r="AY791" s="3" t="s">
        <v>10019</v>
      </c>
      <c r="AZ791" s="3" t="s">
        <v>76</v>
      </c>
      <c r="BC791" s="3" t="s">
        <v>10020</v>
      </c>
      <c r="BD791" s="3" t="s">
        <v>10021</v>
      </c>
    </row>
    <row r="792" spans="1:56" ht="52.5" customHeight="1" x14ac:dyDescent="0.25">
      <c r="A792" s="7" t="s">
        <v>59</v>
      </c>
      <c r="B792" s="2" t="s">
        <v>10022</v>
      </c>
      <c r="C792" s="2" t="s">
        <v>10023</v>
      </c>
      <c r="D792" s="2" t="s">
        <v>10024</v>
      </c>
      <c r="F792" s="3" t="s">
        <v>59</v>
      </c>
      <c r="G792" s="3" t="s">
        <v>60</v>
      </c>
      <c r="H792" s="3" t="s">
        <v>71</v>
      </c>
      <c r="I792" s="3" t="s">
        <v>59</v>
      </c>
      <c r="J792" s="3" t="s">
        <v>61</v>
      </c>
      <c r="K792" s="2" t="s">
        <v>10025</v>
      </c>
      <c r="L792" s="2" t="s">
        <v>10026</v>
      </c>
      <c r="M792" s="3" t="s">
        <v>1015</v>
      </c>
      <c r="O792" s="3" t="s">
        <v>65</v>
      </c>
      <c r="P792" s="3" t="s">
        <v>66</v>
      </c>
      <c r="R792" s="3" t="s">
        <v>68</v>
      </c>
      <c r="S792" s="4">
        <v>2</v>
      </c>
      <c r="T792" s="4">
        <v>3</v>
      </c>
      <c r="U792" s="5" t="s">
        <v>9869</v>
      </c>
      <c r="V792" s="5" t="s">
        <v>9869</v>
      </c>
      <c r="W792" s="5" t="s">
        <v>10027</v>
      </c>
      <c r="X792" s="5" t="s">
        <v>10027</v>
      </c>
      <c r="Y792" s="4">
        <v>444</v>
      </c>
      <c r="Z792" s="4">
        <v>389</v>
      </c>
      <c r="AA792" s="4">
        <v>464</v>
      </c>
      <c r="AB792" s="4">
        <v>8</v>
      </c>
      <c r="AC792" s="4">
        <v>8</v>
      </c>
      <c r="AD792" s="4">
        <v>27</v>
      </c>
      <c r="AE792" s="4">
        <v>32</v>
      </c>
      <c r="AF792" s="4">
        <v>6</v>
      </c>
      <c r="AG792" s="4">
        <v>8</v>
      </c>
      <c r="AH792" s="4">
        <v>8</v>
      </c>
      <c r="AI792" s="4">
        <v>10</v>
      </c>
      <c r="AJ792" s="4">
        <v>17</v>
      </c>
      <c r="AK792" s="4">
        <v>18</v>
      </c>
      <c r="AL792" s="4">
        <v>4</v>
      </c>
      <c r="AM792" s="4">
        <v>4</v>
      </c>
      <c r="AN792" s="4">
        <v>0</v>
      </c>
      <c r="AO792" s="4">
        <v>0</v>
      </c>
      <c r="AP792" s="3" t="s">
        <v>59</v>
      </c>
      <c r="AQ792" s="3" t="s">
        <v>71</v>
      </c>
      <c r="AR792" s="6" t="str">
        <f>HYPERLINK("http://catalog.hathitrust.org/Record/004508869","HathiTrust Record")</f>
        <v>HathiTrust Record</v>
      </c>
      <c r="AS792" s="6" t="str">
        <f>HYPERLINK("https://creighton-primo.hosted.exlibrisgroup.com/primo-explore/search?tab=default_tab&amp;search_scope=EVERYTHING&amp;vid=01CRU&amp;lang=en_US&amp;offset=0&amp;query=any,contains,991001785639702656","Catalog Record")</f>
        <v>Catalog Record</v>
      </c>
      <c r="AT792" s="6" t="str">
        <f>HYPERLINK("http://www.worldcat.org/oclc/21263","WorldCat Record")</f>
        <v>WorldCat Record</v>
      </c>
      <c r="AU792" s="3" t="s">
        <v>10028</v>
      </c>
      <c r="AV792" s="3" t="s">
        <v>10029</v>
      </c>
      <c r="AW792" s="3" t="s">
        <v>10030</v>
      </c>
      <c r="AX792" s="3" t="s">
        <v>10030</v>
      </c>
      <c r="AY792" s="3" t="s">
        <v>10031</v>
      </c>
      <c r="AZ792" s="3" t="s">
        <v>76</v>
      </c>
      <c r="BC792" s="3" t="s">
        <v>10032</v>
      </c>
      <c r="BD792" s="3" t="s">
        <v>10033</v>
      </c>
    </row>
    <row r="793" spans="1:56" ht="52.5" customHeight="1" x14ac:dyDescent="0.25">
      <c r="A793" s="7" t="s">
        <v>59</v>
      </c>
      <c r="B793" s="2" t="s">
        <v>10034</v>
      </c>
      <c r="C793" s="2" t="s">
        <v>10035</v>
      </c>
      <c r="D793" s="2" t="s">
        <v>10036</v>
      </c>
      <c r="F793" s="3" t="s">
        <v>59</v>
      </c>
      <c r="G793" s="3" t="s">
        <v>60</v>
      </c>
      <c r="H793" s="3" t="s">
        <v>59</v>
      </c>
      <c r="I793" s="3" t="s">
        <v>59</v>
      </c>
      <c r="J793" s="3" t="s">
        <v>61</v>
      </c>
      <c r="K793" s="2" t="s">
        <v>10037</v>
      </c>
      <c r="L793" s="2" t="s">
        <v>10038</v>
      </c>
      <c r="M793" s="3" t="s">
        <v>115</v>
      </c>
      <c r="O793" s="3" t="s">
        <v>65</v>
      </c>
      <c r="P793" s="3" t="s">
        <v>283</v>
      </c>
      <c r="R793" s="3" t="s">
        <v>68</v>
      </c>
      <c r="S793" s="4">
        <v>10</v>
      </c>
      <c r="T793" s="4">
        <v>10</v>
      </c>
      <c r="U793" s="5" t="s">
        <v>10039</v>
      </c>
      <c r="V793" s="5" t="s">
        <v>10039</v>
      </c>
      <c r="W793" s="5" t="s">
        <v>527</v>
      </c>
      <c r="X793" s="5" t="s">
        <v>527</v>
      </c>
      <c r="Y793" s="4">
        <v>399</v>
      </c>
      <c r="Z793" s="4">
        <v>316</v>
      </c>
      <c r="AA793" s="4">
        <v>324</v>
      </c>
      <c r="AB793" s="4">
        <v>3</v>
      </c>
      <c r="AC793" s="4">
        <v>3</v>
      </c>
      <c r="AD793" s="4">
        <v>14</v>
      </c>
      <c r="AE793" s="4">
        <v>14</v>
      </c>
      <c r="AF793" s="4">
        <v>7</v>
      </c>
      <c r="AG793" s="4">
        <v>7</v>
      </c>
      <c r="AH793" s="4">
        <v>3</v>
      </c>
      <c r="AI793" s="4">
        <v>3</v>
      </c>
      <c r="AJ793" s="4">
        <v>8</v>
      </c>
      <c r="AK793" s="4">
        <v>8</v>
      </c>
      <c r="AL793" s="4">
        <v>2</v>
      </c>
      <c r="AM793" s="4">
        <v>2</v>
      </c>
      <c r="AN793" s="4">
        <v>0</v>
      </c>
      <c r="AO793" s="4">
        <v>0</v>
      </c>
      <c r="AP793" s="3" t="s">
        <v>59</v>
      </c>
      <c r="AQ793" s="3" t="s">
        <v>71</v>
      </c>
      <c r="AR793" s="6" t="str">
        <f>HYPERLINK("http://catalog.hathitrust.org/Record/000004406","HathiTrust Record")</f>
        <v>HathiTrust Record</v>
      </c>
      <c r="AS793" s="6" t="str">
        <f>HYPERLINK("https://creighton-primo.hosted.exlibrisgroup.com/primo-explore/search?tab=default_tab&amp;search_scope=EVERYTHING&amp;vid=01CRU&amp;lang=en_US&amp;offset=0&amp;query=any,contains,991002272349702656","Catalog Record")</f>
        <v>Catalog Record</v>
      </c>
      <c r="AT793" s="6" t="str">
        <f>HYPERLINK("http://www.worldcat.org/oclc/308674","WorldCat Record")</f>
        <v>WorldCat Record</v>
      </c>
      <c r="AU793" s="3" t="s">
        <v>10040</v>
      </c>
      <c r="AV793" s="3" t="s">
        <v>10041</v>
      </c>
      <c r="AW793" s="3" t="s">
        <v>10042</v>
      </c>
      <c r="AX793" s="3" t="s">
        <v>10042</v>
      </c>
      <c r="AY793" s="3" t="s">
        <v>10043</v>
      </c>
      <c r="AZ793" s="3" t="s">
        <v>76</v>
      </c>
      <c r="BB793" s="3" t="s">
        <v>10044</v>
      </c>
      <c r="BC793" s="3" t="s">
        <v>10045</v>
      </c>
      <c r="BD793" s="3" t="s">
        <v>10046</v>
      </c>
    </row>
    <row r="794" spans="1:56" ht="52.5" customHeight="1" x14ac:dyDescent="0.25">
      <c r="A794" s="7" t="s">
        <v>59</v>
      </c>
      <c r="B794" s="2" t="s">
        <v>10047</v>
      </c>
      <c r="C794" s="2" t="s">
        <v>10048</v>
      </c>
      <c r="D794" s="2" t="s">
        <v>10049</v>
      </c>
      <c r="F794" s="3" t="s">
        <v>59</v>
      </c>
      <c r="G794" s="3" t="s">
        <v>60</v>
      </c>
      <c r="H794" s="3" t="s">
        <v>59</v>
      </c>
      <c r="I794" s="3" t="s">
        <v>59</v>
      </c>
      <c r="J794" s="3" t="s">
        <v>61</v>
      </c>
      <c r="K794" s="2" t="s">
        <v>10050</v>
      </c>
      <c r="L794" s="2" t="s">
        <v>10051</v>
      </c>
      <c r="M794" s="3" t="s">
        <v>224</v>
      </c>
      <c r="O794" s="3" t="s">
        <v>65</v>
      </c>
      <c r="P794" s="3" t="s">
        <v>296</v>
      </c>
      <c r="R794" s="3" t="s">
        <v>68</v>
      </c>
      <c r="S794" s="4">
        <v>13</v>
      </c>
      <c r="T794" s="4">
        <v>13</v>
      </c>
      <c r="U794" s="5" t="s">
        <v>10052</v>
      </c>
      <c r="V794" s="5" t="s">
        <v>10052</v>
      </c>
      <c r="W794" s="5" t="s">
        <v>1220</v>
      </c>
      <c r="X794" s="5" t="s">
        <v>1220</v>
      </c>
      <c r="Y794" s="4">
        <v>466</v>
      </c>
      <c r="Z794" s="4">
        <v>394</v>
      </c>
      <c r="AA794" s="4">
        <v>411</v>
      </c>
      <c r="AB794" s="4">
        <v>5</v>
      </c>
      <c r="AC794" s="4">
        <v>5</v>
      </c>
      <c r="AD794" s="4">
        <v>17</v>
      </c>
      <c r="AE794" s="4">
        <v>19</v>
      </c>
      <c r="AF794" s="4">
        <v>8</v>
      </c>
      <c r="AG794" s="4">
        <v>9</v>
      </c>
      <c r="AH794" s="4">
        <v>2</v>
      </c>
      <c r="AI794" s="4">
        <v>3</v>
      </c>
      <c r="AJ794" s="4">
        <v>7</v>
      </c>
      <c r="AK794" s="4">
        <v>7</v>
      </c>
      <c r="AL794" s="4">
        <v>4</v>
      </c>
      <c r="AM794" s="4">
        <v>4</v>
      </c>
      <c r="AN794" s="4">
        <v>0</v>
      </c>
      <c r="AO794" s="4">
        <v>0</v>
      </c>
      <c r="AP794" s="3" t="s">
        <v>59</v>
      </c>
      <c r="AQ794" s="3" t="s">
        <v>71</v>
      </c>
      <c r="AR794" s="6" t="str">
        <f>HYPERLINK("http://catalog.hathitrust.org/Record/000386783","HathiTrust Record")</f>
        <v>HathiTrust Record</v>
      </c>
      <c r="AS794" s="6" t="str">
        <f>HYPERLINK("https://creighton-primo.hosted.exlibrisgroup.com/primo-explore/search?tab=default_tab&amp;search_scope=EVERYTHING&amp;vid=01CRU&amp;lang=en_US&amp;offset=0&amp;query=any,contains,991003528209702656","Catalog Record")</f>
        <v>Catalog Record</v>
      </c>
      <c r="AT794" s="6" t="str">
        <f>HYPERLINK("http://www.worldcat.org/oclc/1091832","WorldCat Record")</f>
        <v>WorldCat Record</v>
      </c>
      <c r="AU794" s="3" t="s">
        <v>10053</v>
      </c>
      <c r="AV794" s="3" t="s">
        <v>10054</v>
      </c>
      <c r="AW794" s="3" t="s">
        <v>10055</v>
      </c>
      <c r="AX794" s="3" t="s">
        <v>10055</v>
      </c>
      <c r="AY794" s="3" t="s">
        <v>10056</v>
      </c>
      <c r="AZ794" s="3" t="s">
        <v>76</v>
      </c>
      <c r="BB794" s="3" t="s">
        <v>10057</v>
      </c>
      <c r="BC794" s="3" t="s">
        <v>10058</v>
      </c>
      <c r="BD794" s="3" t="s">
        <v>10059</v>
      </c>
    </row>
    <row r="795" spans="1:56" ht="52.5" customHeight="1" x14ac:dyDescent="0.25">
      <c r="A795" s="7" t="s">
        <v>59</v>
      </c>
      <c r="B795" s="2" t="s">
        <v>10060</v>
      </c>
      <c r="C795" s="2" t="s">
        <v>10061</v>
      </c>
      <c r="D795" s="2" t="s">
        <v>10062</v>
      </c>
      <c r="F795" s="3" t="s">
        <v>59</v>
      </c>
      <c r="G795" s="3" t="s">
        <v>60</v>
      </c>
      <c r="H795" s="3" t="s">
        <v>71</v>
      </c>
      <c r="I795" s="3" t="s">
        <v>59</v>
      </c>
      <c r="J795" s="3" t="s">
        <v>61</v>
      </c>
      <c r="K795" s="2" t="s">
        <v>10063</v>
      </c>
      <c r="L795" s="2" t="s">
        <v>10064</v>
      </c>
      <c r="M795" s="3" t="s">
        <v>3482</v>
      </c>
      <c r="O795" s="3" t="s">
        <v>65</v>
      </c>
      <c r="P795" s="3" t="s">
        <v>1530</v>
      </c>
      <c r="R795" s="3" t="s">
        <v>68</v>
      </c>
      <c r="S795" s="4">
        <v>5</v>
      </c>
      <c r="T795" s="4">
        <v>7</v>
      </c>
      <c r="U795" s="5" t="s">
        <v>10065</v>
      </c>
      <c r="V795" s="5" t="s">
        <v>10065</v>
      </c>
      <c r="W795" s="5" t="s">
        <v>10066</v>
      </c>
      <c r="X795" s="5" t="s">
        <v>10066</v>
      </c>
      <c r="Y795" s="4">
        <v>393</v>
      </c>
      <c r="Z795" s="4">
        <v>359</v>
      </c>
      <c r="AA795" s="4">
        <v>431</v>
      </c>
      <c r="AB795" s="4">
        <v>6</v>
      </c>
      <c r="AC795" s="4">
        <v>6</v>
      </c>
      <c r="AD795" s="4">
        <v>16</v>
      </c>
      <c r="AE795" s="4">
        <v>19</v>
      </c>
      <c r="AF795" s="4">
        <v>5</v>
      </c>
      <c r="AG795" s="4">
        <v>7</v>
      </c>
      <c r="AH795" s="4">
        <v>1</v>
      </c>
      <c r="AI795" s="4">
        <v>2</v>
      </c>
      <c r="AJ795" s="4">
        <v>9</v>
      </c>
      <c r="AK795" s="4">
        <v>10</v>
      </c>
      <c r="AL795" s="4">
        <v>3</v>
      </c>
      <c r="AM795" s="4">
        <v>3</v>
      </c>
      <c r="AN795" s="4">
        <v>0</v>
      </c>
      <c r="AO795" s="4">
        <v>0</v>
      </c>
      <c r="AP795" s="3" t="s">
        <v>59</v>
      </c>
      <c r="AQ795" s="3" t="s">
        <v>59</v>
      </c>
      <c r="AR795" s="6" t="str">
        <f>HYPERLINK("http://catalog.hathitrust.org/Record/000386791","HathiTrust Record")</f>
        <v>HathiTrust Record</v>
      </c>
      <c r="AS795" s="6" t="str">
        <f>HYPERLINK("https://creighton-primo.hosted.exlibrisgroup.com/primo-explore/search?tab=default_tab&amp;search_scope=EVERYTHING&amp;vid=01CRU&amp;lang=en_US&amp;offset=0&amp;query=any,contains,991001762509702656","Catalog Record")</f>
        <v>Catalog Record</v>
      </c>
      <c r="AT795" s="6" t="str">
        <f>HYPERLINK("http://www.worldcat.org/oclc/194124","WorldCat Record")</f>
        <v>WorldCat Record</v>
      </c>
      <c r="AU795" s="3" t="s">
        <v>10067</v>
      </c>
      <c r="AV795" s="3" t="s">
        <v>10068</v>
      </c>
      <c r="AW795" s="3" t="s">
        <v>10069</v>
      </c>
      <c r="AX795" s="3" t="s">
        <v>10069</v>
      </c>
      <c r="AY795" s="3" t="s">
        <v>10070</v>
      </c>
      <c r="AZ795" s="3" t="s">
        <v>76</v>
      </c>
      <c r="BC795" s="3" t="s">
        <v>10071</v>
      </c>
      <c r="BD795" s="3" t="s">
        <v>10072</v>
      </c>
    </row>
    <row r="796" spans="1:56" ht="52.5" customHeight="1" x14ac:dyDescent="0.25">
      <c r="A796" s="7" t="s">
        <v>59</v>
      </c>
      <c r="B796" s="2" t="s">
        <v>10073</v>
      </c>
      <c r="C796" s="2" t="s">
        <v>10074</v>
      </c>
      <c r="D796" s="2" t="s">
        <v>10075</v>
      </c>
      <c r="F796" s="3" t="s">
        <v>59</v>
      </c>
      <c r="G796" s="3" t="s">
        <v>60</v>
      </c>
      <c r="H796" s="3" t="s">
        <v>59</v>
      </c>
      <c r="I796" s="3" t="s">
        <v>59</v>
      </c>
      <c r="J796" s="3" t="s">
        <v>61</v>
      </c>
      <c r="K796" s="2" t="s">
        <v>10076</v>
      </c>
      <c r="L796" s="2" t="s">
        <v>10077</v>
      </c>
      <c r="M796" s="3" t="s">
        <v>1000</v>
      </c>
      <c r="O796" s="3" t="s">
        <v>65</v>
      </c>
      <c r="P796" s="3" t="s">
        <v>296</v>
      </c>
      <c r="R796" s="3" t="s">
        <v>68</v>
      </c>
      <c r="S796" s="4">
        <v>3</v>
      </c>
      <c r="T796" s="4">
        <v>3</v>
      </c>
      <c r="U796" s="5" t="s">
        <v>10078</v>
      </c>
      <c r="V796" s="5" t="s">
        <v>10078</v>
      </c>
      <c r="W796" s="5" t="s">
        <v>2730</v>
      </c>
      <c r="X796" s="5" t="s">
        <v>2730</v>
      </c>
      <c r="Y796" s="4">
        <v>204</v>
      </c>
      <c r="Z796" s="4">
        <v>162</v>
      </c>
      <c r="AA796" s="4">
        <v>204</v>
      </c>
      <c r="AB796" s="4">
        <v>2</v>
      </c>
      <c r="AC796" s="4">
        <v>2</v>
      </c>
      <c r="AD796" s="4">
        <v>7</v>
      </c>
      <c r="AE796" s="4">
        <v>8</v>
      </c>
      <c r="AF796" s="4">
        <v>1</v>
      </c>
      <c r="AG796" s="4">
        <v>2</v>
      </c>
      <c r="AH796" s="4">
        <v>1</v>
      </c>
      <c r="AI796" s="4">
        <v>1</v>
      </c>
      <c r="AJ796" s="4">
        <v>6</v>
      </c>
      <c r="AK796" s="4">
        <v>7</v>
      </c>
      <c r="AL796" s="4">
        <v>1</v>
      </c>
      <c r="AM796" s="4">
        <v>1</v>
      </c>
      <c r="AN796" s="4">
        <v>0</v>
      </c>
      <c r="AO796" s="4">
        <v>0</v>
      </c>
      <c r="AP796" s="3" t="s">
        <v>59</v>
      </c>
      <c r="AQ796" s="3" t="s">
        <v>59</v>
      </c>
      <c r="AS796" s="6" t="str">
        <f>HYPERLINK("https://creighton-primo.hosted.exlibrisgroup.com/primo-explore/search?tab=default_tab&amp;search_scope=EVERYTHING&amp;vid=01CRU&amp;lang=en_US&amp;offset=0&amp;query=any,contains,991004770499702656","Catalog Record")</f>
        <v>Catalog Record</v>
      </c>
      <c r="AT796" s="6" t="str">
        <f>HYPERLINK("http://www.worldcat.org/oclc/5057545","WorldCat Record")</f>
        <v>WorldCat Record</v>
      </c>
      <c r="AU796" s="3" t="s">
        <v>10079</v>
      </c>
      <c r="AV796" s="3" t="s">
        <v>10080</v>
      </c>
      <c r="AW796" s="3" t="s">
        <v>10081</v>
      </c>
      <c r="AX796" s="3" t="s">
        <v>10081</v>
      </c>
      <c r="AY796" s="3" t="s">
        <v>10082</v>
      </c>
      <c r="AZ796" s="3" t="s">
        <v>76</v>
      </c>
      <c r="BC796" s="3" t="s">
        <v>10083</v>
      </c>
      <c r="BD796" s="3" t="s">
        <v>10084</v>
      </c>
    </row>
    <row r="797" spans="1:56" ht="52.5" customHeight="1" x14ac:dyDescent="0.25">
      <c r="A797" s="7" t="s">
        <v>59</v>
      </c>
      <c r="B797" s="2" t="s">
        <v>10085</v>
      </c>
      <c r="C797" s="2" t="s">
        <v>10086</v>
      </c>
      <c r="D797" s="2" t="s">
        <v>10087</v>
      </c>
      <c r="F797" s="3" t="s">
        <v>59</v>
      </c>
      <c r="G797" s="3" t="s">
        <v>60</v>
      </c>
      <c r="H797" s="3" t="s">
        <v>59</v>
      </c>
      <c r="I797" s="3" t="s">
        <v>59</v>
      </c>
      <c r="J797" s="3" t="s">
        <v>61</v>
      </c>
      <c r="K797" s="2" t="s">
        <v>10088</v>
      </c>
      <c r="L797" s="2" t="s">
        <v>10089</v>
      </c>
      <c r="M797" s="3" t="s">
        <v>64</v>
      </c>
      <c r="O797" s="3" t="s">
        <v>65</v>
      </c>
      <c r="P797" s="3" t="s">
        <v>296</v>
      </c>
      <c r="Q797" s="2" t="s">
        <v>10090</v>
      </c>
      <c r="R797" s="3" t="s">
        <v>68</v>
      </c>
      <c r="S797" s="4">
        <v>3</v>
      </c>
      <c r="T797" s="4">
        <v>3</v>
      </c>
      <c r="U797" s="5" t="s">
        <v>10091</v>
      </c>
      <c r="V797" s="5" t="s">
        <v>10091</v>
      </c>
      <c r="W797" s="5" t="s">
        <v>5437</v>
      </c>
      <c r="X797" s="5" t="s">
        <v>5437</v>
      </c>
      <c r="Y797" s="4">
        <v>316</v>
      </c>
      <c r="Z797" s="4">
        <v>278</v>
      </c>
      <c r="AA797" s="4">
        <v>282</v>
      </c>
      <c r="AB797" s="4">
        <v>2</v>
      </c>
      <c r="AC797" s="4">
        <v>2</v>
      </c>
      <c r="AD797" s="4">
        <v>17</v>
      </c>
      <c r="AE797" s="4">
        <v>17</v>
      </c>
      <c r="AF797" s="4">
        <v>8</v>
      </c>
      <c r="AG797" s="4">
        <v>8</v>
      </c>
      <c r="AH797" s="4">
        <v>3</v>
      </c>
      <c r="AI797" s="4">
        <v>3</v>
      </c>
      <c r="AJ797" s="4">
        <v>12</v>
      </c>
      <c r="AK797" s="4">
        <v>12</v>
      </c>
      <c r="AL797" s="4">
        <v>1</v>
      </c>
      <c r="AM797" s="4">
        <v>1</v>
      </c>
      <c r="AN797" s="4">
        <v>0</v>
      </c>
      <c r="AO797" s="4">
        <v>0</v>
      </c>
      <c r="AP797" s="3" t="s">
        <v>59</v>
      </c>
      <c r="AQ797" s="3" t="s">
        <v>71</v>
      </c>
      <c r="AR797" s="6" t="str">
        <f>HYPERLINK("http://catalog.hathitrust.org/Record/000387474","HathiTrust Record")</f>
        <v>HathiTrust Record</v>
      </c>
      <c r="AS797" s="6" t="str">
        <f>HYPERLINK("https://creighton-primo.hosted.exlibrisgroup.com/primo-explore/search?tab=default_tab&amp;search_scope=EVERYTHING&amp;vid=01CRU&amp;lang=en_US&amp;offset=0&amp;query=any,contains,991005253679702656","Catalog Record")</f>
        <v>Catalog Record</v>
      </c>
      <c r="AT797" s="6" t="str">
        <f>HYPERLINK("http://www.worldcat.org/oclc/222714","WorldCat Record")</f>
        <v>WorldCat Record</v>
      </c>
      <c r="AU797" s="3" t="s">
        <v>10092</v>
      </c>
      <c r="AV797" s="3" t="s">
        <v>10093</v>
      </c>
      <c r="AW797" s="3" t="s">
        <v>10094</v>
      </c>
      <c r="AX797" s="3" t="s">
        <v>10094</v>
      </c>
      <c r="AY797" s="3" t="s">
        <v>10095</v>
      </c>
      <c r="AZ797" s="3" t="s">
        <v>76</v>
      </c>
      <c r="BC797" s="3" t="s">
        <v>10096</v>
      </c>
      <c r="BD797" s="3" t="s">
        <v>10097</v>
      </c>
    </row>
    <row r="798" spans="1:56" ht="52.5" customHeight="1" x14ac:dyDescent="0.25">
      <c r="A798" s="7" t="s">
        <v>59</v>
      </c>
      <c r="B798" s="2" t="s">
        <v>10098</v>
      </c>
      <c r="C798" s="2" t="s">
        <v>10099</v>
      </c>
      <c r="D798" s="2" t="s">
        <v>10100</v>
      </c>
      <c r="F798" s="3" t="s">
        <v>59</v>
      </c>
      <c r="G798" s="3" t="s">
        <v>60</v>
      </c>
      <c r="H798" s="3" t="s">
        <v>59</v>
      </c>
      <c r="I798" s="3" t="s">
        <v>59</v>
      </c>
      <c r="J798" s="3" t="s">
        <v>61</v>
      </c>
      <c r="K798" s="2" t="s">
        <v>10101</v>
      </c>
      <c r="L798" s="2" t="s">
        <v>10102</v>
      </c>
      <c r="M798" s="3" t="s">
        <v>100</v>
      </c>
      <c r="O798" s="3" t="s">
        <v>65</v>
      </c>
      <c r="P798" s="3" t="s">
        <v>283</v>
      </c>
      <c r="R798" s="3" t="s">
        <v>68</v>
      </c>
      <c r="S798" s="4">
        <v>7</v>
      </c>
      <c r="T798" s="4">
        <v>7</v>
      </c>
      <c r="U798" s="5" t="s">
        <v>10065</v>
      </c>
      <c r="V798" s="5" t="s">
        <v>10065</v>
      </c>
      <c r="W798" s="5" t="s">
        <v>10103</v>
      </c>
      <c r="X798" s="5" t="s">
        <v>10103</v>
      </c>
      <c r="Y798" s="4">
        <v>452</v>
      </c>
      <c r="Z798" s="4">
        <v>407</v>
      </c>
      <c r="AA798" s="4">
        <v>728</v>
      </c>
      <c r="AB798" s="4">
        <v>5</v>
      </c>
      <c r="AC798" s="4">
        <v>7</v>
      </c>
      <c r="AD798" s="4">
        <v>17</v>
      </c>
      <c r="AE798" s="4">
        <v>36</v>
      </c>
      <c r="AF798" s="4">
        <v>7</v>
      </c>
      <c r="AG798" s="4">
        <v>14</v>
      </c>
      <c r="AH798" s="4">
        <v>5</v>
      </c>
      <c r="AI798" s="4">
        <v>8</v>
      </c>
      <c r="AJ798" s="4">
        <v>7</v>
      </c>
      <c r="AK798" s="4">
        <v>20</v>
      </c>
      <c r="AL798" s="4">
        <v>4</v>
      </c>
      <c r="AM798" s="4">
        <v>6</v>
      </c>
      <c r="AN798" s="4">
        <v>0</v>
      </c>
      <c r="AO798" s="4">
        <v>0</v>
      </c>
      <c r="AP798" s="3" t="s">
        <v>59</v>
      </c>
      <c r="AQ798" s="3" t="s">
        <v>71</v>
      </c>
      <c r="AR798" s="6" t="str">
        <f>HYPERLINK("http://catalog.hathitrust.org/Record/006704137","HathiTrust Record")</f>
        <v>HathiTrust Record</v>
      </c>
      <c r="AS798" s="6" t="str">
        <f>HYPERLINK("https://creighton-primo.hosted.exlibrisgroup.com/primo-explore/search?tab=default_tab&amp;search_scope=EVERYTHING&amp;vid=01CRU&amp;lang=en_US&amp;offset=0&amp;query=any,contains,991000922239702656","Catalog Record")</f>
        <v>Catalog Record</v>
      </c>
      <c r="AT798" s="6" t="str">
        <f>HYPERLINK("http://www.worldcat.org/oclc/162082","WorldCat Record")</f>
        <v>WorldCat Record</v>
      </c>
      <c r="AU798" s="3" t="s">
        <v>10104</v>
      </c>
      <c r="AV798" s="3" t="s">
        <v>10105</v>
      </c>
      <c r="AW798" s="3" t="s">
        <v>10106</v>
      </c>
      <c r="AX798" s="3" t="s">
        <v>10106</v>
      </c>
      <c r="AY798" s="3" t="s">
        <v>10107</v>
      </c>
      <c r="AZ798" s="3" t="s">
        <v>76</v>
      </c>
      <c r="BC798" s="3" t="s">
        <v>10108</v>
      </c>
      <c r="BD798" s="3" t="s">
        <v>10109</v>
      </c>
    </row>
    <row r="799" spans="1:56" ht="52.5" customHeight="1" x14ac:dyDescent="0.25">
      <c r="A799" s="7" t="s">
        <v>59</v>
      </c>
      <c r="B799" s="2" t="s">
        <v>10110</v>
      </c>
      <c r="C799" s="2" t="s">
        <v>10111</v>
      </c>
      <c r="D799" s="2" t="s">
        <v>10112</v>
      </c>
      <c r="F799" s="3" t="s">
        <v>59</v>
      </c>
      <c r="G799" s="3" t="s">
        <v>60</v>
      </c>
      <c r="H799" s="3" t="s">
        <v>59</v>
      </c>
      <c r="I799" s="3" t="s">
        <v>59</v>
      </c>
      <c r="J799" s="3" t="s">
        <v>61</v>
      </c>
      <c r="K799" s="2" t="s">
        <v>10113</v>
      </c>
      <c r="L799" s="2" t="s">
        <v>10114</v>
      </c>
      <c r="M799" s="3" t="s">
        <v>1233</v>
      </c>
      <c r="O799" s="3" t="s">
        <v>65</v>
      </c>
      <c r="P799" s="3" t="s">
        <v>66</v>
      </c>
      <c r="Q799" s="2" t="s">
        <v>3781</v>
      </c>
      <c r="R799" s="3" t="s">
        <v>68</v>
      </c>
      <c r="S799" s="4">
        <v>7</v>
      </c>
      <c r="T799" s="4">
        <v>7</v>
      </c>
      <c r="U799" s="5" t="s">
        <v>10052</v>
      </c>
      <c r="V799" s="5" t="s">
        <v>10052</v>
      </c>
      <c r="W799" s="5" t="s">
        <v>3251</v>
      </c>
      <c r="X799" s="5" t="s">
        <v>3251</v>
      </c>
      <c r="Y799" s="4">
        <v>281</v>
      </c>
      <c r="Z799" s="4">
        <v>225</v>
      </c>
      <c r="AA799" s="4">
        <v>288</v>
      </c>
      <c r="AB799" s="4">
        <v>3</v>
      </c>
      <c r="AC799" s="4">
        <v>3</v>
      </c>
      <c r="AD799" s="4">
        <v>11</v>
      </c>
      <c r="AE799" s="4">
        <v>13</v>
      </c>
      <c r="AF799" s="4">
        <v>5</v>
      </c>
      <c r="AG799" s="4">
        <v>6</v>
      </c>
      <c r="AH799" s="4">
        <v>2</v>
      </c>
      <c r="AI799" s="4">
        <v>2</v>
      </c>
      <c r="AJ799" s="4">
        <v>5</v>
      </c>
      <c r="AK799" s="4">
        <v>7</v>
      </c>
      <c r="AL799" s="4">
        <v>2</v>
      </c>
      <c r="AM799" s="4">
        <v>2</v>
      </c>
      <c r="AN799" s="4">
        <v>0</v>
      </c>
      <c r="AO799" s="4">
        <v>0</v>
      </c>
      <c r="AP799" s="3" t="s">
        <v>59</v>
      </c>
      <c r="AQ799" s="3" t="s">
        <v>71</v>
      </c>
      <c r="AR799" s="6" t="str">
        <f>HYPERLINK("http://catalog.hathitrust.org/Record/000387475","HathiTrust Record")</f>
        <v>HathiTrust Record</v>
      </c>
      <c r="AS799" s="6" t="str">
        <f>HYPERLINK("https://creighton-primo.hosted.exlibrisgroup.com/primo-explore/search?tab=default_tab&amp;search_scope=EVERYTHING&amp;vid=01CRU&amp;lang=en_US&amp;offset=0&amp;query=any,contains,991003113269702656","Catalog Record")</f>
        <v>Catalog Record</v>
      </c>
      <c r="AT799" s="6" t="str">
        <f>HYPERLINK("http://www.worldcat.org/oclc/658112","WorldCat Record")</f>
        <v>WorldCat Record</v>
      </c>
      <c r="AU799" s="3" t="s">
        <v>10115</v>
      </c>
      <c r="AV799" s="3" t="s">
        <v>10116</v>
      </c>
      <c r="AW799" s="3" t="s">
        <v>10117</v>
      </c>
      <c r="AX799" s="3" t="s">
        <v>10117</v>
      </c>
      <c r="AY799" s="3" t="s">
        <v>10118</v>
      </c>
      <c r="AZ799" s="3" t="s">
        <v>76</v>
      </c>
      <c r="BB799" s="3" t="s">
        <v>10119</v>
      </c>
      <c r="BC799" s="3" t="s">
        <v>10120</v>
      </c>
      <c r="BD799" s="3" t="s">
        <v>10121</v>
      </c>
    </row>
    <row r="800" spans="1:56" ht="52.5" customHeight="1" x14ac:dyDescent="0.25">
      <c r="A800" s="7" t="s">
        <v>59</v>
      </c>
      <c r="B800" s="2" t="s">
        <v>10122</v>
      </c>
      <c r="C800" s="2" t="s">
        <v>10123</v>
      </c>
      <c r="D800" s="2" t="s">
        <v>10124</v>
      </c>
      <c r="F800" s="3" t="s">
        <v>59</v>
      </c>
      <c r="G800" s="3" t="s">
        <v>60</v>
      </c>
      <c r="H800" s="3" t="s">
        <v>59</v>
      </c>
      <c r="I800" s="3" t="s">
        <v>59</v>
      </c>
      <c r="J800" s="3" t="s">
        <v>61</v>
      </c>
      <c r="K800" s="2" t="s">
        <v>10125</v>
      </c>
      <c r="L800" s="2" t="s">
        <v>10126</v>
      </c>
      <c r="M800" s="3" t="s">
        <v>309</v>
      </c>
      <c r="O800" s="3" t="s">
        <v>65</v>
      </c>
      <c r="P800" s="3" t="s">
        <v>972</v>
      </c>
      <c r="R800" s="3" t="s">
        <v>68</v>
      </c>
      <c r="S800" s="4">
        <v>3</v>
      </c>
      <c r="T800" s="4">
        <v>3</v>
      </c>
      <c r="U800" s="5" t="s">
        <v>10127</v>
      </c>
      <c r="V800" s="5" t="s">
        <v>10127</v>
      </c>
      <c r="W800" s="5" t="s">
        <v>3251</v>
      </c>
      <c r="X800" s="5" t="s">
        <v>3251</v>
      </c>
      <c r="Y800" s="4">
        <v>237</v>
      </c>
      <c r="Z800" s="4">
        <v>218</v>
      </c>
      <c r="AA800" s="4">
        <v>370</v>
      </c>
      <c r="AB800" s="4">
        <v>4</v>
      </c>
      <c r="AC800" s="4">
        <v>5</v>
      </c>
      <c r="AD800" s="4">
        <v>12</v>
      </c>
      <c r="AE800" s="4">
        <v>17</v>
      </c>
      <c r="AF800" s="4">
        <v>4</v>
      </c>
      <c r="AG800" s="4">
        <v>7</v>
      </c>
      <c r="AH800" s="4">
        <v>1</v>
      </c>
      <c r="AI800" s="4">
        <v>1</v>
      </c>
      <c r="AJ800" s="4">
        <v>7</v>
      </c>
      <c r="AK800" s="4">
        <v>9</v>
      </c>
      <c r="AL800" s="4">
        <v>3</v>
      </c>
      <c r="AM800" s="4">
        <v>4</v>
      </c>
      <c r="AN800" s="4">
        <v>0</v>
      </c>
      <c r="AO800" s="4">
        <v>0</v>
      </c>
      <c r="AP800" s="3" t="s">
        <v>59</v>
      </c>
      <c r="AQ800" s="3" t="s">
        <v>71</v>
      </c>
      <c r="AR800" s="6" t="str">
        <f>HYPERLINK("http://catalog.hathitrust.org/Record/000102892","HathiTrust Record")</f>
        <v>HathiTrust Record</v>
      </c>
      <c r="AS800" s="6" t="str">
        <f>HYPERLINK("https://creighton-primo.hosted.exlibrisgroup.com/primo-explore/search?tab=default_tab&amp;search_scope=EVERYTHING&amp;vid=01CRU&amp;lang=en_US&amp;offset=0&amp;query=any,contains,991004581589702656","Catalog Record")</f>
        <v>Catalog Record</v>
      </c>
      <c r="AT800" s="6" t="str">
        <f>HYPERLINK("http://www.worldcat.org/oclc/4062144","WorldCat Record")</f>
        <v>WorldCat Record</v>
      </c>
      <c r="AU800" s="3" t="s">
        <v>10128</v>
      </c>
      <c r="AV800" s="3" t="s">
        <v>10129</v>
      </c>
      <c r="AW800" s="3" t="s">
        <v>10130</v>
      </c>
      <c r="AX800" s="3" t="s">
        <v>10130</v>
      </c>
      <c r="AY800" s="3" t="s">
        <v>10131</v>
      </c>
      <c r="AZ800" s="3" t="s">
        <v>76</v>
      </c>
      <c r="BB800" s="3" t="s">
        <v>10132</v>
      </c>
      <c r="BC800" s="3" t="s">
        <v>10133</v>
      </c>
      <c r="BD800" s="3" t="s">
        <v>10134</v>
      </c>
    </row>
    <row r="801" spans="1:56" ht="52.5" customHeight="1" x14ac:dyDescent="0.25">
      <c r="A801" s="7" t="s">
        <v>59</v>
      </c>
      <c r="B801" s="2" t="s">
        <v>10135</v>
      </c>
      <c r="C801" s="2" t="s">
        <v>10136</v>
      </c>
      <c r="D801" s="2" t="s">
        <v>10137</v>
      </c>
      <c r="F801" s="3" t="s">
        <v>59</v>
      </c>
      <c r="G801" s="3" t="s">
        <v>60</v>
      </c>
      <c r="H801" s="3" t="s">
        <v>59</v>
      </c>
      <c r="I801" s="3" t="s">
        <v>59</v>
      </c>
      <c r="J801" s="3" t="s">
        <v>61</v>
      </c>
      <c r="K801" s="2" t="s">
        <v>10138</v>
      </c>
      <c r="L801" s="2" t="s">
        <v>10139</v>
      </c>
      <c r="M801" s="3" t="s">
        <v>3482</v>
      </c>
      <c r="N801" s="2" t="s">
        <v>435</v>
      </c>
      <c r="O801" s="3" t="s">
        <v>65</v>
      </c>
      <c r="P801" s="3" t="s">
        <v>66</v>
      </c>
      <c r="R801" s="3" t="s">
        <v>68</v>
      </c>
      <c r="S801" s="4">
        <v>1</v>
      </c>
      <c r="T801" s="4">
        <v>1</v>
      </c>
      <c r="U801" s="5" t="s">
        <v>10140</v>
      </c>
      <c r="V801" s="5" t="s">
        <v>10140</v>
      </c>
      <c r="W801" s="5" t="s">
        <v>9570</v>
      </c>
      <c r="X801" s="5" t="s">
        <v>9570</v>
      </c>
      <c r="Y801" s="4">
        <v>305</v>
      </c>
      <c r="Z801" s="4">
        <v>267</v>
      </c>
      <c r="AA801" s="4">
        <v>410</v>
      </c>
      <c r="AB801" s="4">
        <v>3</v>
      </c>
      <c r="AC801" s="4">
        <v>4</v>
      </c>
      <c r="AD801" s="4">
        <v>15</v>
      </c>
      <c r="AE801" s="4">
        <v>24</v>
      </c>
      <c r="AF801" s="4">
        <v>6</v>
      </c>
      <c r="AG801" s="4">
        <v>10</v>
      </c>
      <c r="AH801" s="4">
        <v>5</v>
      </c>
      <c r="AI801" s="4">
        <v>6</v>
      </c>
      <c r="AJ801" s="4">
        <v>7</v>
      </c>
      <c r="AK801" s="4">
        <v>10</v>
      </c>
      <c r="AL801" s="4">
        <v>2</v>
      </c>
      <c r="AM801" s="4">
        <v>3</v>
      </c>
      <c r="AN801" s="4">
        <v>0</v>
      </c>
      <c r="AO801" s="4">
        <v>0</v>
      </c>
      <c r="AP801" s="3" t="s">
        <v>71</v>
      </c>
      <c r="AQ801" s="3" t="s">
        <v>59</v>
      </c>
      <c r="AR801" s="6" t="str">
        <f>HYPERLINK("http://catalog.hathitrust.org/Record/000386822","HathiTrust Record")</f>
        <v>HathiTrust Record</v>
      </c>
      <c r="AS801" s="6" t="str">
        <f>HYPERLINK("https://creighton-primo.hosted.exlibrisgroup.com/primo-explore/search?tab=default_tab&amp;search_scope=EVERYTHING&amp;vid=01CRU&amp;lang=en_US&amp;offset=0&amp;query=any,contains,991004310329702656","Catalog Record")</f>
        <v>Catalog Record</v>
      </c>
      <c r="AT801" s="6" t="str">
        <f>HYPERLINK("http://www.worldcat.org/oclc/2991280","WorldCat Record")</f>
        <v>WorldCat Record</v>
      </c>
      <c r="AU801" s="3" t="s">
        <v>10141</v>
      </c>
      <c r="AV801" s="3" t="s">
        <v>10142</v>
      </c>
      <c r="AW801" s="3" t="s">
        <v>10143</v>
      </c>
      <c r="AX801" s="3" t="s">
        <v>10143</v>
      </c>
      <c r="AY801" s="3" t="s">
        <v>10144</v>
      </c>
      <c r="AZ801" s="3" t="s">
        <v>76</v>
      </c>
      <c r="BC801" s="3" t="s">
        <v>10145</v>
      </c>
      <c r="BD801" s="3" t="s">
        <v>10146</v>
      </c>
    </row>
    <row r="802" spans="1:56" ht="52.5" customHeight="1" x14ac:dyDescent="0.25">
      <c r="A802" s="7" t="s">
        <v>59</v>
      </c>
      <c r="B802" s="2" t="s">
        <v>10147</v>
      </c>
      <c r="C802" s="2" t="s">
        <v>10148</v>
      </c>
      <c r="D802" s="2" t="s">
        <v>10149</v>
      </c>
      <c r="F802" s="3" t="s">
        <v>59</v>
      </c>
      <c r="G802" s="3" t="s">
        <v>60</v>
      </c>
      <c r="H802" s="3" t="s">
        <v>59</v>
      </c>
      <c r="I802" s="3" t="s">
        <v>59</v>
      </c>
      <c r="J802" s="3" t="s">
        <v>61</v>
      </c>
      <c r="K802" s="2" t="s">
        <v>10150</v>
      </c>
      <c r="L802" s="2" t="s">
        <v>10151</v>
      </c>
      <c r="M802" s="3" t="s">
        <v>2599</v>
      </c>
      <c r="O802" s="3" t="s">
        <v>65</v>
      </c>
      <c r="P802" s="3" t="s">
        <v>296</v>
      </c>
      <c r="Q802" s="2" t="s">
        <v>10090</v>
      </c>
      <c r="R802" s="3" t="s">
        <v>68</v>
      </c>
      <c r="S802" s="4">
        <v>1</v>
      </c>
      <c r="T802" s="4">
        <v>1</v>
      </c>
      <c r="U802" s="5" t="s">
        <v>10152</v>
      </c>
      <c r="V802" s="5" t="s">
        <v>10152</v>
      </c>
      <c r="W802" s="5" t="s">
        <v>9570</v>
      </c>
      <c r="X802" s="5" t="s">
        <v>9570</v>
      </c>
      <c r="Y802" s="4">
        <v>416</v>
      </c>
      <c r="Z802" s="4">
        <v>374</v>
      </c>
      <c r="AA802" s="4">
        <v>375</v>
      </c>
      <c r="AB802" s="4">
        <v>3</v>
      </c>
      <c r="AC802" s="4">
        <v>3</v>
      </c>
      <c r="AD802" s="4">
        <v>19</v>
      </c>
      <c r="AE802" s="4">
        <v>19</v>
      </c>
      <c r="AF802" s="4">
        <v>9</v>
      </c>
      <c r="AG802" s="4">
        <v>9</v>
      </c>
      <c r="AH802" s="4">
        <v>4</v>
      </c>
      <c r="AI802" s="4">
        <v>4</v>
      </c>
      <c r="AJ802" s="4">
        <v>7</v>
      </c>
      <c r="AK802" s="4">
        <v>7</v>
      </c>
      <c r="AL802" s="4">
        <v>2</v>
      </c>
      <c r="AM802" s="4">
        <v>2</v>
      </c>
      <c r="AN802" s="4">
        <v>0</v>
      </c>
      <c r="AO802" s="4">
        <v>0</v>
      </c>
      <c r="AP802" s="3" t="s">
        <v>59</v>
      </c>
      <c r="AQ802" s="3" t="s">
        <v>71</v>
      </c>
      <c r="AR802" s="6" t="str">
        <f>HYPERLINK("http://catalog.hathitrust.org/Record/006246743","HathiTrust Record")</f>
        <v>HathiTrust Record</v>
      </c>
      <c r="AS802" s="6" t="str">
        <f>HYPERLINK("https://creighton-primo.hosted.exlibrisgroup.com/primo-explore/search?tab=default_tab&amp;search_scope=EVERYTHING&amp;vid=01CRU&amp;lang=en_US&amp;offset=0&amp;query=any,contains,991005253719702656","Catalog Record")</f>
        <v>Catalog Record</v>
      </c>
      <c r="AT802" s="6" t="str">
        <f>HYPERLINK("http://www.worldcat.org/oclc/222718","WorldCat Record")</f>
        <v>WorldCat Record</v>
      </c>
      <c r="AU802" s="3" t="s">
        <v>10153</v>
      </c>
      <c r="AV802" s="3" t="s">
        <v>10154</v>
      </c>
      <c r="AW802" s="3" t="s">
        <v>10155</v>
      </c>
      <c r="AX802" s="3" t="s">
        <v>10155</v>
      </c>
      <c r="AY802" s="3" t="s">
        <v>10156</v>
      </c>
      <c r="AZ802" s="3" t="s">
        <v>76</v>
      </c>
      <c r="BC802" s="3" t="s">
        <v>10157</v>
      </c>
      <c r="BD802" s="3" t="s">
        <v>10158</v>
      </c>
    </row>
    <row r="803" spans="1:56" ht="52.5" customHeight="1" x14ac:dyDescent="0.25">
      <c r="A803" s="7" t="s">
        <v>59</v>
      </c>
      <c r="B803" s="2" t="s">
        <v>10159</v>
      </c>
      <c r="C803" s="2" t="s">
        <v>10160</v>
      </c>
      <c r="D803" s="2" t="s">
        <v>10161</v>
      </c>
      <c r="F803" s="3" t="s">
        <v>59</v>
      </c>
      <c r="G803" s="3" t="s">
        <v>60</v>
      </c>
      <c r="H803" s="3" t="s">
        <v>59</v>
      </c>
      <c r="I803" s="3" t="s">
        <v>59</v>
      </c>
      <c r="J803" s="3" t="s">
        <v>61</v>
      </c>
      <c r="K803" s="2" t="s">
        <v>10162</v>
      </c>
      <c r="L803" s="2" t="s">
        <v>10163</v>
      </c>
      <c r="M803" s="3" t="s">
        <v>309</v>
      </c>
      <c r="O803" s="3" t="s">
        <v>65</v>
      </c>
      <c r="P803" s="3" t="s">
        <v>66</v>
      </c>
      <c r="R803" s="3" t="s">
        <v>68</v>
      </c>
      <c r="S803" s="4">
        <v>6</v>
      </c>
      <c r="T803" s="4">
        <v>6</v>
      </c>
      <c r="U803" s="5" t="s">
        <v>10091</v>
      </c>
      <c r="V803" s="5" t="s">
        <v>10091</v>
      </c>
      <c r="W803" s="5" t="s">
        <v>10164</v>
      </c>
      <c r="X803" s="5" t="s">
        <v>10164</v>
      </c>
      <c r="Y803" s="4">
        <v>261</v>
      </c>
      <c r="Z803" s="4">
        <v>188</v>
      </c>
      <c r="AA803" s="4">
        <v>188</v>
      </c>
      <c r="AB803" s="4">
        <v>3</v>
      </c>
      <c r="AC803" s="4">
        <v>3</v>
      </c>
      <c r="AD803" s="4">
        <v>11</v>
      </c>
      <c r="AE803" s="4">
        <v>11</v>
      </c>
      <c r="AF803" s="4">
        <v>5</v>
      </c>
      <c r="AG803" s="4">
        <v>5</v>
      </c>
      <c r="AH803" s="4">
        <v>2</v>
      </c>
      <c r="AI803" s="4">
        <v>2</v>
      </c>
      <c r="AJ803" s="4">
        <v>4</v>
      </c>
      <c r="AK803" s="4">
        <v>4</v>
      </c>
      <c r="AL803" s="4">
        <v>2</v>
      </c>
      <c r="AM803" s="4">
        <v>2</v>
      </c>
      <c r="AN803" s="4">
        <v>0</v>
      </c>
      <c r="AO803" s="4">
        <v>0</v>
      </c>
      <c r="AP803" s="3" t="s">
        <v>59</v>
      </c>
      <c r="AQ803" s="3" t="s">
        <v>59</v>
      </c>
      <c r="AS803" s="6" t="str">
        <f>HYPERLINK("https://creighton-primo.hosted.exlibrisgroup.com/primo-explore/search?tab=default_tab&amp;search_scope=EVERYTHING&amp;vid=01CRU&amp;lang=en_US&amp;offset=0&amp;query=any,contains,991004361419702656","Catalog Record")</f>
        <v>Catalog Record</v>
      </c>
      <c r="AT803" s="6" t="str">
        <f>HYPERLINK("http://www.worldcat.org/oclc/3167623","WorldCat Record")</f>
        <v>WorldCat Record</v>
      </c>
      <c r="AU803" s="3" t="s">
        <v>10165</v>
      </c>
      <c r="AV803" s="3" t="s">
        <v>10166</v>
      </c>
      <c r="AW803" s="3" t="s">
        <v>10167</v>
      </c>
      <c r="AX803" s="3" t="s">
        <v>10167</v>
      </c>
      <c r="AY803" s="3" t="s">
        <v>10168</v>
      </c>
      <c r="AZ803" s="3" t="s">
        <v>76</v>
      </c>
      <c r="BB803" s="3" t="s">
        <v>10169</v>
      </c>
      <c r="BC803" s="3" t="s">
        <v>10170</v>
      </c>
      <c r="BD803" s="3" t="s">
        <v>10171</v>
      </c>
    </row>
    <row r="804" spans="1:56" ht="52.5" customHeight="1" x14ac:dyDescent="0.25">
      <c r="A804" s="7" t="s">
        <v>59</v>
      </c>
      <c r="B804" s="2" t="s">
        <v>10172</v>
      </c>
      <c r="C804" s="2" t="s">
        <v>10173</v>
      </c>
      <c r="D804" s="2" t="s">
        <v>10174</v>
      </c>
      <c r="F804" s="3" t="s">
        <v>59</v>
      </c>
      <c r="G804" s="3" t="s">
        <v>60</v>
      </c>
      <c r="H804" s="3" t="s">
        <v>59</v>
      </c>
      <c r="I804" s="3" t="s">
        <v>59</v>
      </c>
      <c r="J804" s="3" t="s">
        <v>61</v>
      </c>
      <c r="K804" s="2" t="s">
        <v>10162</v>
      </c>
      <c r="L804" s="2" t="s">
        <v>10175</v>
      </c>
      <c r="M804" s="3" t="s">
        <v>148</v>
      </c>
      <c r="O804" s="3" t="s">
        <v>65</v>
      </c>
      <c r="P804" s="3" t="s">
        <v>296</v>
      </c>
      <c r="Q804" s="2" t="s">
        <v>10014</v>
      </c>
      <c r="R804" s="3" t="s">
        <v>68</v>
      </c>
      <c r="S804" s="4">
        <v>2</v>
      </c>
      <c r="T804" s="4">
        <v>2</v>
      </c>
      <c r="U804" s="5" t="s">
        <v>10176</v>
      </c>
      <c r="V804" s="5" t="s">
        <v>10176</v>
      </c>
      <c r="W804" s="5" t="s">
        <v>5201</v>
      </c>
      <c r="X804" s="5" t="s">
        <v>5201</v>
      </c>
      <c r="Y804" s="4">
        <v>214</v>
      </c>
      <c r="Z804" s="4">
        <v>152</v>
      </c>
      <c r="AA804" s="4">
        <v>297</v>
      </c>
      <c r="AB804" s="4">
        <v>3</v>
      </c>
      <c r="AC804" s="4">
        <v>4</v>
      </c>
      <c r="AD804" s="4">
        <v>7</v>
      </c>
      <c r="AE804" s="4">
        <v>14</v>
      </c>
      <c r="AF804" s="4">
        <v>3</v>
      </c>
      <c r="AG804" s="4">
        <v>7</v>
      </c>
      <c r="AH804" s="4">
        <v>1</v>
      </c>
      <c r="AI804" s="4">
        <v>1</v>
      </c>
      <c r="AJ804" s="4">
        <v>4</v>
      </c>
      <c r="AK804" s="4">
        <v>9</v>
      </c>
      <c r="AL804" s="4">
        <v>2</v>
      </c>
      <c r="AM804" s="4">
        <v>3</v>
      </c>
      <c r="AN804" s="4">
        <v>0</v>
      </c>
      <c r="AO804" s="4">
        <v>0</v>
      </c>
      <c r="AP804" s="3" t="s">
        <v>59</v>
      </c>
      <c r="AQ804" s="3" t="s">
        <v>71</v>
      </c>
      <c r="AR804" s="6" t="str">
        <f>HYPERLINK("http://catalog.hathitrust.org/Record/000019336","HathiTrust Record")</f>
        <v>HathiTrust Record</v>
      </c>
      <c r="AS804" s="6" t="str">
        <f>HYPERLINK("https://creighton-primo.hosted.exlibrisgroup.com/primo-explore/search?tab=default_tab&amp;search_scope=EVERYTHING&amp;vid=01CRU&amp;lang=en_US&amp;offset=0&amp;query=any,contains,991004109119702656","Catalog Record")</f>
        <v>Catalog Record</v>
      </c>
      <c r="AT804" s="6" t="str">
        <f>HYPERLINK("http://www.worldcat.org/oclc/2390642","WorldCat Record")</f>
        <v>WorldCat Record</v>
      </c>
      <c r="AU804" s="3" t="s">
        <v>10177</v>
      </c>
      <c r="AV804" s="3" t="s">
        <v>10178</v>
      </c>
      <c r="AW804" s="3" t="s">
        <v>10179</v>
      </c>
      <c r="AX804" s="3" t="s">
        <v>10179</v>
      </c>
      <c r="AY804" s="3" t="s">
        <v>10180</v>
      </c>
      <c r="AZ804" s="3" t="s">
        <v>76</v>
      </c>
      <c r="BC804" s="3" t="s">
        <v>10181</v>
      </c>
      <c r="BD804" s="3" t="s">
        <v>10182</v>
      </c>
    </row>
    <row r="805" spans="1:56" ht="52.5" customHeight="1" x14ac:dyDescent="0.25">
      <c r="A805" s="7" t="s">
        <v>59</v>
      </c>
      <c r="B805" s="2" t="s">
        <v>10183</v>
      </c>
      <c r="C805" s="2" t="s">
        <v>10184</v>
      </c>
      <c r="D805" s="2" t="s">
        <v>10185</v>
      </c>
      <c r="F805" s="3" t="s">
        <v>59</v>
      </c>
      <c r="G805" s="3" t="s">
        <v>60</v>
      </c>
      <c r="H805" s="3" t="s">
        <v>59</v>
      </c>
      <c r="I805" s="3" t="s">
        <v>59</v>
      </c>
      <c r="J805" s="3" t="s">
        <v>61</v>
      </c>
      <c r="K805" s="2" t="s">
        <v>10186</v>
      </c>
      <c r="L805" s="2" t="s">
        <v>10187</v>
      </c>
      <c r="M805" s="3" t="s">
        <v>350</v>
      </c>
      <c r="N805" s="2" t="s">
        <v>887</v>
      </c>
      <c r="O805" s="3" t="s">
        <v>65</v>
      </c>
      <c r="P805" s="3" t="s">
        <v>420</v>
      </c>
      <c r="Q805" s="2" t="s">
        <v>5723</v>
      </c>
      <c r="R805" s="3" t="s">
        <v>68</v>
      </c>
      <c r="S805" s="4">
        <v>2</v>
      </c>
      <c r="T805" s="4">
        <v>2</v>
      </c>
      <c r="U805" s="5" t="s">
        <v>10188</v>
      </c>
      <c r="V805" s="5" t="s">
        <v>10188</v>
      </c>
      <c r="W805" s="5" t="s">
        <v>8379</v>
      </c>
      <c r="X805" s="5" t="s">
        <v>8379</v>
      </c>
      <c r="Y805" s="4">
        <v>455</v>
      </c>
      <c r="Z805" s="4">
        <v>378</v>
      </c>
      <c r="AA805" s="4">
        <v>385</v>
      </c>
      <c r="AB805" s="4">
        <v>3</v>
      </c>
      <c r="AC805" s="4">
        <v>3</v>
      </c>
      <c r="AD805" s="4">
        <v>15</v>
      </c>
      <c r="AE805" s="4">
        <v>15</v>
      </c>
      <c r="AF805" s="4">
        <v>5</v>
      </c>
      <c r="AG805" s="4">
        <v>5</v>
      </c>
      <c r="AH805" s="4">
        <v>3</v>
      </c>
      <c r="AI805" s="4">
        <v>3</v>
      </c>
      <c r="AJ805" s="4">
        <v>11</v>
      </c>
      <c r="AK805" s="4">
        <v>11</v>
      </c>
      <c r="AL805" s="4">
        <v>2</v>
      </c>
      <c r="AM805" s="4">
        <v>2</v>
      </c>
      <c r="AN805" s="4">
        <v>0</v>
      </c>
      <c r="AO805" s="4">
        <v>0</v>
      </c>
      <c r="AP805" s="3" t="s">
        <v>59</v>
      </c>
      <c r="AQ805" s="3" t="s">
        <v>71</v>
      </c>
      <c r="AR805" s="6" t="str">
        <f>HYPERLINK("http://catalog.hathitrust.org/Record/004445617","HathiTrust Record")</f>
        <v>HathiTrust Record</v>
      </c>
      <c r="AS805" s="6" t="str">
        <f>HYPERLINK("https://creighton-primo.hosted.exlibrisgroup.com/primo-explore/search?tab=default_tab&amp;search_scope=EVERYTHING&amp;vid=01CRU&amp;lang=en_US&amp;offset=0&amp;query=any,contains,991004469009702656","Catalog Record")</f>
        <v>Catalog Record</v>
      </c>
      <c r="AT805" s="6" t="str">
        <f>HYPERLINK("http://www.worldcat.org/oclc/3587088","WorldCat Record")</f>
        <v>WorldCat Record</v>
      </c>
      <c r="AU805" s="3" t="s">
        <v>10189</v>
      </c>
      <c r="AV805" s="3" t="s">
        <v>10190</v>
      </c>
      <c r="AW805" s="3" t="s">
        <v>10191</v>
      </c>
      <c r="AX805" s="3" t="s">
        <v>10191</v>
      </c>
      <c r="AY805" s="3" t="s">
        <v>10192</v>
      </c>
      <c r="AZ805" s="3" t="s">
        <v>76</v>
      </c>
      <c r="BB805" s="3" t="s">
        <v>10193</v>
      </c>
      <c r="BC805" s="3" t="s">
        <v>10194</v>
      </c>
      <c r="BD805" s="3" t="s">
        <v>10195</v>
      </c>
    </row>
    <row r="806" spans="1:56" ht="52.5" customHeight="1" x14ac:dyDescent="0.25">
      <c r="A806" s="7" t="s">
        <v>59</v>
      </c>
      <c r="B806" s="2" t="s">
        <v>10196</v>
      </c>
      <c r="C806" s="2" t="s">
        <v>10197</v>
      </c>
      <c r="D806" s="2" t="s">
        <v>10198</v>
      </c>
      <c r="F806" s="3" t="s">
        <v>59</v>
      </c>
      <c r="G806" s="3" t="s">
        <v>60</v>
      </c>
      <c r="H806" s="3" t="s">
        <v>59</v>
      </c>
      <c r="I806" s="3" t="s">
        <v>59</v>
      </c>
      <c r="J806" s="3" t="s">
        <v>61</v>
      </c>
      <c r="K806" s="2" t="s">
        <v>10199</v>
      </c>
      <c r="L806" s="2" t="s">
        <v>10200</v>
      </c>
      <c r="M806" s="3" t="s">
        <v>365</v>
      </c>
      <c r="O806" s="3" t="s">
        <v>65</v>
      </c>
      <c r="P806" s="3" t="s">
        <v>1262</v>
      </c>
      <c r="R806" s="3" t="s">
        <v>68</v>
      </c>
      <c r="S806" s="4">
        <v>2</v>
      </c>
      <c r="T806" s="4">
        <v>2</v>
      </c>
      <c r="U806" s="5" t="s">
        <v>7776</v>
      </c>
      <c r="V806" s="5" t="s">
        <v>7776</v>
      </c>
      <c r="W806" s="5" t="s">
        <v>10201</v>
      </c>
      <c r="X806" s="5" t="s">
        <v>10201</v>
      </c>
      <c r="Y806" s="4">
        <v>266</v>
      </c>
      <c r="Z806" s="4">
        <v>112</v>
      </c>
      <c r="AA806" s="4">
        <v>506</v>
      </c>
      <c r="AB806" s="4">
        <v>1</v>
      </c>
      <c r="AC806" s="4">
        <v>7</v>
      </c>
      <c r="AD806" s="4">
        <v>1</v>
      </c>
      <c r="AE806" s="4">
        <v>14</v>
      </c>
      <c r="AF806" s="4">
        <v>1</v>
      </c>
      <c r="AG806" s="4">
        <v>1</v>
      </c>
      <c r="AH806" s="4">
        <v>0</v>
      </c>
      <c r="AI806" s="4">
        <v>1</v>
      </c>
      <c r="AJ806" s="4">
        <v>1</v>
      </c>
      <c r="AK806" s="4">
        <v>8</v>
      </c>
      <c r="AL806" s="4">
        <v>0</v>
      </c>
      <c r="AM806" s="4">
        <v>6</v>
      </c>
      <c r="AN806" s="4">
        <v>0</v>
      </c>
      <c r="AO806" s="4">
        <v>0</v>
      </c>
      <c r="AP806" s="3" t="s">
        <v>59</v>
      </c>
      <c r="AQ806" s="3" t="s">
        <v>71</v>
      </c>
      <c r="AR806" s="6" t="str">
        <f>HYPERLINK("http://catalog.hathitrust.org/Record/001945199","HathiTrust Record")</f>
        <v>HathiTrust Record</v>
      </c>
      <c r="AS806" s="6" t="str">
        <f>HYPERLINK("https://creighton-primo.hosted.exlibrisgroup.com/primo-explore/search?tab=default_tab&amp;search_scope=EVERYTHING&amp;vid=01CRU&amp;lang=en_US&amp;offset=0&amp;query=any,contains,991001477369702656","Catalog Record")</f>
        <v>Catalog Record</v>
      </c>
      <c r="AT806" s="6" t="str">
        <f>HYPERLINK("http://www.worldcat.org/oclc/19589296","WorldCat Record")</f>
        <v>WorldCat Record</v>
      </c>
      <c r="AU806" s="3" t="s">
        <v>10202</v>
      </c>
      <c r="AV806" s="3" t="s">
        <v>10203</v>
      </c>
      <c r="AW806" s="3" t="s">
        <v>10204</v>
      </c>
      <c r="AX806" s="3" t="s">
        <v>10204</v>
      </c>
      <c r="AY806" s="3" t="s">
        <v>10205</v>
      </c>
      <c r="AZ806" s="3" t="s">
        <v>76</v>
      </c>
      <c r="BB806" s="3" t="s">
        <v>10206</v>
      </c>
      <c r="BC806" s="3" t="s">
        <v>10207</v>
      </c>
      <c r="BD806" s="3" t="s">
        <v>10208</v>
      </c>
    </row>
    <row r="807" spans="1:56" ht="52.5" customHeight="1" x14ac:dyDescent="0.25">
      <c r="A807" s="7" t="s">
        <v>59</v>
      </c>
      <c r="B807" s="2" t="s">
        <v>10209</v>
      </c>
      <c r="C807" s="2" t="s">
        <v>10210</v>
      </c>
      <c r="D807" s="2" t="s">
        <v>10211</v>
      </c>
      <c r="F807" s="3" t="s">
        <v>59</v>
      </c>
      <c r="G807" s="3" t="s">
        <v>60</v>
      </c>
      <c r="H807" s="3" t="s">
        <v>59</v>
      </c>
      <c r="I807" s="3" t="s">
        <v>59</v>
      </c>
      <c r="J807" s="3" t="s">
        <v>61</v>
      </c>
      <c r="K807" s="2" t="s">
        <v>10212</v>
      </c>
      <c r="L807" s="2" t="s">
        <v>10213</v>
      </c>
      <c r="M807" s="3" t="s">
        <v>309</v>
      </c>
      <c r="O807" s="3" t="s">
        <v>65</v>
      </c>
      <c r="P807" s="3" t="s">
        <v>10214</v>
      </c>
      <c r="R807" s="3" t="s">
        <v>68</v>
      </c>
      <c r="S807" s="4">
        <v>3</v>
      </c>
      <c r="T807" s="4">
        <v>3</v>
      </c>
      <c r="U807" s="5" t="s">
        <v>10215</v>
      </c>
      <c r="V807" s="5" t="s">
        <v>10215</v>
      </c>
      <c r="W807" s="5" t="s">
        <v>10216</v>
      </c>
      <c r="X807" s="5" t="s">
        <v>10216</v>
      </c>
      <c r="Y807" s="4">
        <v>192</v>
      </c>
      <c r="Z807" s="4">
        <v>169</v>
      </c>
      <c r="AA807" s="4">
        <v>170</v>
      </c>
      <c r="AB807" s="4">
        <v>2</v>
      </c>
      <c r="AC807" s="4">
        <v>2</v>
      </c>
      <c r="AD807" s="4">
        <v>7</v>
      </c>
      <c r="AE807" s="4">
        <v>7</v>
      </c>
      <c r="AF807" s="4">
        <v>3</v>
      </c>
      <c r="AG807" s="4">
        <v>3</v>
      </c>
      <c r="AH807" s="4">
        <v>0</v>
      </c>
      <c r="AI807" s="4">
        <v>0</v>
      </c>
      <c r="AJ807" s="4">
        <v>5</v>
      </c>
      <c r="AK807" s="4">
        <v>5</v>
      </c>
      <c r="AL807" s="4">
        <v>1</v>
      </c>
      <c r="AM807" s="4">
        <v>1</v>
      </c>
      <c r="AN807" s="4">
        <v>0</v>
      </c>
      <c r="AO807" s="4">
        <v>0</v>
      </c>
      <c r="AP807" s="3" t="s">
        <v>59</v>
      </c>
      <c r="AQ807" s="3" t="s">
        <v>59</v>
      </c>
      <c r="AS807" s="6" t="str">
        <f>HYPERLINK("https://creighton-primo.hosted.exlibrisgroup.com/primo-explore/search?tab=default_tab&amp;search_scope=EVERYTHING&amp;vid=01CRU&amp;lang=en_US&amp;offset=0&amp;query=any,contains,991004539929702656","Catalog Record")</f>
        <v>Catalog Record</v>
      </c>
      <c r="AT807" s="6" t="str">
        <f>HYPERLINK("http://www.worldcat.org/oclc/3892668","WorldCat Record")</f>
        <v>WorldCat Record</v>
      </c>
      <c r="AU807" s="3" t="s">
        <v>10217</v>
      </c>
      <c r="AV807" s="3" t="s">
        <v>10218</v>
      </c>
      <c r="AW807" s="3" t="s">
        <v>10219</v>
      </c>
      <c r="AX807" s="3" t="s">
        <v>10219</v>
      </c>
      <c r="AY807" s="3" t="s">
        <v>10220</v>
      </c>
      <c r="AZ807" s="3" t="s">
        <v>76</v>
      </c>
      <c r="BC807" s="3" t="s">
        <v>10221</v>
      </c>
      <c r="BD807" s="3" t="s">
        <v>10222</v>
      </c>
    </row>
    <row r="808" spans="1:56" ht="52.5" customHeight="1" x14ac:dyDescent="0.25">
      <c r="A808" s="7" t="s">
        <v>59</v>
      </c>
      <c r="B808" s="2" t="s">
        <v>10223</v>
      </c>
      <c r="C808" s="2" t="s">
        <v>10224</v>
      </c>
      <c r="D808" s="2" t="s">
        <v>10225</v>
      </c>
      <c r="F808" s="3" t="s">
        <v>59</v>
      </c>
      <c r="G808" s="3" t="s">
        <v>60</v>
      </c>
      <c r="H808" s="3" t="s">
        <v>59</v>
      </c>
      <c r="I808" s="3" t="s">
        <v>59</v>
      </c>
      <c r="J808" s="3" t="s">
        <v>61</v>
      </c>
      <c r="K808" s="2" t="s">
        <v>10226</v>
      </c>
      <c r="L808" s="2" t="s">
        <v>10227</v>
      </c>
      <c r="M808" s="3" t="s">
        <v>1217</v>
      </c>
      <c r="O808" s="3" t="s">
        <v>65</v>
      </c>
      <c r="P808" s="3" t="s">
        <v>420</v>
      </c>
      <c r="R808" s="3" t="s">
        <v>68</v>
      </c>
      <c r="S808" s="4">
        <v>6</v>
      </c>
      <c r="T808" s="4">
        <v>6</v>
      </c>
      <c r="U808" s="5" t="s">
        <v>10228</v>
      </c>
      <c r="V808" s="5" t="s">
        <v>10228</v>
      </c>
      <c r="W808" s="5" t="s">
        <v>10229</v>
      </c>
      <c r="X808" s="5" t="s">
        <v>10229</v>
      </c>
      <c r="Y808" s="4">
        <v>268</v>
      </c>
      <c r="Z808" s="4">
        <v>232</v>
      </c>
      <c r="AA808" s="4">
        <v>755</v>
      </c>
      <c r="AB808" s="4">
        <v>2</v>
      </c>
      <c r="AC808" s="4">
        <v>3</v>
      </c>
      <c r="AD808" s="4">
        <v>9</v>
      </c>
      <c r="AE808" s="4">
        <v>19</v>
      </c>
      <c r="AF808" s="4">
        <v>3</v>
      </c>
      <c r="AG808" s="4">
        <v>11</v>
      </c>
      <c r="AH808" s="4">
        <v>1</v>
      </c>
      <c r="AI808" s="4">
        <v>2</v>
      </c>
      <c r="AJ808" s="4">
        <v>6</v>
      </c>
      <c r="AK808" s="4">
        <v>9</v>
      </c>
      <c r="AL808" s="4">
        <v>1</v>
      </c>
      <c r="AM808" s="4">
        <v>2</v>
      </c>
      <c r="AN808" s="4">
        <v>0</v>
      </c>
      <c r="AO808" s="4">
        <v>0</v>
      </c>
      <c r="AP808" s="3" t="s">
        <v>59</v>
      </c>
      <c r="AQ808" s="3" t="s">
        <v>71</v>
      </c>
      <c r="AR808" s="6" t="str">
        <f>HYPERLINK("http://catalog.hathitrust.org/Record/000240745","HathiTrust Record")</f>
        <v>HathiTrust Record</v>
      </c>
      <c r="AS808" s="6" t="str">
        <f>HYPERLINK("https://creighton-primo.hosted.exlibrisgroup.com/primo-explore/search?tab=default_tab&amp;search_scope=EVERYTHING&amp;vid=01CRU&amp;lang=en_US&amp;offset=0&amp;query=any,contains,991000281609702656","Catalog Record")</f>
        <v>Catalog Record</v>
      </c>
      <c r="AT808" s="6" t="str">
        <f>HYPERLINK("http://www.worldcat.org/oclc/9919102","WorldCat Record")</f>
        <v>WorldCat Record</v>
      </c>
      <c r="AU808" s="3" t="s">
        <v>10230</v>
      </c>
      <c r="AV808" s="3" t="s">
        <v>10231</v>
      </c>
      <c r="AW808" s="3" t="s">
        <v>10232</v>
      </c>
      <c r="AX808" s="3" t="s">
        <v>10232</v>
      </c>
      <c r="AY808" s="3" t="s">
        <v>10233</v>
      </c>
      <c r="AZ808" s="3" t="s">
        <v>76</v>
      </c>
      <c r="BB808" s="3" t="s">
        <v>10234</v>
      </c>
      <c r="BC808" s="3" t="s">
        <v>10235</v>
      </c>
      <c r="BD808" s="3" t="s">
        <v>10236</v>
      </c>
    </row>
    <row r="809" spans="1:56" ht="52.5" customHeight="1" x14ac:dyDescent="0.25">
      <c r="A809" s="7" t="s">
        <v>59</v>
      </c>
      <c r="B809" s="2" t="s">
        <v>10237</v>
      </c>
      <c r="C809" s="2" t="s">
        <v>10238</v>
      </c>
      <c r="D809" s="2" t="s">
        <v>10239</v>
      </c>
      <c r="F809" s="3" t="s">
        <v>59</v>
      </c>
      <c r="G809" s="3" t="s">
        <v>60</v>
      </c>
      <c r="H809" s="3" t="s">
        <v>59</v>
      </c>
      <c r="I809" s="3" t="s">
        <v>59</v>
      </c>
      <c r="J809" s="3" t="s">
        <v>61</v>
      </c>
      <c r="K809" s="2" t="s">
        <v>10240</v>
      </c>
      <c r="L809" s="2" t="s">
        <v>10241</v>
      </c>
      <c r="M809" s="3" t="s">
        <v>131</v>
      </c>
      <c r="O809" s="3" t="s">
        <v>65</v>
      </c>
      <c r="P809" s="3" t="s">
        <v>283</v>
      </c>
      <c r="R809" s="3" t="s">
        <v>68</v>
      </c>
      <c r="S809" s="4">
        <v>3</v>
      </c>
      <c r="T809" s="4">
        <v>3</v>
      </c>
      <c r="U809" s="5" t="s">
        <v>10152</v>
      </c>
      <c r="V809" s="5" t="s">
        <v>10152</v>
      </c>
      <c r="W809" s="5" t="s">
        <v>10242</v>
      </c>
      <c r="X809" s="5" t="s">
        <v>10242</v>
      </c>
      <c r="Y809" s="4">
        <v>352</v>
      </c>
      <c r="Z809" s="4">
        <v>272</v>
      </c>
      <c r="AA809" s="4">
        <v>279</v>
      </c>
      <c r="AB809" s="4">
        <v>2</v>
      </c>
      <c r="AC809" s="4">
        <v>2</v>
      </c>
      <c r="AD809" s="4">
        <v>15</v>
      </c>
      <c r="AE809" s="4">
        <v>15</v>
      </c>
      <c r="AF809" s="4">
        <v>6</v>
      </c>
      <c r="AG809" s="4">
        <v>6</v>
      </c>
      <c r="AH809" s="4">
        <v>4</v>
      </c>
      <c r="AI809" s="4">
        <v>4</v>
      </c>
      <c r="AJ809" s="4">
        <v>7</v>
      </c>
      <c r="AK809" s="4">
        <v>7</v>
      </c>
      <c r="AL809" s="4">
        <v>1</v>
      </c>
      <c r="AM809" s="4">
        <v>1</v>
      </c>
      <c r="AN809" s="4">
        <v>0</v>
      </c>
      <c r="AO809" s="4">
        <v>0</v>
      </c>
      <c r="AP809" s="3" t="s">
        <v>59</v>
      </c>
      <c r="AQ809" s="3" t="s">
        <v>71</v>
      </c>
      <c r="AR809" s="6" t="str">
        <f>HYPERLINK("http://catalog.hathitrust.org/Record/000386855","HathiTrust Record")</f>
        <v>HathiTrust Record</v>
      </c>
      <c r="AS809" s="6" t="str">
        <f>HYPERLINK("https://creighton-primo.hosted.exlibrisgroup.com/primo-explore/search?tab=default_tab&amp;search_scope=EVERYTHING&amp;vid=01CRU&amp;lang=en_US&amp;offset=0&amp;query=any,contains,991003377949702656","Catalog Record")</f>
        <v>Catalog Record</v>
      </c>
      <c r="AT809" s="6" t="str">
        <f>HYPERLINK("http://www.worldcat.org/oclc/914558","WorldCat Record")</f>
        <v>WorldCat Record</v>
      </c>
      <c r="AU809" s="3" t="s">
        <v>10243</v>
      </c>
      <c r="AV809" s="3" t="s">
        <v>10244</v>
      </c>
      <c r="AW809" s="3" t="s">
        <v>10245</v>
      </c>
      <c r="AX809" s="3" t="s">
        <v>10245</v>
      </c>
      <c r="AY809" s="3" t="s">
        <v>10246</v>
      </c>
      <c r="AZ809" s="3" t="s">
        <v>76</v>
      </c>
      <c r="BB809" s="3" t="s">
        <v>10247</v>
      </c>
      <c r="BC809" s="3" t="s">
        <v>10248</v>
      </c>
      <c r="BD809" s="3" t="s">
        <v>10249</v>
      </c>
    </row>
    <row r="810" spans="1:56" ht="52.5" customHeight="1" x14ac:dyDescent="0.25">
      <c r="A810" s="7" t="s">
        <v>59</v>
      </c>
      <c r="B810" s="2" t="s">
        <v>10250</v>
      </c>
      <c r="C810" s="2" t="s">
        <v>10251</v>
      </c>
      <c r="D810" s="2" t="s">
        <v>10252</v>
      </c>
      <c r="F810" s="3" t="s">
        <v>59</v>
      </c>
      <c r="G810" s="3" t="s">
        <v>60</v>
      </c>
      <c r="H810" s="3" t="s">
        <v>59</v>
      </c>
      <c r="I810" s="3" t="s">
        <v>59</v>
      </c>
      <c r="J810" s="3" t="s">
        <v>61</v>
      </c>
      <c r="K810" s="2" t="s">
        <v>10253</v>
      </c>
      <c r="L810" s="2" t="s">
        <v>10254</v>
      </c>
      <c r="M810" s="3" t="s">
        <v>756</v>
      </c>
      <c r="O810" s="3" t="s">
        <v>65</v>
      </c>
      <c r="P810" s="3" t="s">
        <v>283</v>
      </c>
      <c r="R810" s="3" t="s">
        <v>68</v>
      </c>
      <c r="S810" s="4">
        <v>4</v>
      </c>
      <c r="T810" s="4">
        <v>4</v>
      </c>
      <c r="U810" s="5" t="s">
        <v>1430</v>
      </c>
      <c r="V810" s="5" t="s">
        <v>1430</v>
      </c>
      <c r="W810" s="5" t="s">
        <v>10255</v>
      </c>
      <c r="X810" s="5" t="s">
        <v>10255</v>
      </c>
      <c r="Y810" s="4">
        <v>407</v>
      </c>
      <c r="Z810" s="4">
        <v>377</v>
      </c>
      <c r="AA810" s="4">
        <v>380</v>
      </c>
      <c r="AB810" s="4">
        <v>3</v>
      </c>
      <c r="AC810" s="4">
        <v>3</v>
      </c>
      <c r="AD810" s="4">
        <v>17</v>
      </c>
      <c r="AE810" s="4">
        <v>17</v>
      </c>
      <c r="AF810" s="4">
        <v>7</v>
      </c>
      <c r="AG810" s="4">
        <v>7</v>
      </c>
      <c r="AH810" s="4">
        <v>5</v>
      </c>
      <c r="AI810" s="4">
        <v>5</v>
      </c>
      <c r="AJ810" s="4">
        <v>7</v>
      </c>
      <c r="AK810" s="4">
        <v>7</v>
      </c>
      <c r="AL810" s="4">
        <v>2</v>
      </c>
      <c r="AM810" s="4">
        <v>2</v>
      </c>
      <c r="AN810" s="4">
        <v>0</v>
      </c>
      <c r="AO810" s="4">
        <v>0</v>
      </c>
      <c r="AP810" s="3" t="s">
        <v>59</v>
      </c>
      <c r="AQ810" s="3" t="s">
        <v>71</v>
      </c>
      <c r="AR810" s="6" t="str">
        <f>HYPERLINK("http://catalog.hathitrust.org/Record/001116656","HathiTrust Record")</f>
        <v>HathiTrust Record</v>
      </c>
      <c r="AS810" s="6" t="str">
        <f>HYPERLINK("https://creighton-primo.hosted.exlibrisgroup.com/primo-explore/search?tab=default_tab&amp;search_scope=EVERYTHING&amp;vid=01CRU&amp;lang=en_US&amp;offset=0&amp;query=any,contains,991001216199702656","Catalog Record")</f>
        <v>Catalog Record</v>
      </c>
      <c r="AT810" s="6" t="str">
        <f>HYPERLINK("http://www.worldcat.org/oclc/194190","WorldCat Record")</f>
        <v>WorldCat Record</v>
      </c>
      <c r="AU810" s="3" t="s">
        <v>10256</v>
      </c>
      <c r="AV810" s="3" t="s">
        <v>10257</v>
      </c>
      <c r="AW810" s="3" t="s">
        <v>10258</v>
      </c>
      <c r="AX810" s="3" t="s">
        <v>10258</v>
      </c>
      <c r="AY810" s="3" t="s">
        <v>10259</v>
      </c>
      <c r="AZ810" s="3" t="s">
        <v>76</v>
      </c>
      <c r="BC810" s="3" t="s">
        <v>10260</v>
      </c>
      <c r="BD810" s="3" t="s">
        <v>10261</v>
      </c>
    </row>
    <row r="811" spans="1:56" ht="52.5" customHeight="1" x14ac:dyDescent="0.25">
      <c r="A811" s="7" t="s">
        <v>59</v>
      </c>
      <c r="B811" s="2" t="s">
        <v>10262</v>
      </c>
      <c r="C811" s="2" t="s">
        <v>10263</v>
      </c>
      <c r="D811" s="2" t="s">
        <v>10264</v>
      </c>
      <c r="F811" s="3" t="s">
        <v>59</v>
      </c>
      <c r="G811" s="3" t="s">
        <v>60</v>
      </c>
      <c r="H811" s="3" t="s">
        <v>59</v>
      </c>
      <c r="I811" s="3" t="s">
        <v>59</v>
      </c>
      <c r="J811" s="3" t="s">
        <v>61</v>
      </c>
      <c r="K811" s="2" t="s">
        <v>10265</v>
      </c>
      <c r="L811" s="2" t="s">
        <v>10266</v>
      </c>
      <c r="M811" s="3" t="s">
        <v>10267</v>
      </c>
      <c r="O811" s="3" t="s">
        <v>65</v>
      </c>
      <c r="P811" s="3" t="s">
        <v>420</v>
      </c>
      <c r="R811" s="3" t="s">
        <v>68</v>
      </c>
      <c r="S811" s="4">
        <v>1</v>
      </c>
      <c r="T811" s="4">
        <v>1</v>
      </c>
      <c r="U811" s="5" t="s">
        <v>10268</v>
      </c>
      <c r="V811" s="5" t="s">
        <v>10268</v>
      </c>
      <c r="W811" s="5" t="s">
        <v>10269</v>
      </c>
      <c r="X811" s="5" t="s">
        <v>10269</v>
      </c>
      <c r="Y811" s="4">
        <v>260</v>
      </c>
      <c r="Z811" s="4">
        <v>197</v>
      </c>
      <c r="AA811" s="4">
        <v>198</v>
      </c>
      <c r="AB811" s="4">
        <v>2</v>
      </c>
      <c r="AC811" s="4">
        <v>2</v>
      </c>
      <c r="AD811" s="4">
        <v>10</v>
      </c>
      <c r="AE811" s="4">
        <v>10</v>
      </c>
      <c r="AF811" s="4">
        <v>3</v>
      </c>
      <c r="AG811" s="4">
        <v>3</v>
      </c>
      <c r="AH811" s="4">
        <v>4</v>
      </c>
      <c r="AI811" s="4">
        <v>4</v>
      </c>
      <c r="AJ811" s="4">
        <v>5</v>
      </c>
      <c r="AK811" s="4">
        <v>5</v>
      </c>
      <c r="AL811" s="4">
        <v>1</v>
      </c>
      <c r="AM811" s="4">
        <v>1</v>
      </c>
      <c r="AN811" s="4">
        <v>0</v>
      </c>
      <c r="AO811" s="4">
        <v>0</v>
      </c>
      <c r="AP811" s="3" t="s">
        <v>59</v>
      </c>
      <c r="AQ811" s="3" t="s">
        <v>71</v>
      </c>
      <c r="AR811" s="6" t="str">
        <f>HYPERLINK("http://catalog.hathitrust.org/Record/007151034","HathiTrust Record")</f>
        <v>HathiTrust Record</v>
      </c>
      <c r="AS811" s="6" t="str">
        <f>HYPERLINK("https://creighton-primo.hosted.exlibrisgroup.com/primo-explore/search?tab=default_tab&amp;search_scope=EVERYTHING&amp;vid=01CRU&amp;lang=en_US&amp;offset=0&amp;query=any,contains,991003341519702656","Catalog Record")</f>
        <v>Catalog Record</v>
      </c>
      <c r="AT811" s="6" t="str">
        <f>HYPERLINK("http://www.worldcat.org/oclc/28063932","WorldCat Record")</f>
        <v>WorldCat Record</v>
      </c>
      <c r="AU811" s="3" t="s">
        <v>10270</v>
      </c>
      <c r="AV811" s="3" t="s">
        <v>10271</v>
      </c>
      <c r="AW811" s="3" t="s">
        <v>10272</v>
      </c>
      <c r="AX811" s="3" t="s">
        <v>10272</v>
      </c>
      <c r="AY811" s="3" t="s">
        <v>10273</v>
      </c>
      <c r="AZ811" s="3" t="s">
        <v>76</v>
      </c>
      <c r="BB811" s="3" t="s">
        <v>10274</v>
      </c>
      <c r="BC811" s="3" t="s">
        <v>10275</v>
      </c>
      <c r="BD811" s="3" t="s">
        <v>10276</v>
      </c>
    </row>
    <row r="812" spans="1:56" ht="52.5" customHeight="1" x14ac:dyDescent="0.25">
      <c r="A812" s="7" t="s">
        <v>59</v>
      </c>
      <c r="B812" s="2" t="s">
        <v>10277</v>
      </c>
      <c r="C812" s="2" t="s">
        <v>10278</v>
      </c>
      <c r="D812" s="2" t="s">
        <v>10279</v>
      </c>
      <c r="F812" s="3" t="s">
        <v>59</v>
      </c>
      <c r="G812" s="3" t="s">
        <v>60</v>
      </c>
      <c r="H812" s="3" t="s">
        <v>59</v>
      </c>
      <c r="I812" s="3" t="s">
        <v>59</v>
      </c>
      <c r="J812" s="3" t="s">
        <v>61</v>
      </c>
      <c r="K812" s="2" t="s">
        <v>10280</v>
      </c>
      <c r="L812" s="2" t="s">
        <v>10281</v>
      </c>
      <c r="M812" s="3" t="s">
        <v>131</v>
      </c>
      <c r="O812" s="3" t="s">
        <v>65</v>
      </c>
      <c r="P812" s="3" t="s">
        <v>283</v>
      </c>
      <c r="R812" s="3" t="s">
        <v>68</v>
      </c>
      <c r="S812" s="4">
        <v>4</v>
      </c>
      <c r="T812" s="4">
        <v>4</v>
      </c>
      <c r="U812" s="5" t="s">
        <v>10282</v>
      </c>
      <c r="V812" s="5" t="s">
        <v>10282</v>
      </c>
      <c r="W812" s="5" t="s">
        <v>527</v>
      </c>
      <c r="X812" s="5" t="s">
        <v>527</v>
      </c>
      <c r="Y812" s="4">
        <v>174</v>
      </c>
      <c r="Z812" s="4">
        <v>150</v>
      </c>
      <c r="AA812" s="4">
        <v>155</v>
      </c>
      <c r="AB812" s="4">
        <v>3</v>
      </c>
      <c r="AC812" s="4">
        <v>3</v>
      </c>
      <c r="AD812" s="4">
        <v>7</v>
      </c>
      <c r="AE812" s="4">
        <v>7</v>
      </c>
      <c r="AF812" s="4">
        <v>2</v>
      </c>
      <c r="AG812" s="4">
        <v>2</v>
      </c>
      <c r="AH812" s="4">
        <v>2</v>
      </c>
      <c r="AI812" s="4">
        <v>2</v>
      </c>
      <c r="AJ812" s="4">
        <v>5</v>
      </c>
      <c r="AK812" s="4">
        <v>5</v>
      </c>
      <c r="AL812" s="4">
        <v>1</v>
      </c>
      <c r="AM812" s="4">
        <v>1</v>
      </c>
      <c r="AN812" s="4">
        <v>0</v>
      </c>
      <c r="AO812" s="4">
        <v>0</v>
      </c>
      <c r="AP812" s="3" t="s">
        <v>59</v>
      </c>
      <c r="AQ812" s="3" t="s">
        <v>71</v>
      </c>
      <c r="AR812" s="6" t="str">
        <f>HYPERLINK("http://catalog.hathitrust.org/Record/000022001","HathiTrust Record")</f>
        <v>HathiTrust Record</v>
      </c>
      <c r="AS812" s="6" t="str">
        <f>HYPERLINK("https://creighton-primo.hosted.exlibrisgroup.com/primo-explore/search?tab=default_tab&amp;search_scope=EVERYTHING&amp;vid=01CRU&amp;lang=en_US&amp;offset=0&amp;query=any,contains,991003501789702656","Catalog Record")</f>
        <v>Catalog Record</v>
      </c>
      <c r="AT812" s="6" t="str">
        <f>HYPERLINK("http://www.worldcat.org/oclc/1054202","WorldCat Record")</f>
        <v>WorldCat Record</v>
      </c>
      <c r="AU812" s="3" t="s">
        <v>10283</v>
      </c>
      <c r="AV812" s="3" t="s">
        <v>10284</v>
      </c>
      <c r="AW812" s="3" t="s">
        <v>10285</v>
      </c>
      <c r="AX812" s="3" t="s">
        <v>10285</v>
      </c>
      <c r="AY812" s="3" t="s">
        <v>10286</v>
      </c>
      <c r="AZ812" s="3" t="s">
        <v>76</v>
      </c>
      <c r="BC812" s="3" t="s">
        <v>10287</v>
      </c>
      <c r="BD812" s="3" t="s">
        <v>10288</v>
      </c>
    </row>
    <row r="813" spans="1:56" ht="52.5" customHeight="1" x14ac:dyDescent="0.25">
      <c r="A813" s="7" t="s">
        <v>59</v>
      </c>
      <c r="B813" s="2" t="s">
        <v>10289</v>
      </c>
      <c r="C813" s="2" t="s">
        <v>10290</v>
      </c>
      <c r="D813" s="2" t="s">
        <v>10291</v>
      </c>
      <c r="F813" s="3" t="s">
        <v>59</v>
      </c>
      <c r="G813" s="3" t="s">
        <v>60</v>
      </c>
      <c r="H813" s="3" t="s">
        <v>59</v>
      </c>
      <c r="I813" s="3" t="s">
        <v>59</v>
      </c>
      <c r="J813" s="3" t="s">
        <v>61</v>
      </c>
      <c r="K813" s="2" t="s">
        <v>10292</v>
      </c>
      <c r="L813" s="2" t="s">
        <v>10293</v>
      </c>
      <c r="M813" s="3" t="s">
        <v>1217</v>
      </c>
      <c r="O813" s="3" t="s">
        <v>65</v>
      </c>
      <c r="P813" s="3" t="s">
        <v>1262</v>
      </c>
      <c r="R813" s="3" t="s">
        <v>68</v>
      </c>
      <c r="S813" s="4">
        <v>3</v>
      </c>
      <c r="T813" s="4">
        <v>3</v>
      </c>
      <c r="U813" s="5" t="s">
        <v>10294</v>
      </c>
      <c r="V813" s="5" t="s">
        <v>10294</v>
      </c>
      <c r="W813" s="5" t="s">
        <v>1220</v>
      </c>
      <c r="X813" s="5" t="s">
        <v>1220</v>
      </c>
      <c r="Y813" s="4">
        <v>182</v>
      </c>
      <c r="Z813" s="4">
        <v>105</v>
      </c>
      <c r="AA813" s="4">
        <v>199</v>
      </c>
      <c r="AB813" s="4">
        <v>1</v>
      </c>
      <c r="AC813" s="4">
        <v>3</v>
      </c>
      <c r="AD813" s="4">
        <v>2</v>
      </c>
      <c r="AE813" s="4">
        <v>7</v>
      </c>
      <c r="AF813" s="4">
        <v>0</v>
      </c>
      <c r="AG813" s="4">
        <v>1</v>
      </c>
      <c r="AH813" s="4">
        <v>0</v>
      </c>
      <c r="AI813" s="4">
        <v>0</v>
      </c>
      <c r="AJ813" s="4">
        <v>2</v>
      </c>
      <c r="AK813" s="4">
        <v>4</v>
      </c>
      <c r="AL813" s="4">
        <v>0</v>
      </c>
      <c r="AM813" s="4">
        <v>2</v>
      </c>
      <c r="AN813" s="4">
        <v>0</v>
      </c>
      <c r="AO813" s="4">
        <v>0</v>
      </c>
      <c r="AP813" s="3" t="s">
        <v>59</v>
      </c>
      <c r="AQ813" s="3" t="s">
        <v>71</v>
      </c>
      <c r="AR813" s="6" t="str">
        <f>HYPERLINK("http://catalog.hathitrust.org/Record/009812906","HathiTrust Record")</f>
        <v>HathiTrust Record</v>
      </c>
      <c r="AS813" s="6" t="str">
        <f>HYPERLINK("https://creighton-primo.hosted.exlibrisgroup.com/primo-explore/search?tab=default_tab&amp;search_scope=EVERYTHING&amp;vid=01CRU&amp;lang=en_US&amp;offset=0&amp;query=any,contains,991000569749702656","Catalog Record")</f>
        <v>Catalog Record</v>
      </c>
      <c r="AT813" s="6" t="str">
        <f>HYPERLINK("http://www.worldcat.org/oclc/12970196","WorldCat Record")</f>
        <v>WorldCat Record</v>
      </c>
      <c r="AU813" s="3" t="s">
        <v>10295</v>
      </c>
      <c r="AV813" s="3" t="s">
        <v>10296</v>
      </c>
      <c r="AW813" s="3" t="s">
        <v>10297</v>
      </c>
      <c r="AX813" s="3" t="s">
        <v>10297</v>
      </c>
      <c r="AY813" s="3" t="s">
        <v>10298</v>
      </c>
      <c r="AZ813" s="3" t="s">
        <v>76</v>
      </c>
      <c r="BB813" s="3" t="s">
        <v>10299</v>
      </c>
      <c r="BC813" s="3" t="s">
        <v>10300</v>
      </c>
      <c r="BD813" s="3" t="s">
        <v>10301</v>
      </c>
    </row>
    <row r="814" spans="1:56" ht="52.5" customHeight="1" x14ac:dyDescent="0.25">
      <c r="A814" s="7" t="s">
        <v>59</v>
      </c>
      <c r="B814" s="2" t="s">
        <v>10302</v>
      </c>
      <c r="C814" s="2" t="s">
        <v>10303</v>
      </c>
      <c r="D814" s="2" t="s">
        <v>10304</v>
      </c>
      <c r="F814" s="3" t="s">
        <v>59</v>
      </c>
      <c r="G814" s="3" t="s">
        <v>60</v>
      </c>
      <c r="H814" s="3" t="s">
        <v>59</v>
      </c>
      <c r="I814" s="3" t="s">
        <v>59</v>
      </c>
      <c r="J814" s="3" t="s">
        <v>61</v>
      </c>
      <c r="K814" s="2" t="s">
        <v>10305</v>
      </c>
      <c r="L814" s="2" t="s">
        <v>10306</v>
      </c>
      <c r="M814" s="3" t="s">
        <v>616</v>
      </c>
      <c r="N814" s="2" t="s">
        <v>1975</v>
      </c>
      <c r="O814" s="3" t="s">
        <v>65</v>
      </c>
      <c r="P814" s="3" t="s">
        <v>66</v>
      </c>
      <c r="R814" s="3" t="s">
        <v>68</v>
      </c>
      <c r="S814" s="4">
        <v>11</v>
      </c>
      <c r="T814" s="4">
        <v>11</v>
      </c>
      <c r="U814" s="5" t="s">
        <v>10307</v>
      </c>
      <c r="V814" s="5" t="s">
        <v>10307</v>
      </c>
      <c r="W814" s="5" t="s">
        <v>10308</v>
      </c>
      <c r="X814" s="5" t="s">
        <v>10308</v>
      </c>
      <c r="Y814" s="4">
        <v>240</v>
      </c>
      <c r="Z814" s="4">
        <v>180</v>
      </c>
      <c r="AA814" s="4">
        <v>720</v>
      </c>
      <c r="AB814" s="4">
        <v>2</v>
      </c>
      <c r="AC814" s="4">
        <v>5</v>
      </c>
      <c r="AD814" s="4">
        <v>8</v>
      </c>
      <c r="AE814" s="4">
        <v>32</v>
      </c>
      <c r="AF814" s="4">
        <v>1</v>
      </c>
      <c r="AG814" s="4">
        <v>13</v>
      </c>
      <c r="AH814" s="4">
        <v>1</v>
      </c>
      <c r="AI814" s="4">
        <v>4</v>
      </c>
      <c r="AJ814" s="4">
        <v>6</v>
      </c>
      <c r="AK814" s="4">
        <v>19</v>
      </c>
      <c r="AL814" s="4">
        <v>1</v>
      </c>
      <c r="AM814" s="4">
        <v>4</v>
      </c>
      <c r="AN814" s="4">
        <v>0</v>
      </c>
      <c r="AO814" s="4">
        <v>0</v>
      </c>
      <c r="AP814" s="3" t="s">
        <v>59</v>
      </c>
      <c r="AQ814" s="3" t="s">
        <v>71</v>
      </c>
      <c r="AR814" s="6" t="str">
        <f>HYPERLINK("http://catalog.hathitrust.org/Record/000875388","HathiTrust Record")</f>
        <v>HathiTrust Record</v>
      </c>
      <c r="AS814" s="6" t="str">
        <f>HYPERLINK("https://creighton-primo.hosted.exlibrisgroup.com/primo-explore/search?tab=default_tab&amp;search_scope=EVERYTHING&amp;vid=01CRU&amp;lang=en_US&amp;offset=0&amp;query=any,contains,991001080069702656","Catalog Record")</f>
        <v>Catalog Record</v>
      </c>
      <c r="AT814" s="6" t="str">
        <f>HYPERLINK("http://www.worldcat.org/oclc/16085477","WorldCat Record")</f>
        <v>WorldCat Record</v>
      </c>
      <c r="AU814" s="3" t="s">
        <v>10309</v>
      </c>
      <c r="AV814" s="3" t="s">
        <v>10310</v>
      </c>
      <c r="AW814" s="3" t="s">
        <v>10311</v>
      </c>
      <c r="AX814" s="3" t="s">
        <v>10311</v>
      </c>
      <c r="AY814" s="3" t="s">
        <v>10312</v>
      </c>
      <c r="AZ814" s="3" t="s">
        <v>76</v>
      </c>
      <c r="BB814" s="3" t="s">
        <v>10313</v>
      </c>
      <c r="BC814" s="3" t="s">
        <v>10314</v>
      </c>
      <c r="BD814" s="3" t="s">
        <v>10315</v>
      </c>
    </row>
    <row r="815" spans="1:56" ht="52.5" customHeight="1" x14ac:dyDescent="0.25">
      <c r="A815" s="7" t="s">
        <v>59</v>
      </c>
      <c r="B815" s="2" t="s">
        <v>10316</v>
      </c>
      <c r="C815" s="2" t="s">
        <v>10317</v>
      </c>
      <c r="D815" s="2" t="s">
        <v>10318</v>
      </c>
      <c r="F815" s="3" t="s">
        <v>59</v>
      </c>
      <c r="G815" s="3" t="s">
        <v>60</v>
      </c>
      <c r="H815" s="3" t="s">
        <v>59</v>
      </c>
      <c r="I815" s="3" t="s">
        <v>59</v>
      </c>
      <c r="J815" s="3" t="s">
        <v>61</v>
      </c>
      <c r="K815" s="2" t="s">
        <v>10319</v>
      </c>
      <c r="L815" s="2" t="s">
        <v>10320</v>
      </c>
      <c r="M815" s="3" t="s">
        <v>224</v>
      </c>
      <c r="O815" s="3" t="s">
        <v>65</v>
      </c>
      <c r="P815" s="3" t="s">
        <v>66</v>
      </c>
      <c r="R815" s="3" t="s">
        <v>68</v>
      </c>
      <c r="S815" s="4">
        <v>3</v>
      </c>
      <c r="T815" s="4">
        <v>3</v>
      </c>
      <c r="U815" s="5" t="s">
        <v>6281</v>
      </c>
      <c r="V815" s="5" t="s">
        <v>6281</v>
      </c>
      <c r="W815" s="5" t="s">
        <v>10321</v>
      </c>
      <c r="X815" s="5" t="s">
        <v>10321</v>
      </c>
      <c r="Y815" s="4">
        <v>616</v>
      </c>
      <c r="Z815" s="4">
        <v>492</v>
      </c>
      <c r="AA815" s="4">
        <v>499</v>
      </c>
      <c r="AB815" s="4">
        <v>4</v>
      </c>
      <c r="AC815" s="4">
        <v>4</v>
      </c>
      <c r="AD815" s="4">
        <v>21</v>
      </c>
      <c r="AE815" s="4">
        <v>21</v>
      </c>
      <c r="AF815" s="4">
        <v>11</v>
      </c>
      <c r="AG815" s="4">
        <v>11</v>
      </c>
      <c r="AH815" s="4">
        <v>2</v>
      </c>
      <c r="AI815" s="4">
        <v>2</v>
      </c>
      <c r="AJ815" s="4">
        <v>8</v>
      </c>
      <c r="AK815" s="4">
        <v>8</v>
      </c>
      <c r="AL815" s="4">
        <v>3</v>
      </c>
      <c r="AM815" s="4">
        <v>3</v>
      </c>
      <c r="AN815" s="4">
        <v>0</v>
      </c>
      <c r="AO815" s="4">
        <v>0</v>
      </c>
      <c r="AP815" s="3" t="s">
        <v>59</v>
      </c>
      <c r="AQ815" s="3" t="s">
        <v>71</v>
      </c>
      <c r="AR815" s="6" t="str">
        <f>HYPERLINK("http://catalog.hathitrust.org/Record/000023988","HathiTrust Record")</f>
        <v>HathiTrust Record</v>
      </c>
      <c r="AS815" s="6" t="str">
        <f>HYPERLINK("https://creighton-primo.hosted.exlibrisgroup.com/primo-explore/search?tab=default_tab&amp;search_scope=EVERYTHING&amp;vid=01CRU&amp;lang=en_US&amp;offset=0&amp;query=any,contains,991003505709702656","Catalog Record")</f>
        <v>Catalog Record</v>
      </c>
      <c r="AT815" s="6" t="str">
        <f>HYPERLINK("http://www.worldcat.org/oclc/1056993","WorldCat Record")</f>
        <v>WorldCat Record</v>
      </c>
      <c r="AU815" s="3" t="s">
        <v>10322</v>
      </c>
      <c r="AV815" s="3" t="s">
        <v>10323</v>
      </c>
      <c r="AW815" s="3" t="s">
        <v>10324</v>
      </c>
      <c r="AX815" s="3" t="s">
        <v>10324</v>
      </c>
      <c r="AY815" s="3" t="s">
        <v>10325</v>
      </c>
      <c r="AZ815" s="3" t="s">
        <v>76</v>
      </c>
      <c r="BB815" s="3" t="s">
        <v>10326</v>
      </c>
      <c r="BC815" s="3" t="s">
        <v>10327</v>
      </c>
      <c r="BD815" s="3" t="s">
        <v>10328</v>
      </c>
    </row>
    <row r="816" spans="1:56" ht="52.5" customHeight="1" x14ac:dyDescent="0.25">
      <c r="A816" s="7" t="s">
        <v>59</v>
      </c>
      <c r="B816" s="2" t="s">
        <v>10329</v>
      </c>
      <c r="C816" s="2" t="s">
        <v>10330</v>
      </c>
      <c r="D816" s="2" t="s">
        <v>10331</v>
      </c>
      <c r="F816" s="3" t="s">
        <v>59</v>
      </c>
      <c r="G816" s="3" t="s">
        <v>60</v>
      </c>
      <c r="H816" s="3" t="s">
        <v>59</v>
      </c>
      <c r="I816" s="3" t="s">
        <v>59</v>
      </c>
      <c r="J816" s="3" t="s">
        <v>61</v>
      </c>
      <c r="K816" s="2" t="s">
        <v>10332</v>
      </c>
      <c r="L816" s="2" t="s">
        <v>10333</v>
      </c>
      <c r="M816" s="3" t="s">
        <v>475</v>
      </c>
      <c r="N816" s="2" t="s">
        <v>1975</v>
      </c>
      <c r="O816" s="3" t="s">
        <v>65</v>
      </c>
      <c r="P816" s="3" t="s">
        <v>283</v>
      </c>
      <c r="R816" s="3" t="s">
        <v>68</v>
      </c>
      <c r="S816" s="4">
        <v>10</v>
      </c>
      <c r="T816" s="4">
        <v>10</v>
      </c>
      <c r="U816" s="5" t="s">
        <v>3067</v>
      </c>
      <c r="V816" s="5" t="s">
        <v>3067</v>
      </c>
      <c r="W816" s="5" t="s">
        <v>1150</v>
      </c>
      <c r="X816" s="5" t="s">
        <v>1150</v>
      </c>
      <c r="Y816" s="4">
        <v>231</v>
      </c>
      <c r="Z816" s="4">
        <v>152</v>
      </c>
      <c r="AA816" s="4">
        <v>592</v>
      </c>
      <c r="AB816" s="4">
        <v>3</v>
      </c>
      <c r="AC816" s="4">
        <v>4</v>
      </c>
      <c r="AD816" s="4">
        <v>3</v>
      </c>
      <c r="AE816" s="4">
        <v>25</v>
      </c>
      <c r="AF816" s="4">
        <v>1</v>
      </c>
      <c r="AG816" s="4">
        <v>10</v>
      </c>
      <c r="AH816" s="4">
        <v>0</v>
      </c>
      <c r="AI816" s="4">
        <v>5</v>
      </c>
      <c r="AJ816" s="4">
        <v>2</v>
      </c>
      <c r="AK816" s="4">
        <v>16</v>
      </c>
      <c r="AL816" s="4">
        <v>1</v>
      </c>
      <c r="AM816" s="4">
        <v>2</v>
      </c>
      <c r="AN816" s="4">
        <v>0</v>
      </c>
      <c r="AO816" s="4">
        <v>0</v>
      </c>
      <c r="AP816" s="3" t="s">
        <v>59</v>
      </c>
      <c r="AQ816" s="3" t="s">
        <v>59</v>
      </c>
      <c r="AS816" s="6" t="str">
        <f>HYPERLINK("https://creighton-primo.hosted.exlibrisgroup.com/primo-explore/search?tab=default_tab&amp;search_scope=EVERYTHING&amp;vid=01CRU&amp;lang=en_US&amp;offset=0&amp;query=any,contains,991000217029702656","Catalog Record")</f>
        <v>Catalog Record</v>
      </c>
      <c r="AT816" s="6" t="str">
        <f>HYPERLINK("http://www.worldcat.org/oclc/9563915","WorldCat Record")</f>
        <v>WorldCat Record</v>
      </c>
      <c r="AU816" s="3" t="s">
        <v>10334</v>
      </c>
      <c r="AV816" s="3" t="s">
        <v>10335</v>
      </c>
      <c r="AW816" s="3" t="s">
        <v>10336</v>
      </c>
      <c r="AX816" s="3" t="s">
        <v>10336</v>
      </c>
      <c r="AY816" s="3" t="s">
        <v>10337</v>
      </c>
      <c r="AZ816" s="3" t="s">
        <v>76</v>
      </c>
      <c r="BB816" s="3" t="s">
        <v>10338</v>
      </c>
      <c r="BC816" s="3" t="s">
        <v>10339</v>
      </c>
      <c r="BD816" s="3" t="s">
        <v>10340</v>
      </c>
    </row>
    <row r="817" spans="1:56" ht="52.5" customHeight="1" x14ac:dyDescent="0.25">
      <c r="A817" s="7" t="s">
        <v>59</v>
      </c>
      <c r="B817" s="2" t="s">
        <v>10341</v>
      </c>
      <c r="C817" s="2" t="s">
        <v>10342</v>
      </c>
      <c r="D817" s="2" t="s">
        <v>10343</v>
      </c>
      <c r="F817" s="3" t="s">
        <v>59</v>
      </c>
      <c r="G817" s="3" t="s">
        <v>60</v>
      </c>
      <c r="H817" s="3" t="s">
        <v>59</v>
      </c>
      <c r="I817" s="3" t="s">
        <v>59</v>
      </c>
      <c r="J817" s="3" t="s">
        <v>61</v>
      </c>
      <c r="K817" s="2" t="s">
        <v>10344</v>
      </c>
      <c r="L817" s="2" t="s">
        <v>10345</v>
      </c>
      <c r="M817" s="3" t="s">
        <v>405</v>
      </c>
      <c r="O817" s="3" t="s">
        <v>65</v>
      </c>
      <c r="P817" s="3" t="s">
        <v>283</v>
      </c>
      <c r="R817" s="3" t="s">
        <v>68</v>
      </c>
      <c r="S817" s="4">
        <v>5</v>
      </c>
      <c r="T817" s="4">
        <v>5</v>
      </c>
      <c r="U817" s="5" t="s">
        <v>10346</v>
      </c>
      <c r="V817" s="5" t="s">
        <v>10346</v>
      </c>
      <c r="W817" s="5" t="s">
        <v>10347</v>
      </c>
      <c r="X817" s="5" t="s">
        <v>10347</v>
      </c>
      <c r="Y817" s="4">
        <v>93</v>
      </c>
      <c r="Z817" s="4">
        <v>67</v>
      </c>
      <c r="AA817" s="4">
        <v>227</v>
      </c>
      <c r="AB817" s="4">
        <v>1</v>
      </c>
      <c r="AC817" s="4">
        <v>2</v>
      </c>
      <c r="AD817" s="4">
        <v>2</v>
      </c>
      <c r="AE817" s="4">
        <v>9</v>
      </c>
      <c r="AF817" s="4">
        <v>1</v>
      </c>
      <c r="AG817" s="4">
        <v>4</v>
      </c>
      <c r="AH817" s="4">
        <v>0</v>
      </c>
      <c r="AI817" s="4">
        <v>3</v>
      </c>
      <c r="AJ817" s="4">
        <v>2</v>
      </c>
      <c r="AK817" s="4">
        <v>6</v>
      </c>
      <c r="AL817" s="4">
        <v>0</v>
      </c>
      <c r="AM817" s="4">
        <v>1</v>
      </c>
      <c r="AN817" s="4">
        <v>0</v>
      </c>
      <c r="AO817" s="4">
        <v>0</v>
      </c>
      <c r="AP817" s="3" t="s">
        <v>59</v>
      </c>
      <c r="AQ817" s="3" t="s">
        <v>71</v>
      </c>
      <c r="AR817" s="6" t="str">
        <f>HYPERLINK("http://catalog.hathitrust.org/Record/101910537","HathiTrust Record")</f>
        <v>HathiTrust Record</v>
      </c>
      <c r="AS817" s="6" t="str">
        <f>HYPERLINK("https://creighton-primo.hosted.exlibrisgroup.com/primo-explore/search?tab=default_tab&amp;search_scope=EVERYTHING&amp;vid=01CRU&amp;lang=en_US&amp;offset=0&amp;query=any,contains,991000938639702656","Catalog Record")</f>
        <v>Catalog Record</v>
      </c>
      <c r="AT817" s="6" t="str">
        <f>HYPERLINK("http://www.worldcat.org/oclc/14378347","WorldCat Record")</f>
        <v>WorldCat Record</v>
      </c>
      <c r="AU817" s="3" t="s">
        <v>10348</v>
      </c>
      <c r="AV817" s="3" t="s">
        <v>10349</v>
      </c>
      <c r="AW817" s="3" t="s">
        <v>10350</v>
      </c>
      <c r="AX817" s="3" t="s">
        <v>10350</v>
      </c>
      <c r="AY817" s="3" t="s">
        <v>10351</v>
      </c>
      <c r="AZ817" s="3" t="s">
        <v>76</v>
      </c>
      <c r="BB817" s="3" t="s">
        <v>10352</v>
      </c>
      <c r="BC817" s="3" t="s">
        <v>10353</v>
      </c>
      <c r="BD817" s="3" t="s">
        <v>10354</v>
      </c>
    </row>
    <row r="818" spans="1:56" ht="52.5" customHeight="1" x14ac:dyDescent="0.25">
      <c r="A818" s="7" t="s">
        <v>59</v>
      </c>
      <c r="B818" s="2" t="s">
        <v>10355</v>
      </c>
      <c r="C818" s="2" t="s">
        <v>10356</v>
      </c>
      <c r="D818" s="2" t="s">
        <v>10357</v>
      </c>
      <c r="F818" s="3" t="s">
        <v>59</v>
      </c>
      <c r="G818" s="3" t="s">
        <v>60</v>
      </c>
      <c r="H818" s="3" t="s">
        <v>59</v>
      </c>
      <c r="I818" s="3" t="s">
        <v>59</v>
      </c>
      <c r="J818" s="3" t="s">
        <v>61</v>
      </c>
      <c r="K818" s="2" t="s">
        <v>10358</v>
      </c>
      <c r="L818" s="2" t="s">
        <v>10359</v>
      </c>
      <c r="M818" s="3" t="s">
        <v>987</v>
      </c>
      <c r="O818" s="3" t="s">
        <v>65</v>
      </c>
      <c r="P818" s="3" t="s">
        <v>323</v>
      </c>
      <c r="Q818" s="2" t="s">
        <v>10360</v>
      </c>
      <c r="R818" s="3" t="s">
        <v>68</v>
      </c>
      <c r="S818" s="4">
        <v>2</v>
      </c>
      <c r="T818" s="4">
        <v>2</v>
      </c>
      <c r="U818" s="5" t="s">
        <v>9869</v>
      </c>
      <c r="V818" s="5" t="s">
        <v>9869</v>
      </c>
      <c r="W818" s="5" t="s">
        <v>10361</v>
      </c>
      <c r="X818" s="5" t="s">
        <v>10361</v>
      </c>
      <c r="Y818" s="4">
        <v>255</v>
      </c>
      <c r="Z818" s="4">
        <v>218</v>
      </c>
      <c r="AA818" s="4">
        <v>291</v>
      </c>
      <c r="AB818" s="4">
        <v>4</v>
      </c>
      <c r="AC818" s="4">
        <v>4</v>
      </c>
      <c r="AD818" s="4">
        <v>11</v>
      </c>
      <c r="AE818" s="4">
        <v>13</v>
      </c>
      <c r="AF818" s="4">
        <v>4</v>
      </c>
      <c r="AG818" s="4">
        <v>5</v>
      </c>
      <c r="AH818" s="4">
        <v>3</v>
      </c>
      <c r="AI818" s="4">
        <v>3</v>
      </c>
      <c r="AJ818" s="4">
        <v>4</v>
      </c>
      <c r="AK818" s="4">
        <v>6</v>
      </c>
      <c r="AL818" s="4">
        <v>3</v>
      </c>
      <c r="AM818" s="4">
        <v>3</v>
      </c>
      <c r="AN818" s="4">
        <v>0</v>
      </c>
      <c r="AO818" s="4">
        <v>0</v>
      </c>
      <c r="AP818" s="3" t="s">
        <v>59</v>
      </c>
      <c r="AQ818" s="3" t="s">
        <v>59</v>
      </c>
      <c r="AS818" s="6" t="str">
        <f>HYPERLINK("https://creighton-primo.hosted.exlibrisgroup.com/primo-explore/search?tab=default_tab&amp;search_scope=EVERYTHING&amp;vid=01CRU&amp;lang=en_US&amp;offset=0&amp;query=any,contains,991000541829702656","Catalog Record")</f>
        <v>Catalog Record</v>
      </c>
      <c r="AT818" s="6" t="str">
        <f>HYPERLINK("http://www.worldcat.org/oclc/90599","WorldCat Record")</f>
        <v>WorldCat Record</v>
      </c>
      <c r="AU818" s="3" t="s">
        <v>10362</v>
      </c>
      <c r="AV818" s="3" t="s">
        <v>10363</v>
      </c>
      <c r="AW818" s="3" t="s">
        <v>10364</v>
      </c>
      <c r="AX818" s="3" t="s">
        <v>10364</v>
      </c>
      <c r="AY818" s="3" t="s">
        <v>10365</v>
      </c>
      <c r="AZ818" s="3" t="s">
        <v>76</v>
      </c>
      <c r="BB818" s="3" t="s">
        <v>10366</v>
      </c>
      <c r="BC818" s="3" t="s">
        <v>10367</v>
      </c>
      <c r="BD818" s="3" t="s">
        <v>10368</v>
      </c>
    </row>
    <row r="819" spans="1:56" ht="52.5" customHeight="1" x14ac:dyDescent="0.25">
      <c r="A819" s="7" t="s">
        <v>59</v>
      </c>
      <c r="B819" s="2" t="s">
        <v>10369</v>
      </c>
      <c r="C819" s="2" t="s">
        <v>10370</v>
      </c>
      <c r="D819" s="2" t="s">
        <v>10371</v>
      </c>
      <c r="F819" s="3" t="s">
        <v>59</v>
      </c>
      <c r="G819" s="3" t="s">
        <v>60</v>
      </c>
      <c r="H819" s="3" t="s">
        <v>59</v>
      </c>
      <c r="I819" s="3" t="s">
        <v>59</v>
      </c>
      <c r="J819" s="3" t="s">
        <v>61</v>
      </c>
      <c r="K819" s="2" t="s">
        <v>10372</v>
      </c>
      <c r="L819" s="2" t="s">
        <v>10013</v>
      </c>
      <c r="M819" s="3" t="s">
        <v>309</v>
      </c>
      <c r="N819" s="2" t="s">
        <v>1289</v>
      </c>
      <c r="O819" s="3" t="s">
        <v>65</v>
      </c>
      <c r="P819" s="3" t="s">
        <v>296</v>
      </c>
      <c r="Q819" s="2" t="s">
        <v>10014</v>
      </c>
      <c r="R819" s="3" t="s">
        <v>68</v>
      </c>
      <c r="S819" s="4">
        <v>4</v>
      </c>
      <c r="T819" s="4">
        <v>4</v>
      </c>
      <c r="U819" s="5" t="s">
        <v>10373</v>
      </c>
      <c r="V819" s="5" t="s">
        <v>10373</v>
      </c>
      <c r="W819" s="5" t="s">
        <v>773</v>
      </c>
      <c r="X819" s="5" t="s">
        <v>773</v>
      </c>
      <c r="Y819" s="4">
        <v>238</v>
      </c>
      <c r="Z819" s="4">
        <v>200</v>
      </c>
      <c r="AA819" s="4">
        <v>400</v>
      </c>
      <c r="AB819" s="4">
        <v>2</v>
      </c>
      <c r="AC819" s="4">
        <v>4</v>
      </c>
      <c r="AD819" s="4">
        <v>5</v>
      </c>
      <c r="AE819" s="4">
        <v>16</v>
      </c>
      <c r="AF819" s="4">
        <v>2</v>
      </c>
      <c r="AG819" s="4">
        <v>3</v>
      </c>
      <c r="AH819" s="4">
        <v>0</v>
      </c>
      <c r="AI819" s="4">
        <v>4</v>
      </c>
      <c r="AJ819" s="4">
        <v>4</v>
      </c>
      <c r="AK819" s="4">
        <v>11</v>
      </c>
      <c r="AL819" s="4">
        <v>1</v>
      </c>
      <c r="AM819" s="4">
        <v>3</v>
      </c>
      <c r="AN819" s="4">
        <v>0</v>
      </c>
      <c r="AO819" s="4">
        <v>0</v>
      </c>
      <c r="AP819" s="3" t="s">
        <v>59</v>
      </c>
      <c r="AQ819" s="3" t="s">
        <v>59</v>
      </c>
      <c r="AS819" s="6" t="str">
        <f>HYPERLINK("https://creighton-primo.hosted.exlibrisgroup.com/primo-explore/search?tab=default_tab&amp;search_scope=EVERYTHING&amp;vid=01CRU&amp;lang=en_US&amp;offset=0&amp;query=any,contains,991004542079702656","Catalog Record")</f>
        <v>Catalog Record</v>
      </c>
      <c r="AT819" s="6" t="str">
        <f>HYPERLINK("http://www.worldcat.org/oclc/3898815","WorldCat Record")</f>
        <v>WorldCat Record</v>
      </c>
      <c r="AU819" s="3" t="s">
        <v>10374</v>
      </c>
      <c r="AV819" s="3" t="s">
        <v>10375</v>
      </c>
      <c r="AW819" s="3" t="s">
        <v>10376</v>
      </c>
      <c r="AX819" s="3" t="s">
        <v>10376</v>
      </c>
      <c r="AY819" s="3" t="s">
        <v>10377</v>
      </c>
      <c r="AZ819" s="3" t="s">
        <v>76</v>
      </c>
      <c r="BB819" s="3" t="s">
        <v>10378</v>
      </c>
      <c r="BC819" s="3" t="s">
        <v>10379</v>
      </c>
      <c r="BD819" s="3" t="s">
        <v>10380</v>
      </c>
    </row>
    <row r="820" spans="1:56" ht="52.5" customHeight="1" x14ac:dyDescent="0.25">
      <c r="A820" s="7" t="s">
        <v>59</v>
      </c>
      <c r="B820" s="2" t="s">
        <v>10381</v>
      </c>
      <c r="C820" s="2" t="s">
        <v>10382</v>
      </c>
      <c r="D820" s="2" t="s">
        <v>10383</v>
      </c>
      <c r="F820" s="3" t="s">
        <v>59</v>
      </c>
      <c r="G820" s="3" t="s">
        <v>60</v>
      </c>
      <c r="H820" s="3" t="s">
        <v>59</v>
      </c>
      <c r="I820" s="3" t="s">
        <v>59</v>
      </c>
      <c r="J820" s="3" t="s">
        <v>61</v>
      </c>
      <c r="K820" s="2" t="s">
        <v>10384</v>
      </c>
      <c r="L820" s="2" t="s">
        <v>10385</v>
      </c>
      <c r="M820" s="3" t="s">
        <v>254</v>
      </c>
      <c r="O820" s="3" t="s">
        <v>65</v>
      </c>
      <c r="P820" s="3" t="s">
        <v>323</v>
      </c>
      <c r="R820" s="3" t="s">
        <v>68</v>
      </c>
      <c r="S820" s="4">
        <v>2</v>
      </c>
      <c r="T820" s="4">
        <v>2</v>
      </c>
      <c r="U820" s="5" t="s">
        <v>9942</v>
      </c>
      <c r="V820" s="5" t="s">
        <v>9942</v>
      </c>
      <c r="W820" s="5" t="s">
        <v>10386</v>
      </c>
      <c r="X820" s="5" t="s">
        <v>10386</v>
      </c>
      <c r="Y820" s="4">
        <v>295</v>
      </c>
      <c r="Z820" s="4">
        <v>255</v>
      </c>
      <c r="AA820" s="4">
        <v>257</v>
      </c>
      <c r="AB820" s="4">
        <v>2</v>
      </c>
      <c r="AC820" s="4">
        <v>2</v>
      </c>
      <c r="AD820" s="4">
        <v>11</v>
      </c>
      <c r="AE820" s="4">
        <v>11</v>
      </c>
      <c r="AF820" s="4">
        <v>3</v>
      </c>
      <c r="AG820" s="4">
        <v>3</v>
      </c>
      <c r="AH820" s="4">
        <v>3</v>
      </c>
      <c r="AI820" s="4">
        <v>3</v>
      </c>
      <c r="AJ820" s="4">
        <v>8</v>
      </c>
      <c r="AK820" s="4">
        <v>8</v>
      </c>
      <c r="AL820" s="4">
        <v>1</v>
      </c>
      <c r="AM820" s="4">
        <v>1</v>
      </c>
      <c r="AN820" s="4">
        <v>0</v>
      </c>
      <c r="AO820" s="4">
        <v>0</v>
      </c>
      <c r="AP820" s="3" t="s">
        <v>59</v>
      </c>
      <c r="AQ820" s="3" t="s">
        <v>71</v>
      </c>
      <c r="AR820" s="6" t="str">
        <f>HYPERLINK("http://catalog.hathitrust.org/Record/000387996","HathiTrust Record")</f>
        <v>HathiTrust Record</v>
      </c>
      <c r="AS820" s="6" t="str">
        <f>HYPERLINK("https://creighton-primo.hosted.exlibrisgroup.com/primo-explore/search?tab=default_tab&amp;search_scope=EVERYTHING&amp;vid=01CRU&amp;lang=en_US&amp;offset=0&amp;query=any,contains,991000506819702656","Catalog Record")</f>
        <v>Catalog Record</v>
      </c>
      <c r="AT820" s="6" t="str">
        <f>HYPERLINK("http://www.worldcat.org/oclc/82853","WorldCat Record")</f>
        <v>WorldCat Record</v>
      </c>
      <c r="AU820" s="3" t="s">
        <v>10387</v>
      </c>
      <c r="AV820" s="3" t="s">
        <v>10388</v>
      </c>
      <c r="AW820" s="3" t="s">
        <v>10389</v>
      </c>
      <c r="AX820" s="3" t="s">
        <v>10389</v>
      </c>
      <c r="AY820" s="3" t="s">
        <v>10390</v>
      </c>
      <c r="AZ820" s="3" t="s">
        <v>76</v>
      </c>
      <c r="BC820" s="3" t="s">
        <v>10391</v>
      </c>
      <c r="BD820" s="3" t="s">
        <v>10392</v>
      </c>
    </row>
    <row r="821" spans="1:56" ht="52.5" customHeight="1" x14ac:dyDescent="0.25">
      <c r="A821" s="7" t="s">
        <v>59</v>
      </c>
      <c r="B821" s="2" t="s">
        <v>10393</v>
      </c>
      <c r="C821" s="2" t="s">
        <v>10394</v>
      </c>
      <c r="D821" s="2" t="s">
        <v>10395</v>
      </c>
      <c r="F821" s="3" t="s">
        <v>59</v>
      </c>
      <c r="G821" s="3" t="s">
        <v>60</v>
      </c>
      <c r="H821" s="3" t="s">
        <v>59</v>
      </c>
      <c r="I821" s="3" t="s">
        <v>59</v>
      </c>
      <c r="J821" s="3" t="s">
        <v>61</v>
      </c>
      <c r="K821" s="2" t="s">
        <v>10396</v>
      </c>
      <c r="L821" s="2" t="s">
        <v>10397</v>
      </c>
      <c r="M821" s="3" t="s">
        <v>164</v>
      </c>
      <c r="O821" s="3" t="s">
        <v>65</v>
      </c>
      <c r="P821" s="3" t="s">
        <v>66</v>
      </c>
      <c r="R821" s="3" t="s">
        <v>68</v>
      </c>
      <c r="S821" s="4">
        <v>9</v>
      </c>
      <c r="T821" s="4">
        <v>9</v>
      </c>
      <c r="U821" s="5" t="s">
        <v>10398</v>
      </c>
      <c r="V821" s="5" t="s">
        <v>10398</v>
      </c>
      <c r="W821" s="5" t="s">
        <v>10399</v>
      </c>
      <c r="X821" s="5" t="s">
        <v>10399</v>
      </c>
      <c r="Y821" s="4">
        <v>325</v>
      </c>
      <c r="Z821" s="4">
        <v>270</v>
      </c>
      <c r="AA821" s="4">
        <v>276</v>
      </c>
      <c r="AB821" s="4">
        <v>3</v>
      </c>
      <c r="AC821" s="4">
        <v>3</v>
      </c>
      <c r="AD821" s="4">
        <v>10</v>
      </c>
      <c r="AE821" s="4">
        <v>10</v>
      </c>
      <c r="AF821" s="4">
        <v>4</v>
      </c>
      <c r="AG821" s="4">
        <v>4</v>
      </c>
      <c r="AH821" s="4">
        <v>0</v>
      </c>
      <c r="AI821" s="4">
        <v>0</v>
      </c>
      <c r="AJ821" s="4">
        <v>7</v>
      </c>
      <c r="AK821" s="4">
        <v>7</v>
      </c>
      <c r="AL821" s="4">
        <v>2</v>
      </c>
      <c r="AM821" s="4">
        <v>2</v>
      </c>
      <c r="AN821" s="4">
        <v>0</v>
      </c>
      <c r="AO821" s="4">
        <v>0</v>
      </c>
      <c r="AP821" s="3" t="s">
        <v>59</v>
      </c>
      <c r="AQ821" s="3" t="s">
        <v>59</v>
      </c>
      <c r="AS821" s="6" t="str">
        <f>HYPERLINK("https://creighton-primo.hosted.exlibrisgroup.com/primo-explore/search?tab=default_tab&amp;search_scope=EVERYTHING&amp;vid=01CRU&amp;lang=en_US&amp;offset=0&amp;query=any,contains,991005027179702656","Catalog Record")</f>
        <v>Catalog Record</v>
      </c>
      <c r="AT821" s="6" t="str">
        <f>HYPERLINK("http://www.worldcat.org/oclc/6707200","WorldCat Record")</f>
        <v>WorldCat Record</v>
      </c>
      <c r="AU821" s="3" t="s">
        <v>10400</v>
      </c>
      <c r="AV821" s="3" t="s">
        <v>10401</v>
      </c>
      <c r="AW821" s="3" t="s">
        <v>10402</v>
      </c>
      <c r="AX821" s="3" t="s">
        <v>10402</v>
      </c>
      <c r="AY821" s="3" t="s">
        <v>10403</v>
      </c>
      <c r="AZ821" s="3" t="s">
        <v>76</v>
      </c>
      <c r="BB821" s="3" t="s">
        <v>10404</v>
      </c>
      <c r="BC821" s="3" t="s">
        <v>10405</v>
      </c>
      <c r="BD821" s="3" t="s">
        <v>10406</v>
      </c>
    </row>
    <row r="822" spans="1:56" ht="52.5" customHeight="1" x14ac:dyDescent="0.25">
      <c r="A822" s="7" t="s">
        <v>59</v>
      </c>
      <c r="B822" s="2" t="s">
        <v>10407</v>
      </c>
      <c r="C822" s="2" t="s">
        <v>10408</v>
      </c>
      <c r="D822" s="2" t="s">
        <v>10409</v>
      </c>
      <c r="F822" s="3" t="s">
        <v>59</v>
      </c>
      <c r="G822" s="3" t="s">
        <v>60</v>
      </c>
      <c r="H822" s="3" t="s">
        <v>59</v>
      </c>
      <c r="I822" s="3" t="s">
        <v>59</v>
      </c>
      <c r="J822" s="3" t="s">
        <v>61</v>
      </c>
      <c r="K822" s="2" t="s">
        <v>10410</v>
      </c>
      <c r="L822" s="2" t="s">
        <v>10411</v>
      </c>
      <c r="M822" s="3" t="s">
        <v>987</v>
      </c>
      <c r="N822" s="2" t="s">
        <v>435</v>
      </c>
      <c r="O822" s="3" t="s">
        <v>65</v>
      </c>
      <c r="P822" s="3" t="s">
        <v>1262</v>
      </c>
      <c r="Q822" s="2" t="s">
        <v>10412</v>
      </c>
      <c r="R822" s="3" t="s">
        <v>68</v>
      </c>
      <c r="S822" s="4">
        <v>3</v>
      </c>
      <c r="T822" s="4">
        <v>3</v>
      </c>
      <c r="U822" s="5" t="s">
        <v>3250</v>
      </c>
      <c r="V822" s="5" t="s">
        <v>3250</v>
      </c>
      <c r="W822" s="5" t="s">
        <v>9570</v>
      </c>
      <c r="X822" s="5" t="s">
        <v>9570</v>
      </c>
      <c r="Y822" s="4">
        <v>419</v>
      </c>
      <c r="Z822" s="4">
        <v>328</v>
      </c>
      <c r="AA822" s="4">
        <v>338</v>
      </c>
      <c r="AB822" s="4">
        <v>6</v>
      </c>
      <c r="AC822" s="4">
        <v>6</v>
      </c>
      <c r="AD822" s="4">
        <v>18</v>
      </c>
      <c r="AE822" s="4">
        <v>18</v>
      </c>
      <c r="AF822" s="4">
        <v>7</v>
      </c>
      <c r="AG822" s="4">
        <v>7</v>
      </c>
      <c r="AH822" s="4">
        <v>2</v>
      </c>
      <c r="AI822" s="4">
        <v>2</v>
      </c>
      <c r="AJ822" s="4">
        <v>10</v>
      </c>
      <c r="AK822" s="4">
        <v>10</v>
      </c>
      <c r="AL822" s="4">
        <v>4</v>
      </c>
      <c r="AM822" s="4">
        <v>4</v>
      </c>
      <c r="AN822" s="4">
        <v>0</v>
      </c>
      <c r="AO822" s="4">
        <v>0</v>
      </c>
      <c r="AP822" s="3" t="s">
        <v>59</v>
      </c>
      <c r="AQ822" s="3" t="s">
        <v>71</v>
      </c>
      <c r="AR822" s="6" t="str">
        <f>HYPERLINK("http://catalog.hathitrust.org/Record/000001329","HathiTrust Record")</f>
        <v>HathiTrust Record</v>
      </c>
      <c r="AS822" s="6" t="str">
        <f>HYPERLINK("https://creighton-primo.hosted.exlibrisgroup.com/primo-explore/search?tab=default_tab&amp;search_scope=EVERYTHING&amp;vid=01CRU&amp;lang=en_US&amp;offset=0&amp;query=any,contains,991000596579702656","Catalog Record")</f>
        <v>Catalog Record</v>
      </c>
      <c r="AT822" s="6" t="str">
        <f>HYPERLINK("http://www.worldcat.org/oclc/97187","WorldCat Record")</f>
        <v>WorldCat Record</v>
      </c>
      <c r="AU822" s="3" t="s">
        <v>10413</v>
      </c>
      <c r="AV822" s="3" t="s">
        <v>10414</v>
      </c>
      <c r="AW822" s="3" t="s">
        <v>10415</v>
      </c>
      <c r="AX822" s="3" t="s">
        <v>10415</v>
      </c>
      <c r="AY822" s="3" t="s">
        <v>10416</v>
      </c>
      <c r="AZ822" s="3" t="s">
        <v>76</v>
      </c>
      <c r="BB822" s="3" t="s">
        <v>10417</v>
      </c>
      <c r="BC822" s="3" t="s">
        <v>10418</v>
      </c>
      <c r="BD822" s="3" t="s">
        <v>10419</v>
      </c>
    </row>
    <row r="823" spans="1:56" ht="52.5" customHeight="1" x14ac:dyDescent="0.25">
      <c r="A823" s="7" t="s">
        <v>59</v>
      </c>
      <c r="B823" s="2" t="s">
        <v>10420</v>
      </c>
      <c r="C823" s="2" t="s">
        <v>10421</v>
      </c>
      <c r="D823" s="2" t="s">
        <v>10422</v>
      </c>
      <c r="F823" s="3" t="s">
        <v>59</v>
      </c>
      <c r="G823" s="3" t="s">
        <v>60</v>
      </c>
      <c r="H823" s="3" t="s">
        <v>59</v>
      </c>
      <c r="I823" s="3" t="s">
        <v>59</v>
      </c>
      <c r="J823" s="3" t="s">
        <v>61</v>
      </c>
      <c r="K823" s="2" t="s">
        <v>10423</v>
      </c>
      <c r="L823" s="2" t="s">
        <v>10424</v>
      </c>
      <c r="M823" s="3" t="s">
        <v>405</v>
      </c>
      <c r="O823" s="3" t="s">
        <v>65</v>
      </c>
      <c r="P823" s="3" t="s">
        <v>972</v>
      </c>
      <c r="R823" s="3" t="s">
        <v>68</v>
      </c>
      <c r="S823" s="4">
        <v>12</v>
      </c>
      <c r="T823" s="4">
        <v>12</v>
      </c>
      <c r="U823" s="5" t="s">
        <v>10425</v>
      </c>
      <c r="V823" s="5" t="s">
        <v>10425</v>
      </c>
      <c r="W823" s="5" t="s">
        <v>10426</v>
      </c>
      <c r="X823" s="5" t="s">
        <v>10426</v>
      </c>
      <c r="Y823" s="4">
        <v>164</v>
      </c>
      <c r="Z823" s="4">
        <v>156</v>
      </c>
      <c r="AA823" s="4">
        <v>159</v>
      </c>
      <c r="AB823" s="4">
        <v>4</v>
      </c>
      <c r="AC823" s="4">
        <v>4</v>
      </c>
      <c r="AD823" s="4">
        <v>6</v>
      </c>
      <c r="AE823" s="4">
        <v>6</v>
      </c>
      <c r="AF823" s="4">
        <v>2</v>
      </c>
      <c r="AG823" s="4">
        <v>2</v>
      </c>
      <c r="AH823" s="4">
        <v>1</v>
      </c>
      <c r="AI823" s="4">
        <v>1</v>
      </c>
      <c r="AJ823" s="4">
        <v>1</v>
      </c>
      <c r="AK823" s="4">
        <v>1</v>
      </c>
      <c r="AL823" s="4">
        <v>3</v>
      </c>
      <c r="AM823" s="4">
        <v>3</v>
      </c>
      <c r="AN823" s="4">
        <v>0</v>
      </c>
      <c r="AO823" s="4">
        <v>0</v>
      </c>
      <c r="AP823" s="3" t="s">
        <v>59</v>
      </c>
      <c r="AQ823" s="3" t="s">
        <v>71</v>
      </c>
      <c r="AR823" s="6" t="str">
        <f>HYPERLINK("http://catalog.hathitrust.org/Record/009812913","HathiTrust Record")</f>
        <v>HathiTrust Record</v>
      </c>
      <c r="AS823" s="6" t="str">
        <f>HYPERLINK("https://creighton-primo.hosted.exlibrisgroup.com/primo-explore/search?tab=default_tab&amp;search_scope=EVERYTHING&amp;vid=01CRU&amp;lang=en_US&amp;offset=0&amp;query=any,contains,991001127299702656","Catalog Record")</f>
        <v>Catalog Record</v>
      </c>
      <c r="AT823" s="6" t="str">
        <f>HYPERLINK("http://www.worldcat.org/oclc/16656186","WorldCat Record")</f>
        <v>WorldCat Record</v>
      </c>
      <c r="AU823" s="3" t="s">
        <v>10427</v>
      </c>
      <c r="AV823" s="3" t="s">
        <v>10428</v>
      </c>
      <c r="AW823" s="3" t="s">
        <v>10429</v>
      </c>
      <c r="AX823" s="3" t="s">
        <v>10429</v>
      </c>
      <c r="AY823" s="3" t="s">
        <v>10430</v>
      </c>
      <c r="AZ823" s="3" t="s">
        <v>76</v>
      </c>
      <c r="BB823" s="3" t="s">
        <v>10431</v>
      </c>
      <c r="BC823" s="3" t="s">
        <v>10432</v>
      </c>
      <c r="BD823" s="3" t="s">
        <v>10433</v>
      </c>
    </row>
    <row r="824" spans="1:56" ht="52.5" customHeight="1" x14ac:dyDescent="0.25">
      <c r="A824" s="7" t="s">
        <v>59</v>
      </c>
      <c r="B824" s="2" t="s">
        <v>10434</v>
      </c>
      <c r="C824" s="2" t="s">
        <v>10435</v>
      </c>
      <c r="D824" s="2" t="s">
        <v>10436</v>
      </c>
      <c r="F824" s="3" t="s">
        <v>59</v>
      </c>
      <c r="G824" s="3" t="s">
        <v>60</v>
      </c>
      <c r="H824" s="3" t="s">
        <v>59</v>
      </c>
      <c r="I824" s="3" t="s">
        <v>59</v>
      </c>
      <c r="J824" s="3" t="s">
        <v>61</v>
      </c>
      <c r="K824" s="2" t="s">
        <v>9977</v>
      </c>
      <c r="L824" s="2" t="s">
        <v>10437</v>
      </c>
      <c r="M824" s="3" t="s">
        <v>350</v>
      </c>
      <c r="N824" s="2" t="s">
        <v>671</v>
      </c>
      <c r="O824" s="3" t="s">
        <v>65</v>
      </c>
      <c r="P824" s="3" t="s">
        <v>283</v>
      </c>
      <c r="R824" s="3" t="s">
        <v>68</v>
      </c>
      <c r="S824" s="4">
        <v>4</v>
      </c>
      <c r="T824" s="4">
        <v>4</v>
      </c>
      <c r="U824" s="5" t="s">
        <v>7721</v>
      </c>
      <c r="V824" s="5" t="s">
        <v>7721</v>
      </c>
      <c r="W824" s="5" t="s">
        <v>10438</v>
      </c>
      <c r="X824" s="5" t="s">
        <v>10438</v>
      </c>
      <c r="Y824" s="4">
        <v>237</v>
      </c>
      <c r="Z824" s="4">
        <v>193</v>
      </c>
      <c r="AA824" s="4">
        <v>214</v>
      </c>
      <c r="AB824" s="4">
        <v>3</v>
      </c>
      <c r="AC824" s="4">
        <v>3</v>
      </c>
      <c r="AD824" s="4">
        <v>7</v>
      </c>
      <c r="AE824" s="4">
        <v>7</v>
      </c>
      <c r="AF824" s="4">
        <v>1</v>
      </c>
      <c r="AG824" s="4">
        <v>1</v>
      </c>
      <c r="AH824" s="4">
        <v>2</v>
      </c>
      <c r="AI824" s="4">
        <v>2</v>
      </c>
      <c r="AJ824" s="4">
        <v>4</v>
      </c>
      <c r="AK824" s="4">
        <v>4</v>
      </c>
      <c r="AL824" s="4">
        <v>2</v>
      </c>
      <c r="AM824" s="4">
        <v>2</v>
      </c>
      <c r="AN824" s="4">
        <v>0</v>
      </c>
      <c r="AO824" s="4">
        <v>0</v>
      </c>
      <c r="AP824" s="3" t="s">
        <v>59</v>
      </c>
      <c r="AQ824" s="3" t="s">
        <v>59</v>
      </c>
      <c r="AS824" s="6" t="str">
        <f>HYPERLINK("https://creighton-primo.hosted.exlibrisgroup.com/primo-explore/search?tab=default_tab&amp;search_scope=EVERYTHING&amp;vid=01CRU&amp;lang=en_US&amp;offset=0&amp;query=any,contains,991004359199702656","Catalog Record")</f>
        <v>Catalog Record</v>
      </c>
      <c r="AT824" s="6" t="str">
        <f>HYPERLINK("http://www.worldcat.org/oclc/3157659","WorldCat Record")</f>
        <v>WorldCat Record</v>
      </c>
      <c r="AU824" s="3" t="s">
        <v>10439</v>
      </c>
      <c r="AV824" s="3" t="s">
        <v>10440</v>
      </c>
      <c r="AW824" s="3" t="s">
        <v>10441</v>
      </c>
      <c r="AX824" s="3" t="s">
        <v>10441</v>
      </c>
      <c r="AY824" s="3" t="s">
        <v>10442</v>
      </c>
      <c r="AZ824" s="3" t="s">
        <v>76</v>
      </c>
      <c r="BB824" s="3" t="s">
        <v>10443</v>
      </c>
      <c r="BC824" s="3" t="s">
        <v>10444</v>
      </c>
      <c r="BD824" s="3" t="s">
        <v>10445</v>
      </c>
    </row>
    <row r="825" spans="1:56" ht="52.5" customHeight="1" x14ac:dyDescent="0.25">
      <c r="A825" s="7" t="s">
        <v>59</v>
      </c>
      <c r="B825" s="2" t="s">
        <v>10446</v>
      </c>
      <c r="C825" s="2" t="s">
        <v>10447</v>
      </c>
      <c r="D825" s="2" t="s">
        <v>10448</v>
      </c>
      <c r="F825" s="3" t="s">
        <v>59</v>
      </c>
      <c r="G825" s="3" t="s">
        <v>60</v>
      </c>
      <c r="H825" s="3" t="s">
        <v>59</v>
      </c>
      <c r="I825" s="3" t="s">
        <v>59</v>
      </c>
      <c r="J825" s="3" t="s">
        <v>61</v>
      </c>
      <c r="L825" s="2" t="s">
        <v>7111</v>
      </c>
      <c r="M825" s="3" t="s">
        <v>684</v>
      </c>
      <c r="O825" s="3" t="s">
        <v>65</v>
      </c>
      <c r="P825" s="3" t="s">
        <v>66</v>
      </c>
      <c r="R825" s="3" t="s">
        <v>68</v>
      </c>
      <c r="S825" s="4">
        <v>13</v>
      </c>
      <c r="T825" s="4">
        <v>13</v>
      </c>
      <c r="U825" s="5" t="s">
        <v>4095</v>
      </c>
      <c r="V825" s="5" t="s">
        <v>4095</v>
      </c>
      <c r="W825" s="5" t="s">
        <v>10449</v>
      </c>
      <c r="X825" s="5" t="s">
        <v>10449</v>
      </c>
      <c r="Y825" s="4">
        <v>392</v>
      </c>
      <c r="Z825" s="4">
        <v>292</v>
      </c>
      <c r="AA825" s="4">
        <v>331</v>
      </c>
      <c r="AB825" s="4">
        <v>2</v>
      </c>
      <c r="AC825" s="4">
        <v>3</v>
      </c>
      <c r="AD825" s="4">
        <v>14</v>
      </c>
      <c r="AE825" s="4">
        <v>17</v>
      </c>
      <c r="AF825" s="4">
        <v>4</v>
      </c>
      <c r="AG825" s="4">
        <v>5</v>
      </c>
      <c r="AH825" s="4">
        <v>4</v>
      </c>
      <c r="AI825" s="4">
        <v>5</v>
      </c>
      <c r="AJ825" s="4">
        <v>9</v>
      </c>
      <c r="AK825" s="4">
        <v>9</v>
      </c>
      <c r="AL825" s="4">
        <v>1</v>
      </c>
      <c r="AM825" s="4">
        <v>2</v>
      </c>
      <c r="AN825" s="4">
        <v>0</v>
      </c>
      <c r="AO825" s="4">
        <v>0</v>
      </c>
      <c r="AP825" s="3" t="s">
        <v>59</v>
      </c>
      <c r="AQ825" s="3" t="s">
        <v>71</v>
      </c>
      <c r="AR825" s="6" t="str">
        <f>HYPERLINK("http://catalog.hathitrust.org/Record/000187127","HathiTrust Record")</f>
        <v>HathiTrust Record</v>
      </c>
      <c r="AS825" s="6" t="str">
        <f>HYPERLINK("https://creighton-primo.hosted.exlibrisgroup.com/primo-explore/search?tab=default_tab&amp;search_scope=EVERYTHING&amp;vid=01CRU&amp;lang=en_US&amp;offset=0&amp;query=any,contains,991005181999702656","Catalog Record")</f>
        <v>Catalog Record</v>
      </c>
      <c r="AT825" s="6" t="str">
        <f>HYPERLINK("http://www.worldcat.org/oclc/7946869","WorldCat Record")</f>
        <v>WorldCat Record</v>
      </c>
      <c r="AU825" s="3" t="s">
        <v>10450</v>
      </c>
      <c r="AV825" s="3" t="s">
        <v>10451</v>
      </c>
      <c r="AW825" s="3" t="s">
        <v>10452</v>
      </c>
      <c r="AX825" s="3" t="s">
        <v>10452</v>
      </c>
      <c r="AY825" s="3" t="s">
        <v>10453</v>
      </c>
      <c r="AZ825" s="3" t="s">
        <v>76</v>
      </c>
      <c r="BB825" s="3" t="s">
        <v>10454</v>
      </c>
      <c r="BC825" s="3" t="s">
        <v>10455</v>
      </c>
      <c r="BD825" s="3" t="s">
        <v>10456</v>
      </c>
    </row>
    <row r="826" spans="1:56" ht="52.5" customHeight="1" x14ac:dyDescent="0.25">
      <c r="A826" s="7" t="s">
        <v>59</v>
      </c>
      <c r="B826" s="2" t="s">
        <v>10457</v>
      </c>
      <c r="C826" s="2" t="s">
        <v>10458</v>
      </c>
      <c r="D826" s="2" t="s">
        <v>10459</v>
      </c>
      <c r="F826" s="3" t="s">
        <v>59</v>
      </c>
      <c r="G826" s="3" t="s">
        <v>60</v>
      </c>
      <c r="H826" s="3" t="s">
        <v>59</v>
      </c>
      <c r="I826" s="3" t="s">
        <v>71</v>
      </c>
      <c r="J826" s="3" t="s">
        <v>61</v>
      </c>
      <c r="K826" s="2" t="s">
        <v>10460</v>
      </c>
      <c r="L826" s="2" t="s">
        <v>10461</v>
      </c>
      <c r="M826" s="3" t="s">
        <v>254</v>
      </c>
      <c r="O826" s="3" t="s">
        <v>65</v>
      </c>
      <c r="P826" s="3" t="s">
        <v>283</v>
      </c>
      <c r="R826" s="3" t="s">
        <v>68</v>
      </c>
      <c r="S826" s="4">
        <v>2</v>
      </c>
      <c r="T826" s="4">
        <v>2</v>
      </c>
      <c r="U826" s="5" t="s">
        <v>10462</v>
      </c>
      <c r="V826" s="5" t="s">
        <v>10462</v>
      </c>
      <c r="W826" s="5" t="s">
        <v>9570</v>
      </c>
      <c r="X826" s="5" t="s">
        <v>9570</v>
      </c>
      <c r="Y826" s="4">
        <v>471</v>
      </c>
      <c r="Z826" s="4">
        <v>411</v>
      </c>
      <c r="AA826" s="4">
        <v>1241</v>
      </c>
      <c r="AB826" s="4">
        <v>3</v>
      </c>
      <c r="AC826" s="4">
        <v>11</v>
      </c>
      <c r="AD826" s="4">
        <v>14</v>
      </c>
      <c r="AE826" s="4">
        <v>46</v>
      </c>
      <c r="AF826" s="4">
        <v>10</v>
      </c>
      <c r="AG826" s="4">
        <v>22</v>
      </c>
      <c r="AH826" s="4">
        <v>0</v>
      </c>
      <c r="AI826" s="4">
        <v>9</v>
      </c>
      <c r="AJ826" s="4">
        <v>7</v>
      </c>
      <c r="AK826" s="4">
        <v>20</v>
      </c>
      <c r="AL826" s="4">
        <v>1</v>
      </c>
      <c r="AM826" s="4">
        <v>5</v>
      </c>
      <c r="AN826" s="4">
        <v>0</v>
      </c>
      <c r="AO826" s="4">
        <v>2</v>
      </c>
      <c r="AP826" s="3" t="s">
        <v>59</v>
      </c>
      <c r="AQ826" s="3" t="s">
        <v>71</v>
      </c>
      <c r="AR826" s="6" t="str">
        <f>HYPERLINK("http://catalog.hathitrust.org/Record/000000106","HathiTrust Record")</f>
        <v>HathiTrust Record</v>
      </c>
      <c r="AS826" s="6" t="str">
        <f>HYPERLINK("https://creighton-primo.hosted.exlibrisgroup.com/primo-explore/search?tab=default_tab&amp;search_scope=EVERYTHING&amp;vid=01CRU&amp;lang=en_US&amp;offset=0&amp;query=any,contains,991000000199702656","Catalog Record")</f>
        <v>Catalog Record</v>
      </c>
      <c r="AT826" s="6" t="str">
        <f>HYPERLINK("http://www.worldcat.org/oclc/7624","WorldCat Record")</f>
        <v>WorldCat Record</v>
      </c>
      <c r="AU826" s="3" t="s">
        <v>10463</v>
      </c>
      <c r="AV826" s="3" t="s">
        <v>10464</v>
      </c>
      <c r="AW826" s="3" t="s">
        <v>10465</v>
      </c>
      <c r="AX826" s="3" t="s">
        <v>10465</v>
      </c>
      <c r="AY826" s="3" t="s">
        <v>10466</v>
      </c>
      <c r="AZ826" s="3" t="s">
        <v>76</v>
      </c>
      <c r="BC826" s="3" t="s">
        <v>10467</v>
      </c>
      <c r="BD826" s="3" t="s">
        <v>10468</v>
      </c>
    </row>
    <row r="827" spans="1:56" ht="52.5" customHeight="1" x14ac:dyDescent="0.25">
      <c r="A827" s="7" t="s">
        <v>59</v>
      </c>
      <c r="B827" s="2" t="s">
        <v>10469</v>
      </c>
      <c r="C827" s="2" t="s">
        <v>10470</v>
      </c>
      <c r="D827" s="2" t="s">
        <v>10471</v>
      </c>
      <c r="F827" s="3" t="s">
        <v>59</v>
      </c>
      <c r="G827" s="3" t="s">
        <v>60</v>
      </c>
      <c r="H827" s="3" t="s">
        <v>59</v>
      </c>
      <c r="I827" s="3" t="s">
        <v>71</v>
      </c>
      <c r="J827" s="3" t="s">
        <v>61</v>
      </c>
      <c r="K827" s="2" t="s">
        <v>10460</v>
      </c>
      <c r="L827" s="2" t="s">
        <v>10472</v>
      </c>
      <c r="M827" s="3" t="s">
        <v>684</v>
      </c>
      <c r="N827" s="2" t="s">
        <v>1975</v>
      </c>
      <c r="O827" s="3" t="s">
        <v>65</v>
      </c>
      <c r="P827" s="3" t="s">
        <v>283</v>
      </c>
      <c r="R827" s="3" t="s">
        <v>68</v>
      </c>
      <c r="S827" s="4">
        <v>3</v>
      </c>
      <c r="T827" s="4">
        <v>3</v>
      </c>
      <c r="U827" s="5" t="s">
        <v>9789</v>
      </c>
      <c r="V827" s="5" t="s">
        <v>9789</v>
      </c>
      <c r="W827" s="5" t="s">
        <v>5201</v>
      </c>
      <c r="X827" s="5" t="s">
        <v>5201</v>
      </c>
      <c r="Y827" s="4">
        <v>695</v>
      </c>
      <c r="Z827" s="4">
        <v>521</v>
      </c>
      <c r="AA827" s="4">
        <v>1241</v>
      </c>
      <c r="AB827" s="4">
        <v>4</v>
      </c>
      <c r="AC827" s="4">
        <v>11</v>
      </c>
      <c r="AD827" s="4">
        <v>18</v>
      </c>
      <c r="AE827" s="4">
        <v>46</v>
      </c>
      <c r="AF827" s="4">
        <v>8</v>
      </c>
      <c r="AG827" s="4">
        <v>22</v>
      </c>
      <c r="AH827" s="4">
        <v>4</v>
      </c>
      <c r="AI827" s="4">
        <v>9</v>
      </c>
      <c r="AJ827" s="4">
        <v>8</v>
      </c>
      <c r="AK827" s="4">
        <v>20</v>
      </c>
      <c r="AL827" s="4">
        <v>2</v>
      </c>
      <c r="AM827" s="4">
        <v>5</v>
      </c>
      <c r="AN827" s="4">
        <v>1</v>
      </c>
      <c r="AO827" s="4">
        <v>2</v>
      </c>
      <c r="AP827" s="3" t="s">
        <v>59</v>
      </c>
      <c r="AQ827" s="3" t="s">
        <v>71</v>
      </c>
      <c r="AR827" s="6" t="str">
        <f>HYPERLINK("http://catalog.hathitrust.org/Record/000760422","HathiTrust Record")</f>
        <v>HathiTrust Record</v>
      </c>
      <c r="AS827" s="6" t="str">
        <f>HYPERLINK("https://creighton-primo.hosted.exlibrisgroup.com/primo-explore/search?tab=default_tab&amp;search_scope=EVERYTHING&amp;vid=01CRU&amp;lang=en_US&amp;offset=0&amp;query=any,contains,991005074899702656","Catalog Record")</f>
        <v>Catalog Record</v>
      </c>
      <c r="AT827" s="6" t="str">
        <f>HYPERLINK("http://www.worldcat.org/oclc/7097788","WorldCat Record")</f>
        <v>WorldCat Record</v>
      </c>
      <c r="AU827" s="3" t="s">
        <v>10463</v>
      </c>
      <c r="AV827" s="3" t="s">
        <v>10473</v>
      </c>
      <c r="AW827" s="3" t="s">
        <v>10474</v>
      </c>
      <c r="AX827" s="3" t="s">
        <v>10474</v>
      </c>
      <c r="AY827" s="3" t="s">
        <v>10475</v>
      </c>
      <c r="AZ827" s="3" t="s">
        <v>76</v>
      </c>
      <c r="BB827" s="3" t="s">
        <v>10476</v>
      </c>
      <c r="BC827" s="3" t="s">
        <v>10477</v>
      </c>
      <c r="BD827" s="3" t="s">
        <v>10478</v>
      </c>
    </row>
    <row r="828" spans="1:56" ht="52.5" customHeight="1" x14ac:dyDescent="0.25">
      <c r="A828" s="7" t="s">
        <v>59</v>
      </c>
      <c r="B828" s="2" t="s">
        <v>10479</v>
      </c>
      <c r="C828" s="2" t="s">
        <v>10480</v>
      </c>
      <c r="D828" s="2" t="s">
        <v>10481</v>
      </c>
      <c r="F828" s="3" t="s">
        <v>59</v>
      </c>
      <c r="G828" s="3" t="s">
        <v>60</v>
      </c>
      <c r="H828" s="3" t="s">
        <v>59</v>
      </c>
      <c r="I828" s="3" t="s">
        <v>59</v>
      </c>
      <c r="J828" s="3" t="s">
        <v>61</v>
      </c>
      <c r="L828" s="2" t="s">
        <v>3235</v>
      </c>
      <c r="M828" s="3" t="s">
        <v>1000</v>
      </c>
      <c r="O828" s="3" t="s">
        <v>65</v>
      </c>
      <c r="P828" s="3" t="s">
        <v>420</v>
      </c>
      <c r="R828" s="3" t="s">
        <v>68</v>
      </c>
      <c r="S828" s="4">
        <v>5</v>
      </c>
      <c r="T828" s="4">
        <v>5</v>
      </c>
      <c r="U828" s="5" t="s">
        <v>10462</v>
      </c>
      <c r="V828" s="5" t="s">
        <v>10462</v>
      </c>
      <c r="W828" s="5" t="s">
        <v>311</v>
      </c>
      <c r="X828" s="5" t="s">
        <v>311</v>
      </c>
      <c r="Y828" s="4">
        <v>199</v>
      </c>
      <c r="Z828" s="4">
        <v>154</v>
      </c>
      <c r="AA828" s="4">
        <v>653</v>
      </c>
      <c r="AB828" s="4">
        <v>1</v>
      </c>
      <c r="AC828" s="4">
        <v>5</v>
      </c>
      <c r="AD828" s="4">
        <v>7</v>
      </c>
      <c r="AE828" s="4">
        <v>24</v>
      </c>
      <c r="AF828" s="4">
        <v>3</v>
      </c>
      <c r="AG828" s="4">
        <v>12</v>
      </c>
      <c r="AH828" s="4">
        <v>2</v>
      </c>
      <c r="AI828" s="4">
        <v>4</v>
      </c>
      <c r="AJ828" s="4">
        <v>5</v>
      </c>
      <c r="AK828" s="4">
        <v>12</v>
      </c>
      <c r="AL828" s="4">
        <v>0</v>
      </c>
      <c r="AM828" s="4">
        <v>3</v>
      </c>
      <c r="AN828" s="4">
        <v>0</v>
      </c>
      <c r="AO828" s="4">
        <v>0</v>
      </c>
      <c r="AP828" s="3" t="s">
        <v>59</v>
      </c>
      <c r="AQ828" s="3" t="s">
        <v>59</v>
      </c>
      <c r="AS828" s="6" t="str">
        <f>HYPERLINK("https://creighton-primo.hosted.exlibrisgroup.com/primo-explore/search?tab=default_tab&amp;search_scope=EVERYTHING&amp;vid=01CRU&amp;lang=en_US&amp;offset=0&amp;query=any,contains,991004757849702656","Catalog Record")</f>
        <v>Catalog Record</v>
      </c>
      <c r="AT828" s="6" t="str">
        <f>HYPERLINK("http://www.worldcat.org/oclc/4982939","WorldCat Record")</f>
        <v>WorldCat Record</v>
      </c>
      <c r="AU828" s="3" t="s">
        <v>10482</v>
      </c>
      <c r="AV828" s="3" t="s">
        <v>10483</v>
      </c>
      <c r="AW828" s="3" t="s">
        <v>10484</v>
      </c>
      <c r="AX828" s="3" t="s">
        <v>10484</v>
      </c>
      <c r="AY828" s="3" t="s">
        <v>10485</v>
      </c>
      <c r="AZ828" s="3" t="s">
        <v>76</v>
      </c>
      <c r="BB828" s="3" t="s">
        <v>10486</v>
      </c>
      <c r="BC828" s="3" t="s">
        <v>10487</v>
      </c>
      <c r="BD828" s="3" t="s">
        <v>10488</v>
      </c>
    </row>
    <row r="829" spans="1:56" ht="52.5" customHeight="1" x14ac:dyDescent="0.25">
      <c r="A829" s="7" t="s">
        <v>59</v>
      </c>
      <c r="B829" s="2" t="s">
        <v>10489</v>
      </c>
      <c r="C829" s="2" t="s">
        <v>10490</v>
      </c>
      <c r="D829" s="2" t="s">
        <v>10491</v>
      </c>
      <c r="F829" s="3" t="s">
        <v>59</v>
      </c>
      <c r="G829" s="3" t="s">
        <v>60</v>
      </c>
      <c r="H829" s="3" t="s">
        <v>59</v>
      </c>
      <c r="I829" s="3" t="s">
        <v>59</v>
      </c>
      <c r="J829" s="3" t="s">
        <v>61</v>
      </c>
      <c r="K829" s="2" t="s">
        <v>10492</v>
      </c>
      <c r="L829" s="2" t="s">
        <v>10493</v>
      </c>
      <c r="M829" s="3" t="s">
        <v>405</v>
      </c>
      <c r="N829" s="2" t="s">
        <v>7264</v>
      </c>
      <c r="O829" s="3" t="s">
        <v>65</v>
      </c>
      <c r="P829" s="3" t="s">
        <v>296</v>
      </c>
      <c r="R829" s="3" t="s">
        <v>68</v>
      </c>
      <c r="S829" s="4">
        <v>7</v>
      </c>
      <c r="T829" s="4">
        <v>7</v>
      </c>
      <c r="U829" s="5" t="s">
        <v>10494</v>
      </c>
      <c r="V829" s="5" t="s">
        <v>10494</v>
      </c>
      <c r="W829" s="5" t="s">
        <v>10495</v>
      </c>
      <c r="X829" s="5" t="s">
        <v>10495</v>
      </c>
      <c r="Y829" s="4">
        <v>259</v>
      </c>
      <c r="Z829" s="4">
        <v>207</v>
      </c>
      <c r="AA829" s="4">
        <v>901</v>
      </c>
      <c r="AB829" s="4">
        <v>1</v>
      </c>
      <c r="AC829" s="4">
        <v>6</v>
      </c>
      <c r="AD829" s="4">
        <v>4</v>
      </c>
      <c r="AE829" s="4">
        <v>37</v>
      </c>
      <c r="AF829" s="4">
        <v>2</v>
      </c>
      <c r="AG829" s="4">
        <v>17</v>
      </c>
      <c r="AH829" s="4">
        <v>0</v>
      </c>
      <c r="AI829" s="4">
        <v>7</v>
      </c>
      <c r="AJ829" s="4">
        <v>3</v>
      </c>
      <c r="AK829" s="4">
        <v>15</v>
      </c>
      <c r="AL829" s="4">
        <v>0</v>
      </c>
      <c r="AM829" s="4">
        <v>5</v>
      </c>
      <c r="AN829" s="4">
        <v>0</v>
      </c>
      <c r="AO829" s="4">
        <v>2</v>
      </c>
      <c r="AP829" s="3" t="s">
        <v>59</v>
      </c>
      <c r="AQ829" s="3" t="s">
        <v>71</v>
      </c>
      <c r="AR829" s="6" t="str">
        <f>HYPERLINK("http://catalog.hathitrust.org/Record/000852407","HathiTrust Record")</f>
        <v>HathiTrust Record</v>
      </c>
      <c r="AS829" s="6" t="str">
        <f>HYPERLINK("https://creighton-primo.hosted.exlibrisgroup.com/primo-explore/search?tab=default_tab&amp;search_scope=EVERYTHING&amp;vid=01CRU&amp;lang=en_US&amp;offset=0&amp;query=any,contains,991000966769702656","Catalog Record")</f>
        <v>Catalog Record</v>
      </c>
      <c r="AT829" s="6" t="str">
        <f>HYPERLINK("http://www.worldcat.org/oclc/18832988","WorldCat Record")</f>
        <v>WorldCat Record</v>
      </c>
      <c r="AU829" s="3" t="s">
        <v>10496</v>
      </c>
      <c r="AV829" s="3" t="s">
        <v>10497</v>
      </c>
      <c r="AW829" s="3" t="s">
        <v>10498</v>
      </c>
      <c r="AX829" s="3" t="s">
        <v>10498</v>
      </c>
      <c r="AY829" s="3" t="s">
        <v>10499</v>
      </c>
      <c r="AZ829" s="3" t="s">
        <v>76</v>
      </c>
      <c r="BC829" s="3" t="s">
        <v>10500</v>
      </c>
      <c r="BD829" s="3" t="s">
        <v>10501</v>
      </c>
    </row>
    <row r="830" spans="1:56" ht="52.5" customHeight="1" x14ac:dyDescent="0.25">
      <c r="A830" s="7" t="s">
        <v>59</v>
      </c>
      <c r="B830" s="2" t="s">
        <v>10502</v>
      </c>
      <c r="C830" s="2" t="s">
        <v>10503</v>
      </c>
      <c r="D830" s="2" t="s">
        <v>10504</v>
      </c>
      <c r="F830" s="3" t="s">
        <v>59</v>
      </c>
      <c r="G830" s="3" t="s">
        <v>60</v>
      </c>
      <c r="H830" s="3" t="s">
        <v>59</v>
      </c>
      <c r="I830" s="3" t="s">
        <v>59</v>
      </c>
      <c r="J830" s="3" t="s">
        <v>61</v>
      </c>
      <c r="K830" s="2" t="s">
        <v>10505</v>
      </c>
      <c r="L830" s="2" t="s">
        <v>10506</v>
      </c>
      <c r="M830" s="3" t="s">
        <v>115</v>
      </c>
      <c r="O830" s="3" t="s">
        <v>65</v>
      </c>
      <c r="P830" s="3" t="s">
        <v>296</v>
      </c>
      <c r="Q830" s="2" t="s">
        <v>10507</v>
      </c>
      <c r="R830" s="3" t="s">
        <v>68</v>
      </c>
      <c r="S830" s="4">
        <v>1</v>
      </c>
      <c r="T830" s="4">
        <v>1</v>
      </c>
      <c r="U830" s="5" t="s">
        <v>10494</v>
      </c>
      <c r="V830" s="5" t="s">
        <v>10494</v>
      </c>
      <c r="W830" s="5" t="s">
        <v>9570</v>
      </c>
      <c r="X830" s="5" t="s">
        <v>9570</v>
      </c>
      <c r="Y830" s="4">
        <v>399</v>
      </c>
      <c r="Z830" s="4">
        <v>300</v>
      </c>
      <c r="AA830" s="4">
        <v>342</v>
      </c>
      <c r="AB830" s="4">
        <v>2</v>
      </c>
      <c r="AC830" s="4">
        <v>2</v>
      </c>
      <c r="AD830" s="4">
        <v>10</v>
      </c>
      <c r="AE830" s="4">
        <v>12</v>
      </c>
      <c r="AF830" s="4">
        <v>2</v>
      </c>
      <c r="AG830" s="4">
        <v>2</v>
      </c>
      <c r="AH830" s="4">
        <v>3</v>
      </c>
      <c r="AI830" s="4">
        <v>4</v>
      </c>
      <c r="AJ830" s="4">
        <v>6</v>
      </c>
      <c r="AK830" s="4">
        <v>7</v>
      </c>
      <c r="AL830" s="4">
        <v>1</v>
      </c>
      <c r="AM830" s="4">
        <v>1</v>
      </c>
      <c r="AN830" s="4">
        <v>0</v>
      </c>
      <c r="AO830" s="4">
        <v>0</v>
      </c>
      <c r="AP830" s="3" t="s">
        <v>59</v>
      </c>
      <c r="AQ830" s="3" t="s">
        <v>71</v>
      </c>
      <c r="AR830" s="6" t="str">
        <f>HYPERLINK("http://catalog.hathitrust.org/Record/000005533","HathiTrust Record")</f>
        <v>HathiTrust Record</v>
      </c>
      <c r="AS830" s="6" t="str">
        <f>HYPERLINK("https://creighton-primo.hosted.exlibrisgroup.com/primo-explore/search?tab=default_tab&amp;search_scope=EVERYTHING&amp;vid=01CRU&amp;lang=en_US&amp;offset=0&amp;query=any,contains,991002666829702656","Catalog Record")</f>
        <v>Catalog Record</v>
      </c>
      <c r="AT830" s="6" t="str">
        <f>HYPERLINK("http://www.worldcat.org/oclc/393500","WorldCat Record")</f>
        <v>WorldCat Record</v>
      </c>
      <c r="AU830" s="3" t="s">
        <v>10508</v>
      </c>
      <c r="AV830" s="3" t="s">
        <v>10509</v>
      </c>
      <c r="AW830" s="3" t="s">
        <v>10510</v>
      </c>
      <c r="AX830" s="3" t="s">
        <v>10510</v>
      </c>
      <c r="AY830" s="3" t="s">
        <v>10511</v>
      </c>
      <c r="AZ830" s="3" t="s">
        <v>76</v>
      </c>
      <c r="BB830" s="3" t="s">
        <v>10512</v>
      </c>
      <c r="BC830" s="3" t="s">
        <v>10513</v>
      </c>
      <c r="BD830" s="3" t="s">
        <v>10514</v>
      </c>
    </row>
    <row r="831" spans="1:56" ht="52.5" customHeight="1" x14ac:dyDescent="0.25">
      <c r="A831" s="7" t="s">
        <v>59</v>
      </c>
      <c r="B831" s="2" t="s">
        <v>10515</v>
      </c>
      <c r="C831" s="2" t="s">
        <v>10516</v>
      </c>
      <c r="D831" s="2" t="s">
        <v>10517</v>
      </c>
      <c r="F831" s="3" t="s">
        <v>59</v>
      </c>
      <c r="G831" s="3" t="s">
        <v>60</v>
      </c>
      <c r="H831" s="3" t="s">
        <v>59</v>
      </c>
      <c r="I831" s="3" t="s">
        <v>59</v>
      </c>
      <c r="J831" s="3" t="s">
        <v>61</v>
      </c>
      <c r="K831" s="2" t="s">
        <v>10518</v>
      </c>
      <c r="L831" s="2" t="s">
        <v>10519</v>
      </c>
      <c r="M831" s="3" t="s">
        <v>195</v>
      </c>
      <c r="N831" s="2" t="s">
        <v>1975</v>
      </c>
      <c r="O831" s="3" t="s">
        <v>65</v>
      </c>
      <c r="P831" s="3" t="s">
        <v>1290</v>
      </c>
      <c r="R831" s="3" t="s">
        <v>68</v>
      </c>
      <c r="S831" s="4">
        <v>11</v>
      </c>
      <c r="T831" s="4">
        <v>11</v>
      </c>
      <c r="U831" s="5" t="s">
        <v>10520</v>
      </c>
      <c r="V831" s="5" t="s">
        <v>10520</v>
      </c>
      <c r="W831" s="5" t="s">
        <v>2795</v>
      </c>
      <c r="X831" s="5" t="s">
        <v>2795</v>
      </c>
      <c r="Y831" s="4">
        <v>214</v>
      </c>
      <c r="Z831" s="4">
        <v>180</v>
      </c>
      <c r="AA831" s="4">
        <v>932</v>
      </c>
      <c r="AB831" s="4">
        <v>2</v>
      </c>
      <c r="AC831" s="4">
        <v>9</v>
      </c>
      <c r="AD831" s="4">
        <v>6</v>
      </c>
      <c r="AE831" s="4">
        <v>34</v>
      </c>
      <c r="AF831" s="4">
        <v>2</v>
      </c>
      <c r="AG831" s="4">
        <v>13</v>
      </c>
      <c r="AH831" s="4">
        <v>1</v>
      </c>
      <c r="AI831" s="4">
        <v>6</v>
      </c>
      <c r="AJ831" s="4">
        <v>3</v>
      </c>
      <c r="AK831" s="4">
        <v>12</v>
      </c>
      <c r="AL831" s="4">
        <v>1</v>
      </c>
      <c r="AM831" s="4">
        <v>7</v>
      </c>
      <c r="AN831" s="4">
        <v>0</v>
      </c>
      <c r="AO831" s="4">
        <v>1</v>
      </c>
      <c r="AP831" s="3" t="s">
        <v>59</v>
      </c>
      <c r="AQ831" s="3" t="s">
        <v>71</v>
      </c>
      <c r="AR831" s="6" t="str">
        <f>HYPERLINK("http://catalog.hathitrust.org/Record/000113311","HathiTrust Record")</f>
        <v>HathiTrust Record</v>
      </c>
      <c r="AS831" s="6" t="str">
        <f>HYPERLINK("https://creighton-primo.hosted.exlibrisgroup.com/primo-explore/search?tab=default_tab&amp;search_scope=EVERYTHING&amp;vid=01CRU&amp;lang=en_US&amp;offset=0&amp;query=any,contains,991005210499702656","Catalog Record")</f>
        <v>Catalog Record</v>
      </c>
      <c r="AT831" s="6" t="str">
        <f>HYPERLINK("http://www.worldcat.org/oclc/8165421","WorldCat Record")</f>
        <v>WorldCat Record</v>
      </c>
      <c r="AU831" s="3" t="s">
        <v>10521</v>
      </c>
      <c r="AV831" s="3" t="s">
        <v>10522</v>
      </c>
      <c r="AW831" s="3" t="s">
        <v>10523</v>
      </c>
      <c r="AX831" s="3" t="s">
        <v>10523</v>
      </c>
      <c r="AY831" s="3" t="s">
        <v>10524</v>
      </c>
      <c r="AZ831" s="3" t="s">
        <v>76</v>
      </c>
      <c r="BB831" s="3" t="s">
        <v>10525</v>
      </c>
      <c r="BC831" s="3" t="s">
        <v>10526</v>
      </c>
      <c r="BD831" s="3" t="s">
        <v>10527</v>
      </c>
    </row>
    <row r="832" spans="1:56" ht="52.5" customHeight="1" x14ac:dyDescent="0.25">
      <c r="A832" s="7" t="s">
        <v>59</v>
      </c>
      <c r="B832" s="2" t="s">
        <v>10528</v>
      </c>
      <c r="C832" s="2" t="s">
        <v>10529</v>
      </c>
      <c r="D832" s="2" t="s">
        <v>10530</v>
      </c>
      <c r="F832" s="3" t="s">
        <v>59</v>
      </c>
      <c r="G832" s="3" t="s">
        <v>60</v>
      </c>
      <c r="H832" s="3" t="s">
        <v>59</v>
      </c>
      <c r="I832" s="3" t="s">
        <v>59</v>
      </c>
      <c r="J832" s="3" t="s">
        <v>61</v>
      </c>
      <c r="K832" s="2" t="s">
        <v>10531</v>
      </c>
      <c r="L832" s="2" t="s">
        <v>10532</v>
      </c>
      <c r="M832" s="3" t="s">
        <v>684</v>
      </c>
      <c r="O832" s="3" t="s">
        <v>65</v>
      </c>
      <c r="P832" s="3" t="s">
        <v>5660</v>
      </c>
      <c r="R832" s="3" t="s">
        <v>68</v>
      </c>
      <c r="S832" s="4">
        <v>3</v>
      </c>
      <c r="T832" s="4">
        <v>3</v>
      </c>
      <c r="U832" s="5" t="s">
        <v>10533</v>
      </c>
      <c r="V832" s="5" t="s">
        <v>10533</v>
      </c>
      <c r="W832" s="5" t="s">
        <v>10534</v>
      </c>
      <c r="X832" s="5" t="s">
        <v>10534</v>
      </c>
      <c r="Y832" s="4">
        <v>432</v>
      </c>
      <c r="Z832" s="4">
        <v>384</v>
      </c>
      <c r="AA832" s="4">
        <v>387</v>
      </c>
      <c r="AB832" s="4">
        <v>7</v>
      </c>
      <c r="AC832" s="4">
        <v>7</v>
      </c>
      <c r="AD832" s="4">
        <v>17</v>
      </c>
      <c r="AE832" s="4">
        <v>17</v>
      </c>
      <c r="AF832" s="4">
        <v>7</v>
      </c>
      <c r="AG832" s="4">
        <v>7</v>
      </c>
      <c r="AH832" s="4">
        <v>1</v>
      </c>
      <c r="AI832" s="4">
        <v>1</v>
      </c>
      <c r="AJ832" s="4">
        <v>8</v>
      </c>
      <c r="AK832" s="4">
        <v>8</v>
      </c>
      <c r="AL832" s="4">
        <v>6</v>
      </c>
      <c r="AM832" s="4">
        <v>6</v>
      </c>
      <c r="AN832" s="4">
        <v>0</v>
      </c>
      <c r="AO832" s="4">
        <v>0</v>
      </c>
      <c r="AP832" s="3" t="s">
        <v>59</v>
      </c>
      <c r="AQ832" s="3" t="s">
        <v>59</v>
      </c>
      <c r="AS832" s="6" t="str">
        <f>HYPERLINK("https://creighton-primo.hosted.exlibrisgroup.com/primo-explore/search?tab=default_tab&amp;search_scope=EVERYTHING&amp;vid=01CRU&amp;lang=en_US&amp;offset=0&amp;query=any,contains,991005078289702656","Catalog Record")</f>
        <v>Catalog Record</v>
      </c>
      <c r="AT832" s="6" t="str">
        <f>HYPERLINK("http://www.worldcat.org/oclc/7157771","WorldCat Record")</f>
        <v>WorldCat Record</v>
      </c>
      <c r="AU832" s="3" t="s">
        <v>10535</v>
      </c>
      <c r="AV832" s="3" t="s">
        <v>10536</v>
      </c>
      <c r="AW832" s="3" t="s">
        <v>10537</v>
      </c>
      <c r="AX832" s="3" t="s">
        <v>10537</v>
      </c>
      <c r="AY832" s="3" t="s">
        <v>10538</v>
      </c>
      <c r="AZ832" s="3" t="s">
        <v>76</v>
      </c>
      <c r="BB832" s="3" t="s">
        <v>10539</v>
      </c>
      <c r="BC832" s="3" t="s">
        <v>10540</v>
      </c>
      <c r="BD832" s="3" t="s">
        <v>10541</v>
      </c>
    </row>
    <row r="833" spans="1:56" ht="52.5" customHeight="1" x14ac:dyDescent="0.25">
      <c r="A833" s="7" t="s">
        <v>59</v>
      </c>
      <c r="B833" s="2" t="s">
        <v>10542</v>
      </c>
      <c r="C833" s="2" t="s">
        <v>10543</v>
      </c>
      <c r="D833" s="2" t="s">
        <v>10544</v>
      </c>
      <c r="F833" s="3" t="s">
        <v>59</v>
      </c>
      <c r="G833" s="3" t="s">
        <v>60</v>
      </c>
      <c r="H833" s="3" t="s">
        <v>59</v>
      </c>
      <c r="I833" s="3" t="s">
        <v>59</v>
      </c>
      <c r="J833" s="3" t="s">
        <v>61</v>
      </c>
      <c r="K833" s="2" t="s">
        <v>10545</v>
      </c>
      <c r="L833" s="2" t="s">
        <v>10546</v>
      </c>
      <c r="M833" s="3" t="s">
        <v>350</v>
      </c>
      <c r="N833" s="2" t="s">
        <v>887</v>
      </c>
      <c r="O833" s="3" t="s">
        <v>65</v>
      </c>
      <c r="P833" s="3" t="s">
        <v>66</v>
      </c>
      <c r="R833" s="3" t="s">
        <v>68</v>
      </c>
      <c r="S833" s="4">
        <v>2</v>
      </c>
      <c r="T833" s="4">
        <v>2</v>
      </c>
      <c r="U833" s="5" t="s">
        <v>10547</v>
      </c>
      <c r="V833" s="5" t="s">
        <v>10547</v>
      </c>
      <c r="W833" s="5" t="s">
        <v>9192</v>
      </c>
      <c r="X833" s="5" t="s">
        <v>9192</v>
      </c>
      <c r="Y833" s="4">
        <v>969</v>
      </c>
      <c r="Z833" s="4">
        <v>894</v>
      </c>
      <c r="AA833" s="4">
        <v>1172</v>
      </c>
      <c r="AB833" s="4">
        <v>8</v>
      </c>
      <c r="AC833" s="4">
        <v>8</v>
      </c>
      <c r="AD833" s="4">
        <v>17</v>
      </c>
      <c r="AE833" s="4">
        <v>22</v>
      </c>
      <c r="AF833" s="4">
        <v>7</v>
      </c>
      <c r="AG833" s="4">
        <v>8</v>
      </c>
      <c r="AH833" s="4">
        <v>3</v>
      </c>
      <c r="AI833" s="4">
        <v>3</v>
      </c>
      <c r="AJ833" s="4">
        <v>5</v>
      </c>
      <c r="AK833" s="4">
        <v>9</v>
      </c>
      <c r="AL833" s="4">
        <v>3</v>
      </c>
      <c r="AM833" s="4">
        <v>3</v>
      </c>
      <c r="AN833" s="4">
        <v>1</v>
      </c>
      <c r="AO833" s="4">
        <v>1</v>
      </c>
      <c r="AP833" s="3" t="s">
        <v>59</v>
      </c>
      <c r="AQ833" s="3" t="s">
        <v>59</v>
      </c>
      <c r="AS833" s="6" t="str">
        <f>HYPERLINK("https://creighton-primo.hosted.exlibrisgroup.com/primo-explore/search?tab=default_tab&amp;search_scope=EVERYTHING&amp;vid=01CRU&amp;lang=en_US&amp;offset=0&amp;query=any,contains,991004400109702656","Catalog Record")</f>
        <v>Catalog Record</v>
      </c>
      <c r="AT833" s="6" t="str">
        <f>HYPERLINK("http://www.worldcat.org/oclc/3294647","WorldCat Record")</f>
        <v>WorldCat Record</v>
      </c>
      <c r="AU833" s="3" t="s">
        <v>10548</v>
      </c>
      <c r="AV833" s="3" t="s">
        <v>10549</v>
      </c>
      <c r="AW833" s="3" t="s">
        <v>10550</v>
      </c>
      <c r="AX833" s="3" t="s">
        <v>10550</v>
      </c>
      <c r="AY833" s="3" t="s">
        <v>10551</v>
      </c>
      <c r="AZ833" s="3" t="s">
        <v>76</v>
      </c>
      <c r="BB833" s="3" t="s">
        <v>10552</v>
      </c>
      <c r="BC833" s="3" t="s">
        <v>10553</v>
      </c>
      <c r="BD833" s="3" t="s">
        <v>10554</v>
      </c>
    </row>
    <row r="834" spans="1:56" ht="52.5" customHeight="1" x14ac:dyDescent="0.25">
      <c r="A834" s="7" t="s">
        <v>59</v>
      </c>
      <c r="B834" s="2" t="s">
        <v>10555</v>
      </c>
      <c r="C834" s="2" t="s">
        <v>10556</v>
      </c>
      <c r="D834" s="2" t="s">
        <v>10557</v>
      </c>
      <c r="F834" s="3" t="s">
        <v>59</v>
      </c>
      <c r="G834" s="3" t="s">
        <v>60</v>
      </c>
      <c r="H834" s="3" t="s">
        <v>59</v>
      </c>
      <c r="I834" s="3" t="s">
        <v>59</v>
      </c>
      <c r="J834" s="3" t="s">
        <v>61</v>
      </c>
      <c r="K834" s="2" t="s">
        <v>9940</v>
      </c>
      <c r="L834" s="2" t="s">
        <v>10558</v>
      </c>
      <c r="M834" s="3" t="s">
        <v>943</v>
      </c>
      <c r="O834" s="3" t="s">
        <v>65</v>
      </c>
      <c r="P834" s="3" t="s">
        <v>66</v>
      </c>
      <c r="Q834" s="2" t="s">
        <v>10559</v>
      </c>
      <c r="R834" s="3" t="s">
        <v>68</v>
      </c>
      <c r="S834" s="4">
        <v>11</v>
      </c>
      <c r="T834" s="4">
        <v>11</v>
      </c>
      <c r="U834" s="5" t="s">
        <v>831</v>
      </c>
      <c r="V834" s="5" t="s">
        <v>831</v>
      </c>
      <c r="W834" s="5" t="s">
        <v>10560</v>
      </c>
      <c r="X834" s="5" t="s">
        <v>10560</v>
      </c>
      <c r="Y834" s="4">
        <v>281</v>
      </c>
      <c r="Z834" s="4">
        <v>223</v>
      </c>
      <c r="AA834" s="4">
        <v>231</v>
      </c>
      <c r="AB834" s="4">
        <v>4</v>
      </c>
      <c r="AC834" s="4">
        <v>4</v>
      </c>
      <c r="AD834" s="4">
        <v>12</v>
      </c>
      <c r="AE834" s="4">
        <v>12</v>
      </c>
      <c r="AF834" s="4">
        <v>4</v>
      </c>
      <c r="AG834" s="4">
        <v>4</v>
      </c>
      <c r="AH834" s="4">
        <v>2</v>
      </c>
      <c r="AI834" s="4">
        <v>2</v>
      </c>
      <c r="AJ834" s="4">
        <v>5</v>
      </c>
      <c r="AK834" s="4">
        <v>5</v>
      </c>
      <c r="AL834" s="4">
        <v>3</v>
      </c>
      <c r="AM834" s="4">
        <v>3</v>
      </c>
      <c r="AN834" s="4">
        <v>0</v>
      </c>
      <c r="AO834" s="4">
        <v>0</v>
      </c>
      <c r="AP834" s="3" t="s">
        <v>59</v>
      </c>
      <c r="AQ834" s="3" t="s">
        <v>59</v>
      </c>
      <c r="AS834" s="6" t="str">
        <f>HYPERLINK("https://creighton-primo.hosted.exlibrisgroup.com/primo-explore/search?tab=default_tab&amp;search_scope=EVERYTHING&amp;vid=01CRU&amp;lang=en_US&amp;offset=0&amp;query=any,contains,991001707119702656","Catalog Record")</f>
        <v>Catalog Record</v>
      </c>
      <c r="AT834" s="6" t="str">
        <f>HYPERLINK("http://www.worldcat.org/oclc/21564067","WorldCat Record")</f>
        <v>WorldCat Record</v>
      </c>
      <c r="AU834" s="3" t="s">
        <v>10561</v>
      </c>
      <c r="AV834" s="3" t="s">
        <v>10562</v>
      </c>
      <c r="AW834" s="3" t="s">
        <v>10563</v>
      </c>
      <c r="AX834" s="3" t="s">
        <v>10563</v>
      </c>
      <c r="AY834" s="3" t="s">
        <v>10564</v>
      </c>
      <c r="AZ834" s="3" t="s">
        <v>76</v>
      </c>
      <c r="BB834" s="3" t="s">
        <v>10565</v>
      </c>
      <c r="BC834" s="3" t="s">
        <v>10566</v>
      </c>
      <c r="BD834" s="3" t="s">
        <v>10567</v>
      </c>
    </row>
    <row r="835" spans="1:56" ht="52.5" customHeight="1" x14ac:dyDescent="0.25">
      <c r="A835" s="7" t="s">
        <v>59</v>
      </c>
      <c r="B835" s="2" t="s">
        <v>10568</v>
      </c>
      <c r="C835" s="2" t="s">
        <v>10569</v>
      </c>
      <c r="D835" s="2" t="s">
        <v>10570</v>
      </c>
      <c r="F835" s="3" t="s">
        <v>59</v>
      </c>
      <c r="G835" s="3" t="s">
        <v>60</v>
      </c>
      <c r="H835" s="3" t="s">
        <v>59</v>
      </c>
      <c r="I835" s="3" t="s">
        <v>59</v>
      </c>
      <c r="J835" s="3" t="s">
        <v>61</v>
      </c>
      <c r="L835" s="2" t="s">
        <v>10571</v>
      </c>
      <c r="M835" s="3" t="s">
        <v>224</v>
      </c>
      <c r="O835" s="3" t="s">
        <v>65</v>
      </c>
      <c r="P835" s="3" t="s">
        <v>296</v>
      </c>
      <c r="R835" s="3" t="s">
        <v>68</v>
      </c>
      <c r="S835" s="4">
        <v>8</v>
      </c>
      <c r="T835" s="4">
        <v>8</v>
      </c>
      <c r="U835" s="5" t="s">
        <v>10572</v>
      </c>
      <c r="V835" s="5" t="s">
        <v>10572</v>
      </c>
      <c r="W835" s="5" t="s">
        <v>5400</v>
      </c>
      <c r="X835" s="5" t="s">
        <v>5400</v>
      </c>
      <c r="Y835" s="4">
        <v>468</v>
      </c>
      <c r="Z835" s="4">
        <v>354</v>
      </c>
      <c r="AA835" s="4">
        <v>357</v>
      </c>
      <c r="AB835" s="4">
        <v>4</v>
      </c>
      <c r="AC835" s="4">
        <v>4</v>
      </c>
      <c r="AD835" s="4">
        <v>23</v>
      </c>
      <c r="AE835" s="4">
        <v>23</v>
      </c>
      <c r="AF835" s="4">
        <v>3</v>
      </c>
      <c r="AG835" s="4">
        <v>3</v>
      </c>
      <c r="AH835" s="4">
        <v>3</v>
      </c>
      <c r="AI835" s="4">
        <v>3</v>
      </c>
      <c r="AJ835" s="4">
        <v>12</v>
      </c>
      <c r="AK835" s="4">
        <v>12</v>
      </c>
      <c r="AL835" s="4">
        <v>2</v>
      </c>
      <c r="AM835" s="4">
        <v>2</v>
      </c>
      <c r="AN835" s="4">
        <v>7</v>
      </c>
      <c r="AO835" s="4">
        <v>7</v>
      </c>
      <c r="AP835" s="3" t="s">
        <v>59</v>
      </c>
      <c r="AQ835" s="3" t="s">
        <v>71</v>
      </c>
      <c r="AR835" s="6" t="str">
        <f>HYPERLINK("http://catalog.hathitrust.org/Record/000019900","HathiTrust Record")</f>
        <v>HathiTrust Record</v>
      </c>
      <c r="AS835" s="6" t="str">
        <f>HYPERLINK("https://creighton-primo.hosted.exlibrisgroup.com/primo-explore/search?tab=default_tab&amp;search_scope=EVERYTHING&amp;vid=01CRU&amp;lang=en_US&amp;offset=0&amp;query=any,contains,991003625989702656","Catalog Record")</f>
        <v>Catalog Record</v>
      </c>
      <c r="AT835" s="6" t="str">
        <f>HYPERLINK("http://www.worldcat.org/oclc/1217234","WorldCat Record")</f>
        <v>WorldCat Record</v>
      </c>
      <c r="AU835" s="3" t="s">
        <v>10573</v>
      </c>
      <c r="AV835" s="3" t="s">
        <v>10574</v>
      </c>
      <c r="AW835" s="3" t="s">
        <v>10575</v>
      </c>
      <c r="AX835" s="3" t="s">
        <v>10575</v>
      </c>
      <c r="AY835" s="3" t="s">
        <v>10576</v>
      </c>
      <c r="AZ835" s="3" t="s">
        <v>76</v>
      </c>
      <c r="BB835" s="3" t="s">
        <v>10577</v>
      </c>
      <c r="BC835" s="3" t="s">
        <v>10578</v>
      </c>
      <c r="BD835" s="3" t="s">
        <v>10579</v>
      </c>
    </row>
    <row r="836" spans="1:56" ht="52.5" customHeight="1" x14ac:dyDescent="0.25">
      <c r="A836" s="7" t="s">
        <v>59</v>
      </c>
      <c r="B836" s="2" t="s">
        <v>10580</v>
      </c>
      <c r="C836" s="2" t="s">
        <v>10581</v>
      </c>
      <c r="D836" s="2" t="s">
        <v>10582</v>
      </c>
      <c r="F836" s="3" t="s">
        <v>59</v>
      </c>
      <c r="G836" s="3" t="s">
        <v>60</v>
      </c>
      <c r="H836" s="3" t="s">
        <v>59</v>
      </c>
      <c r="I836" s="3" t="s">
        <v>59</v>
      </c>
      <c r="J836" s="3" t="s">
        <v>61</v>
      </c>
      <c r="K836" s="2" t="s">
        <v>10583</v>
      </c>
      <c r="L836" s="2" t="s">
        <v>10584</v>
      </c>
      <c r="M836" s="3" t="s">
        <v>164</v>
      </c>
      <c r="N836" s="2" t="s">
        <v>887</v>
      </c>
      <c r="O836" s="3" t="s">
        <v>65</v>
      </c>
      <c r="P836" s="3" t="s">
        <v>699</v>
      </c>
      <c r="R836" s="3" t="s">
        <v>68</v>
      </c>
      <c r="S836" s="4">
        <v>2</v>
      </c>
      <c r="T836" s="4">
        <v>2</v>
      </c>
      <c r="U836" s="5" t="s">
        <v>10585</v>
      </c>
      <c r="V836" s="5" t="s">
        <v>10585</v>
      </c>
      <c r="W836" s="5" t="s">
        <v>5260</v>
      </c>
      <c r="X836" s="5" t="s">
        <v>5260</v>
      </c>
      <c r="Y836" s="4">
        <v>1102</v>
      </c>
      <c r="Z836" s="4">
        <v>1041</v>
      </c>
      <c r="AA836" s="4">
        <v>1381</v>
      </c>
      <c r="AB836" s="4">
        <v>6</v>
      </c>
      <c r="AC836" s="4">
        <v>7</v>
      </c>
      <c r="AD836" s="4">
        <v>22</v>
      </c>
      <c r="AE836" s="4">
        <v>28</v>
      </c>
      <c r="AF836" s="4">
        <v>3</v>
      </c>
      <c r="AG836" s="4">
        <v>5</v>
      </c>
      <c r="AH836" s="4">
        <v>5</v>
      </c>
      <c r="AI836" s="4">
        <v>6</v>
      </c>
      <c r="AJ836" s="4">
        <v>8</v>
      </c>
      <c r="AK836" s="4">
        <v>10</v>
      </c>
      <c r="AL836" s="4">
        <v>2</v>
      </c>
      <c r="AM836" s="4">
        <v>2</v>
      </c>
      <c r="AN836" s="4">
        <v>8</v>
      </c>
      <c r="AO836" s="4">
        <v>10</v>
      </c>
      <c r="AP836" s="3" t="s">
        <v>59</v>
      </c>
      <c r="AQ836" s="3" t="s">
        <v>71</v>
      </c>
      <c r="AR836" s="6" t="str">
        <f>HYPERLINK("http://catalog.hathitrust.org/Record/000926507","HathiTrust Record")</f>
        <v>HathiTrust Record</v>
      </c>
      <c r="AS836" s="6" t="str">
        <f>HYPERLINK("https://creighton-primo.hosted.exlibrisgroup.com/primo-explore/search?tab=default_tab&amp;search_scope=EVERYTHING&amp;vid=01CRU&amp;lang=en_US&amp;offset=0&amp;query=any,contains,991005040229702656","Catalog Record")</f>
        <v>Catalog Record</v>
      </c>
      <c r="AT836" s="6" t="str">
        <f>HYPERLINK("http://www.worldcat.org/oclc/6789870","WorldCat Record")</f>
        <v>WorldCat Record</v>
      </c>
      <c r="AU836" s="3" t="s">
        <v>10586</v>
      </c>
      <c r="AV836" s="3" t="s">
        <v>10587</v>
      </c>
      <c r="AW836" s="3" t="s">
        <v>10588</v>
      </c>
      <c r="AX836" s="3" t="s">
        <v>10588</v>
      </c>
      <c r="AY836" s="3" t="s">
        <v>10589</v>
      </c>
      <c r="AZ836" s="3" t="s">
        <v>76</v>
      </c>
      <c r="BB836" s="3" t="s">
        <v>10590</v>
      </c>
      <c r="BC836" s="3" t="s">
        <v>10591</v>
      </c>
      <c r="BD836" s="3" t="s">
        <v>10592</v>
      </c>
    </row>
    <row r="837" spans="1:56" ht="52.5" customHeight="1" x14ac:dyDescent="0.25">
      <c r="A837" s="7" t="s">
        <v>59</v>
      </c>
      <c r="B837" s="2" t="s">
        <v>10593</v>
      </c>
      <c r="C837" s="2" t="s">
        <v>10594</v>
      </c>
      <c r="D837" s="2" t="s">
        <v>10595</v>
      </c>
      <c r="F837" s="3" t="s">
        <v>59</v>
      </c>
      <c r="G837" s="3" t="s">
        <v>60</v>
      </c>
      <c r="H837" s="3" t="s">
        <v>59</v>
      </c>
      <c r="I837" s="3" t="s">
        <v>71</v>
      </c>
      <c r="J837" s="3" t="s">
        <v>61</v>
      </c>
      <c r="K837" s="2" t="s">
        <v>10596</v>
      </c>
      <c r="L837" s="2" t="s">
        <v>10597</v>
      </c>
      <c r="M837" s="3" t="s">
        <v>616</v>
      </c>
      <c r="O837" s="3" t="s">
        <v>65</v>
      </c>
      <c r="P837" s="3" t="s">
        <v>283</v>
      </c>
      <c r="R837" s="3" t="s">
        <v>68</v>
      </c>
      <c r="S837" s="4">
        <v>12</v>
      </c>
      <c r="T837" s="4">
        <v>12</v>
      </c>
      <c r="U837" s="5" t="s">
        <v>10598</v>
      </c>
      <c r="V837" s="5" t="s">
        <v>10598</v>
      </c>
      <c r="W837" s="5" t="s">
        <v>10599</v>
      </c>
      <c r="X837" s="5" t="s">
        <v>10599</v>
      </c>
      <c r="Y837" s="4">
        <v>741</v>
      </c>
      <c r="Z837" s="4">
        <v>642</v>
      </c>
      <c r="AA837" s="4">
        <v>1061</v>
      </c>
      <c r="AB837" s="4">
        <v>7</v>
      </c>
      <c r="AC837" s="4">
        <v>8</v>
      </c>
      <c r="AD837" s="4">
        <v>20</v>
      </c>
      <c r="AE837" s="4">
        <v>33</v>
      </c>
      <c r="AF837" s="4">
        <v>5</v>
      </c>
      <c r="AG837" s="4">
        <v>10</v>
      </c>
      <c r="AH837" s="4">
        <v>3</v>
      </c>
      <c r="AI837" s="4">
        <v>5</v>
      </c>
      <c r="AJ837" s="4">
        <v>6</v>
      </c>
      <c r="AK837" s="4">
        <v>9</v>
      </c>
      <c r="AL837" s="4">
        <v>4</v>
      </c>
      <c r="AM837" s="4">
        <v>5</v>
      </c>
      <c r="AN837" s="4">
        <v>4</v>
      </c>
      <c r="AO837" s="4">
        <v>8</v>
      </c>
      <c r="AP837" s="3" t="s">
        <v>59</v>
      </c>
      <c r="AQ837" s="3" t="s">
        <v>71</v>
      </c>
      <c r="AR837" s="6" t="str">
        <f>HYPERLINK("http://catalog.hathitrust.org/Record/009921363","HathiTrust Record")</f>
        <v>HathiTrust Record</v>
      </c>
      <c r="AS837" s="6" t="str">
        <f>HYPERLINK("https://creighton-primo.hosted.exlibrisgroup.com/primo-explore/search?tab=default_tab&amp;search_scope=EVERYTHING&amp;vid=01CRU&amp;lang=en_US&amp;offset=0&amp;query=any,contains,991001237299702656","Catalog Record")</f>
        <v>Catalog Record</v>
      </c>
      <c r="AT837" s="6" t="str">
        <f>HYPERLINK("http://www.worldcat.org/oclc/17552009","WorldCat Record")</f>
        <v>WorldCat Record</v>
      </c>
      <c r="AU837" s="3" t="s">
        <v>10600</v>
      </c>
      <c r="AV837" s="3" t="s">
        <v>10601</v>
      </c>
      <c r="AW837" s="3" t="s">
        <v>10602</v>
      </c>
      <c r="AX837" s="3" t="s">
        <v>10602</v>
      </c>
      <c r="AY837" s="3" t="s">
        <v>10603</v>
      </c>
      <c r="AZ837" s="3" t="s">
        <v>76</v>
      </c>
      <c r="BB837" s="3" t="s">
        <v>10604</v>
      </c>
      <c r="BC837" s="3" t="s">
        <v>10605</v>
      </c>
      <c r="BD837" s="3" t="s">
        <v>10606</v>
      </c>
    </row>
    <row r="838" spans="1:56" ht="52.5" customHeight="1" x14ac:dyDescent="0.25">
      <c r="A838" s="7" t="s">
        <v>59</v>
      </c>
      <c r="B838" s="2" t="s">
        <v>10607</v>
      </c>
      <c r="C838" s="2" t="s">
        <v>10608</v>
      </c>
      <c r="D838" s="2" t="s">
        <v>10609</v>
      </c>
      <c r="F838" s="3" t="s">
        <v>59</v>
      </c>
      <c r="G838" s="3" t="s">
        <v>60</v>
      </c>
      <c r="H838" s="3" t="s">
        <v>59</v>
      </c>
      <c r="I838" s="3" t="s">
        <v>59</v>
      </c>
      <c r="J838" s="3" t="s">
        <v>61</v>
      </c>
      <c r="K838" s="2" t="s">
        <v>10610</v>
      </c>
      <c r="L838" s="2" t="s">
        <v>10611</v>
      </c>
      <c r="M838" s="3" t="s">
        <v>164</v>
      </c>
      <c r="O838" s="3" t="s">
        <v>65</v>
      </c>
      <c r="P838" s="3" t="s">
        <v>283</v>
      </c>
      <c r="R838" s="3" t="s">
        <v>68</v>
      </c>
      <c r="S838" s="4">
        <v>7</v>
      </c>
      <c r="T838" s="4">
        <v>7</v>
      </c>
      <c r="U838" s="5" t="s">
        <v>10612</v>
      </c>
      <c r="V838" s="5" t="s">
        <v>10612</v>
      </c>
      <c r="W838" s="5" t="s">
        <v>9192</v>
      </c>
      <c r="X838" s="5" t="s">
        <v>9192</v>
      </c>
      <c r="Y838" s="4">
        <v>175</v>
      </c>
      <c r="Z838" s="4">
        <v>133</v>
      </c>
      <c r="AA838" s="4">
        <v>140</v>
      </c>
      <c r="AB838" s="4">
        <v>4</v>
      </c>
      <c r="AC838" s="4">
        <v>4</v>
      </c>
      <c r="AD838" s="4">
        <v>9</v>
      </c>
      <c r="AE838" s="4">
        <v>9</v>
      </c>
      <c r="AF838" s="4">
        <v>3</v>
      </c>
      <c r="AG838" s="4">
        <v>3</v>
      </c>
      <c r="AH838" s="4">
        <v>2</v>
      </c>
      <c r="AI838" s="4">
        <v>2</v>
      </c>
      <c r="AJ838" s="4">
        <v>3</v>
      </c>
      <c r="AK838" s="4">
        <v>3</v>
      </c>
      <c r="AL838" s="4">
        <v>2</v>
      </c>
      <c r="AM838" s="4">
        <v>2</v>
      </c>
      <c r="AN838" s="4">
        <v>2</v>
      </c>
      <c r="AO838" s="4">
        <v>2</v>
      </c>
      <c r="AP838" s="3" t="s">
        <v>59</v>
      </c>
      <c r="AQ838" s="3" t="s">
        <v>59</v>
      </c>
      <c r="AS838" s="6" t="str">
        <f>HYPERLINK("https://creighton-primo.hosted.exlibrisgroup.com/primo-explore/search?tab=default_tab&amp;search_scope=EVERYTHING&amp;vid=01CRU&amp;lang=en_US&amp;offset=0&amp;query=any,contains,991004745839702656","Catalog Record")</f>
        <v>Catalog Record</v>
      </c>
      <c r="AT838" s="6" t="str">
        <f>HYPERLINK("http://www.worldcat.org/oclc/4907993","WorldCat Record")</f>
        <v>WorldCat Record</v>
      </c>
      <c r="AU838" s="3" t="s">
        <v>10613</v>
      </c>
      <c r="AV838" s="3" t="s">
        <v>10614</v>
      </c>
      <c r="AW838" s="3" t="s">
        <v>10615</v>
      </c>
      <c r="AX838" s="3" t="s">
        <v>10615</v>
      </c>
      <c r="AY838" s="3" t="s">
        <v>10616</v>
      </c>
      <c r="AZ838" s="3" t="s">
        <v>76</v>
      </c>
      <c r="BB838" s="3" t="s">
        <v>10617</v>
      </c>
      <c r="BC838" s="3" t="s">
        <v>10618</v>
      </c>
      <c r="BD838" s="3" t="s">
        <v>10619</v>
      </c>
    </row>
    <row r="839" spans="1:56" ht="52.5" customHeight="1" x14ac:dyDescent="0.25">
      <c r="A839" s="7" t="s">
        <v>59</v>
      </c>
      <c r="B839" s="2" t="s">
        <v>10620</v>
      </c>
      <c r="C839" s="2" t="s">
        <v>10621</v>
      </c>
      <c r="D839" s="2" t="s">
        <v>10622</v>
      </c>
      <c r="F839" s="3" t="s">
        <v>59</v>
      </c>
      <c r="G839" s="3" t="s">
        <v>60</v>
      </c>
      <c r="H839" s="3" t="s">
        <v>59</v>
      </c>
      <c r="I839" s="3" t="s">
        <v>59</v>
      </c>
      <c r="J839" s="3" t="s">
        <v>61</v>
      </c>
      <c r="K839" s="2" t="s">
        <v>10623</v>
      </c>
      <c r="L839" s="2" t="s">
        <v>10624</v>
      </c>
      <c r="M839" s="3" t="s">
        <v>9841</v>
      </c>
      <c r="O839" s="3" t="s">
        <v>65</v>
      </c>
      <c r="P839" s="3" t="s">
        <v>829</v>
      </c>
      <c r="R839" s="3" t="s">
        <v>68</v>
      </c>
      <c r="S839" s="4">
        <v>3</v>
      </c>
      <c r="T839" s="4">
        <v>3</v>
      </c>
      <c r="U839" s="5" t="s">
        <v>10625</v>
      </c>
      <c r="V839" s="5" t="s">
        <v>10625</v>
      </c>
      <c r="W839" s="5" t="s">
        <v>10626</v>
      </c>
      <c r="X839" s="5" t="s">
        <v>10626</v>
      </c>
      <c r="Y839" s="4">
        <v>440</v>
      </c>
      <c r="Z839" s="4">
        <v>365</v>
      </c>
      <c r="AA839" s="4">
        <v>367</v>
      </c>
      <c r="AB839" s="4">
        <v>2</v>
      </c>
      <c r="AC839" s="4">
        <v>2</v>
      </c>
      <c r="AD839" s="4">
        <v>24</v>
      </c>
      <c r="AE839" s="4">
        <v>24</v>
      </c>
      <c r="AF839" s="4">
        <v>5</v>
      </c>
      <c r="AG839" s="4">
        <v>5</v>
      </c>
      <c r="AH839" s="4">
        <v>6</v>
      </c>
      <c r="AI839" s="4">
        <v>6</v>
      </c>
      <c r="AJ839" s="4">
        <v>10</v>
      </c>
      <c r="AK839" s="4">
        <v>10</v>
      </c>
      <c r="AL839" s="4">
        <v>1</v>
      </c>
      <c r="AM839" s="4">
        <v>1</v>
      </c>
      <c r="AN839" s="4">
        <v>7</v>
      </c>
      <c r="AO839" s="4">
        <v>7</v>
      </c>
      <c r="AP839" s="3" t="s">
        <v>59</v>
      </c>
      <c r="AQ839" s="3" t="s">
        <v>71</v>
      </c>
      <c r="AR839" s="6" t="str">
        <f>HYPERLINK("http://catalog.hathitrust.org/Record/003048763","HathiTrust Record")</f>
        <v>HathiTrust Record</v>
      </c>
      <c r="AS839" s="6" t="str">
        <f>HYPERLINK("https://creighton-primo.hosted.exlibrisgroup.com/primo-explore/search?tab=default_tab&amp;search_scope=EVERYTHING&amp;vid=01CRU&amp;lang=en_US&amp;offset=0&amp;query=any,contains,991002523079702656","Catalog Record")</f>
        <v>Catalog Record</v>
      </c>
      <c r="AT839" s="6" t="str">
        <f>HYPERLINK("http://www.worldcat.org/oclc/32819588","WorldCat Record")</f>
        <v>WorldCat Record</v>
      </c>
      <c r="AU839" s="3" t="s">
        <v>10627</v>
      </c>
      <c r="AV839" s="3" t="s">
        <v>10628</v>
      </c>
      <c r="AW839" s="3" t="s">
        <v>10629</v>
      </c>
      <c r="AX839" s="3" t="s">
        <v>10629</v>
      </c>
      <c r="AY839" s="3" t="s">
        <v>10630</v>
      </c>
      <c r="AZ839" s="3" t="s">
        <v>76</v>
      </c>
      <c r="BB839" s="3" t="s">
        <v>10631</v>
      </c>
      <c r="BC839" s="3" t="s">
        <v>10632</v>
      </c>
      <c r="BD839" s="3" t="s">
        <v>10633</v>
      </c>
    </row>
    <row r="840" spans="1:56" ht="52.5" customHeight="1" x14ac:dyDescent="0.25">
      <c r="A840" s="7" t="s">
        <v>59</v>
      </c>
      <c r="B840" s="2" t="s">
        <v>10634</v>
      </c>
      <c r="C840" s="2" t="s">
        <v>10635</v>
      </c>
      <c r="D840" s="2" t="s">
        <v>10636</v>
      </c>
      <c r="F840" s="3" t="s">
        <v>59</v>
      </c>
      <c r="G840" s="3" t="s">
        <v>60</v>
      </c>
      <c r="H840" s="3" t="s">
        <v>59</v>
      </c>
      <c r="I840" s="3" t="s">
        <v>59</v>
      </c>
      <c r="J840" s="3" t="s">
        <v>61</v>
      </c>
      <c r="K840" s="2" t="s">
        <v>10637</v>
      </c>
      <c r="L840" s="2" t="s">
        <v>3389</v>
      </c>
      <c r="M840" s="3" t="s">
        <v>684</v>
      </c>
      <c r="O840" s="3" t="s">
        <v>65</v>
      </c>
      <c r="P840" s="3" t="s">
        <v>699</v>
      </c>
      <c r="R840" s="3" t="s">
        <v>68</v>
      </c>
      <c r="S840" s="4">
        <v>4</v>
      </c>
      <c r="T840" s="4">
        <v>4</v>
      </c>
      <c r="U840" s="5" t="s">
        <v>10612</v>
      </c>
      <c r="V840" s="5" t="s">
        <v>10612</v>
      </c>
      <c r="W840" s="5" t="s">
        <v>9192</v>
      </c>
      <c r="X840" s="5" t="s">
        <v>9192</v>
      </c>
      <c r="Y840" s="4">
        <v>191</v>
      </c>
      <c r="Z840" s="4">
        <v>155</v>
      </c>
      <c r="AA840" s="4">
        <v>156</v>
      </c>
      <c r="AB840" s="4">
        <v>3</v>
      </c>
      <c r="AC840" s="4">
        <v>3</v>
      </c>
      <c r="AD840" s="4">
        <v>11</v>
      </c>
      <c r="AE840" s="4">
        <v>11</v>
      </c>
      <c r="AF840" s="4">
        <v>1</v>
      </c>
      <c r="AG840" s="4">
        <v>1</v>
      </c>
      <c r="AH840" s="4">
        <v>0</v>
      </c>
      <c r="AI840" s="4">
        <v>0</v>
      </c>
      <c r="AJ840" s="4">
        <v>2</v>
      </c>
      <c r="AK840" s="4">
        <v>2</v>
      </c>
      <c r="AL840" s="4">
        <v>2</v>
      </c>
      <c r="AM840" s="4">
        <v>2</v>
      </c>
      <c r="AN840" s="4">
        <v>6</v>
      </c>
      <c r="AO840" s="4">
        <v>6</v>
      </c>
      <c r="AP840" s="3" t="s">
        <v>59</v>
      </c>
      <c r="AQ840" s="3" t="s">
        <v>71</v>
      </c>
      <c r="AR840" s="6" t="str">
        <f>HYPERLINK("http://catalog.hathitrust.org/Record/007985356","HathiTrust Record")</f>
        <v>HathiTrust Record</v>
      </c>
      <c r="AS840" s="6" t="str">
        <f>HYPERLINK("https://creighton-primo.hosted.exlibrisgroup.com/primo-explore/search?tab=default_tab&amp;search_scope=EVERYTHING&amp;vid=01CRU&amp;lang=en_US&amp;offset=0&amp;query=any,contains,991005114659702656","Catalog Record")</f>
        <v>Catalog Record</v>
      </c>
      <c r="AT840" s="6" t="str">
        <f>HYPERLINK("http://www.worldcat.org/oclc/7461369","WorldCat Record")</f>
        <v>WorldCat Record</v>
      </c>
      <c r="AU840" s="3" t="s">
        <v>10638</v>
      </c>
      <c r="AV840" s="3" t="s">
        <v>10639</v>
      </c>
      <c r="AW840" s="3" t="s">
        <v>10640</v>
      </c>
      <c r="AX840" s="3" t="s">
        <v>10640</v>
      </c>
      <c r="AY840" s="3" t="s">
        <v>10641</v>
      </c>
      <c r="AZ840" s="3" t="s">
        <v>76</v>
      </c>
      <c r="BB840" s="3" t="s">
        <v>10642</v>
      </c>
      <c r="BC840" s="3" t="s">
        <v>10643</v>
      </c>
      <c r="BD840" s="3" t="s">
        <v>10644</v>
      </c>
    </row>
    <row r="841" spans="1:56" ht="52.5" customHeight="1" x14ac:dyDescent="0.25">
      <c r="A841" s="7" t="s">
        <v>59</v>
      </c>
      <c r="B841" s="2" t="s">
        <v>10645</v>
      </c>
      <c r="C841" s="2" t="s">
        <v>10646</v>
      </c>
      <c r="D841" s="2" t="s">
        <v>10647</v>
      </c>
      <c r="F841" s="3" t="s">
        <v>59</v>
      </c>
      <c r="G841" s="3" t="s">
        <v>60</v>
      </c>
      <c r="H841" s="3" t="s">
        <v>59</v>
      </c>
      <c r="I841" s="3" t="s">
        <v>71</v>
      </c>
      <c r="J841" s="3" t="s">
        <v>61</v>
      </c>
      <c r="K841" s="2" t="s">
        <v>10648</v>
      </c>
      <c r="L841" s="2" t="s">
        <v>10649</v>
      </c>
      <c r="M841" s="3" t="s">
        <v>1163</v>
      </c>
      <c r="O841" s="3" t="s">
        <v>65</v>
      </c>
      <c r="P841" s="3" t="s">
        <v>296</v>
      </c>
      <c r="R841" s="3" t="s">
        <v>68</v>
      </c>
      <c r="S841" s="4">
        <v>6</v>
      </c>
      <c r="T841" s="4">
        <v>6</v>
      </c>
      <c r="U841" s="5" t="s">
        <v>10650</v>
      </c>
      <c r="V841" s="5" t="s">
        <v>10650</v>
      </c>
      <c r="W841" s="5" t="s">
        <v>8328</v>
      </c>
      <c r="X841" s="5" t="s">
        <v>8328</v>
      </c>
      <c r="Y841" s="4">
        <v>174</v>
      </c>
      <c r="Z841" s="4">
        <v>112</v>
      </c>
      <c r="AA841" s="4">
        <v>607</v>
      </c>
      <c r="AB841" s="4">
        <v>1</v>
      </c>
      <c r="AC841" s="4">
        <v>5</v>
      </c>
      <c r="AD841" s="4">
        <v>5</v>
      </c>
      <c r="AE841" s="4">
        <v>30</v>
      </c>
      <c r="AF841" s="4">
        <v>1</v>
      </c>
      <c r="AG841" s="4">
        <v>12</v>
      </c>
      <c r="AH841" s="4">
        <v>1</v>
      </c>
      <c r="AI841" s="4">
        <v>5</v>
      </c>
      <c r="AJ841" s="4">
        <v>2</v>
      </c>
      <c r="AK841" s="4">
        <v>9</v>
      </c>
      <c r="AL841" s="4">
        <v>0</v>
      </c>
      <c r="AM841" s="4">
        <v>3</v>
      </c>
      <c r="AN841" s="4">
        <v>1</v>
      </c>
      <c r="AO841" s="4">
        <v>7</v>
      </c>
      <c r="AP841" s="3" t="s">
        <v>59</v>
      </c>
      <c r="AQ841" s="3" t="s">
        <v>71</v>
      </c>
      <c r="AR841" s="6" t="str">
        <f>HYPERLINK("http://catalog.hathitrust.org/Record/000625217","HathiTrust Record")</f>
        <v>HathiTrust Record</v>
      </c>
      <c r="AS841" s="6" t="str">
        <f>HYPERLINK("https://creighton-primo.hosted.exlibrisgroup.com/primo-explore/search?tab=default_tab&amp;search_scope=EVERYTHING&amp;vid=01CRU&amp;lang=en_US&amp;offset=0&amp;query=any,contains,991000610279702656","Catalog Record")</f>
        <v>Catalog Record</v>
      </c>
      <c r="AT841" s="6" t="str">
        <f>HYPERLINK("http://www.worldcat.org/oclc/11905821","WorldCat Record")</f>
        <v>WorldCat Record</v>
      </c>
      <c r="AU841" s="3" t="s">
        <v>10651</v>
      </c>
      <c r="AV841" s="3" t="s">
        <v>10652</v>
      </c>
      <c r="AW841" s="3" t="s">
        <v>10653</v>
      </c>
      <c r="AX841" s="3" t="s">
        <v>10653</v>
      </c>
      <c r="AY841" s="3" t="s">
        <v>10654</v>
      </c>
      <c r="AZ841" s="3" t="s">
        <v>76</v>
      </c>
      <c r="BC841" s="3" t="s">
        <v>10655</v>
      </c>
      <c r="BD841" s="3" t="s">
        <v>10656</v>
      </c>
    </row>
    <row r="842" spans="1:56" ht="52.5" customHeight="1" x14ac:dyDescent="0.25">
      <c r="A842" s="7" t="s">
        <v>59</v>
      </c>
      <c r="B842" s="2" t="s">
        <v>10657</v>
      </c>
      <c r="C842" s="2" t="s">
        <v>10658</v>
      </c>
      <c r="D842" s="2" t="s">
        <v>10659</v>
      </c>
      <c r="F842" s="3" t="s">
        <v>59</v>
      </c>
      <c r="G842" s="3" t="s">
        <v>60</v>
      </c>
      <c r="H842" s="3" t="s">
        <v>59</v>
      </c>
      <c r="I842" s="3" t="s">
        <v>59</v>
      </c>
      <c r="J842" s="3" t="s">
        <v>61</v>
      </c>
      <c r="K842" s="2" t="s">
        <v>10660</v>
      </c>
      <c r="L842" s="2" t="s">
        <v>10661</v>
      </c>
      <c r="M842" s="3" t="s">
        <v>1233</v>
      </c>
      <c r="O842" s="3" t="s">
        <v>65</v>
      </c>
      <c r="P842" s="3" t="s">
        <v>66</v>
      </c>
      <c r="R842" s="3" t="s">
        <v>68</v>
      </c>
      <c r="S842" s="4">
        <v>3</v>
      </c>
      <c r="T842" s="4">
        <v>3</v>
      </c>
      <c r="U842" s="5" t="s">
        <v>10662</v>
      </c>
      <c r="V842" s="5" t="s">
        <v>10662</v>
      </c>
      <c r="W842" s="5" t="s">
        <v>590</v>
      </c>
      <c r="X842" s="5" t="s">
        <v>590</v>
      </c>
      <c r="Y842" s="4">
        <v>781</v>
      </c>
      <c r="Z842" s="4">
        <v>697</v>
      </c>
      <c r="AA842" s="4">
        <v>784</v>
      </c>
      <c r="AB842" s="4">
        <v>3</v>
      </c>
      <c r="AC842" s="4">
        <v>4</v>
      </c>
      <c r="AD842" s="4">
        <v>27</v>
      </c>
      <c r="AE842" s="4">
        <v>34</v>
      </c>
      <c r="AF842" s="4">
        <v>8</v>
      </c>
      <c r="AG842" s="4">
        <v>11</v>
      </c>
      <c r="AH842" s="4">
        <v>4</v>
      </c>
      <c r="AI842" s="4">
        <v>6</v>
      </c>
      <c r="AJ842" s="4">
        <v>13</v>
      </c>
      <c r="AK842" s="4">
        <v>14</v>
      </c>
      <c r="AL842" s="4">
        <v>1</v>
      </c>
      <c r="AM842" s="4">
        <v>2</v>
      </c>
      <c r="AN842" s="4">
        <v>9</v>
      </c>
      <c r="AO842" s="4">
        <v>10</v>
      </c>
      <c r="AP842" s="3" t="s">
        <v>59</v>
      </c>
      <c r="AQ842" s="3" t="s">
        <v>71</v>
      </c>
      <c r="AR842" s="6" t="str">
        <f>HYPERLINK("http://catalog.hathitrust.org/Record/000386401","HathiTrust Record")</f>
        <v>HathiTrust Record</v>
      </c>
      <c r="AS842" s="6" t="str">
        <f>HYPERLINK("https://creighton-primo.hosted.exlibrisgroup.com/primo-explore/search?tab=default_tab&amp;search_scope=EVERYTHING&amp;vid=01CRU&amp;lang=en_US&amp;offset=0&amp;query=any,contains,991003187739702656","Catalog Record")</f>
        <v>Catalog Record</v>
      </c>
      <c r="AT842" s="6" t="str">
        <f>HYPERLINK("http://www.worldcat.org/oclc/713904","WorldCat Record")</f>
        <v>WorldCat Record</v>
      </c>
      <c r="AU842" s="3" t="s">
        <v>10663</v>
      </c>
      <c r="AV842" s="3" t="s">
        <v>10664</v>
      </c>
      <c r="AW842" s="3" t="s">
        <v>10665</v>
      </c>
      <c r="AX842" s="3" t="s">
        <v>10665</v>
      </c>
      <c r="AY842" s="3" t="s">
        <v>10666</v>
      </c>
      <c r="AZ842" s="3" t="s">
        <v>76</v>
      </c>
      <c r="BC842" s="3" t="s">
        <v>10667</v>
      </c>
      <c r="BD842" s="3" t="s">
        <v>10668</v>
      </c>
    </row>
    <row r="843" spans="1:56" ht="52.5" customHeight="1" x14ac:dyDescent="0.25">
      <c r="A843" s="7" t="s">
        <v>59</v>
      </c>
      <c r="B843" s="2" t="s">
        <v>10669</v>
      </c>
      <c r="C843" s="2" t="s">
        <v>10670</v>
      </c>
      <c r="D843" s="2" t="s">
        <v>10671</v>
      </c>
      <c r="F843" s="3" t="s">
        <v>59</v>
      </c>
      <c r="G843" s="3" t="s">
        <v>60</v>
      </c>
      <c r="H843" s="3" t="s">
        <v>59</v>
      </c>
      <c r="I843" s="3" t="s">
        <v>59</v>
      </c>
      <c r="J843" s="3" t="s">
        <v>61</v>
      </c>
      <c r="K843" s="2" t="s">
        <v>10672</v>
      </c>
      <c r="L843" s="2" t="s">
        <v>10673</v>
      </c>
      <c r="M843" s="3" t="s">
        <v>195</v>
      </c>
      <c r="O843" s="3" t="s">
        <v>65</v>
      </c>
      <c r="P843" s="3" t="s">
        <v>8838</v>
      </c>
      <c r="R843" s="3" t="s">
        <v>68</v>
      </c>
      <c r="S843" s="4">
        <v>5</v>
      </c>
      <c r="T843" s="4">
        <v>5</v>
      </c>
      <c r="U843" s="5" t="s">
        <v>10674</v>
      </c>
      <c r="V843" s="5" t="s">
        <v>10674</v>
      </c>
      <c r="W843" s="5" t="s">
        <v>9192</v>
      </c>
      <c r="X843" s="5" t="s">
        <v>9192</v>
      </c>
      <c r="Y843" s="4">
        <v>230</v>
      </c>
      <c r="Z843" s="4">
        <v>170</v>
      </c>
      <c r="AA843" s="4">
        <v>237</v>
      </c>
      <c r="AB843" s="4">
        <v>3</v>
      </c>
      <c r="AC843" s="4">
        <v>3</v>
      </c>
      <c r="AD843" s="4">
        <v>4</v>
      </c>
      <c r="AE843" s="4">
        <v>7</v>
      </c>
      <c r="AF843" s="4">
        <v>0</v>
      </c>
      <c r="AG843" s="4">
        <v>1</v>
      </c>
      <c r="AH843" s="4">
        <v>1</v>
      </c>
      <c r="AI843" s="4">
        <v>3</v>
      </c>
      <c r="AJ843" s="4">
        <v>2</v>
      </c>
      <c r="AK843" s="4">
        <v>3</v>
      </c>
      <c r="AL843" s="4">
        <v>2</v>
      </c>
      <c r="AM843" s="4">
        <v>2</v>
      </c>
      <c r="AN843" s="4">
        <v>0</v>
      </c>
      <c r="AO843" s="4">
        <v>0</v>
      </c>
      <c r="AP843" s="3" t="s">
        <v>59</v>
      </c>
      <c r="AQ843" s="3" t="s">
        <v>71</v>
      </c>
      <c r="AR843" s="6" t="str">
        <f>HYPERLINK("http://catalog.hathitrust.org/Record/007985355","HathiTrust Record")</f>
        <v>HathiTrust Record</v>
      </c>
      <c r="AS843" s="6" t="str">
        <f>HYPERLINK("https://creighton-primo.hosted.exlibrisgroup.com/primo-explore/search?tab=default_tab&amp;search_scope=EVERYTHING&amp;vid=01CRU&amp;lang=en_US&amp;offset=0&amp;query=any,contains,991005213659702656","Catalog Record")</f>
        <v>Catalog Record</v>
      </c>
      <c r="AT843" s="6" t="str">
        <f>HYPERLINK("http://www.worldcat.org/oclc/8171356","WorldCat Record")</f>
        <v>WorldCat Record</v>
      </c>
      <c r="AU843" s="3" t="s">
        <v>10675</v>
      </c>
      <c r="AV843" s="3" t="s">
        <v>10676</v>
      </c>
      <c r="AW843" s="3" t="s">
        <v>10677</v>
      </c>
      <c r="AX843" s="3" t="s">
        <v>10677</v>
      </c>
      <c r="AY843" s="3" t="s">
        <v>10678</v>
      </c>
      <c r="AZ843" s="3" t="s">
        <v>76</v>
      </c>
      <c r="BB843" s="3" t="s">
        <v>10679</v>
      </c>
      <c r="BC843" s="3" t="s">
        <v>10680</v>
      </c>
      <c r="BD843" s="3" t="s">
        <v>10681</v>
      </c>
    </row>
    <row r="844" spans="1:56" ht="52.5" customHeight="1" x14ac:dyDescent="0.25">
      <c r="A844" s="7" t="s">
        <v>59</v>
      </c>
      <c r="B844" s="2" t="s">
        <v>10682</v>
      </c>
      <c r="C844" s="2" t="s">
        <v>10683</v>
      </c>
      <c r="D844" s="2" t="s">
        <v>10684</v>
      </c>
      <c r="F844" s="3" t="s">
        <v>59</v>
      </c>
      <c r="G844" s="3" t="s">
        <v>60</v>
      </c>
      <c r="H844" s="3" t="s">
        <v>59</v>
      </c>
      <c r="I844" s="3" t="s">
        <v>59</v>
      </c>
      <c r="J844" s="3" t="s">
        <v>61</v>
      </c>
      <c r="K844" s="2" t="s">
        <v>10685</v>
      </c>
      <c r="L844" s="2" t="s">
        <v>10686</v>
      </c>
      <c r="M844" s="3" t="s">
        <v>987</v>
      </c>
      <c r="O844" s="3" t="s">
        <v>65</v>
      </c>
      <c r="P844" s="3" t="s">
        <v>66</v>
      </c>
      <c r="Q844" s="2" t="s">
        <v>3690</v>
      </c>
      <c r="R844" s="3" t="s">
        <v>68</v>
      </c>
      <c r="S844" s="4">
        <v>4</v>
      </c>
      <c r="T844" s="4">
        <v>4</v>
      </c>
      <c r="U844" s="5" t="s">
        <v>10687</v>
      </c>
      <c r="V844" s="5" t="s">
        <v>10687</v>
      </c>
      <c r="W844" s="5" t="s">
        <v>10688</v>
      </c>
      <c r="X844" s="5" t="s">
        <v>10688</v>
      </c>
      <c r="Y844" s="4">
        <v>692</v>
      </c>
      <c r="Z844" s="4">
        <v>516</v>
      </c>
      <c r="AA844" s="4">
        <v>519</v>
      </c>
      <c r="AB844" s="4">
        <v>5</v>
      </c>
      <c r="AC844" s="4">
        <v>5</v>
      </c>
      <c r="AD844" s="4">
        <v>35</v>
      </c>
      <c r="AE844" s="4">
        <v>35</v>
      </c>
      <c r="AF844" s="4">
        <v>13</v>
      </c>
      <c r="AG844" s="4">
        <v>13</v>
      </c>
      <c r="AH844" s="4">
        <v>8</v>
      </c>
      <c r="AI844" s="4">
        <v>8</v>
      </c>
      <c r="AJ844" s="4">
        <v>17</v>
      </c>
      <c r="AK844" s="4">
        <v>17</v>
      </c>
      <c r="AL844" s="4">
        <v>3</v>
      </c>
      <c r="AM844" s="4">
        <v>3</v>
      </c>
      <c r="AN844" s="4">
        <v>2</v>
      </c>
      <c r="AO844" s="4">
        <v>2</v>
      </c>
      <c r="AP844" s="3" t="s">
        <v>59</v>
      </c>
      <c r="AQ844" s="3" t="s">
        <v>71</v>
      </c>
      <c r="AR844" s="6" t="str">
        <f>HYPERLINK("http://catalog.hathitrust.org/Record/000001267","HathiTrust Record")</f>
        <v>HathiTrust Record</v>
      </c>
      <c r="AS844" s="6" t="str">
        <f>HYPERLINK("https://creighton-primo.hosted.exlibrisgroup.com/primo-explore/search?tab=default_tab&amp;search_scope=EVERYTHING&amp;vid=01CRU&amp;lang=en_US&amp;offset=0&amp;query=any,contains,991000562939702656","Catalog Record")</f>
        <v>Catalog Record</v>
      </c>
      <c r="AT844" s="6" t="str">
        <f>HYPERLINK("http://www.worldcat.org/oclc/93537","WorldCat Record")</f>
        <v>WorldCat Record</v>
      </c>
      <c r="AU844" s="3" t="s">
        <v>10689</v>
      </c>
      <c r="AV844" s="3" t="s">
        <v>10690</v>
      </c>
      <c r="AW844" s="3" t="s">
        <v>10691</v>
      </c>
      <c r="AX844" s="3" t="s">
        <v>10691</v>
      </c>
      <c r="AY844" s="3" t="s">
        <v>10692</v>
      </c>
      <c r="AZ844" s="3" t="s">
        <v>76</v>
      </c>
      <c r="BC844" s="3" t="s">
        <v>10693</v>
      </c>
      <c r="BD844" s="3" t="s">
        <v>10694</v>
      </c>
    </row>
    <row r="845" spans="1:56" ht="52.5" customHeight="1" x14ac:dyDescent="0.25">
      <c r="A845" s="7" t="s">
        <v>59</v>
      </c>
      <c r="B845" s="2" t="s">
        <v>10695</v>
      </c>
      <c r="C845" s="2" t="s">
        <v>10696</v>
      </c>
      <c r="D845" s="2" t="s">
        <v>10697</v>
      </c>
      <c r="F845" s="3" t="s">
        <v>59</v>
      </c>
      <c r="G845" s="3" t="s">
        <v>60</v>
      </c>
      <c r="H845" s="3" t="s">
        <v>59</v>
      </c>
      <c r="I845" s="3" t="s">
        <v>59</v>
      </c>
      <c r="J845" s="3" t="s">
        <v>61</v>
      </c>
      <c r="K845" s="2" t="s">
        <v>10698</v>
      </c>
      <c r="L845" s="2" t="s">
        <v>5105</v>
      </c>
      <c r="M845" s="3" t="s">
        <v>164</v>
      </c>
      <c r="O845" s="3" t="s">
        <v>65</v>
      </c>
      <c r="P845" s="3" t="s">
        <v>66</v>
      </c>
      <c r="R845" s="3" t="s">
        <v>68</v>
      </c>
      <c r="S845" s="4">
        <v>2</v>
      </c>
      <c r="T845" s="4">
        <v>2</v>
      </c>
      <c r="U845" s="5" t="s">
        <v>10699</v>
      </c>
      <c r="V845" s="5" t="s">
        <v>10699</v>
      </c>
      <c r="W845" s="5" t="s">
        <v>9192</v>
      </c>
      <c r="X845" s="5" t="s">
        <v>9192</v>
      </c>
      <c r="Y845" s="4">
        <v>528</v>
      </c>
      <c r="Z845" s="4">
        <v>501</v>
      </c>
      <c r="AA845" s="4">
        <v>542</v>
      </c>
      <c r="AB845" s="4">
        <v>3</v>
      </c>
      <c r="AC845" s="4">
        <v>4</v>
      </c>
      <c r="AD845" s="4">
        <v>9</v>
      </c>
      <c r="AE845" s="4">
        <v>10</v>
      </c>
      <c r="AF845" s="4">
        <v>1</v>
      </c>
      <c r="AG845" s="4">
        <v>1</v>
      </c>
      <c r="AH845" s="4">
        <v>0</v>
      </c>
      <c r="AI845" s="4">
        <v>0</v>
      </c>
      <c r="AJ845" s="4">
        <v>1</v>
      </c>
      <c r="AK845" s="4">
        <v>1</v>
      </c>
      <c r="AL845" s="4">
        <v>1</v>
      </c>
      <c r="AM845" s="4">
        <v>1</v>
      </c>
      <c r="AN845" s="4">
        <v>7</v>
      </c>
      <c r="AO845" s="4">
        <v>8</v>
      </c>
      <c r="AP845" s="3" t="s">
        <v>59</v>
      </c>
      <c r="AQ845" s="3" t="s">
        <v>59</v>
      </c>
      <c r="AS845" s="6" t="str">
        <f>HYPERLINK("https://creighton-primo.hosted.exlibrisgroup.com/primo-explore/search?tab=default_tab&amp;search_scope=EVERYTHING&amp;vid=01CRU&amp;lang=en_US&amp;offset=0&amp;query=any,contains,991004957319702656","Catalog Record")</f>
        <v>Catalog Record</v>
      </c>
      <c r="AT845" s="6" t="str">
        <f>HYPERLINK("http://www.worldcat.org/oclc/6280668","WorldCat Record")</f>
        <v>WorldCat Record</v>
      </c>
      <c r="AU845" s="3" t="s">
        <v>10700</v>
      </c>
      <c r="AV845" s="3" t="s">
        <v>10701</v>
      </c>
      <c r="AW845" s="3" t="s">
        <v>10702</v>
      </c>
      <c r="AX845" s="3" t="s">
        <v>10702</v>
      </c>
      <c r="AY845" s="3" t="s">
        <v>10703</v>
      </c>
      <c r="AZ845" s="3" t="s">
        <v>76</v>
      </c>
      <c r="BB845" s="3" t="s">
        <v>10704</v>
      </c>
      <c r="BC845" s="3" t="s">
        <v>10705</v>
      </c>
      <c r="BD845" s="3" t="s">
        <v>10706</v>
      </c>
    </row>
    <row r="846" spans="1:56" ht="52.5" customHeight="1" x14ac:dyDescent="0.25">
      <c r="A846" s="7" t="s">
        <v>59</v>
      </c>
      <c r="B846" s="2" t="s">
        <v>10707</v>
      </c>
      <c r="C846" s="2" t="s">
        <v>10708</v>
      </c>
      <c r="D846" s="2" t="s">
        <v>10709</v>
      </c>
      <c r="F846" s="3" t="s">
        <v>59</v>
      </c>
      <c r="G846" s="3" t="s">
        <v>60</v>
      </c>
      <c r="H846" s="3" t="s">
        <v>59</v>
      </c>
      <c r="I846" s="3" t="s">
        <v>59</v>
      </c>
      <c r="J846" s="3" t="s">
        <v>61</v>
      </c>
      <c r="K846" s="2" t="s">
        <v>10710</v>
      </c>
      <c r="L846" s="2" t="s">
        <v>10711</v>
      </c>
      <c r="M846" s="3" t="s">
        <v>85</v>
      </c>
      <c r="O846" s="3" t="s">
        <v>65</v>
      </c>
      <c r="P846" s="3" t="s">
        <v>66</v>
      </c>
      <c r="R846" s="3" t="s">
        <v>68</v>
      </c>
      <c r="S846" s="4">
        <v>3</v>
      </c>
      <c r="T846" s="4">
        <v>3</v>
      </c>
      <c r="U846" s="5" t="s">
        <v>10712</v>
      </c>
      <c r="V846" s="5" t="s">
        <v>10712</v>
      </c>
      <c r="W846" s="5" t="s">
        <v>9570</v>
      </c>
      <c r="X846" s="5" t="s">
        <v>9570</v>
      </c>
      <c r="Y846" s="4">
        <v>381</v>
      </c>
      <c r="Z846" s="4">
        <v>330</v>
      </c>
      <c r="AA846" s="4">
        <v>349</v>
      </c>
      <c r="AB846" s="4">
        <v>3</v>
      </c>
      <c r="AC846" s="4">
        <v>3</v>
      </c>
      <c r="AD846" s="4">
        <v>17</v>
      </c>
      <c r="AE846" s="4">
        <v>17</v>
      </c>
      <c r="AF846" s="4">
        <v>6</v>
      </c>
      <c r="AG846" s="4">
        <v>6</v>
      </c>
      <c r="AH846" s="4">
        <v>4</v>
      </c>
      <c r="AI846" s="4">
        <v>4</v>
      </c>
      <c r="AJ846" s="4">
        <v>8</v>
      </c>
      <c r="AK846" s="4">
        <v>8</v>
      </c>
      <c r="AL846" s="4">
        <v>2</v>
      </c>
      <c r="AM846" s="4">
        <v>2</v>
      </c>
      <c r="AN846" s="4">
        <v>1</v>
      </c>
      <c r="AO846" s="4">
        <v>1</v>
      </c>
      <c r="AP846" s="3" t="s">
        <v>59</v>
      </c>
      <c r="AQ846" s="3" t="s">
        <v>59</v>
      </c>
      <c r="AR846" s="6" t="str">
        <f>HYPERLINK("http://catalog.hathitrust.org/Record/000426203","HathiTrust Record")</f>
        <v>HathiTrust Record</v>
      </c>
      <c r="AS846" s="6" t="str">
        <f>HYPERLINK("https://creighton-primo.hosted.exlibrisgroup.com/primo-explore/search?tab=default_tab&amp;search_scope=EVERYTHING&amp;vid=01CRU&amp;lang=en_US&amp;offset=0&amp;query=any,contains,991003426849702656","Catalog Record")</f>
        <v>Catalog Record</v>
      </c>
      <c r="AT846" s="6" t="str">
        <f>HYPERLINK("http://www.worldcat.org/oclc/964768","WorldCat Record")</f>
        <v>WorldCat Record</v>
      </c>
      <c r="AU846" s="3" t="s">
        <v>10713</v>
      </c>
      <c r="AV846" s="3" t="s">
        <v>10714</v>
      </c>
      <c r="AW846" s="3" t="s">
        <v>10715</v>
      </c>
      <c r="AX846" s="3" t="s">
        <v>10715</v>
      </c>
      <c r="AY846" s="3" t="s">
        <v>10716</v>
      </c>
      <c r="AZ846" s="3" t="s">
        <v>76</v>
      </c>
      <c r="BC846" s="3" t="s">
        <v>10717</v>
      </c>
      <c r="BD846" s="3" t="s">
        <v>10718</v>
      </c>
    </row>
    <row r="847" spans="1:56" ht="52.5" customHeight="1" x14ac:dyDescent="0.25">
      <c r="A847" s="7" t="s">
        <v>59</v>
      </c>
      <c r="B847" s="2" t="s">
        <v>10719</v>
      </c>
      <c r="C847" s="2" t="s">
        <v>10720</v>
      </c>
      <c r="D847" s="2" t="s">
        <v>10721</v>
      </c>
      <c r="F847" s="3" t="s">
        <v>59</v>
      </c>
      <c r="G847" s="3" t="s">
        <v>60</v>
      </c>
      <c r="H847" s="3" t="s">
        <v>59</v>
      </c>
      <c r="I847" s="3" t="s">
        <v>59</v>
      </c>
      <c r="J847" s="3" t="s">
        <v>61</v>
      </c>
      <c r="K847" s="2" t="s">
        <v>10722</v>
      </c>
      <c r="L847" s="2" t="s">
        <v>10723</v>
      </c>
      <c r="M847" s="3" t="s">
        <v>100</v>
      </c>
      <c r="O847" s="3" t="s">
        <v>65</v>
      </c>
      <c r="P847" s="3" t="s">
        <v>283</v>
      </c>
      <c r="R847" s="3" t="s">
        <v>68</v>
      </c>
      <c r="S847" s="4">
        <v>5</v>
      </c>
      <c r="T847" s="4">
        <v>5</v>
      </c>
      <c r="U847" s="5" t="s">
        <v>564</v>
      </c>
      <c r="V847" s="5" t="s">
        <v>564</v>
      </c>
      <c r="W847" s="5" t="s">
        <v>9570</v>
      </c>
      <c r="X847" s="5" t="s">
        <v>9570</v>
      </c>
      <c r="Y847" s="4">
        <v>290</v>
      </c>
      <c r="Z847" s="4">
        <v>260</v>
      </c>
      <c r="AA847" s="4">
        <v>383</v>
      </c>
      <c r="AB847" s="4">
        <v>8</v>
      </c>
      <c r="AC847" s="4">
        <v>9</v>
      </c>
      <c r="AD847" s="4">
        <v>16</v>
      </c>
      <c r="AE847" s="4">
        <v>22</v>
      </c>
      <c r="AF847" s="4">
        <v>3</v>
      </c>
      <c r="AG847" s="4">
        <v>5</v>
      </c>
      <c r="AH847" s="4">
        <v>5</v>
      </c>
      <c r="AI847" s="4">
        <v>6</v>
      </c>
      <c r="AJ847" s="4">
        <v>5</v>
      </c>
      <c r="AK847" s="4">
        <v>8</v>
      </c>
      <c r="AL847" s="4">
        <v>7</v>
      </c>
      <c r="AM847" s="4">
        <v>8</v>
      </c>
      <c r="AN847" s="4">
        <v>0</v>
      </c>
      <c r="AO847" s="4">
        <v>0</v>
      </c>
      <c r="AP847" s="3" t="s">
        <v>59</v>
      </c>
      <c r="AQ847" s="3" t="s">
        <v>71</v>
      </c>
      <c r="AR847" s="6" t="str">
        <f>HYPERLINK("http://catalog.hathitrust.org/Record/009125204","HathiTrust Record")</f>
        <v>HathiTrust Record</v>
      </c>
      <c r="AS847" s="6" t="str">
        <f>HYPERLINK("https://creighton-primo.hosted.exlibrisgroup.com/primo-explore/search?tab=default_tab&amp;search_scope=EVERYTHING&amp;vid=01CRU&amp;lang=en_US&amp;offset=0&amp;query=any,contains,991000782759702656","Catalog Record")</f>
        <v>Catalog Record</v>
      </c>
      <c r="AT847" s="6" t="str">
        <f>HYPERLINK("http://www.worldcat.org/oclc/135578","WorldCat Record")</f>
        <v>WorldCat Record</v>
      </c>
      <c r="AU847" s="3" t="s">
        <v>10724</v>
      </c>
      <c r="AV847" s="3" t="s">
        <v>10725</v>
      </c>
      <c r="AW847" s="3" t="s">
        <v>10726</v>
      </c>
      <c r="AX847" s="3" t="s">
        <v>10726</v>
      </c>
      <c r="AY847" s="3" t="s">
        <v>10727</v>
      </c>
      <c r="AZ847" s="3" t="s">
        <v>76</v>
      </c>
      <c r="BC847" s="3" t="s">
        <v>10728</v>
      </c>
      <c r="BD847" s="3" t="s">
        <v>10729</v>
      </c>
    </row>
    <row r="848" spans="1:56" ht="52.5" customHeight="1" x14ac:dyDescent="0.25">
      <c r="A848" s="7" t="s">
        <v>59</v>
      </c>
      <c r="B848" s="2" t="s">
        <v>10730</v>
      </c>
      <c r="C848" s="2" t="s">
        <v>10731</v>
      </c>
      <c r="D848" s="2" t="s">
        <v>10732</v>
      </c>
      <c r="F848" s="3" t="s">
        <v>59</v>
      </c>
      <c r="G848" s="3" t="s">
        <v>60</v>
      </c>
      <c r="H848" s="3" t="s">
        <v>59</v>
      </c>
      <c r="I848" s="3" t="s">
        <v>59</v>
      </c>
      <c r="J848" s="3" t="s">
        <v>61</v>
      </c>
      <c r="K848" s="2" t="s">
        <v>10733</v>
      </c>
      <c r="L848" s="2" t="s">
        <v>10734</v>
      </c>
      <c r="M848" s="3" t="s">
        <v>164</v>
      </c>
      <c r="N848" s="2" t="s">
        <v>671</v>
      </c>
      <c r="O848" s="3" t="s">
        <v>65</v>
      </c>
      <c r="P848" s="3" t="s">
        <v>66</v>
      </c>
      <c r="R848" s="3" t="s">
        <v>68</v>
      </c>
      <c r="S848" s="4">
        <v>6</v>
      </c>
      <c r="T848" s="4">
        <v>6</v>
      </c>
      <c r="U848" s="5" t="s">
        <v>9014</v>
      </c>
      <c r="V848" s="5" t="s">
        <v>9014</v>
      </c>
      <c r="W848" s="5" t="s">
        <v>716</v>
      </c>
      <c r="X848" s="5" t="s">
        <v>716</v>
      </c>
      <c r="Y848" s="4">
        <v>240</v>
      </c>
      <c r="Z848" s="4">
        <v>176</v>
      </c>
      <c r="AA848" s="4">
        <v>747</v>
      </c>
      <c r="AB848" s="4">
        <v>2</v>
      </c>
      <c r="AC848" s="4">
        <v>5</v>
      </c>
      <c r="AD848" s="4">
        <v>7</v>
      </c>
      <c r="AE848" s="4">
        <v>29</v>
      </c>
      <c r="AF848" s="4">
        <v>4</v>
      </c>
      <c r="AG848" s="4">
        <v>11</v>
      </c>
      <c r="AH848" s="4">
        <v>0</v>
      </c>
      <c r="AI848" s="4">
        <v>6</v>
      </c>
      <c r="AJ848" s="4">
        <v>2</v>
      </c>
      <c r="AK848" s="4">
        <v>13</v>
      </c>
      <c r="AL848" s="4">
        <v>1</v>
      </c>
      <c r="AM848" s="4">
        <v>4</v>
      </c>
      <c r="AN848" s="4">
        <v>0</v>
      </c>
      <c r="AO848" s="4">
        <v>1</v>
      </c>
      <c r="AP848" s="3" t="s">
        <v>59</v>
      </c>
      <c r="AQ848" s="3" t="s">
        <v>71</v>
      </c>
      <c r="AR848" s="6" t="str">
        <f>HYPERLINK("http://catalog.hathitrust.org/Record/000738160","HathiTrust Record")</f>
        <v>HathiTrust Record</v>
      </c>
      <c r="AS848" s="6" t="str">
        <f>HYPERLINK("https://creighton-primo.hosted.exlibrisgroup.com/primo-explore/search?tab=default_tab&amp;search_scope=EVERYTHING&amp;vid=01CRU&amp;lang=en_US&amp;offset=0&amp;query=any,contains,991004902779702656","Catalog Record")</f>
        <v>Catalog Record</v>
      </c>
      <c r="AT848" s="6" t="str">
        <f>HYPERLINK("http://www.worldcat.org/oclc/5942137","WorldCat Record")</f>
        <v>WorldCat Record</v>
      </c>
      <c r="AU848" s="3" t="s">
        <v>10735</v>
      </c>
      <c r="AV848" s="3" t="s">
        <v>10736</v>
      </c>
      <c r="AW848" s="3" t="s">
        <v>10737</v>
      </c>
      <c r="AX848" s="3" t="s">
        <v>10737</v>
      </c>
      <c r="AY848" s="3" t="s">
        <v>10738</v>
      </c>
      <c r="AZ848" s="3" t="s">
        <v>76</v>
      </c>
      <c r="BB848" s="3" t="s">
        <v>10739</v>
      </c>
      <c r="BC848" s="3" t="s">
        <v>10740</v>
      </c>
      <c r="BD848" s="3" t="s">
        <v>10741</v>
      </c>
    </row>
    <row r="849" spans="1:56" ht="52.5" customHeight="1" x14ac:dyDescent="0.25">
      <c r="A849" s="7" t="s">
        <v>59</v>
      </c>
      <c r="B849" s="2" t="s">
        <v>10742</v>
      </c>
      <c r="C849" s="2" t="s">
        <v>10743</v>
      </c>
      <c r="D849" s="2" t="s">
        <v>10744</v>
      </c>
      <c r="F849" s="3" t="s">
        <v>59</v>
      </c>
      <c r="G849" s="3" t="s">
        <v>60</v>
      </c>
      <c r="H849" s="3" t="s">
        <v>59</v>
      </c>
      <c r="I849" s="3" t="s">
        <v>59</v>
      </c>
      <c r="J849" s="3" t="s">
        <v>61</v>
      </c>
      <c r="K849" s="2" t="s">
        <v>10745</v>
      </c>
      <c r="L849" s="2" t="s">
        <v>10746</v>
      </c>
      <c r="M849" s="3" t="s">
        <v>756</v>
      </c>
      <c r="O849" s="3" t="s">
        <v>65</v>
      </c>
      <c r="P849" s="3" t="s">
        <v>66</v>
      </c>
      <c r="Q849" s="2" t="s">
        <v>3690</v>
      </c>
      <c r="R849" s="3" t="s">
        <v>68</v>
      </c>
      <c r="S849" s="4">
        <v>5</v>
      </c>
      <c r="T849" s="4">
        <v>5</v>
      </c>
      <c r="U849" s="5" t="s">
        <v>10747</v>
      </c>
      <c r="V849" s="5" t="s">
        <v>10747</v>
      </c>
      <c r="W849" s="5" t="s">
        <v>9570</v>
      </c>
      <c r="X849" s="5" t="s">
        <v>9570</v>
      </c>
      <c r="Y849" s="4">
        <v>634</v>
      </c>
      <c r="Z849" s="4">
        <v>481</v>
      </c>
      <c r="AA849" s="4">
        <v>491</v>
      </c>
      <c r="AB849" s="4">
        <v>5</v>
      </c>
      <c r="AC849" s="4">
        <v>5</v>
      </c>
      <c r="AD849" s="4">
        <v>24</v>
      </c>
      <c r="AE849" s="4">
        <v>24</v>
      </c>
      <c r="AF849" s="4">
        <v>6</v>
      </c>
      <c r="AG849" s="4">
        <v>6</v>
      </c>
      <c r="AH849" s="4">
        <v>5</v>
      </c>
      <c r="AI849" s="4">
        <v>5</v>
      </c>
      <c r="AJ849" s="4">
        <v>15</v>
      </c>
      <c r="AK849" s="4">
        <v>15</v>
      </c>
      <c r="AL849" s="4">
        <v>4</v>
      </c>
      <c r="AM849" s="4">
        <v>4</v>
      </c>
      <c r="AN849" s="4">
        <v>0</v>
      </c>
      <c r="AO849" s="4">
        <v>0</v>
      </c>
      <c r="AP849" s="3" t="s">
        <v>59</v>
      </c>
      <c r="AQ849" s="3" t="s">
        <v>71</v>
      </c>
      <c r="AR849" s="6" t="str">
        <f>HYPERLINK("http://catalog.hathitrust.org/Record/000427354","HathiTrust Record")</f>
        <v>HathiTrust Record</v>
      </c>
      <c r="AS849" s="6" t="str">
        <f>HYPERLINK("https://creighton-primo.hosted.exlibrisgroup.com/primo-explore/search?tab=default_tab&amp;search_scope=EVERYTHING&amp;vid=01CRU&amp;lang=en_US&amp;offset=0&amp;query=any,contains,991001367109702656","Catalog Record")</f>
        <v>Catalog Record</v>
      </c>
      <c r="AT849" s="6" t="str">
        <f>HYPERLINK("http://www.worldcat.org/oclc/222764","WorldCat Record")</f>
        <v>WorldCat Record</v>
      </c>
      <c r="AU849" s="3" t="s">
        <v>10748</v>
      </c>
      <c r="AV849" s="3" t="s">
        <v>10749</v>
      </c>
      <c r="AW849" s="3" t="s">
        <v>10750</v>
      </c>
      <c r="AX849" s="3" t="s">
        <v>10750</v>
      </c>
      <c r="AY849" s="3" t="s">
        <v>10751</v>
      </c>
      <c r="AZ849" s="3" t="s">
        <v>76</v>
      </c>
      <c r="BC849" s="3" t="s">
        <v>10752</v>
      </c>
      <c r="BD849" s="3" t="s">
        <v>10753</v>
      </c>
    </row>
    <row r="850" spans="1:56" ht="52.5" customHeight="1" x14ac:dyDescent="0.25">
      <c r="A850" s="7" t="s">
        <v>59</v>
      </c>
      <c r="B850" s="2" t="s">
        <v>10754</v>
      </c>
      <c r="C850" s="2" t="s">
        <v>10755</v>
      </c>
      <c r="D850" s="2" t="s">
        <v>10756</v>
      </c>
      <c r="F850" s="3" t="s">
        <v>59</v>
      </c>
      <c r="G850" s="3" t="s">
        <v>60</v>
      </c>
      <c r="H850" s="3" t="s">
        <v>59</v>
      </c>
      <c r="I850" s="3" t="s">
        <v>59</v>
      </c>
      <c r="J850" s="3" t="s">
        <v>61</v>
      </c>
      <c r="K850" s="2" t="s">
        <v>10757</v>
      </c>
      <c r="L850" s="2" t="s">
        <v>10758</v>
      </c>
      <c r="M850" s="3" t="s">
        <v>1163</v>
      </c>
      <c r="N850" s="2" t="s">
        <v>887</v>
      </c>
      <c r="O850" s="3" t="s">
        <v>65</v>
      </c>
      <c r="P850" s="3" t="s">
        <v>283</v>
      </c>
      <c r="R850" s="3" t="s">
        <v>68</v>
      </c>
      <c r="S850" s="4">
        <v>4</v>
      </c>
      <c r="T850" s="4">
        <v>4</v>
      </c>
      <c r="U850" s="5" t="s">
        <v>10759</v>
      </c>
      <c r="V850" s="5" t="s">
        <v>10759</v>
      </c>
      <c r="W850" s="5" t="s">
        <v>10760</v>
      </c>
      <c r="X850" s="5" t="s">
        <v>10760</v>
      </c>
      <c r="Y850" s="4">
        <v>619</v>
      </c>
      <c r="Z850" s="4">
        <v>581</v>
      </c>
      <c r="AA850" s="4">
        <v>589</v>
      </c>
      <c r="AB850" s="4">
        <v>3</v>
      </c>
      <c r="AC850" s="4">
        <v>3</v>
      </c>
      <c r="AD850" s="4">
        <v>17</v>
      </c>
      <c r="AE850" s="4">
        <v>17</v>
      </c>
      <c r="AF850" s="4">
        <v>8</v>
      </c>
      <c r="AG850" s="4">
        <v>8</v>
      </c>
      <c r="AH850" s="4">
        <v>1</v>
      </c>
      <c r="AI850" s="4">
        <v>1</v>
      </c>
      <c r="AJ850" s="4">
        <v>9</v>
      </c>
      <c r="AK850" s="4">
        <v>9</v>
      </c>
      <c r="AL850" s="4">
        <v>2</v>
      </c>
      <c r="AM850" s="4">
        <v>2</v>
      </c>
      <c r="AN850" s="4">
        <v>0</v>
      </c>
      <c r="AO850" s="4">
        <v>0</v>
      </c>
      <c r="AP850" s="3" t="s">
        <v>59</v>
      </c>
      <c r="AQ850" s="3" t="s">
        <v>59</v>
      </c>
      <c r="AS850" s="6" t="str">
        <f>HYPERLINK("https://creighton-primo.hosted.exlibrisgroup.com/primo-explore/search?tab=default_tab&amp;search_scope=EVERYTHING&amp;vid=01CRU&amp;lang=en_US&amp;offset=0&amp;query=any,contains,991000487759702656","Catalog Record")</f>
        <v>Catalog Record</v>
      </c>
      <c r="AT850" s="6" t="str">
        <f>HYPERLINK("http://www.worldcat.org/oclc/11090071","WorldCat Record")</f>
        <v>WorldCat Record</v>
      </c>
      <c r="AU850" s="3" t="s">
        <v>10761</v>
      </c>
      <c r="AV850" s="3" t="s">
        <v>10762</v>
      </c>
      <c r="AW850" s="3" t="s">
        <v>10763</v>
      </c>
      <c r="AX850" s="3" t="s">
        <v>10763</v>
      </c>
      <c r="AY850" s="3" t="s">
        <v>10764</v>
      </c>
      <c r="AZ850" s="3" t="s">
        <v>76</v>
      </c>
      <c r="BB850" s="3" t="s">
        <v>10765</v>
      </c>
      <c r="BC850" s="3" t="s">
        <v>10766</v>
      </c>
      <c r="BD850" s="3" t="s">
        <v>10767</v>
      </c>
    </row>
    <row r="851" spans="1:56" ht="52.5" customHeight="1" x14ac:dyDescent="0.25">
      <c r="A851" s="7" t="s">
        <v>59</v>
      </c>
      <c r="B851" s="2" t="s">
        <v>10768</v>
      </c>
      <c r="C851" s="2" t="s">
        <v>10769</v>
      </c>
      <c r="D851" s="2" t="s">
        <v>10770</v>
      </c>
      <c r="F851" s="3" t="s">
        <v>59</v>
      </c>
      <c r="G851" s="3" t="s">
        <v>60</v>
      </c>
      <c r="H851" s="3" t="s">
        <v>71</v>
      </c>
      <c r="I851" s="3" t="s">
        <v>59</v>
      </c>
      <c r="J851" s="3" t="s">
        <v>61</v>
      </c>
      <c r="L851" s="2" t="s">
        <v>10771</v>
      </c>
      <c r="M851" s="3" t="s">
        <v>4228</v>
      </c>
      <c r="O851" s="3" t="s">
        <v>65</v>
      </c>
      <c r="P851" s="3" t="s">
        <v>1262</v>
      </c>
      <c r="Q851" s="2" t="s">
        <v>10772</v>
      </c>
      <c r="R851" s="3" t="s">
        <v>68</v>
      </c>
      <c r="S851" s="4">
        <v>7</v>
      </c>
      <c r="T851" s="4">
        <v>12</v>
      </c>
      <c r="U851" s="5" t="s">
        <v>10773</v>
      </c>
      <c r="V851" s="5" t="s">
        <v>10773</v>
      </c>
      <c r="W851" s="5" t="s">
        <v>10774</v>
      </c>
      <c r="X851" s="5" t="s">
        <v>10774</v>
      </c>
      <c r="Y851" s="4">
        <v>406</v>
      </c>
      <c r="Z851" s="4">
        <v>231</v>
      </c>
      <c r="AA851" s="4">
        <v>239</v>
      </c>
      <c r="AB851" s="4">
        <v>3</v>
      </c>
      <c r="AC851" s="4">
        <v>3</v>
      </c>
      <c r="AD851" s="4">
        <v>7</v>
      </c>
      <c r="AE851" s="4">
        <v>7</v>
      </c>
      <c r="AF851" s="4">
        <v>2</v>
      </c>
      <c r="AG851" s="4">
        <v>2</v>
      </c>
      <c r="AH851" s="4">
        <v>2</v>
      </c>
      <c r="AI851" s="4">
        <v>2</v>
      </c>
      <c r="AJ851" s="4">
        <v>2</v>
      </c>
      <c r="AK851" s="4">
        <v>2</v>
      </c>
      <c r="AL851" s="4">
        <v>1</v>
      </c>
      <c r="AM851" s="4">
        <v>1</v>
      </c>
      <c r="AN851" s="4">
        <v>0</v>
      </c>
      <c r="AO851" s="4">
        <v>0</v>
      </c>
      <c r="AP851" s="3" t="s">
        <v>59</v>
      </c>
      <c r="AQ851" s="3" t="s">
        <v>71</v>
      </c>
      <c r="AR851" s="6" t="str">
        <f>HYPERLINK("http://catalog.hathitrust.org/Record/002560673","HathiTrust Record")</f>
        <v>HathiTrust Record</v>
      </c>
      <c r="AS851" s="6" t="str">
        <f>HYPERLINK("https://creighton-primo.hosted.exlibrisgroup.com/primo-explore/search?tab=default_tab&amp;search_scope=EVERYTHING&amp;vid=01CRU&amp;lang=en_US&amp;offset=0&amp;query=any,contains,991001796279702656","Catalog Record")</f>
        <v>Catalog Record</v>
      </c>
      <c r="AT851" s="6" t="str">
        <f>HYPERLINK("http://www.worldcat.org/oclc/23968596","WorldCat Record")</f>
        <v>WorldCat Record</v>
      </c>
      <c r="AU851" s="3" t="s">
        <v>10775</v>
      </c>
      <c r="AV851" s="3" t="s">
        <v>10776</v>
      </c>
      <c r="AW851" s="3" t="s">
        <v>10777</v>
      </c>
      <c r="AX851" s="3" t="s">
        <v>10777</v>
      </c>
      <c r="AY851" s="3" t="s">
        <v>10778</v>
      </c>
      <c r="AZ851" s="3" t="s">
        <v>76</v>
      </c>
      <c r="BB851" s="3" t="s">
        <v>10779</v>
      </c>
      <c r="BC851" s="3" t="s">
        <v>10780</v>
      </c>
      <c r="BD851" s="3" t="s">
        <v>10781</v>
      </c>
    </row>
    <row r="852" spans="1:56" ht="52.5" customHeight="1" x14ac:dyDescent="0.25">
      <c r="A852" s="7" t="s">
        <v>59</v>
      </c>
      <c r="B852" s="2" t="s">
        <v>10782</v>
      </c>
      <c r="C852" s="2" t="s">
        <v>10783</v>
      </c>
      <c r="D852" s="2" t="s">
        <v>10784</v>
      </c>
      <c r="F852" s="3" t="s">
        <v>59</v>
      </c>
      <c r="G852" s="3" t="s">
        <v>60</v>
      </c>
      <c r="H852" s="3" t="s">
        <v>59</v>
      </c>
      <c r="I852" s="3" t="s">
        <v>59</v>
      </c>
      <c r="J852" s="3" t="s">
        <v>61</v>
      </c>
      <c r="K852" s="2" t="s">
        <v>10785</v>
      </c>
      <c r="L852" s="2" t="s">
        <v>886</v>
      </c>
      <c r="M852" s="3" t="s">
        <v>475</v>
      </c>
      <c r="O852" s="3" t="s">
        <v>65</v>
      </c>
      <c r="P852" s="3" t="s">
        <v>66</v>
      </c>
      <c r="R852" s="3" t="s">
        <v>68</v>
      </c>
      <c r="S852" s="4">
        <v>1</v>
      </c>
      <c r="T852" s="4">
        <v>1</v>
      </c>
      <c r="U852" s="5" t="s">
        <v>10786</v>
      </c>
      <c r="V852" s="5" t="s">
        <v>10786</v>
      </c>
      <c r="W852" s="5" t="s">
        <v>10787</v>
      </c>
      <c r="X852" s="5" t="s">
        <v>10787</v>
      </c>
      <c r="Y852" s="4">
        <v>160</v>
      </c>
      <c r="Z852" s="4">
        <v>128</v>
      </c>
      <c r="AA852" s="4">
        <v>133</v>
      </c>
      <c r="AB852" s="4">
        <v>3</v>
      </c>
      <c r="AC852" s="4">
        <v>3</v>
      </c>
      <c r="AD852" s="4">
        <v>4</v>
      </c>
      <c r="AE852" s="4">
        <v>4</v>
      </c>
      <c r="AF852" s="4">
        <v>1</v>
      </c>
      <c r="AG852" s="4">
        <v>1</v>
      </c>
      <c r="AH852" s="4">
        <v>1</v>
      </c>
      <c r="AI852" s="4">
        <v>1</v>
      </c>
      <c r="AJ852" s="4">
        <v>2</v>
      </c>
      <c r="AK852" s="4">
        <v>2</v>
      </c>
      <c r="AL852" s="4">
        <v>1</v>
      </c>
      <c r="AM852" s="4">
        <v>1</v>
      </c>
      <c r="AN852" s="4">
        <v>0</v>
      </c>
      <c r="AO852" s="4">
        <v>0</v>
      </c>
      <c r="AP852" s="3" t="s">
        <v>59</v>
      </c>
      <c r="AQ852" s="3" t="s">
        <v>59</v>
      </c>
      <c r="AS852" s="6" t="str">
        <f>HYPERLINK("https://creighton-primo.hosted.exlibrisgroup.com/primo-explore/search?tab=default_tab&amp;search_scope=EVERYTHING&amp;vid=01CRU&amp;lang=en_US&amp;offset=0&amp;query=any,contains,991000095759702656","Catalog Record")</f>
        <v>Catalog Record</v>
      </c>
      <c r="AT852" s="6" t="str">
        <f>HYPERLINK("http://www.worldcat.org/oclc/8928638","WorldCat Record")</f>
        <v>WorldCat Record</v>
      </c>
      <c r="AU852" s="3" t="s">
        <v>10788</v>
      </c>
      <c r="AV852" s="3" t="s">
        <v>10789</v>
      </c>
      <c r="AW852" s="3" t="s">
        <v>10790</v>
      </c>
      <c r="AX852" s="3" t="s">
        <v>10790</v>
      </c>
      <c r="AY852" s="3" t="s">
        <v>10791</v>
      </c>
      <c r="AZ852" s="3" t="s">
        <v>76</v>
      </c>
      <c r="BB852" s="3" t="s">
        <v>10792</v>
      </c>
      <c r="BC852" s="3" t="s">
        <v>10793</v>
      </c>
      <c r="BD852" s="3" t="s">
        <v>10794</v>
      </c>
    </row>
    <row r="853" spans="1:56" ht="52.5" customHeight="1" x14ac:dyDescent="0.25">
      <c r="A853" s="7" t="s">
        <v>59</v>
      </c>
      <c r="B853" s="2" t="s">
        <v>10795</v>
      </c>
      <c r="C853" s="2" t="s">
        <v>10796</v>
      </c>
      <c r="D853" s="2" t="s">
        <v>10797</v>
      </c>
      <c r="F853" s="3" t="s">
        <v>59</v>
      </c>
      <c r="G853" s="3" t="s">
        <v>60</v>
      </c>
      <c r="H853" s="3" t="s">
        <v>59</v>
      </c>
      <c r="I853" s="3" t="s">
        <v>59</v>
      </c>
      <c r="J853" s="3" t="s">
        <v>61</v>
      </c>
      <c r="K853" s="2" t="s">
        <v>10798</v>
      </c>
      <c r="L853" s="2" t="s">
        <v>10799</v>
      </c>
      <c r="M853" s="3" t="s">
        <v>164</v>
      </c>
      <c r="O853" s="3" t="s">
        <v>65</v>
      </c>
      <c r="P853" s="3" t="s">
        <v>66</v>
      </c>
      <c r="R853" s="3" t="s">
        <v>68</v>
      </c>
      <c r="S853" s="4">
        <v>5</v>
      </c>
      <c r="T853" s="4">
        <v>5</v>
      </c>
      <c r="U853" s="5" t="s">
        <v>10800</v>
      </c>
      <c r="V853" s="5" t="s">
        <v>10800</v>
      </c>
      <c r="W853" s="5" t="s">
        <v>477</v>
      </c>
      <c r="X853" s="5" t="s">
        <v>477</v>
      </c>
      <c r="Y853" s="4">
        <v>1313</v>
      </c>
      <c r="Z853" s="4">
        <v>1265</v>
      </c>
      <c r="AA853" s="4">
        <v>1394</v>
      </c>
      <c r="AB853" s="4">
        <v>11</v>
      </c>
      <c r="AC853" s="4">
        <v>11</v>
      </c>
      <c r="AD853" s="4">
        <v>9</v>
      </c>
      <c r="AE853" s="4">
        <v>10</v>
      </c>
      <c r="AF853" s="4">
        <v>4</v>
      </c>
      <c r="AG853" s="4">
        <v>4</v>
      </c>
      <c r="AH853" s="4">
        <v>2</v>
      </c>
      <c r="AI853" s="4">
        <v>2</v>
      </c>
      <c r="AJ853" s="4">
        <v>3</v>
      </c>
      <c r="AK853" s="4">
        <v>4</v>
      </c>
      <c r="AL853" s="4">
        <v>1</v>
      </c>
      <c r="AM853" s="4">
        <v>1</v>
      </c>
      <c r="AN853" s="4">
        <v>1</v>
      </c>
      <c r="AO853" s="4">
        <v>1</v>
      </c>
      <c r="AP853" s="3" t="s">
        <v>59</v>
      </c>
      <c r="AQ853" s="3" t="s">
        <v>59</v>
      </c>
      <c r="AS853" s="6" t="str">
        <f>HYPERLINK("https://creighton-primo.hosted.exlibrisgroup.com/primo-explore/search?tab=default_tab&amp;search_scope=EVERYTHING&amp;vid=01CRU&amp;lang=en_US&amp;offset=0&amp;query=any,contains,991004991469702656","Catalog Record")</f>
        <v>Catalog Record</v>
      </c>
      <c r="AT853" s="6" t="str">
        <f>HYPERLINK("http://www.worldcat.org/oclc/6487437","WorldCat Record")</f>
        <v>WorldCat Record</v>
      </c>
      <c r="AU853" s="3" t="s">
        <v>10801</v>
      </c>
      <c r="AV853" s="3" t="s">
        <v>10802</v>
      </c>
      <c r="AW853" s="3" t="s">
        <v>10803</v>
      </c>
      <c r="AX853" s="3" t="s">
        <v>10803</v>
      </c>
      <c r="AY853" s="3" t="s">
        <v>10804</v>
      </c>
      <c r="AZ853" s="3" t="s">
        <v>76</v>
      </c>
      <c r="BB853" s="3" t="s">
        <v>10805</v>
      </c>
      <c r="BC853" s="3" t="s">
        <v>10806</v>
      </c>
      <c r="BD853" s="3" t="s">
        <v>10807</v>
      </c>
    </row>
    <row r="854" spans="1:56" ht="52.5" customHeight="1" x14ac:dyDescent="0.25">
      <c r="A854" s="7" t="s">
        <v>59</v>
      </c>
      <c r="B854" s="2" t="s">
        <v>10808</v>
      </c>
      <c r="C854" s="2" t="s">
        <v>10809</v>
      </c>
      <c r="D854" s="2" t="s">
        <v>10810</v>
      </c>
      <c r="F854" s="3" t="s">
        <v>59</v>
      </c>
      <c r="G854" s="3" t="s">
        <v>60</v>
      </c>
      <c r="H854" s="3" t="s">
        <v>59</v>
      </c>
      <c r="I854" s="3" t="s">
        <v>59</v>
      </c>
      <c r="J854" s="3" t="s">
        <v>61</v>
      </c>
      <c r="K854" s="2" t="s">
        <v>10798</v>
      </c>
      <c r="L854" s="2" t="s">
        <v>10811</v>
      </c>
      <c r="M854" s="3" t="s">
        <v>148</v>
      </c>
      <c r="O854" s="3" t="s">
        <v>65</v>
      </c>
      <c r="P854" s="3" t="s">
        <v>66</v>
      </c>
      <c r="R854" s="3" t="s">
        <v>68</v>
      </c>
      <c r="S854" s="4">
        <v>8</v>
      </c>
      <c r="T854" s="4">
        <v>8</v>
      </c>
      <c r="U854" s="5" t="s">
        <v>10812</v>
      </c>
      <c r="V854" s="5" t="s">
        <v>10812</v>
      </c>
      <c r="W854" s="5" t="s">
        <v>8379</v>
      </c>
      <c r="X854" s="5" t="s">
        <v>8379</v>
      </c>
      <c r="Y854" s="4">
        <v>1578</v>
      </c>
      <c r="Z854" s="4">
        <v>1511</v>
      </c>
      <c r="AA854" s="4">
        <v>2138</v>
      </c>
      <c r="AB854" s="4">
        <v>17</v>
      </c>
      <c r="AC854" s="4">
        <v>22</v>
      </c>
      <c r="AD854" s="4">
        <v>21</v>
      </c>
      <c r="AE854" s="4">
        <v>27</v>
      </c>
      <c r="AF854" s="4">
        <v>12</v>
      </c>
      <c r="AG854" s="4">
        <v>12</v>
      </c>
      <c r="AH854" s="4">
        <v>2</v>
      </c>
      <c r="AI854" s="4">
        <v>3</v>
      </c>
      <c r="AJ854" s="4">
        <v>7</v>
      </c>
      <c r="AK854" s="4">
        <v>11</v>
      </c>
      <c r="AL854" s="4">
        <v>4</v>
      </c>
      <c r="AM854" s="4">
        <v>6</v>
      </c>
      <c r="AN854" s="4">
        <v>0</v>
      </c>
      <c r="AO854" s="4">
        <v>0</v>
      </c>
      <c r="AP854" s="3" t="s">
        <v>59</v>
      </c>
      <c r="AQ854" s="3" t="s">
        <v>59</v>
      </c>
      <c r="AS854" s="6" t="str">
        <f>HYPERLINK("https://creighton-primo.hosted.exlibrisgroup.com/primo-explore/search?tab=default_tab&amp;search_scope=EVERYTHING&amp;vid=01CRU&amp;lang=en_US&amp;offset=0&amp;query=any,contains,991003914859702656","Catalog Record")</f>
        <v>Catalog Record</v>
      </c>
      <c r="AT854" s="6" t="str">
        <f>HYPERLINK("http://www.worldcat.org/oclc/1858408","WorldCat Record")</f>
        <v>WorldCat Record</v>
      </c>
      <c r="AU854" s="3" t="s">
        <v>10813</v>
      </c>
      <c r="AV854" s="3" t="s">
        <v>10814</v>
      </c>
      <c r="AW854" s="3" t="s">
        <v>10815</v>
      </c>
      <c r="AX854" s="3" t="s">
        <v>10815</v>
      </c>
      <c r="AY854" s="3" t="s">
        <v>10816</v>
      </c>
      <c r="AZ854" s="3" t="s">
        <v>76</v>
      </c>
      <c r="BB854" s="3" t="s">
        <v>10817</v>
      </c>
      <c r="BC854" s="3" t="s">
        <v>10818</v>
      </c>
      <c r="BD854" s="3" t="s">
        <v>10819</v>
      </c>
    </row>
    <row r="855" spans="1:56" ht="52.5" customHeight="1" x14ac:dyDescent="0.25">
      <c r="A855" s="7" t="s">
        <v>59</v>
      </c>
      <c r="B855" s="2" t="s">
        <v>10820</v>
      </c>
      <c r="C855" s="2" t="s">
        <v>10821</v>
      </c>
      <c r="D855" s="2" t="s">
        <v>10822</v>
      </c>
      <c r="F855" s="3" t="s">
        <v>59</v>
      </c>
      <c r="G855" s="3" t="s">
        <v>60</v>
      </c>
      <c r="H855" s="3" t="s">
        <v>59</v>
      </c>
      <c r="I855" s="3" t="s">
        <v>59</v>
      </c>
      <c r="J855" s="3" t="s">
        <v>61</v>
      </c>
      <c r="K855" s="2" t="s">
        <v>10823</v>
      </c>
      <c r="L855" s="2" t="s">
        <v>10824</v>
      </c>
      <c r="M855" s="3" t="s">
        <v>549</v>
      </c>
      <c r="O855" s="3" t="s">
        <v>65</v>
      </c>
      <c r="P855" s="3" t="s">
        <v>491</v>
      </c>
      <c r="R855" s="3" t="s">
        <v>68</v>
      </c>
      <c r="S855" s="4">
        <v>10</v>
      </c>
      <c r="T855" s="4">
        <v>10</v>
      </c>
      <c r="U855" s="5" t="s">
        <v>658</v>
      </c>
      <c r="V855" s="5" t="s">
        <v>658</v>
      </c>
      <c r="W855" s="5" t="s">
        <v>10825</v>
      </c>
      <c r="X855" s="5" t="s">
        <v>10825</v>
      </c>
      <c r="Y855" s="4">
        <v>177</v>
      </c>
      <c r="Z855" s="4">
        <v>174</v>
      </c>
      <c r="AA855" s="4">
        <v>179</v>
      </c>
      <c r="AB855" s="4">
        <v>2</v>
      </c>
      <c r="AC855" s="4">
        <v>2</v>
      </c>
      <c r="AD855" s="4">
        <v>4</v>
      </c>
      <c r="AE855" s="4">
        <v>4</v>
      </c>
      <c r="AF855" s="4">
        <v>0</v>
      </c>
      <c r="AG855" s="4">
        <v>0</v>
      </c>
      <c r="AH855" s="4">
        <v>0</v>
      </c>
      <c r="AI855" s="4">
        <v>0</v>
      </c>
      <c r="AJ855" s="4">
        <v>3</v>
      </c>
      <c r="AK855" s="4">
        <v>3</v>
      </c>
      <c r="AL855" s="4">
        <v>1</v>
      </c>
      <c r="AM855" s="4">
        <v>1</v>
      </c>
      <c r="AN855" s="4">
        <v>0</v>
      </c>
      <c r="AO855" s="4">
        <v>0</v>
      </c>
      <c r="AP855" s="3" t="s">
        <v>59</v>
      </c>
      <c r="AQ855" s="3" t="s">
        <v>59</v>
      </c>
      <c r="AS855" s="6" t="str">
        <f>HYPERLINK("https://creighton-primo.hosted.exlibrisgroup.com/primo-explore/search?tab=default_tab&amp;search_scope=EVERYTHING&amp;vid=01CRU&amp;lang=en_US&amp;offset=0&amp;query=any,contains,991001489149702656","Catalog Record")</f>
        <v>Catalog Record</v>
      </c>
      <c r="AT855" s="6" t="str">
        <f>HYPERLINK("http://www.worldcat.org/oclc/13134407","WorldCat Record")</f>
        <v>WorldCat Record</v>
      </c>
      <c r="AU855" s="3" t="s">
        <v>10826</v>
      </c>
      <c r="AV855" s="3" t="s">
        <v>10827</v>
      </c>
      <c r="AW855" s="3" t="s">
        <v>10828</v>
      </c>
      <c r="AX855" s="3" t="s">
        <v>10828</v>
      </c>
      <c r="AY855" s="3" t="s">
        <v>10829</v>
      </c>
      <c r="AZ855" s="3" t="s">
        <v>76</v>
      </c>
      <c r="BB855" s="3" t="s">
        <v>10830</v>
      </c>
      <c r="BC855" s="3" t="s">
        <v>10831</v>
      </c>
      <c r="BD855" s="3" t="s">
        <v>10832</v>
      </c>
    </row>
    <row r="856" spans="1:56" ht="52.5" customHeight="1" x14ac:dyDescent="0.25">
      <c r="A856" s="7" t="s">
        <v>59</v>
      </c>
      <c r="B856" s="2" t="s">
        <v>10833</v>
      </c>
      <c r="C856" s="2" t="s">
        <v>10834</v>
      </c>
      <c r="D856" s="2" t="s">
        <v>10835</v>
      </c>
      <c r="F856" s="3" t="s">
        <v>59</v>
      </c>
      <c r="G856" s="3" t="s">
        <v>60</v>
      </c>
      <c r="H856" s="3" t="s">
        <v>59</v>
      </c>
      <c r="I856" s="3" t="s">
        <v>59</v>
      </c>
      <c r="J856" s="3" t="s">
        <v>61</v>
      </c>
      <c r="K856" s="2" t="s">
        <v>10836</v>
      </c>
      <c r="L856" s="2" t="s">
        <v>10837</v>
      </c>
      <c r="M856" s="3" t="s">
        <v>309</v>
      </c>
      <c r="O856" s="3" t="s">
        <v>65</v>
      </c>
      <c r="P856" s="3" t="s">
        <v>66</v>
      </c>
      <c r="R856" s="3" t="s">
        <v>68</v>
      </c>
      <c r="S856" s="4">
        <v>8</v>
      </c>
      <c r="T856" s="4">
        <v>8</v>
      </c>
      <c r="U856" s="5" t="s">
        <v>10838</v>
      </c>
      <c r="V856" s="5" t="s">
        <v>10838</v>
      </c>
      <c r="W856" s="5" t="s">
        <v>9192</v>
      </c>
      <c r="X856" s="5" t="s">
        <v>9192</v>
      </c>
      <c r="Y856" s="4">
        <v>647</v>
      </c>
      <c r="Z856" s="4">
        <v>627</v>
      </c>
      <c r="AA856" s="4">
        <v>669</v>
      </c>
      <c r="AB856" s="4">
        <v>6</v>
      </c>
      <c r="AC856" s="4">
        <v>6</v>
      </c>
      <c r="AD856" s="4">
        <v>6</v>
      </c>
      <c r="AE856" s="4">
        <v>6</v>
      </c>
      <c r="AF856" s="4">
        <v>3</v>
      </c>
      <c r="AG856" s="4">
        <v>3</v>
      </c>
      <c r="AH856" s="4">
        <v>0</v>
      </c>
      <c r="AI856" s="4">
        <v>0</v>
      </c>
      <c r="AJ856" s="4">
        <v>3</v>
      </c>
      <c r="AK856" s="4">
        <v>3</v>
      </c>
      <c r="AL856" s="4">
        <v>2</v>
      </c>
      <c r="AM856" s="4">
        <v>2</v>
      </c>
      <c r="AN856" s="4">
        <v>0</v>
      </c>
      <c r="AO856" s="4">
        <v>0</v>
      </c>
      <c r="AP856" s="3" t="s">
        <v>59</v>
      </c>
      <c r="AQ856" s="3" t="s">
        <v>71</v>
      </c>
      <c r="AR856" s="6" t="str">
        <f>HYPERLINK("http://catalog.hathitrust.org/Record/012264016","HathiTrust Record")</f>
        <v>HathiTrust Record</v>
      </c>
      <c r="AS856" s="6" t="str">
        <f>HYPERLINK("https://creighton-primo.hosted.exlibrisgroup.com/primo-explore/search?tab=default_tab&amp;search_scope=EVERYTHING&amp;vid=01CRU&amp;lang=en_US&amp;offset=0&amp;query=any,contains,991004593659702656","Catalog Record")</f>
        <v>Catalog Record</v>
      </c>
      <c r="AT856" s="6" t="str">
        <f>HYPERLINK("http://www.worldcat.org/oclc/4135905","WorldCat Record")</f>
        <v>WorldCat Record</v>
      </c>
      <c r="AU856" s="3" t="s">
        <v>10839</v>
      </c>
      <c r="AV856" s="3" t="s">
        <v>10840</v>
      </c>
      <c r="AW856" s="3" t="s">
        <v>10841</v>
      </c>
      <c r="AX856" s="3" t="s">
        <v>10841</v>
      </c>
      <c r="AY856" s="3" t="s">
        <v>10842</v>
      </c>
      <c r="AZ856" s="3" t="s">
        <v>76</v>
      </c>
      <c r="BB856" s="3" t="s">
        <v>10843</v>
      </c>
      <c r="BC856" s="3" t="s">
        <v>10844</v>
      </c>
      <c r="BD856" s="3" t="s">
        <v>10845</v>
      </c>
    </row>
    <row r="857" spans="1:56" ht="52.5" customHeight="1" x14ac:dyDescent="0.25">
      <c r="A857" s="7" t="s">
        <v>59</v>
      </c>
      <c r="B857" s="2" t="s">
        <v>10846</v>
      </c>
      <c r="C857" s="2" t="s">
        <v>10847</v>
      </c>
      <c r="D857" s="2" t="s">
        <v>10848</v>
      </c>
      <c r="F857" s="3" t="s">
        <v>59</v>
      </c>
      <c r="G857" s="3" t="s">
        <v>60</v>
      </c>
      <c r="H857" s="3" t="s">
        <v>59</v>
      </c>
      <c r="I857" s="3" t="s">
        <v>59</v>
      </c>
      <c r="J857" s="3" t="s">
        <v>61</v>
      </c>
      <c r="K857" s="2" t="s">
        <v>10849</v>
      </c>
      <c r="L857" s="2" t="s">
        <v>10850</v>
      </c>
      <c r="M857" s="3" t="s">
        <v>131</v>
      </c>
      <c r="O857" s="3" t="s">
        <v>65</v>
      </c>
      <c r="P857" s="3" t="s">
        <v>8838</v>
      </c>
      <c r="R857" s="3" t="s">
        <v>68</v>
      </c>
      <c r="S857" s="4">
        <v>1</v>
      </c>
      <c r="T857" s="4">
        <v>1</v>
      </c>
      <c r="U857" s="5" t="s">
        <v>10851</v>
      </c>
      <c r="V857" s="5" t="s">
        <v>10851</v>
      </c>
      <c r="W857" s="5" t="s">
        <v>10851</v>
      </c>
      <c r="X857" s="5" t="s">
        <v>10851</v>
      </c>
      <c r="Y857" s="4">
        <v>32</v>
      </c>
      <c r="Z857" s="4">
        <v>30</v>
      </c>
      <c r="AA857" s="4">
        <v>512</v>
      </c>
      <c r="AB857" s="4">
        <v>1</v>
      </c>
      <c r="AC857" s="4">
        <v>4</v>
      </c>
      <c r="AD857" s="4">
        <v>0</v>
      </c>
      <c r="AE857" s="4">
        <v>8</v>
      </c>
      <c r="AF857" s="4">
        <v>0</v>
      </c>
      <c r="AG857" s="4">
        <v>3</v>
      </c>
      <c r="AH857" s="4">
        <v>0</v>
      </c>
      <c r="AI857" s="4">
        <v>1</v>
      </c>
      <c r="AJ857" s="4">
        <v>0</v>
      </c>
      <c r="AK857" s="4">
        <v>2</v>
      </c>
      <c r="AL857" s="4">
        <v>0</v>
      </c>
      <c r="AM857" s="4">
        <v>1</v>
      </c>
      <c r="AN857" s="4">
        <v>0</v>
      </c>
      <c r="AO857" s="4">
        <v>2</v>
      </c>
      <c r="AP857" s="3" t="s">
        <v>59</v>
      </c>
      <c r="AQ857" s="3" t="s">
        <v>59</v>
      </c>
      <c r="AS857" s="6" t="str">
        <f>HYPERLINK("https://creighton-primo.hosted.exlibrisgroup.com/primo-explore/search?tab=default_tab&amp;search_scope=EVERYTHING&amp;vid=01CRU&amp;lang=en_US&amp;offset=0&amp;query=any,contains,991005228759702656","Catalog Record")</f>
        <v>Catalog Record</v>
      </c>
      <c r="AT857" s="6" t="str">
        <f>HYPERLINK("http://www.worldcat.org/oclc/36459919","WorldCat Record")</f>
        <v>WorldCat Record</v>
      </c>
      <c r="AU857" s="3" t="s">
        <v>10852</v>
      </c>
      <c r="AV857" s="3" t="s">
        <v>10853</v>
      </c>
      <c r="AW857" s="3" t="s">
        <v>10854</v>
      </c>
      <c r="AX857" s="3" t="s">
        <v>10854</v>
      </c>
      <c r="AY857" s="3" t="s">
        <v>10855</v>
      </c>
      <c r="AZ857" s="3" t="s">
        <v>76</v>
      </c>
      <c r="BB857" s="3" t="s">
        <v>10856</v>
      </c>
      <c r="BC857" s="3" t="s">
        <v>10857</v>
      </c>
      <c r="BD857" s="3" t="s">
        <v>10858</v>
      </c>
    </row>
    <row r="858" spans="1:56" ht="52.5" customHeight="1" x14ac:dyDescent="0.25">
      <c r="A858" s="7" t="s">
        <v>59</v>
      </c>
      <c r="B858" s="2" t="s">
        <v>10859</v>
      </c>
      <c r="C858" s="2" t="s">
        <v>10860</v>
      </c>
      <c r="D858" s="2" t="s">
        <v>10861</v>
      </c>
      <c r="F858" s="3" t="s">
        <v>59</v>
      </c>
      <c r="G858" s="3" t="s">
        <v>60</v>
      </c>
      <c r="H858" s="3" t="s">
        <v>59</v>
      </c>
      <c r="I858" s="3" t="s">
        <v>59</v>
      </c>
      <c r="J858" s="3" t="s">
        <v>61</v>
      </c>
      <c r="K858" s="2" t="s">
        <v>10862</v>
      </c>
      <c r="L858" s="2" t="s">
        <v>3278</v>
      </c>
      <c r="M858" s="3" t="s">
        <v>1217</v>
      </c>
      <c r="N858" s="2" t="s">
        <v>5750</v>
      </c>
      <c r="O858" s="3" t="s">
        <v>65</v>
      </c>
      <c r="P858" s="3" t="s">
        <v>283</v>
      </c>
      <c r="R858" s="3" t="s">
        <v>68</v>
      </c>
      <c r="S858" s="4">
        <v>2</v>
      </c>
      <c r="T858" s="4">
        <v>2</v>
      </c>
      <c r="U858" s="5" t="s">
        <v>10838</v>
      </c>
      <c r="V858" s="5" t="s">
        <v>10838</v>
      </c>
      <c r="W858" s="5" t="s">
        <v>10787</v>
      </c>
      <c r="X858" s="5" t="s">
        <v>10787</v>
      </c>
      <c r="Y858" s="4">
        <v>361</v>
      </c>
      <c r="Z858" s="4">
        <v>308</v>
      </c>
      <c r="AA858" s="4">
        <v>340</v>
      </c>
      <c r="AB858" s="4">
        <v>2</v>
      </c>
      <c r="AC858" s="4">
        <v>3</v>
      </c>
      <c r="AD858" s="4">
        <v>12</v>
      </c>
      <c r="AE858" s="4">
        <v>13</v>
      </c>
      <c r="AF858" s="4">
        <v>6</v>
      </c>
      <c r="AG858" s="4">
        <v>6</v>
      </c>
      <c r="AH858" s="4">
        <v>3</v>
      </c>
      <c r="AI858" s="4">
        <v>3</v>
      </c>
      <c r="AJ858" s="4">
        <v>5</v>
      </c>
      <c r="AK858" s="4">
        <v>5</v>
      </c>
      <c r="AL858" s="4">
        <v>1</v>
      </c>
      <c r="AM858" s="4">
        <v>2</v>
      </c>
      <c r="AN858" s="4">
        <v>0</v>
      </c>
      <c r="AO858" s="4">
        <v>0</v>
      </c>
      <c r="AP858" s="3" t="s">
        <v>59</v>
      </c>
      <c r="AQ858" s="3" t="s">
        <v>59</v>
      </c>
      <c r="AS858" s="6" t="str">
        <f>HYPERLINK("https://creighton-primo.hosted.exlibrisgroup.com/primo-explore/search?tab=default_tab&amp;search_scope=EVERYTHING&amp;vid=01CRU&amp;lang=en_US&amp;offset=0&amp;query=any,contains,991000476389702656","Catalog Record")</f>
        <v>Catalog Record</v>
      </c>
      <c r="AT858" s="6" t="str">
        <f>HYPERLINK("http://www.worldcat.org/oclc/11030095","WorldCat Record")</f>
        <v>WorldCat Record</v>
      </c>
      <c r="AU858" s="3" t="s">
        <v>10863</v>
      </c>
      <c r="AV858" s="3" t="s">
        <v>10864</v>
      </c>
      <c r="AW858" s="3" t="s">
        <v>10865</v>
      </c>
      <c r="AX858" s="3" t="s">
        <v>10865</v>
      </c>
      <c r="AY858" s="3" t="s">
        <v>10866</v>
      </c>
      <c r="AZ858" s="3" t="s">
        <v>76</v>
      </c>
      <c r="BB858" s="3" t="s">
        <v>10867</v>
      </c>
      <c r="BC858" s="3" t="s">
        <v>10868</v>
      </c>
      <c r="BD858" s="3" t="s">
        <v>10869</v>
      </c>
    </row>
    <row r="859" spans="1:56" ht="52.5" customHeight="1" x14ac:dyDescent="0.25">
      <c r="A859" s="7" t="s">
        <v>59</v>
      </c>
      <c r="B859" s="2" t="s">
        <v>10870</v>
      </c>
      <c r="C859" s="2" t="s">
        <v>10871</v>
      </c>
      <c r="D859" s="2" t="s">
        <v>10872</v>
      </c>
      <c r="F859" s="3" t="s">
        <v>59</v>
      </c>
      <c r="G859" s="3" t="s">
        <v>60</v>
      </c>
      <c r="H859" s="3" t="s">
        <v>59</v>
      </c>
      <c r="I859" s="3" t="s">
        <v>59</v>
      </c>
      <c r="J859" s="3" t="s">
        <v>61</v>
      </c>
      <c r="K859" s="2" t="s">
        <v>10873</v>
      </c>
      <c r="L859" s="2" t="s">
        <v>10874</v>
      </c>
      <c r="M859" s="3" t="s">
        <v>549</v>
      </c>
      <c r="O859" s="3" t="s">
        <v>65</v>
      </c>
      <c r="P859" s="3" t="s">
        <v>296</v>
      </c>
      <c r="R859" s="3" t="s">
        <v>68</v>
      </c>
      <c r="S859" s="4">
        <v>7</v>
      </c>
      <c r="T859" s="4">
        <v>7</v>
      </c>
      <c r="U859" s="5" t="s">
        <v>10875</v>
      </c>
      <c r="V859" s="5" t="s">
        <v>10875</v>
      </c>
      <c r="W859" s="5" t="s">
        <v>8366</v>
      </c>
      <c r="X859" s="5" t="s">
        <v>8366</v>
      </c>
      <c r="Y859" s="4">
        <v>312</v>
      </c>
      <c r="Z859" s="4">
        <v>273</v>
      </c>
      <c r="AA859" s="4">
        <v>344</v>
      </c>
      <c r="AB859" s="4">
        <v>4</v>
      </c>
      <c r="AC859" s="4">
        <v>4</v>
      </c>
      <c r="AD859" s="4">
        <v>11</v>
      </c>
      <c r="AE859" s="4">
        <v>12</v>
      </c>
      <c r="AF859" s="4">
        <v>5</v>
      </c>
      <c r="AG859" s="4">
        <v>6</v>
      </c>
      <c r="AH859" s="4">
        <v>1</v>
      </c>
      <c r="AI859" s="4">
        <v>1</v>
      </c>
      <c r="AJ859" s="4">
        <v>4</v>
      </c>
      <c r="AK859" s="4">
        <v>5</v>
      </c>
      <c r="AL859" s="4">
        <v>3</v>
      </c>
      <c r="AM859" s="4">
        <v>3</v>
      </c>
      <c r="AN859" s="4">
        <v>0</v>
      </c>
      <c r="AO859" s="4">
        <v>0</v>
      </c>
      <c r="AP859" s="3" t="s">
        <v>59</v>
      </c>
      <c r="AQ859" s="3" t="s">
        <v>59</v>
      </c>
      <c r="AS859" s="6" t="str">
        <f>HYPERLINK("https://creighton-primo.hosted.exlibrisgroup.com/primo-explore/search?tab=default_tab&amp;search_scope=EVERYTHING&amp;vid=01CRU&amp;lang=en_US&amp;offset=0&amp;query=any,contains,991000783879702656","Catalog Record")</f>
        <v>Catalog Record</v>
      </c>
      <c r="AT859" s="6" t="str">
        <f>HYPERLINK("http://www.worldcat.org/oclc/13121988","WorldCat Record")</f>
        <v>WorldCat Record</v>
      </c>
      <c r="AU859" s="3" t="s">
        <v>10876</v>
      </c>
      <c r="AV859" s="3" t="s">
        <v>10877</v>
      </c>
      <c r="AW859" s="3" t="s">
        <v>10878</v>
      </c>
      <c r="AX859" s="3" t="s">
        <v>10878</v>
      </c>
      <c r="AY859" s="3" t="s">
        <v>10879</v>
      </c>
      <c r="AZ859" s="3" t="s">
        <v>76</v>
      </c>
      <c r="BB859" s="3" t="s">
        <v>10880</v>
      </c>
      <c r="BC859" s="3" t="s">
        <v>10881</v>
      </c>
      <c r="BD859" s="3" t="s">
        <v>10882</v>
      </c>
    </row>
    <row r="860" spans="1:56" ht="52.5" customHeight="1" x14ac:dyDescent="0.25">
      <c r="A860" s="7" t="s">
        <v>59</v>
      </c>
      <c r="B860" s="2" t="s">
        <v>10883</v>
      </c>
      <c r="C860" s="2" t="s">
        <v>10884</v>
      </c>
      <c r="D860" s="2" t="s">
        <v>10885</v>
      </c>
      <c r="F860" s="3" t="s">
        <v>59</v>
      </c>
      <c r="G860" s="3" t="s">
        <v>60</v>
      </c>
      <c r="H860" s="3" t="s">
        <v>59</v>
      </c>
      <c r="I860" s="3" t="s">
        <v>59</v>
      </c>
      <c r="J860" s="3" t="s">
        <v>61</v>
      </c>
      <c r="K860" s="2" t="s">
        <v>10886</v>
      </c>
      <c r="L860" s="2" t="s">
        <v>10887</v>
      </c>
      <c r="M860" s="3" t="s">
        <v>1163</v>
      </c>
      <c r="N860" s="2" t="s">
        <v>887</v>
      </c>
      <c r="O860" s="3" t="s">
        <v>65</v>
      </c>
      <c r="P860" s="3" t="s">
        <v>66</v>
      </c>
      <c r="R860" s="3" t="s">
        <v>68</v>
      </c>
      <c r="S860" s="4">
        <v>10</v>
      </c>
      <c r="T860" s="4">
        <v>10</v>
      </c>
      <c r="U860" s="5" t="s">
        <v>10888</v>
      </c>
      <c r="V860" s="5" t="s">
        <v>10888</v>
      </c>
      <c r="W860" s="5" t="s">
        <v>9192</v>
      </c>
      <c r="X860" s="5" t="s">
        <v>9192</v>
      </c>
      <c r="Y860" s="4">
        <v>999</v>
      </c>
      <c r="Z860" s="4">
        <v>960</v>
      </c>
      <c r="AA860" s="4">
        <v>1025</v>
      </c>
      <c r="AB860" s="4">
        <v>4</v>
      </c>
      <c r="AC860" s="4">
        <v>5</v>
      </c>
      <c r="AD860" s="4">
        <v>10</v>
      </c>
      <c r="AE860" s="4">
        <v>12</v>
      </c>
      <c r="AF860" s="4">
        <v>6</v>
      </c>
      <c r="AG860" s="4">
        <v>8</v>
      </c>
      <c r="AH860" s="4">
        <v>2</v>
      </c>
      <c r="AI860" s="4">
        <v>2</v>
      </c>
      <c r="AJ860" s="4">
        <v>4</v>
      </c>
      <c r="AK860" s="4">
        <v>5</v>
      </c>
      <c r="AL860" s="4">
        <v>0</v>
      </c>
      <c r="AM860" s="4">
        <v>0</v>
      </c>
      <c r="AN860" s="4">
        <v>0</v>
      </c>
      <c r="AO860" s="4">
        <v>0</v>
      </c>
      <c r="AP860" s="3" t="s">
        <v>59</v>
      </c>
      <c r="AQ860" s="3" t="s">
        <v>71</v>
      </c>
      <c r="AR860" s="6" t="str">
        <f>HYPERLINK("http://catalog.hathitrust.org/Record/000606124","HathiTrust Record")</f>
        <v>HathiTrust Record</v>
      </c>
      <c r="AS860" s="6" t="str">
        <f>HYPERLINK("https://creighton-primo.hosted.exlibrisgroup.com/primo-explore/search?tab=default_tab&amp;search_scope=EVERYTHING&amp;vid=01CRU&amp;lang=en_US&amp;offset=0&amp;query=any,contains,991000488969702656","Catalog Record")</f>
        <v>Catalog Record</v>
      </c>
      <c r="AT860" s="6" t="str">
        <f>HYPERLINK("http://www.worldcat.org/oclc/11091021","WorldCat Record")</f>
        <v>WorldCat Record</v>
      </c>
      <c r="AU860" s="3" t="s">
        <v>10889</v>
      </c>
      <c r="AV860" s="3" t="s">
        <v>10890</v>
      </c>
      <c r="AW860" s="3" t="s">
        <v>10891</v>
      </c>
      <c r="AX860" s="3" t="s">
        <v>10891</v>
      </c>
      <c r="AY860" s="3" t="s">
        <v>10892</v>
      </c>
      <c r="AZ860" s="3" t="s">
        <v>76</v>
      </c>
      <c r="BB860" s="3" t="s">
        <v>10893</v>
      </c>
      <c r="BC860" s="3" t="s">
        <v>10894</v>
      </c>
      <c r="BD860" s="3" t="s">
        <v>10895</v>
      </c>
    </row>
    <row r="861" spans="1:56" ht="52.5" customHeight="1" x14ac:dyDescent="0.25">
      <c r="A861" s="7" t="s">
        <v>59</v>
      </c>
      <c r="B861" s="2" t="s">
        <v>10896</v>
      </c>
      <c r="C861" s="2" t="s">
        <v>10897</v>
      </c>
      <c r="D861" s="2" t="s">
        <v>10898</v>
      </c>
      <c r="F861" s="3" t="s">
        <v>59</v>
      </c>
      <c r="G861" s="3" t="s">
        <v>60</v>
      </c>
      <c r="H861" s="3" t="s">
        <v>59</v>
      </c>
      <c r="I861" s="3" t="s">
        <v>59</v>
      </c>
      <c r="J861" s="3" t="s">
        <v>61</v>
      </c>
      <c r="K861" s="2" t="s">
        <v>10899</v>
      </c>
      <c r="L861" s="2" t="s">
        <v>10900</v>
      </c>
      <c r="M861" s="3" t="s">
        <v>148</v>
      </c>
      <c r="O861" s="3" t="s">
        <v>65</v>
      </c>
      <c r="P861" s="3" t="s">
        <v>296</v>
      </c>
      <c r="R861" s="3" t="s">
        <v>68</v>
      </c>
      <c r="S861" s="4">
        <v>3</v>
      </c>
      <c r="T861" s="4">
        <v>3</v>
      </c>
      <c r="U861" s="5" t="s">
        <v>10901</v>
      </c>
      <c r="V861" s="5" t="s">
        <v>10901</v>
      </c>
      <c r="W861" s="5" t="s">
        <v>590</v>
      </c>
      <c r="X861" s="5" t="s">
        <v>590</v>
      </c>
      <c r="Y861" s="4">
        <v>229</v>
      </c>
      <c r="Z861" s="4">
        <v>189</v>
      </c>
      <c r="AA861" s="4">
        <v>196</v>
      </c>
      <c r="AB861" s="4">
        <v>5</v>
      </c>
      <c r="AC861" s="4">
        <v>5</v>
      </c>
      <c r="AD861" s="4">
        <v>10</v>
      </c>
      <c r="AE861" s="4">
        <v>10</v>
      </c>
      <c r="AF861" s="4">
        <v>4</v>
      </c>
      <c r="AG861" s="4">
        <v>4</v>
      </c>
      <c r="AH861" s="4">
        <v>1</v>
      </c>
      <c r="AI861" s="4">
        <v>1</v>
      </c>
      <c r="AJ861" s="4">
        <v>3</v>
      </c>
      <c r="AK861" s="4">
        <v>3</v>
      </c>
      <c r="AL861" s="4">
        <v>4</v>
      </c>
      <c r="AM861" s="4">
        <v>4</v>
      </c>
      <c r="AN861" s="4">
        <v>0</v>
      </c>
      <c r="AO861" s="4">
        <v>0</v>
      </c>
      <c r="AP861" s="3" t="s">
        <v>59</v>
      </c>
      <c r="AQ861" s="3" t="s">
        <v>71</v>
      </c>
      <c r="AR861" s="6" t="str">
        <f>HYPERLINK("http://catalog.hathitrust.org/Record/000085510","HathiTrust Record")</f>
        <v>HathiTrust Record</v>
      </c>
      <c r="AS861" s="6" t="str">
        <f>HYPERLINK("https://creighton-primo.hosted.exlibrisgroup.com/primo-explore/search?tab=default_tab&amp;search_scope=EVERYTHING&amp;vid=01CRU&amp;lang=en_US&amp;offset=0&amp;query=any,contains,991004164969702656","Catalog Record")</f>
        <v>Catalog Record</v>
      </c>
      <c r="AT861" s="6" t="str">
        <f>HYPERLINK("http://www.worldcat.org/oclc/2563584","WorldCat Record")</f>
        <v>WorldCat Record</v>
      </c>
      <c r="AU861" s="3" t="s">
        <v>10902</v>
      </c>
      <c r="AV861" s="3" t="s">
        <v>10903</v>
      </c>
      <c r="AW861" s="3" t="s">
        <v>10904</v>
      </c>
      <c r="AX861" s="3" t="s">
        <v>10904</v>
      </c>
      <c r="AY861" s="3" t="s">
        <v>10905</v>
      </c>
      <c r="AZ861" s="3" t="s">
        <v>76</v>
      </c>
      <c r="BB861" s="3" t="s">
        <v>10906</v>
      </c>
      <c r="BC861" s="3" t="s">
        <v>10907</v>
      </c>
      <c r="BD861" s="3" t="s">
        <v>10908</v>
      </c>
    </row>
    <row r="862" spans="1:56" ht="52.5" customHeight="1" x14ac:dyDescent="0.25">
      <c r="A862" s="7" t="s">
        <v>59</v>
      </c>
      <c r="B862" s="2" t="s">
        <v>10909</v>
      </c>
      <c r="C862" s="2" t="s">
        <v>10910</v>
      </c>
      <c r="D862" s="2" t="s">
        <v>10911</v>
      </c>
      <c r="F862" s="3" t="s">
        <v>59</v>
      </c>
      <c r="G862" s="3" t="s">
        <v>60</v>
      </c>
      <c r="H862" s="3" t="s">
        <v>59</v>
      </c>
      <c r="I862" s="3" t="s">
        <v>59</v>
      </c>
      <c r="J862" s="3" t="s">
        <v>61</v>
      </c>
      <c r="K862" s="2" t="s">
        <v>10912</v>
      </c>
      <c r="L862" s="2" t="s">
        <v>10913</v>
      </c>
      <c r="M862" s="3" t="s">
        <v>85</v>
      </c>
      <c r="O862" s="3" t="s">
        <v>65</v>
      </c>
      <c r="P862" s="3" t="s">
        <v>699</v>
      </c>
      <c r="R862" s="3" t="s">
        <v>68</v>
      </c>
      <c r="S862" s="4">
        <v>19</v>
      </c>
      <c r="T862" s="4">
        <v>19</v>
      </c>
      <c r="U862" s="5" t="s">
        <v>10914</v>
      </c>
      <c r="V862" s="5" t="s">
        <v>10914</v>
      </c>
      <c r="W862" s="5" t="s">
        <v>716</v>
      </c>
      <c r="X862" s="5" t="s">
        <v>716</v>
      </c>
      <c r="Y862" s="4">
        <v>812</v>
      </c>
      <c r="Z862" s="4">
        <v>723</v>
      </c>
      <c r="AA862" s="4">
        <v>836</v>
      </c>
      <c r="AB862" s="4">
        <v>9</v>
      </c>
      <c r="AC862" s="4">
        <v>10</v>
      </c>
      <c r="AD862" s="4">
        <v>28</v>
      </c>
      <c r="AE862" s="4">
        <v>34</v>
      </c>
      <c r="AF862" s="4">
        <v>11</v>
      </c>
      <c r="AG862" s="4">
        <v>13</v>
      </c>
      <c r="AH862" s="4">
        <v>4</v>
      </c>
      <c r="AI862" s="4">
        <v>6</v>
      </c>
      <c r="AJ862" s="4">
        <v>12</v>
      </c>
      <c r="AK862" s="4">
        <v>15</v>
      </c>
      <c r="AL862" s="4">
        <v>5</v>
      </c>
      <c r="AM862" s="4">
        <v>6</v>
      </c>
      <c r="AN862" s="4">
        <v>1</v>
      </c>
      <c r="AO862" s="4">
        <v>1</v>
      </c>
      <c r="AP862" s="3" t="s">
        <v>59</v>
      </c>
      <c r="AQ862" s="3" t="s">
        <v>71</v>
      </c>
      <c r="AR862" s="6" t="str">
        <f>HYPERLINK("http://catalog.hathitrust.org/Record/007119090","HathiTrust Record")</f>
        <v>HathiTrust Record</v>
      </c>
      <c r="AS862" s="6" t="str">
        <f>HYPERLINK("https://creighton-primo.hosted.exlibrisgroup.com/primo-explore/search?tab=default_tab&amp;search_scope=EVERYTHING&amp;vid=01CRU&amp;lang=en_US&amp;offset=0&amp;query=any,contains,991002872159702656","Catalog Record")</f>
        <v>Catalog Record</v>
      </c>
      <c r="AT862" s="6" t="str">
        <f>HYPERLINK("http://www.worldcat.org/oclc/500211","WorldCat Record")</f>
        <v>WorldCat Record</v>
      </c>
      <c r="AU862" s="3" t="s">
        <v>10915</v>
      </c>
      <c r="AV862" s="3" t="s">
        <v>10916</v>
      </c>
      <c r="AW862" s="3" t="s">
        <v>10917</v>
      </c>
      <c r="AX862" s="3" t="s">
        <v>10917</v>
      </c>
      <c r="AY862" s="3" t="s">
        <v>10918</v>
      </c>
      <c r="AZ862" s="3" t="s">
        <v>76</v>
      </c>
      <c r="BC862" s="3" t="s">
        <v>10919</v>
      </c>
      <c r="BD862" s="3" t="s">
        <v>10920</v>
      </c>
    </row>
    <row r="863" spans="1:56" ht="52.5" customHeight="1" x14ac:dyDescent="0.25">
      <c r="A863" s="7" t="s">
        <v>59</v>
      </c>
      <c r="B863" s="2" t="s">
        <v>10921</v>
      </c>
      <c r="C863" s="2" t="s">
        <v>10922</v>
      </c>
      <c r="D863" s="2" t="s">
        <v>10923</v>
      </c>
      <c r="F863" s="3" t="s">
        <v>59</v>
      </c>
      <c r="G863" s="3" t="s">
        <v>60</v>
      </c>
      <c r="H863" s="3" t="s">
        <v>59</v>
      </c>
      <c r="I863" s="3" t="s">
        <v>59</v>
      </c>
      <c r="J863" s="3" t="s">
        <v>61</v>
      </c>
      <c r="K863" s="2" t="s">
        <v>10924</v>
      </c>
      <c r="L863" s="2" t="s">
        <v>10925</v>
      </c>
      <c r="M863" s="3" t="s">
        <v>164</v>
      </c>
      <c r="O863" s="3" t="s">
        <v>65</v>
      </c>
      <c r="P863" s="3" t="s">
        <v>66</v>
      </c>
      <c r="R863" s="3" t="s">
        <v>68</v>
      </c>
      <c r="S863" s="4">
        <v>1</v>
      </c>
      <c r="T863" s="4">
        <v>1</v>
      </c>
      <c r="U863" s="5" t="s">
        <v>10926</v>
      </c>
      <c r="V863" s="5" t="s">
        <v>10926</v>
      </c>
      <c r="W863" s="5" t="s">
        <v>10927</v>
      </c>
      <c r="X863" s="5" t="s">
        <v>10927</v>
      </c>
      <c r="Y863" s="4">
        <v>394</v>
      </c>
      <c r="Z863" s="4">
        <v>356</v>
      </c>
      <c r="AA863" s="4">
        <v>1366</v>
      </c>
      <c r="AB863" s="4">
        <v>1</v>
      </c>
      <c r="AC863" s="4">
        <v>8</v>
      </c>
      <c r="AD863" s="4">
        <v>3</v>
      </c>
      <c r="AE863" s="4">
        <v>18</v>
      </c>
      <c r="AF863" s="4">
        <v>0</v>
      </c>
      <c r="AG863" s="4">
        <v>4</v>
      </c>
      <c r="AH863" s="4">
        <v>1</v>
      </c>
      <c r="AI863" s="4">
        <v>5</v>
      </c>
      <c r="AJ863" s="4">
        <v>1</v>
      </c>
      <c r="AK863" s="4">
        <v>9</v>
      </c>
      <c r="AL863" s="4">
        <v>0</v>
      </c>
      <c r="AM863" s="4">
        <v>3</v>
      </c>
      <c r="AN863" s="4">
        <v>2</v>
      </c>
      <c r="AO863" s="4">
        <v>2</v>
      </c>
      <c r="AP863" s="3" t="s">
        <v>59</v>
      </c>
      <c r="AQ863" s="3" t="s">
        <v>59</v>
      </c>
      <c r="AS863" s="6" t="str">
        <f>HYPERLINK("https://creighton-primo.hosted.exlibrisgroup.com/primo-explore/search?tab=default_tab&amp;search_scope=EVERYTHING&amp;vid=01CRU&amp;lang=en_US&amp;offset=0&amp;query=any,contains,991005328039702656","Catalog Record")</f>
        <v>Catalog Record</v>
      </c>
      <c r="AT863" s="6" t="str">
        <f>HYPERLINK("http://www.worldcat.org/oclc/31451669","WorldCat Record")</f>
        <v>WorldCat Record</v>
      </c>
      <c r="AU863" s="3" t="s">
        <v>10928</v>
      </c>
      <c r="AV863" s="3" t="s">
        <v>10929</v>
      </c>
      <c r="AW863" s="3" t="s">
        <v>10930</v>
      </c>
      <c r="AX863" s="3" t="s">
        <v>10930</v>
      </c>
      <c r="AY863" s="3" t="s">
        <v>10931</v>
      </c>
      <c r="AZ863" s="3" t="s">
        <v>76</v>
      </c>
      <c r="BB863" s="3" t="s">
        <v>10932</v>
      </c>
      <c r="BC863" s="3" t="s">
        <v>10933</v>
      </c>
      <c r="BD863" s="3" t="s">
        <v>10934</v>
      </c>
    </row>
    <row r="864" spans="1:56" ht="52.5" customHeight="1" x14ac:dyDescent="0.25">
      <c r="A864" s="7" t="s">
        <v>59</v>
      </c>
      <c r="B864" s="2" t="s">
        <v>10935</v>
      </c>
      <c r="C864" s="2" t="s">
        <v>10936</v>
      </c>
      <c r="D864" s="2" t="s">
        <v>10937</v>
      </c>
      <c r="F864" s="3" t="s">
        <v>59</v>
      </c>
      <c r="G864" s="3" t="s">
        <v>60</v>
      </c>
      <c r="H864" s="3" t="s">
        <v>59</v>
      </c>
      <c r="I864" s="3" t="s">
        <v>59</v>
      </c>
      <c r="J864" s="3" t="s">
        <v>61</v>
      </c>
      <c r="K864" s="2" t="s">
        <v>10938</v>
      </c>
      <c r="L864" s="2" t="s">
        <v>10939</v>
      </c>
      <c r="M864" s="3" t="s">
        <v>1217</v>
      </c>
      <c r="O864" s="3" t="s">
        <v>65</v>
      </c>
      <c r="P864" s="3" t="s">
        <v>323</v>
      </c>
      <c r="R864" s="3" t="s">
        <v>68</v>
      </c>
      <c r="S864" s="4">
        <v>5</v>
      </c>
      <c r="T864" s="4">
        <v>5</v>
      </c>
      <c r="U864" s="5" t="s">
        <v>6940</v>
      </c>
      <c r="V864" s="5" t="s">
        <v>6940</v>
      </c>
      <c r="W864" s="5" t="s">
        <v>9192</v>
      </c>
      <c r="X864" s="5" t="s">
        <v>9192</v>
      </c>
      <c r="Y864" s="4">
        <v>348</v>
      </c>
      <c r="Z864" s="4">
        <v>278</v>
      </c>
      <c r="AA864" s="4">
        <v>362</v>
      </c>
      <c r="AB864" s="4">
        <v>3</v>
      </c>
      <c r="AC864" s="4">
        <v>4</v>
      </c>
      <c r="AD864" s="4">
        <v>14</v>
      </c>
      <c r="AE864" s="4">
        <v>20</v>
      </c>
      <c r="AF864" s="4">
        <v>1</v>
      </c>
      <c r="AG864" s="4">
        <v>3</v>
      </c>
      <c r="AH864" s="4">
        <v>5</v>
      </c>
      <c r="AI864" s="4">
        <v>5</v>
      </c>
      <c r="AJ864" s="4">
        <v>8</v>
      </c>
      <c r="AK864" s="4">
        <v>11</v>
      </c>
      <c r="AL864" s="4">
        <v>2</v>
      </c>
      <c r="AM864" s="4">
        <v>3</v>
      </c>
      <c r="AN864" s="4">
        <v>0</v>
      </c>
      <c r="AO864" s="4">
        <v>0</v>
      </c>
      <c r="AP864" s="3" t="s">
        <v>59</v>
      </c>
      <c r="AQ864" s="3" t="s">
        <v>71</v>
      </c>
      <c r="AR864" s="6" t="str">
        <f>HYPERLINK("http://catalog.hathitrust.org/Record/000243230","HathiTrust Record")</f>
        <v>HathiTrust Record</v>
      </c>
      <c r="AS864" s="6" t="str">
        <f>HYPERLINK("https://creighton-primo.hosted.exlibrisgroup.com/primo-explore/search?tab=default_tab&amp;search_scope=EVERYTHING&amp;vid=01CRU&amp;lang=en_US&amp;offset=0&amp;query=any,contains,991000242699702656","Catalog Record")</f>
        <v>Catalog Record</v>
      </c>
      <c r="AT864" s="6" t="str">
        <f>HYPERLINK("http://www.worldcat.org/oclc/9685668","WorldCat Record")</f>
        <v>WorldCat Record</v>
      </c>
      <c r="AU864" s="3" t="s">
        <v>10940</v>
      </c>
      <c r="AV864" s="3" t="s">
        <v>10941</v>
      </c>
      <c r="AW864" s="3" t="s">
        <v>10942</v>
      </c>
      <c r="AX864" s="3" t="s">
        <v>10942</v>
      </c>
      <c r="AY864" s="3" t="s">
        <v>10943</v>
      </c>
      <c r="AZ864" s="3" t="s">
        <v>76</v>
      </c>
      <c r="BB864" s="3" t="s">
        <v>10944</v>
      </c>
      <c r="BC864" s="3" t="s">
        <v>10945</v>
      </c>
      <c r="BD864" s="3" t="s">
        <v>10946</v>
      </c>
    </row>
    <row r="865" spans="1:56" ht="52.5" customHeight="1" x14ac:dyDescent="0.25">
      <c r="A865" s="7" t="s">
        <v>59</v>
      </c>
      <c r="B865" s="2" t="s">
        <v>10947</v>
      </c>
      <c r="C865" s="2" t="s">
        <v>10948</v>
      </c>
      <c r="D865" s="2" t="s">
        <v>10949</v>
      </c>
      <c r="F865" s="3" t="s">
        <v>59</v>
      </c>
      <c r="G865" s="3" t="s">
        <v>60</v>
      </c>
      <c r="H865" s="3" t="s">
        <v>59</v>
      </c>
      <c r="I865" s="3" t="s">
        <v>59</v>
      </c>
      <c r="J865" s="3" t="s">
        <v>61</v>
      </c>
      <c r="K865" s="2" t="s">
        <v>10950</v>
      </c>
      <c r="L865" s="2" t="s">
        <v>10951</v>
      </c>
      <c r="M865" s="3" t="s">
        <v>64</v>
      </c>
      <c r="O865" s="3" t="s">
        <v>65</v>
      </c>
      <c r="P865" s="3" t="s">
        <v>296</v>
      </c>
      <c r="Q865" s="2" t="s">
        <v>4524</v>
      </c>
      <c r="R865" s="3" t="s">
        <v>68</v>
      </c>
      <c r="S865" s="4">
        <v>1</v>
      </c>
      <c r="T865" s="4">
        <v>1</v>
      </c>
      <c r="U865" s="5" t="s">
        <v>10952</v>
      </c>
      <c r="V865" s="5" t="s">
        <v>10952</v>
      </c>
      <c r="W865" s="5" t="s">
        <v>9570</v>
      </c>
      <c r="X865" s="5" t="s">
        <v>9570</v>
      </c>
      <c r="Y865" s="4">
        <v>412</v>
      </c>
      <c r="Z865" s="4">
        <v>342</v>
      </c>
      <c r="AA865" s="4">
        <v>343</v>
      </c>
      <c r="AB865" s="4">
        <v>3</v>
      </c>
      <c r="AC865" s="4">
        <v>3</v>
      </c>
      <c r="AD865" s="4">
        <v>18</v>
      </c>
      <c r="AE865" s="4">
        <v>18</v>
      </c>
      <c r="AF865" s="4">
        <v>7</v>
      </c>
      <c r="AG865" s="4">
        <v>7</v>
      </c>
      <c r="AH865" s="4">
        <v>4</v>
      </c>
      <c r="AI865" s="4">
        <v>4</v>
      </c>
      <c r="AJ865" s="4">
        <v>13</v>
      </c>
      <c r="AK865" s="4">
        <v>13</v>
      </c>
      <c r="AL865" s="4">
        <v>2</v>
      </c>
      <c r="AM865" s="4">
        <v>2</v>
      </c>
      <c r="AN865" s="4">
        <v>0</v>
      </c>
      <c r="AO865" s="4">
        <v>0</v>
      </c>
      <c r="AP865" s="3" t="s">
        <v>59</v>
      </c>
      <c r="AQ865" s="3" t="s">
        <v>59</v>
      </c>
      <c r="AS865" s="6" t="str">
        <f>HYPERLINK("https://creighton-primo.hosted.exlibrisgroup.com/primo-explore/search?tab=default_tab&amp;search_scope=EVERYTHING&amp;vid=01CRU&amp;lang=en_US&amp;offset=0&amp;query=any,contains,991003150559702656","Catalog Record")</f>
        <v>Catalog Record</v>
      </c>
      <c r="AT865" s="6" t="str">
        <f>HYPERLINK("http://www.worldcat.org/oclc/689990","WorldCat Record")</f>
        <v>WorldCat Record</v>
      </c>
      <c r="AU865" s="3" t="s">
        <v>10953</v>
      </c>
      <c r="AV865" s="3" t="s">
        <v>10954</v>
      </c>
      <c r="AW865" s="3" t="s">
        <v>10955</v>
      </c>
      <c r="AX865" s="3" t="s">
        <v>10955</v>
      </c>
      <c r="AY865" s="3" t="s">
        <v>10956</v>
      </c>
      <c r="AZ865" s="3" t="s">
        <v>76</v>
      </c>
      <c r="BC865" s="3" t="s">
        <v>10957</v>
      </c>
      <c r="BD865" s="3" t="s">
        <v>10958</v>
      </c>
    </row>
    <row r="866" spans="1:56" ht="52.5" customHeight="1" x14ac:dyDescent="0.25">
      <c r="A866" s="7" t="s">
        <v>59</v>
      </c>
      <c r="B866" s="2" t="s">
        <v>10959</v>
      </c>
      <c r="C866" s="2" t="s">
        <v>10960</v>
      </c>
      <c r="D866" s="2" t="s">
        <v>10961</v>
      </c>
      <c r="F866" s="3" t="s">
        <v>59</v>
      </c>
      <c r="G866" s="3" t="s">
        <v>60</v>
      </c>
      <c r="H866" s="3" t="s">
        <v>59</v>
      </c>
      <c r="I866" s="3" t="s">
        <v>59</v>
      </c>
      <c r="J866" s="3" t="s">
        <v>61</v>
      </c>
      <c r="K866" s="2" t="s">
        <v>10962</v>
      </c>
      <c r="L866" s="2" t="s">
        <v>10963</v>
      </c>
      <c r="M866" s="3" t="s">
        <v>115</v>
      </c>
      <c r="O866" s="3" t="s">
        <v>65</v>
      </c>
      <c r="P866" s="3" t="s">
        <v>283</v>
      </c>
      <c r="Q866" s="2" t="s">
        <v>10964</v>
      </c>
      <c r="R866" s="3" t="s">
        <v>68</v>
      </c>
      <c r="S866" s="4">
        <v>1</v>
      </c>
      <c r="T866" s="4">
        <v>1</v>
      </c>
      <c r="U866" s="5" t="s">
        <v>10965</v>
      </c>
      <c r="V866" s="5" t="s">
        <v>10965</v>
      </c>
      <c r="W866" s="5" t="s">
        <v>9570</v>
      </c>
      <c r="X866" s="5" t="s">
        <v>9570</v>
      </c>
      <c r="Y866" s="4">
        <v>176</v>
      </c>
      <c r="Z866" s="4">
        <v>156</v>
      </c>
      <c r="AA866" s="4">
        <v>287</v>
      </c>
      <c r="AB866" s="4">
        <v>3</v>
      </c>
      <c r="AC866" s="4">
        <v>4</v>
      </c>
      <c r="AD866" s="4">
        <v>5</v>
      </c>
      <c r="AE866" s="4">
        <v>9</v>
      </c>
      <c r="AF866" s="4">
        <v>2</v>
      </c>
      <c r="AG866" s="4">
        <v>2</v>
      </c>
      <c r="AH866" s="4">
        <v>2</v>
      </c>
      <c r="AI866" s="4">
        <v>3</v>
      </c>
      <c r="AJ866" s="4">
        <v>1</v>
      </c>
      <c r="AK866" s="4">
        <v>4</v>
      </c>
      <c r="AL866" s="4">
        <v>2</v>
      </c>
      <c r="AM866" s="4">
        <v>3</v>
      </c>
      <c r="AN866" s="4">
        <v>0</v>
      </c>
      <c r="AO866" s="4">
        <v>0</v>
      </c>
      <c r="AP866" s="3" t="s">
        <v>59</v>
      </c>
      <c r="AQ866" s="3" t="s">
        <v>59</v>
      </c>
      <c r="AS866" s="6" t="str">
        <f>HYPERLINK("https://creighton-primo.hosted.exlibrisgroup.com/primo-explore/search?tab=default_tab&amp;search_scope=EVERYTHING&amp;vid=01CRU&amp;lang=en_US&amp;offset=0&amp;query=any,contains,991002552299702656","Catalog Record")</f>
        <v>Catalog Record</v>
      </c>
      <c r="AT866" s="6" t="str">
        <f>HYPERLINK("http://www.worldcat.org/oclc/370267","WorldCat Record")</f>
        <v>WorldCat Record</v>
      </c>
      <c r="AU866" s="3" t="s">
        <v>10966</v>
      </c>
      <c r="AV866" s="3" t="s">
        <v>10967</v>
      </c>
      <c r="AW866" s="3" t="s">
        <v>10968</v>
      </c>
      <c r="AX866" s="3" t="s">
        <v>10968</v>
      </c>
      <c r="AY866" s="3" t="s">
        <v>10969</v>
      </c>
      <c r="AZ866" s="3" t="s">
        <v>76</v>
      </c>
      <c r="BC866" s="3" t="s">
        <v>10970</v>
      </c>
      <c r="BD866" s="3" t="s">
        <v>10971</v>
      </c>
    </row>
    <row r="867" spans="1:56" ht="52.5" customHeight="1" x14ac:dyDescent="0.25">
      <c r="A867" s="7" t="s">
        <v>59</v>
      </c>
      <c r="B867" s="2" t="s">
        <v>10972</v>
      </c>
      <c r="C867" s="2" t="s">
        <v>10973</v>
      </c>
      <c r="D867" s="2" t="s">
        <v>10974</v>
      </c>
      <c r="F867" s="3" t="s">
        <v>59</v>
      </c>
      <c r="G867" s="3" t="s">
        <v>60</v>
      </c>
      <c r="H867" s="3" t="s">
        <v>59</v>
      </c>
      <c r="I867" s="3" t="s">
        <v>59</v>
      </c>
      <c r="J867" s="3" t="s">
        <v>61</v>
      </c>
      <c r="K867" s="2" t="s">
        <v>10975</v>
      </c>
      <c r="L867" s="2" t="s">
        <v>10976</v>
      </c>
      <c r="M867" s="3" t="s">
        <v>131</v>
      </c>
      <c r="O867" s="3" t="s">
        <v>65</v>
      </c>
      <c r="P867" s="3" t="s">
        <v>1218</v>
      </c>
      <c r="R867" s="3" t="s">
        <v>68</v>
      </c>
      <c r="S867" s="4">
        <v>2</v>
      </c>
      <c r="T867" s="4">
        <v>2</v>
      </c>
      <c r="U867" s="5" t="s">
        <v>10977</v>
      </c>
      <c r="V867" s="5" t="s">
        <v>10977</v>
      </c>
      <c r="W867" s="5" t="s">
        <v>10978</v>
      </c>
      <c r="X867" s="5" t="s">
        <v>10978</v>
      </c>
      <c r="Y867" s="4">
        <v>663</v>
      </c>
      <c r="Z867" s="4">
        <v>510</v>
      </c>
      <c r="AA867" s="4">
        <v>527</v>
      </c>
      <c r="AB867" s="4">
        <v>4</v>
      </c>
      <c r="AC867" s="4">
        <v>4</v>
      </c>
      <c r="AD867" s="4">
        <v>17</v>
      </c>
      <c r="AE867" s="4">
        <v>17</v>
      </c>
      <c r="AF867" s="4">
        <v>4</v>
      </c>
      <c r="AG867" s="4">
        <v>4</v>
      </c>
      <c r="AH867" s="4">
        <v>3</v>
      </c>
      <c r="AI867" s="4">
        <v>3</v>
      </c>
      <c r="AJ867" s="4">
        <v>9</v>
      </c>
      <c r="AK867" s="4">
        <v>9</v>
      </c>
      <c r="AL867" s="4">
        <v>3</v>
      </c>
      <c r="AM867" s="4">
        <v>3</v>
      </c>
      <c r="AN867" s="4">
        <v>0</v>
      </c>
      <c r="AO867" s="4">
        <v>0</v>
      </c>
      <c r="AP867" s="3" t="s">
        <v>59</v>
      </c>
      <c r="AQ867" s="3" t="s">
        <v>71</v>
      </c>
      <c r="AR867" s="6" t="str">
        <f>HYPERLINK("http://catalog.hathitrust.org/Record/000011277","HathiTrust Record")</f>
        <v>HathiTrust Record</v>
      </c>
      <c r="AS867" s="6" t="str">
        <f>HYPERLINK("https://creighton-primo.hosted.exlibrisgroup.com/primo-explore/search?tab=default_tab&amp;search_scope=EVERYTHING&amp;vid=01CRU&amp;lang=en_US&amp;offset=0&amp;query=any,contains,991003240959702656","Catalog Record")</f>
        <v>Catalog Record</v>
      </c>
      <c r="AT867" s="6" t="str">
        <f>HYPERLINK("http://www.worldcat.org/oclc/763732","WorldCat Record")</f>
        <v>WorldCat Record</v>
      </c>
      <c r="AU867" s="3" t="s">
        <v>10979</v>
      </c>
      <c r="AV867" s="3" t="s">
        <v>10980</v>
      </c>
      <c r="AW867" s="3" t="s">
        <v>10981</v>
      </c>
      <c r="AX867" s="3" t="s">
        <v>10981</v>
      </c>
      <c r="AY867" s="3" t="s">
        <v>10982</v>
      </c>
      <c r="AZ867" s="3" t="s">
        <v>76</v>
      </c>
      <c r="BB867" s="3" t="s">
        <v>10983</v>
      </c>
      <c r="BC867" s="3" t="s">
        <v>10984</v>
      </c>
      <c r="BD867" s="3" t="s">
        <v>10985</v>
      </c>
    </row>
    <row r="868" spans="1:56" ht="52.5" customHeight="1" x14ac:dyDescent="0.25">
      <c r="A868" s="7" t="s">
        <v>59</v>
      </c>
      <c r="B868" s="2" t="s">
        <v>10986</v>
      </c>
      <c r="C868" s="2" t="s">
        <v>10987</v>
      </c>
      <c r="D868" s="2" t="s">
        <v>10988</v>
      </c>
      <c r="F868" s="3" t="s">
        <v>59</v>
      </c>
      <c r="G868" s="3" t="s">
        <v>60</v>
      </c>
      <c r="H868" s="3" t="s">
        <v>59</v>
      </c>
      <c r="I868" s="3" t="s">
        <v>59</v>
      </c>
      <c r="J868" s="3" t="s">
        <v>61</v>
      </c>
      <c r="K868" s="2" t="s">
        <v>10989</v>
      </c>
      <c r="L868" s="2" t="s">
        <v>10990</v>
      </c>
      <c r="M868" s="3" t="s">
        <v>514</v>
      </c>
      <c r="O868" s="3" t="s">
        <v>65</v>
      </c>
      <c r="P868" s="3" t="s">
        <v>66</v>
      </c>
      <c r="R868" s="3" t="s">
        <v>68</v>
      </c>
      <c r="S868" s="4">
        <v>10</v>
      </c>
      <c r="T868" s="4">
        <v>10</v>
      </c>
      <c r="U868" s="5" t="s">
        <v>10991</v>
      </c>
      <c r="V868" s="5" t="s">
        <v>10991</v>
      </c>
      <c r="W868" s="5" t="s">
        <v>10992</v>
      </c>
      <c r="X868" s="5" t="s">
        <v>10992</v>
      </c>
      <c r="Y868" s="4">
        <v>690</v>
      </c>
      <c r="Z868" s="4">
        <v>526</v>
      </c>
      <c r="AA868" s="4">
        <v>631</v>
      </c>
      <c r="AB868" s="4">
        <v>4</v>
      </c>
      <c r="AC868" s="4">
        <v>4</v>
      </c>
      <c r="AD868" s="4">
        <v>23</v>
      </c>
      <c r="AE868" s="4">
        <v>31</v>
      </c>
      <c r="AF868" s="4">
        <v>10</v>
      </c>
      <c r="AG868" s="4">
        <v>15</v>
      </c>
      <c r="AH868" s="4">
        <v>6</v>
      </c>
      <c r="AI868" s="4">
        <v>7</v>
      </c>
      <c r="AJ868" s="4">
        <v>13</v>
      </c>
      <c r="AK868" s="4">
        <v>16</v>
      </c>
      <c r="AL868" s="4">
        <v>3</v>
      </c>
      <c r="AM868" s="4">
        <v>3</v>
      </c>
      <c r="AN868" s="4">
        <v>0</v>
      </c>
      <c r="AO868" s="4">
        <v>0</v>
      </c>
      <c r="AP868" s="3" t="s">
        <v>59</v>
      </c>
      <c r="AQ868" s="3" t="s">
        <v>71</v>
      </c>
      <c r="AR868" s="6" t="str">
        <f>HYPERLINK("http://catalog.hathitrust.org/Record/000388056","HathiTrust Record")</f>
        <v>HathiTrust Record</v>
      </c>
      <c r="AS868" s="6" t="str">
        <f>HYPERLINK("https://creighton-primo.hosted.exlibrisgroup.com/primo-explore/search?tab=default_tab&amp;search_scope=EVERYTHING&amp;vid=01CRU&amp;lang=en_US&amp;offset=0&amp;query=any,contains,991001375819702656","Catalog Record")</f>
        <v>Catalog Record</v>
      </c>
      <c r="AT868" s="6" t="str">
        <f>HYPERLINK("http://www.worldcat.org/oclc/224885","WorldCat Record")</f>
        <v>WorldCat Record</v>
      </c>
      <c r="AU868" s="3" t="s">
        <v>10993</v>
      </c>
      <c r="AV868" s="3" t="s">
        <v>10994</v>
      </c>
      <c r="AW868" s="3" t="s">
        <v>10995</v>
      </c>
      <c r="AX868" s="3" t="s">
        <v>10995</v>
      </c>
      <c r="AY868" s="3" t="s">
        <v>10996</v>
      </c>
      <c r="AZ868" s="3" t="s">
        <v>76</v>
      </c>
      <c r="BC868" s="3" t="s">
        <v>10997</v>
      </c>
      <c r="BD868" s="3" t="s">
        <v>10998</v>
      </c>
    </row>
    <row r="869" spans="1:56" ht="52.5" customHeight="1" x14ac:dyDescent="0.25">
      <c r="A869" s="7" t="s">
        <v>59</v>
      </c>
      <c r="B869" s="2" t="s">
        <v>10999</v>
      </c>
      <c r="C869" s="2" t="s">
        <v>11000</v>
      </c>
      <c r="D869" s="2" t="s">
        <v>11001</v>
      </c>
      <c r="F869" s="3" t="s">
        <v>59</v>
      </c>
      <c r="G869" s="3" t="s">
        <v>60</v>
      </c>
      <c r="H869" s="3" t="s">
        <v>59</v>
      </c>
      <c r="I869" s="3" t="s">
        <v>59</v>
      </c>
      <c r="J869" s="3" t="s">
        <v>61</v>
      </c>
      <c r="K869" s="2" t="s">
        <v>11002</v>
      </c>
      <c r="L869" s="2" t="s">
        <v>11003</v>
      </c>
      <c r="M869" s="3" t="s">
        <v>514</v>
      </c>
      <c r="O869" s="3" t="s">
        <v>65</v>
      </c>
      <c r="P869" s="3" t="s">
        <v>420</v>
      </c>
      <c r="Q869" s="2" t="s">
        <v>1305</v>
      </c>
      <c r="R869" s="3" t="s">
        <v>68</v>
      </c>
      <c r="S869" s="4">
        <v>15</v>
      </c>
      <c r="T869" s="4">
        <v>15</v>
      </c>
      <c r="U869" s="5" t="s">
        <v>10977</v>
      </c>
      <c r="V869" s="5" t="s">
        <v>10977</v>
      </c>
      <c r="W869" s="5" t="s">
        <v>9532</v>
      </c>
      <c r="X869" s="5" t="s">
        <v>9532</v>
      </c>
      <c r="Y869" s="4">
        <v>444</v>
      </c>
      <c r="Z869" s="4">
        <v>342</v>
      </c>
      <c r="AA869" s="4">
        <v>350</v>
      </c>
      <c r="AB869" s="4">
        <v>3</v>
      </c>
      <c r="AC869" s="4">
        <v>3</v>
      </c>
      <c r="AD869" s="4">
        <v>14</v>
      </c>
      <c r="AE869" s="4">
        <v>14</v>
      </c>
      <c r="AF869" s="4">
        <v>5</v>
      </c>
      <c r="AG869" s="4">
        <v>5</v>
      </c>
      <c r="AH869" s="4">
        <v>3</v>
      </c>
      <c r="AI869" s="4">
        <v>3</v>
      </c>
      <c r="AJ869" s="4">
        <v>8</v>
      </c>
      <c r="AK869" s="4">
        <v>8</v>
      </c>
      <c r="AL869" s="4">
        <v>2</v>
      </c>
      <c r="AM869" s="4">
        <v>2</v>
      </c>
      <c r="AN869" s="4">
        <v>0</v>
      </c>
      <c r="AO869" s="4">
        <v>0</v>
      </c>
      <c r="AP869" s="3" t="s">
        <v>59</v>
      </c>
      <c r="AQ869" s="3" t="s">
        <v>71</v>
      </c>
      <c r="AR869" s="6" t="str">
        <f>HYPERLINK("http://catalog.hathitrust.org/Record/000387909","HathiTrust Record")</f>
        <v>HathiTrust Record</v>
      </c>
      <c r="AS869" s="6" t="str">
        <f>HYPERLINK("https://creighton-primo.hosted.exlibrisgroup.com/primo-explore/search?tab=default_tab&amp;search_scope=EVERYTHING&amp;vid=01CRU&amp;lang=en_US&amp;offset=0&amp;query=any,contains,991001089999702656","Catalog Record")</f>
        <v>Catalog Record</v>
      </c>
      <c r="AT869" s="6" t="str">
        <f>HYPERLINK("http://www.worldcat.org/oclc/181229","WorldCat Record")</f>
        <v>WorldCat Record</v>
      </c>
      <c r="AU869" s="3" t="s">
        <v>11004</v>
      </c>
      <c r="AV869" s="3" t="s">
        <v>11005</v>
      </c>
      <c r="AW869" s="3" t="s">
        <v>11006</v>
      </c>
      <c r="AX869" s="3" t="s">
        <v>11006</v>
      </c>
      <c r="AY869" s="3" t="s">
        <v>11007</v>
      </c>
      <c r="AZ869" s="3" t="s">
        <v>76</v>
      </c>
      <c r="BC869" s="3" t="s">
        <v>11008</v>
      </c>
      <c r="BD869" s="3" t="s">
        <v>11009</v>
      </c>
    </row>
    <row r="870" spans="1:56" ht="52.5" customHeight="1" x14ac:dyDescent="0.25">
      <c r="A870" s="7" t="s">
        <v>59</v>
      </c>
      <c r="B870" s="2" t="s">
        <v>11010</v>
      </c>
      <c r="C870" s="2" t="s">
        <v>11011</v>
      </c>
      <c r="D870" s="2" t="s">
        <v>11012</v>
      </c>
      <c r="F870" s="3" t="s">
        <v>59</v>
      </c>
      <c r="G870" s="3" t="s">
        <v>60</v>
      </c>
      <c r="H870" s="3" t="s">
        <v>59</v>
      </c>
      <c r="I870" s="3" t="s">
        <v>59</v>
      </c>
      <c r="J870" s="3" t="s">
        <v>61</v>
      </c>
      <c r="K870" s="2" t="s">
        <v>11013</v>
      </c>
      <c r="L870" s="2" t="s">
        <v>11014</v>
      </c>
      <c r="M870" s="3" t="s">
        <v>115</v>
      </c>
      <c r="O870" s="3" t="s">
        <v>65</v>
      </c>
      <c r="P870" s="3" t="s">
        <v>296</v>
      </c>
      <c r="Q870" s="2" t="s">
        <v>11015</v>
      </c>
      <c r="R870" s="3" t="s">
        <v>68</v>
      </c>
      <c r="S870" s="4">
        <v>7</v>
      </c>
      <c r="T870" s="4">
        <v>7</v>
      </c>
      <c r="U870" s="5" t="s">
        <v>11016</v>
      </c>
      <c r="V870" s="5" t="s">
        <v>11016</v>
      </c>
      <c r="W870" s="5" t="s">
        <v>9532</v>
      </c>
      <c r="X870" s="5" t="s">
        <v>9532</v>
      </c>
      <c r="Y870" s="4">
        <v>473</v>
      </c>
      <c r="Z870" s="4">
        <v>377</v>
      </c>
      <c r="AA870" s="4">
        <v>382</v>
      </c>
      <c r="AB870" s="4">
        <v>4</v>
      </c>
      <c r="AC870" s="4">
        <v>4</v>
      </c>
      <c r="AD870" s="4">
        <v>17</v>
      </c>
      <c r="AE870" s="4">
        <v>17</v>
      </c>
      <c r="AF870" s="4">
        <v>5</v>
      </c>
      <c r="AG870" s="4">
        <v>5</v>
      </c>
      <c r="AH870" s="4">
        <v>4</v>
      </c>
      <c r="AI870" s="4">
        <v>4</v>
      </c>
      <c r="AJ870" s="4">
        <v>8</v>
      </c>
      <c r="AK870" s="4">
        <v>8</v>
      </c>
      <c r="AL870" s="4">
        <v>3</v>
      </c>
      <c r="AM870" s="4">
        <v>3</v>
      </c>
      <c r="AN870" s="4">
        <v>0</v>
      </c>
      <c r="AO870" s="4">
        <v>0</v>
      </c>
      <c r="AP870" s="3" t="s">
        <v>59</v>
      </c>
      <c r="AQ870" s="3" t="s">
        <v>59</v>
      </c>
      <c r="AS870" s="6" t="str">
        <f>HYPERLINK("https://creighton-primo.hosted.exlibrisgroup.com/primo-explore/search?tab=default_tab&amp;search_scope=EVERYTHING&amp;vid=01CRU&amp;lang=en_US&amp;offset=0&amp;query=any,contains,991002551639702656","Catalog Record")</f>
        <v>Catalog Record</v>
      </c>
      <c r="AT870" s="6" t="str">
        <f>HYPERLINK("http://www.worldcat.org/oclc/369898","WorldCat Record")</f>
        <v>WorldCat Record</v>
      </c>
      <c r="AU870" s="3" t="s">
        <v>11017</v>
      </c>
      <c r="AV870" s="3" t="s">
        <v>11018</v>
      </c>
      <c r="AW870" s="3" t="s">
        <v>11019</v>
      </c>
      <c r="AX870" s="3" t="s">
        <v>11019</v>
      </c>
      <c r="AY870" s="3" t="s">
        <v>11020</v>
      </c>
      <c r="AZ870" s="3" t="s">
        <v>76</v>
      </c>
      <c r="BC870" s="3" t="s">
        <v>11021</v>
      </c>
      <c r="BD870" s="3" t="s">
        <v>11022</v>
      </c>
    </row>
    <row r="871" spans="1:56" ht="52.5" customHeight="1" x14ac:dyDescent="0.25">
      <c r="A871" s="7" t="s">
        <v>59</v>
      </c>
      <c r="B871" s="2" t="s">
        <v>11023</v>
      </c>
      <c r="C871" s="2" t="s">
        <v>11024</v>
      </c>
      <c r="D871" s="2" t="s">
        <v>11025</v>
      </c>
      <c r="F871" s="3" t="s">
        <v>59</v>
      </c>
      <c r="G871" s="3" t="s">
        <v>60</v>
      </c>
      <c r="H871" s="3" t="s">
        <v>71</v>
      </c>
      <c r="I871" s="3" t="s">
        <v>59</v>
      </c>
      <c r="J871" s="3" t="s">
        <v>61</v>
      </c>
      <c r="K871" s="2" t="s">
        <v>11013</v>
      </c>
      <c r="L871" s="2" t="s">
        <v>7393</v>
      </c>
      <c r="M871" s="3" t="s">
        <v>64</v>
      </c>
      <c r="O871" s="3" t="s">
        <v>65</v>
      </c>
      <c r="P871" s="3" t="s">
        <v>66</v>
      </c>
      <c r="R871" s="3" t="s">
        <v>68</v>
      </c>
      <c r="S871" s="4">
        <v>3</v>
      </c>
      <c r="T871" s="4">
        <v>13</v>
      </c>
      <c r="U871" s="5" t="s">
        <v>11016</v>
      </c>
      <c r="V871" s="5" t="s">
        <v>11026</v>
      </c>
      <c r="W871" s="5" t="s">
        <v>11027</v>
      </c>
      <c r="X871" s="5" t="s">
        <v>11027</v>
      </c>
      <c r="Y871" s="4">
        <v>1142</v>
      </c>
      <c r="Z871" s="4">
        <v>899</v>
      </c>
      <c r="AA871" s="4">
        <v>919</v>
      </c>
      <c r="AB871" s="4">
        <v>8</v>
      </c>
      <c r="AC871" s="4">
        <v>8</v>
      </c>
      <c r="AD871" s="4">
        <v>37</v>
      </c>
      <c r="AE871" s="4">
        <v>37</v>
      </c>
      <c r="AF871" s="4">
        <v>14</v>
      </c>
      <c r="AG871" s="4">
        <v>14</v>
      </c>
      <c r="AH871" s="4">
        <v>7</v>
      </c>
      <c r="AI871" s="4">
        <v>7</v>
      </c>
      <c r="AJ871" s="4">
        <v>18</v>
      </c>
      <c r="AK871" s="4">
        <v>18</v>
      </c>
      <c r="AL871" s="4">
        <v>6</v>
      </c>
      <c r="AM871" s="4">
        <v>6</v>
      </c>
      <c r="AN871" s="4">
        <v>0</v>
      </c>
      <c r="AO871" s="4">
        <v>0</v>
      </c>
      <c r="AP871" s="3" t="s">
        <v>59</v>
      </c>
      <c r="AQ871" s="3" t="s">
        <v>71</v>
      </c>
      <c r="AR871" s="6" t="str">
        <f>HYPERLINK("http://catalog.hathitrust.org/Record/000388088","HathiTrust Record")</f>
        <v>HathiTrust Record</v>
      </c>
      <c r="AS871" s="6" t="str">
        <f>HYPERLINK("https://creighton-primo.hosted.exlibrisgroup.com/primo-explore/search?tab=default_tab&amp;search_scope=EVERYTHING&amp;vid=01CRU&amp;lang=en_US&amp;offset=0&amp;query=any,contains,991003177789702656","Catalog Record")</f>
        <v>Catalog Record</v>
      </c>
      <c r="AT871" s="6" t="str">
        <f>HYPERLINK("http://www.worldcat.org/oclc/711104","WorldCat Record")</f>
        <v>WorldCat Record</v>
      </c>
      <c r="AU871" s="3" t="s">
        <v>11028</v>
      </c>
      <c r="AV871" s="3" t="s">
        <v>11029</v>
      </c>
      <c r="AW871" s="3" t="s">
        <v>11030</v>
      </c>
      <c r="AX871" s="3" t="s">
        <v>11030</v>
      </c>
      <c r="AY871" s="3" t="s">
        <v>11031</v>
      </c>
      <c r="AZ871" s="3" t="s">
        <v>76</v>
      </c>
      <c r="BC871" s="3" t="s">
        <v>11032</v>
      </c>
      <c r="BD871" s="3" t="s">
        <v>11033</v>
      </c>
    </row>
    <row r="872" spans="1:56" ht="52.5" customHeight="1" x14ac:dyDescent="0.25">
      <c r="A872" s="7" t="s">
        <v>59</v>
      </c>
      <c r="B872" s="2" t="s">
        <v>11023</v>
      </c>
      <c r="C872" s="2" t="s">
        <v>11024</v>
      </c>
      <c r="D872" s="2" t="s">
        <v>11025</v>
      </c>
      <c r="F872" s="3" t="s">
        <v>59</v>
      </c>
      <c r="G872" s="3" t="s">
        <v>60</v>
      </c>
      <c r="H872" s="3" t="s">
        <v>71</v>
      </c>
      <c r="I872" s="3" t="s">
        <v>59</v>
      </c>
      <c r="J872" s="3" t="s">
        <v>61</v>
      </c>
      <c r="K872" s="2" t="s">
        <v>11013</v>
      </c>
      <c r="L872" s="2" t="s">
        <v>7393</v>
      </c>
      <c r="M872" s="3" t="s">
        <v>64</v>
      </c>
      <c r="O872" s="3" t="s">
        <v>65</v>
      </c>
      <c r="P872" s="3" t="s">
        <v>66</v>
      </c>
      <c r="R872" s="3" t="s">
        <v>68</v>
      </c>
      <c r="S872" s="4">
        <v>10</v>
      </c>
      <c r="T872" s="4">
        <v>13</v>
      </c>
      <c r="U872" s="5" t="s">
        <v>11026</v>
      </c>
      <c r="V872" s="5" t="s">
        <v>11026</v>
      </c>
      <c r="W872" s="5" t="s">
        <v>11027</v>
      </c>
      <c r="X872" s="5" t="s">
        <v>11027</v>
      </c>
      <c r="Y872" s="4">
        <v>1142</v>
      </c>
      <c r="Z872" s="4">
        <v>899</v>
      </c>
      <c r="AA872" s="4">
        <v>919</v>
      </c>
      <c r="AB872" s="4">
        <v>8</v>
      </c>
      <c r="AC872" s="4">
        <v>8</v>
      </c>
      <c r="AD872" s="4">
        <v>37</v>
      </c>
      <c r="AE872" s="4">
        <v>37</v>
      </c>
      <c r="AF872" s="4">
        <v>14</v>
      </c>
      <c r="AG872" s="4">
        <v>14</v>
      </c>
      <c r="AH872" s="4">
        <v>7</v>
      </c>
      <c r="AI872" s="4">
        <v>7</v>
      </c>
      <c r="AJ872" s="4">
        <v>18</v>
      </c>
      <c r="AK872" s="4">
        <v>18</v>
      </c>
      <c r="AL872" s="4">
        <v>6</v>
      </c>
      <c r="AM872" s="4">
        <v>6</v>
      </c>
      <c r="AN872" s="4">
        <v>0</v>
      </c>
      <c r="AO872" s="4">
        <v>0</v>
      </c>
      <c r="AP872" s="3" t="s">
        <v>59</v>
      </c>
      <c r="AQ872" s="3" t="s">
        <v>71</v>
      </c>
      <c r="AR872" s="6" t="str">
        <f>HYPERLINK("http://catalog.hathitrust.org/Record/000388088","HathiTrust Record")</f>
        <v>HathiTrust Record</v>
      </c>
      <c r="AS872" s="6" t="str">
        <f>HYPERLINK("https://creighton-primo.hosted.exlibrisgroup.com/primo-explore/search?tab=default_tab&amp;search_scope=EVERYTHING&amp;vid=01CRU&amp;lang=en_US&amp;offset=0&amp;query=any,contains,991003177789702656","Catalog Record")</f>
        <v>Catalog Record</v>
      </c>
      <c r="AT872" s="6" t="str">
        <f>HYPERLINK("http://www.worldcat.org/oclc/711104","WorldCat Record")</f>
        <v>WorldCat Record</v>
      </c>
      <c r="AU872" s="3" t="s">
        <v>11028</v>
      </c>
      <c r="AV872" s="3" t="s">
        <v>11029</v>
      </c>
      <c r="AW872" s="3" t="s">
        <v>11030</v>
      </c>
      <c r="AX872" s="3" t="s">
        <v>11030</v>
      </c>
      <c r="AY872" s="3" t="s">
        <v>11031</v>
      </c>
      <c r="AZ872" s="3" t="s">
        <v>76</v>
      </c>
      <c r="BC872" s="3" t="s">
        <v>11034</v>
      </c>
      <c r="BD872" s="3" t="s">
        <v>11035</v>
      </c>
    </row>
    <row r="873" spans="1:56" ht="52.5" customHeight="1" x14ac:dyDescent="0.25">
      <c r="A873" s="7" t="s">
        <v>59</v>
      </c>
      <c r="B873" s="2" t="s">
        <v>11036</v>
      </c>
      <c r="C873" s="2" t="s">
        <v>11037</v>
      </c>
      <c r="D873" s="2" t="s">
        <v>11038</v>
      </c>
      <c r="F873" s="3" t="s">
        <v>59</v>
      </c>
      <c r="G873" s="3" t="s">
        <v>60</v>
      </c>
      <c r="H873" s="3" t="s">
        <v>59</v>
      </c>
      <c r="I873" s="3" t="s">
        <v>59</v>
      </c>
      <c r="J873" s="3" t="s">
        <v>61</v>
      </c>
      <c r="K873" s="2" t="s">
        <v>11039</v>
      </c>
      <c r="L873" s="2" t="s">
        <v>5518</v>
      </c>
      <c r="M873" s="3" t="s">
        <v>254</v>
      </c>
      <c r="O873" s="3" t="s">
        <v>65</v>
      </c>
      <c r="P873" s="3" t="s">
        <v>66</v>
      </c>
      <c r="R873" s="3" t="s">
        <v>68</v>
      </c>
      <c r="S873" s="4">
        <v>12</v>
      </c>
      <c r="T873" s="4">
        <v>12</v>
      </c>
      <c r="U873" s="5" t="s">
        <v>7747</v>
      </c>
      <c r="V873" s="5" t="s">
        <v>7747</v>
      </c>
      <c r="W873" s="5" t="s">
        <v>3874</v>
      </c>
      <c r="X873" s="5" t="s">
        <v>3874</v>
      </c>
      <c r="Y873" s="4">
        <v>569</v>
      </c>
      <c r="Z873" s="4">
        <v>434</v>
      </c>
      <c r="AA873" s="4">
        <v>438</v>
      </c>
      <c r="AB873" s="4">
        <v>3</v>
      </c>
      <c r="AC873" s="4">
        <v>3</v>
      </c>
      <c r="AD873" s="4">
        <v>18</v>
      </c>
      <c r="AE873" s="4">
        <v>18</v>
      </c>
      <c r="AF873" s="4">
        <v>6</v>
      </c>
      <c r="AG873" s="4">
        <v>6</v>
      </c>
      <c r="AH873" s="4">
        <v>5</v>
      </c>
      <c r="AI873" s="4">
        <v>5</v>
      </c>
      <c r="AJ873" s="4">
        <v>9</v>
      </c>
      <c r="AK873" s="4">
        <v>9</v>
      </c>
      <c r="AL873" s="4">
        <v>2</v>
      </c>
      <c r="AM873" s="4">
        <v>2</v>
      </c>
      <c r="AN873" s="4">
        <v>0</v>
      </c>
      <c r="AO873" s="4">
        <v>0</v>
      </c>
      <c r="AP873" s="3" t="s">
        <v>59</v>
      </c>
      <c r="AQ873" s="3" t="s">
        <v>71</v>
      </c>
      <c r="AR873" s="6" t="str">
        <f>HYPERLINK("http://catalog.hathitrust.org/Record/000425276","HathiTrust Record")</f>
        <v>HathiTrust Record</v>
      </c>
      <c r="AS873" s="6" t="str">
        <f>HYPERLINK("https://creighton-primo.hosted.exlibrisgroup.com/primo-explore/search?tab=default_tab&amp;search_scope=EVERYTHING&amp;vid=01CRU&amp;lang=en_US&amp;offset=0&amp;query=any,contains,991005439229702656","Catalog Record")</f>
        <v>Catalog Record</v>
      </c>
      <c r="AT873" s="6" t="str">
        <f>HYPERLINK("http://www.worldcat.org/oclc/6414","WorldCat Record")</f>
        <v>WorldCat Record</v>
      </c>
      <c r="AU873" s="3" t="s">
        <v>11040</v>
      </c>
      <c r="AV873" s="3" t="s">
        <v>11041</v>
      </c>
      <c r="AW873" s="3" t="s">
        <v>11042</v>
      </c>
      <c r="AX873" s="3" t="s">
        <v>11042</v>
      </c>
      <c r="AY873" s="3" t="s">
        <v>11043</v>
      </c>
      <c r="AZ873" s="3" t="s">
        <v>76</v>
      </c>
      <c r="BB873" s="3" t="s">
        <v>11044</v>
      </c>
      <c r="BC873" s="3" t="s">
        <v>11045</v>
      </c>
      <c r="BD873" s="3" t="s">
        <v>11046</v>
      </c>
    </row>
    <row r="874" spans="1:56" ht="52.5" customHeight="1" x14ac:dyDescent="0.25">
      <c r="A874" s="7" t="s">
        <v>59</v>
      </c>
      <c r="B874" s="2" t="s">
        <v>11047</v>
      </c>
      <c r="C874" s="2" t="s">
        <v>11048</v>
      </c>
      <c r="D874" s="2" t="s">
        <v>11049</v>
      </c>
      <c r="F874" s="3" t="s">
        <v>59</v>
      </c>
      <c r="G874" s="3" t="s">
        <v>60</v>
      </c>
      <c r="H874" s="3" t="s">
        <v>59</v>
      </c>
      <c r="I874" s="3" t="s">
        <v>59</v>
      </c>
      <c r="J874" s="3" t="s">
        <v>61</v>
      </c>
      <c r="K874" s="2" t="s">
        <v>11050</v>
      </c>
      <c r="L874" s="2" t="s">
        <v>11051</v>
      </c>
      <c r="M874" s="3" t="s">
        <v>756</v>
      </c>
      <c r="O874" s="3" t="s">
        <v>65</v>
      </c>
      <c r="P874" s="3" t="s">
        <v>491</v>
      </c>
      <c r="Q874" s="2" t="s">
        <v>11052</v>
      </c>
      <c r="R874" s="3" t="s">
        <v>68</v>
      </c>
      <c r="S874" s="4">
        <v>9</v>
      </c>
      <c r="T874" s="4">
        <v>9</v>
      </c>
      <c r="U874" s="5" t="s">
        <v>11053</v>
      </c>
      <c r="V874" s="5" t="s">
        <v>11053</v>
      </c>
      <c r="W874" s="5" t="s">
        <v>11054</v>
      </c>
      <c r="X874" s="5" t="s">
        <v>11054</v>
      </c>
      <c r="Y874" s="4">
        <v>302</v>
      </c>
      <c r="Z874" s="4">
        <v>276</v>
      </c>
      <c r="AA874" s="4">
        <v>401</v>
      </c>
      <c r="AB874" s="4">
        <v>5</v>
      </c>
      <c r="AC874" s="4">
        <v>8</v>
      </c>
      <c r="AD874" s="4">
        <v>10</v>
      </c>
      <c r="AE874" s="4">
        <v>16</v>
      </c>
      <c r="AF874" s="4">
        <v>5</v>
      </c>
      <c r="AG874" s="4">
        <v>8</v>
      </c>
      <c r="AH874" s="4">
        <v>1</v>
      </c>
      <c r="AI874" s="4">
        <v>2</v>
      </c>
      <c r="AJ874" s="4">
        <v>5</v>
      </c>
      <c r="AK874" s="4">
        <v>7</v>
      </c>
      <c r="AL874" s="4">
        <v>3</v>
      </c>
      <c r="AM874" s="4">
        <v>6</v>
      </c>
      <c r="AN874" s="4">
        <v>0</v>
      </c>
      <c r="AO874" s="4">
        <v>0</v>
      </c>
      <c r="AP874" s="3" t="s">
        <v>59</v>
      </c>
      <c r="AQ874" s="3" t="s">
        <v>71</v>
      </c>
      <c r="AR874" s="6" t="str">
        <f>HYPERLINK("http://catalog.hathitrust.org/Record/009907686","HathiTrust Record")</f>
        <v>HathiTrust Record</v>
      </c>
      <c r="AS874" s="6" t="str">
        <f>HYPERLINK("https://creighton-primo.hosted.exlibrisgroup.com/primo-explore/search?tab=default_tab&amp;search_scope=EVERYTHING&amp;vid=01CRU&amp;lang=en_US&amp;offset=0&amp;query=any,contains,991004354559702656","Catalog Record")</f>
        <v>Catalog Record</v>
      </c>
      <c r="AT874" s="6" t="str">
        <f>HYPERLINK("http://www.worldcat.org/oclc/3131493","WorldCat Record")</f>
        <v>WorldCat Record</v>
      </c>
      <c r="AU874" s="3" t="s">
        <v>11055</v>
      </c>
      <c r="AV874" s="3" t="s">
        <v>11056</v>
      </c>
      <c r="AW874" s="3" t="s">
        <v>11057</v>
      </c>
      <c r="AX874" s="3" t="s">
        <v>11057</v>
      </c>
      <c r="AY874" s="3" t="s">
        <v>11058</v>
      </c>
      <c r="AZ874" s="3" t="s">
        <v>76</v>
      </c>
      <c r="BC874" s="3" t="s">
        <v>11059</v>
      </c>
      <c r="BD874" s="3" t="s">
        <v>11060</v>
      </c>
    </row>
    <row r="875" spans="1:56" ht="52.5" customHeight="1" x14ac:dyDescent="0.25">
      <c r="A875" s="7" t="s">
        <v>59</v>
      </c>
      <c r="B875" s="2" t="s">
        <v>11061</v>
      </c>
      <c r="C875" s="2" t="s">
        <v>11062</v>
      </c>
      <c r="D875" s="2" t="s">
        <v>11063</v>
      </c>
      <c r="F875" s="3" t="s">
        <v>59</v>
      </c>
      <c r="G875" s="3" t="s">
        <v>60</v>
      </c>
      <c r="H875" s="3" t="s">
        <v>59</v>
      </c>
      <c r="I875" s="3" t="s">
        <v>59</v>
      </c>
      <c r="J875" s="3" t="s">
        <v>61</v>
      </c>
      <c r="K875" s="2" t="s">
        <v>11064</v>
      </c>
      <c r="L875" s="2" t="s">
        <v>11065</v>
      </c>
      <c r="M875" s="3" t="s">
        <v>295</v>
      </c>
      <c r="O875" s="3" t="s">
        <v>65</v>
      </c>
      <c r="P875" s="3" t="s">
        <v>283</v>
      </c>
      <c r="Q875" s="2" t="s">
        <v>11066</v>
      </c>
      <c r="R875" s="3" t="s">
        <v>68</v>
      </c>
      <c r="S875" s="4">
        <v>10</v>
      </c>
      <c r="T875" s="4">
        <v>10</v>
      </c>
      <c r="U875" s="5" t="s">
        <v>11067</v>
      </c>
      <c r="V875" s="5" t="s">
        <v>11067</v>
      </c>
      <c r="W875" s="5" t="s">
        <v>11068</v>
      </c>
      <c r="X875" s="5" t="s">
        <v>11068</v>
      </c>
      <c r="Y875" s="4">
        <v>541</v>
      </c>
      <c r="Z875" s="4">
        <v>458</v>
      </c>
      <c r="AA875" s="4">
        <v>470</v>
      </c>
      <c r="AB875" s="4">
        <v>6</v>
      </c>
      <c r="AC875" s="4">
        <v>6</v>
      </c>
      <c r="AD875" s="4">
        <v>22</v>
      </c>
      <c r="AE875" s="4">
        <v>22</v>
      </c>
      <c r="AF875" s="4">
        <v>11</v>
      </c>
      <c r="AG875" s="4">
        <v>11</v>
      </c>
      <c r="AH875" s="4">
        <v>2</v>
      </c>
      <c r="AI875" s="4">
        <v>2</v>
      </c>
      <c r="AJ875" s="4">
        <v>8</v>
      </c>
      <c r="AK875" s="4">
        <v>8</v>
      </c>
      <c r="AL875" s="4">
        <v>5</v>
      </c>
      <c r="AM875" s="4">
        <v>5</v>
      </c>
      <c r="AN875" s="4">
        <v>0</v>
      </c>
      <c r="AO875" s="4">
        <v>0</v>
      </c>
      <c r="AP875" s="3" t="s">
        <v>59</v>
      </c>
      <c r="AQ875" s="3" t="s">
        <v>71</v>
      </c>
      <c r="AR875" s="6" t="str">
        <f>HYPERLINK("http://catalog.hathitrust.org/Record/000227881","HathiTrust Record")</f>
        <v>HathiTrust Record</v>
      </c>
      <c r="AS875" s="6" t="str">
        <f>HYPERLINK("https://creighton-primo.hosted.exlibrisgroup.com/primo-explore/search?tab=default_tab&amp;search_scope=EVERYTHING&amp;vid=01CRU&amp;lang=en_US&amp;offset=0&amp;query=any,contains,991001370519702656","Catalog Record")</f>
        <v>Catalog Record</v>
      </c>
      <c r="AT875" s="6" t="str">
        <f>HYPERLINK("http://www.worldcat.org/oclc/223575","WorldCat Record")</f>
        <v>WorldCat Record</v>
      </c>
      <c r="AU875" s="3" t="s">
        <v>11069</v>
      </c>
      <c r="AV875" s="3" t="s">
        <v>11070</v>
      </c>
      <c r="AW875" s="3" t="s">
        <v>11071</v>
      </c>
      <c r="AX875" s="3" t="s">
        <v>11071</v>
      </c>
      <c r="AY875" s="3" t="s">
        <v>11072</v>
      </c>
      <c r="AZ875" s="3" t="s">
        <v>76</v>
      </c>
      <c r="BC875" s="3" t="s">
        <v>11073</v>
      </c>
      <c r="BD875" s="3" t="s">
        <v>11074</v>
      </c>
    </row>
    <row r="876" spans="1:56" ht="52.5" customHeight="1" x14ac:dyDescent="0.25">
      <c r="A876" s="7" t="s">
        <v>59</v>
      </c>
      <c r="B876" s="2" t="s">
        <v>11075</v>
      </c>
      <c r="C876" s="2" t="s">
        <v>11076</v>
      </c>
      <c r="D876" s="2" t="s">
        <v>11077</v>
      </c>
      <c r="F876" s="3" t="s">
        <v>59</v>
      </c>
      <c r="G876" s="3" t="s">
        <v>60</v>
      </c>
      <c r="H876" s="3" t="s">
        <v>59</v>
      </c>
      <c r="I876" s="3" t="s">
        <v>59</v>
      </c>
      <c r="J876" s="3" t="s">
        <v>61</v>
      </c>
      <c r="K876" s="2" t="s">
        <v>11078</v>
      </c>
      <c r="L876" s="2" t="s">
        <v>11079</v>
      </c>
      <c r="M876" s="3" t="s">
        <v>434</v>
      </c>
      <c r="N876" s="2" t="s">
        <v>1289</v>
      </c>
      <c r="O876" s="3" t="s">
        <v>65</v>
      </c>
      <c r="P876" s="3" t="s">
        <v>4872</v>
      </c>
      <c r="Q876" s="2" t="s">
        <v>4107</v>
      </c>
      <c r="R876" s="3" t="s">
        <v>68</v>
      </c>
      <c r="S876" s="4">
        <v>4</v>
      </c>
      <c r="T876" s="4">
        <v>4</v>
      </c>
      <c r="U876" s="5" t="s">
        <v>1829</v>
      </c>
      <c r="V876" s="5" t="s">
        <v>1829</v>
      </c>
      <c r="W876" s="5" t="s">
        <v>11080</v>
      </c>
      <c r="X876" s="5" t="s">
        <v>11080</v>
      </c>
      <c r="Y876" s="4">
        <v>192</v>
      </c>
      <c r="Z876" s="4">
        <v>172</v>
      </c>
      <c r="AA876" s="4">
        <v>480</v>
      </c>
      <c r="AB876" s="4">
        <v>2</v>
      </c>
      <c r="AC876" s="4">
        <v>3</v>
      </c>
      <c r="AD876" s="4">
        <v>10</v>
      </c>
      <c r="AE876" s="4">
        <v>28</v>
      </c>
      <c r="AF876" s="4">
        <v>3</v>
      </c>
      <c r="AG876" s="4">
        <v>12</v>
      </c>
      <c r="AH876" s="4">
        <v>3</v>
      </c>
      <c r="AI876" s="4">
        <v>6</v>
      </c>
      <c r="AJ876" s="4">
        <v>6</v>
      </c>
      <c r="AK876" s="4">
        <v>15</v>
      </c>
      <c r="AL876" s="4">
        <v>1</v>
      </c>
      <c r="AM876" s="4">
        <v>2</v>
      </c>
      <c r="AN876" s="4">
        <v>0</v>
      </c>
      <c r="AO876" s="4">
        <v>0</v>
      </c>
      <c r="AP876" s="3" t="s">
        <v>59</v>
      </c>
      <c r="AQ876" s="3" t="s">
        <v>71</v>
      </c>
      <c r="AR876" s="6" t="str">
        <f>HYPERLINK("http://catalog.hathitrust.org/Record/009077843","HathiTrust Record")</f>
        <v>HathiTrust Record</v>
      </c>
      <c r="AS876" s="6" t="str">
        <f>HYPERLINK("https://creighton-primo.hosted.exlibrisgroup.com/primo-explore/search?tab=default_tab&amp;search_scope=EVERYTHING&amp;vid=01CRU&amp;lang=en_US&amp;offset=0&amp;query=any,contains,991003992219702656","Catalog Record")</f>
        <v>Catalog Record</v>
      </c>
      <c r="AT876" s="6" t="str">
        <f>HYPERLINK("http://www.worldcat.org/oclc/2048823","WorldCat Record")</f>
        <v>WorldCat Record</v>
      </c>
      <c r="AU876" s="3" t="s">
        <v>11081</v>
      </c>
      <c r="AV876" s="3" t="s">
        <v>11082</v>
      </c>
      <c r="AW876" s="3" t="s">
        <v>11083</v>
      </c>
      <c r="AX876" s="3" t="s">
        <v>11083</v>
      </c>
      <c r="AY876" s="3" t="s">
        <v>11084</v>
      </c>
      <c r="AZ876" s="3" t="s">
        <v>76</v>
      </c>
      <c r="BC876" s="3" t="s">
        <v>11085</v>
      </c>
      <c r="BD876" s="3" t="s">
        <v>11086</v>
      </c>
    </row>
    <row r="877" spans="1:56" ht="52.5" customHeight="1" x14ac:dyDescent="0.25">
      <c r="A877" s="7" t="s">
        <v>59</v>
      </c>
      <c r="B877" s="2" t="s">
        <v>11087</v>
      </c>
      <c r="C877" s="2" t="s">
        <v>11088</v>
      </c>
      <c r="D877" s="2" t="s">
        <v>11089</v>
      </c>
      <c r="F877" s="3" t="s">
        <v>59</v>
      </c>
      <c r="G877" s="3" t="s">
        <v>60</v>
      </c>
      <c r="H877" s="3" t="s">
        <v>59</v>
      </c>
      <c r="I877" s="3" t="s">
        <v>59</v>
      </c>
      <c r="J877" s="3" t="s">
        <v>61</v>
      </c>
      <c r="K877" s="2" t="s">
        <v>11090</v>
      </c>
      <c r="L877" s="2" t="s">
        <v>11091</v>
      </c>
      <c r="M877" s="3" t="s">
        <v>180</v>
      </c>
      <c r="O877" s="3" t="s">
        <v>65</v>
      </c>
      <c r="P877" s="3" t="s">
        <v>66</v>
      </c>
      <c r="Q877" s="2" t="s">
        <v>11092</v>
      </c>
      <c r="R877" s="3" t="s">
        <v>68</v>
      </c>
      <c r="S877" s="4">
        <v>4</v>
      </c>
      <c r="T877" s="4">
        <v>4</v>
      </c>
      <c r="U877" s="5" t="s">
        <v>11093</v>
      </c>
      <c r="V877" s="5" t="s">
        <v>11093</v>
      </c>
      <c r="W877" s="5" t="s">
        <v>9570</v>
      </c>
      <c r="X877" s="5" t="s">
        <v>9570</v>
      </c>
      <c r="Y877" s="4">
        <v>434</v>
      </c>
      <c r="Z877" s="4">
        <v>379</v>
      </c>
      <c r="AA877" s="4">
        <v>603</v>
      </c>
      <c r="AB877" s="4">
        <v>5</v>
      </c>
      <c r="AC877" s="4">
        <v>7</v>
      </c>
      <c r="AD877" s="4">
        <v>21</v>
      </c>
      <c r="AE877" s="4">
        <v>28</v>
      </c>
      <c r="AF877" s="4">
        <v>5</v>
      </c>
      <c r="AG877" s="4">
        <v>9</v>
      </c>
      <c r="AH877" s="4">
        <v>7</v>
      </c>
      <c r="AI877" s="4">
        <v>7</v>
      </c>
      <c r="AJ877" s="4">
        <v>10</v>
      </c>
      <c r="AK877" s="4">
        <v>12</v>
      </c>
      <c r="AL877" s="4">
        <v>4</v>
      </c>
      <c r="AM877" s="4">
        <v>6</v>
      </c>
      <c r="AN877" s="4">
        <v>0</v>
      </c>
      <c r="AO877" s="4">
        <v>0</v>
      </c>
      <c r="AP877" s="3" t="s">
        <v>59</v>
      </c>
      <c r="AQ877" s="3" t="s">
        <v>71</v>
      </c>
      <c r="AR877" s="6" t="str">
        <f>HYPERLINK("http://catalog.hathitrust.org/Record/000387930","HathiTrust Record")</f>
        <v>HathiTrust Record</v>
      </c>
      <c r="AS877" s="6" t="str">
        <f>HYPERLINK("https://creighton-primo.hosted.exlibrisgroup.com/primo-explore/search?tab=default_tab&amp;search_scope=EVERYTHING&amp;vid=01CRU&amp;lang=en_US&amp;offset=0&amp;query=any,contains,991003402429702656","Catalog Record")</f>
        <v>Catalog Record</v>
      </c>
      <c r="AT877" s="6" t="str">
        <f>HYPERLINK("http://www.worldcat.org/oclc/941590","WorldCat Record")</f>
        <v>WorldCat Record</v>
      </c>
      <c r="AU877" s="3" t="s">
        <v>11094</v>
      </c>
      <c r="AV877" s="3" t="s">
        <v>11095</v>
      </c>
      <c r="AW877" s="3" t="s">
        <v>11096</v>
      </c>
      <c r="AX877" s="3" t="s">
        <v>11096</v>
      </c>
      <c r="AY877" s="3" t="s">
        <v>11097</v>
      </c>
      <c r="AZ877" s="3" t="s">
        <v>76</v>
      </c>
      <c r="BC877" s="3" t="s">
        <v>11098</v>
      </c>
      <c r="BD877" s="3" t="s">
        <v>11099</v>
      </c>
    </row>
    <row r="878" spans="1:56" ht="52.5" customHeight="1" x14ac:dyDescent="0.25">
      <c r="A878" s="7" t="s">
        <v>59</v>
      </c>
      <c r="B878" s="2" t="s">
        <v>11100</v>
      </c>
      <c r="C878" s="2" t="s">
        <v>11101</v>
      </c>
      <c r="D878" s="2" t="s">
        <v>11102</v>
      </c>
      <c r="F878" s="3" t="s">
        <v>59</v>
      </c>
      <c r="G878" s="3" t="s">
        <v>60</v>
      </c>
      <c r="H878" s="3" t="s">
        <v>59</v>
      </c>
      <c r="I878" s="3" t="s">
        <v>59</v>
      </c>
      <c r="J878" s="3" t="s">
        <v>61</v>
      </c>
      <c r="K878" s="2" t="s">
        <v>11103</v>
      </c>
      <c r="L878" s="2" t="s">
        <v>11104</v>
      </c>
      <c r="M878" s="3" t="s">
        <v>64</v>
      </c>
      <c r="O878" s="3" t="s">
        <v>65</v>
      </c>
      <c r="P878" s="3" t="s">
        <v>699</v>
      </c>
      <c r="Q878" s="2" t="s">
        <v>11105</v>
      </c>
      <c r="R878" s="3" t="s">
        <v>68</v>
      </c>
      <c r="S878" s="4">
        <v>10</v>
      </c>
      <c r="T878" s="4">
        <v>10</v>
      </c>
      <c r="U878" s="5" t="s">
        <v>11106</v>
      </c>
      <c r="V878" s="5" t="s">
        <v>11106</v>
      </c>
      <c r="W878" s="5" t="s">
        <v>6856</v>
      </c>
      <c r="X878" s="5" t="s">
        <v>6856</v>
      </c>
      <c r="Y878" s="4">
        <v>955</v>
      </c>
      <c r="Z878" s="4">
        <v>741</v>
      </c>
      <c r="AA878" s="4">
        <v>748</v>
      </c>
      <c r="AB878" s="4">
        <v>5</v>
      </c>
      <c r="AC878" s="4">
        <v>5</v>
      </c>
      <c r="AD878" s="4">
        <v>29</v>
      </c>
      <c r="AE878" s="4">
        <v>29</v>
      </c>
      <c r="AF878" s="4">
        <v>12</v>
      </c>
      <c r="AG878" s="4">
        <v>12</v>
      </c>
      <c r="AH878" s="4">
        <v>7</v>
      </c>
      <c r="AI878" s="4">
        <v>7</v>
      </c>
      <c r="AJ878" s="4">
        <v>14</v>
      </c>
      <c r="AK878" s="4">
        <v>14</v>
      </c>
      <c r="AL878" s="4">
        <v>4</v>
      </c>
      <c r="AM878" s="4">
        <v>4</v>
      </c>
      <c r="AN878" s="4">
        <v>0</v>
      </c>
      <c r="AO878" s="4">
        <v>0</v>
      </c>
      <c r="AP878" s="3" t="s">
        <v>59</v>
      </c>
      <c r="AQ878" s="3" t="s">
        <v>71</v>
      </c>
      <c r="AR878" s="6" t="str">
        <f>HYPERLINK("http://catalog.hathitrust.org/Record/000387923","HathiTrust Record")</f>
        <v>HathiTrust Record</v>
      </c>
      <c r="AS878" s="6" t="str">
        <f>HYPERLINK("https://creighton-primo.hosted.exlibrisgroup.com/primo-explore/search?tab=default_tab&amp;search_scope=EVERYTHING&amp;vid=01CRU&amp;lang=en_US&amp;offset=0&amp;query=any,contains,991001370269702656","Catalog Record")</f>
        <v>Catalog Record</v>
      </c>
      <c r="AT878" s="6" t="str">
        <f>HYPERLINK("http://www.worldcat.org/oclc/223390","WorldCat Record")</f>
        <v>WorldCat Record</v>
      </c>
      <c r="AU878" s="3" t="s">
        <v>11107</v>
      </c>
      <c r="AV878" s="3" t="s">
        <v>11108</v>
      </c>
      <c r="AW878" s="3" t="s">
        <v>11109</v>
      </c>
      <c r="AX878" s="3" t="s">
        <v>11109</v>
      </c>
      <c r="AY878" s="3" t="s">
        <v>11110</v>
      </c>
      <c r="AZ878" s="3" t="s">
        <v>76</v>
      </c>
      <c r="BC878" s="3" t="s">
        <v>11111</v>
      </c>
      <c r="BD878" s="3" t="s">
        <v>11112</v>
      </c>
    </row>
    <row r="879" spans="1:56" ht="52.5" customHeight="1" x14ac:dyDescent="0.25">
      <c r="A879" s="7" t="s">
        <v>59</v>
      </c>
      <c r="B879" s="2" t="s">
        <v>11113</v>
      </c>
      <c r="C879" s="2" t="s">
        <v>11114</v>
      </c>
      <c r="D879" s="2" t="s">
        <v>11115</v>
      </c>
      <c r="F879" s="3" t="s">
        <v>59</v>
      </c>
      <c r="G879" s="3" t="s">
        <v>60</v>
      </c>
      <c r="H879" s="3" t="s">
        <v>59</v>
      </c>
      <c r="I879" s="3" t="s">
        <v>59</v>
      </c>
      <c r="J879" s="3" t="s">
        <v>61</v>
      </c>
      <c r="K879" s="2" t="s">
        <v>11116</v>
      </c>
      <c r="L879" s="2" t="s">
        <v>11117</v>
      </c>
      <c r="M879" s="3" t="s">
        <v>295</v>
      </c>
      <c r="N879" s="2" t="s">
        <v>1587</v>
      </c>
      <c r="O879" s="3" t="s">
        <v>65</v>
      </c>
      <c r="P879" s="3" t="s">
        <v>4872</v>
      </c>
      <c r="R879" s="3" t="s">
        <v>68</v>
      </c>
      <c r="S879" s="4">
        <v>8</v>
      </c>
      <c r="T879" s="4">
        <v>8</v>
      </c>
      <c r="U879" s="5" t="s">
        <v>11118</v>
      </c>
      <c r="V879" s="5" t="s">
        <v>11118</v>
      </c>
      <c r="W879" s="5" t="s">
        <v>11119</v>
      </c>
      <c r="X879" s="5" t="s">
        <v>11119</v>
      </c>
      <c r="Y879" s="4">
        <v>263</v>
      </c>
      <c r="Z879" s="4">
        <v>222</v>
      </c>
      <c r="AA879" s="4">
        <v>598</v>
      </c>
      <c r="AB879" s="4">
        <v>3</v>
      </c>
      <c r="AC879" s="4">
        <v>5</v>
      </c>
      <c r="AD879" s="4">
        <v>12</v>
      </c>
      <c r="AE879" s="4">
        <v>28</v>
      </c>
      <c r="AF879" s="4">
        <v>5</v>
      </c>
      <c r="AG879" s="4">
        <v>11</v>
      </c>
      <c r="AH879" s="4">
        <v>3</v>
      </c>
      <c r="AI879" s="4">
        <v>7</v>
      </c>
      <c r="AJ879" s="4">
        <v>7</v>
      </c>
      <c r="AK879" s="4">
        <v>14</v>
      </c>
      <c r="AL879" s="4">
        <v>2</v>
      </c>
      <c r="AM879" s="4">
        <v>4</v>
      </c>
      <c r="AN879" s="4">
        <v>0</v>
      </c>
      <c r="AO879" s="4">
        <v>0</v>
      </c>
      <c r="AP879" s="3" t="s">
        <v>59</v>
      </c>
      <c r="AQ879" s="3" t="s">
        <v>59</v>
      </c>
      <c r="AS879" s="6" t="str">
        <f>HYPERLINK("https://creighton-primo.hosted.exlibrisgroup.com/primo-explore/search?tab=default_tab&amp;search_scope=EVERYTHING&amp;vid=01CRU&amp;lang=en_US&amp;offset=0&amp;query=any,contains,991001374869702656","Catalog Record")</f>
        <v>Catalog Record</v>
      </c>
      <c r="AT879" s="6" t="str">
        <f>HYPERLINK("http://www.worldcat.org/oclc/224679","WorldCat Record")</f>
        <v>WorldCat Record</v>
      </c>
      <c r="AU879" s="3" t="s">
        <v>11120</v>
      </c>
      <c r="AV879" s="3" t="s">
        <v>11121</v>
      </c>
      <c r="AW879" s="3" t="s">
        <v>11122</v>
      </c>
      <c r="AX879" s="3" t="s">
        <v>11122</v>
      </c>
      <c r="AY879" s="3" t="s">
        <v>11123</v>
      </c>
      <c r="AZ879" s="3" t="s">
        <v>76</v>
      </c>
      <c r="BC879" s="3" t="s">
        <v>11124</v>
      </c>
      <c r="BD879" s="3" t="s">
        <v>11125</v>
      </c>
    </row>
    <row r="880" spans="1:56" ht="52.5" customHeight="1" x14ac:dyDescent="0.25">
      <c r="A880" s="7" t="s">
        <v>59</v>
      </c>
      <c r="B880" s="2" t="s">
        <v>11126</v>
      </c>
      <c r="C880" s="2" t="s">
        <v>11127</v>
      </c>
      <c r="D880" s="2" t="s">
        <v>11128</v>
      </c>
      <c r="F880" s="3" t="s">
        <v>59</v>
      </c>
      <c r="G880" s="3" t="s">
        <v>60</v>
      </c>
      <c r="H880" s="3" t="s">
        <v>59</v>
      </c>
      <c r="I880" s="3" t="s">
        <v>59</v>
      </c>
      <c r="J880" s="3" t="s">
        <v>61</v>
      </c>
      <c r="K880" s="2" t="s">
        <v>11129</v>
      </c>
      <c r="L880" s="2" t="s">
        <v>11130</v>
      </c>
      <c r="M880" s="3" t="s">
        <v>64</v>
      </c>
      <c r="O880" s="3" t="s">
        <v>65</v>
      </c>
      <c r="P880" s="3" t="s">
        <v>699</v>
      </c>
      <c r="Q880" s="2" t="s">
        <v>11131</v>
      </c>
      <c r="R880" s="3" t="s">
        <v>68</v>
      </c>
      <c r="S880" s="4">
        <v>9</v>
      </c>
      <c r="T880" s="4">
        <v>9</v>
      </c>
      <c r="U880" s="5" t="s">
        <v>10991</v>
      </c>
      <c r="V880" s="5" t="s">
        <v>10991</v>
      </c>
      <c r="W880" s="5" t="s">
        <v>9570</v>
      </c>
      <c r="X880" s="5" t="s">
        <v>9570</v>
      </c>
      <c r="Y880" s="4">
        <v>370</v>
      </c>
      <c r="Z880" s="4">
        <v>278</v>
      </c>
      <c r="AA880" s="4">
        <v>286</v>
      </c>
      <c r="AB880" s="4">
        <v>3</v>
      </c>
      <c r="AC880" s="4">
        <v>3</v>
      </c>
      <c r="AD880" s="4">
        <v>17</v>
      </c>
      <c r="AE880" s="4">
        <v>17</v>
      </c>
      <c r="AF880" s="4">
        <v>6</v>
      </c>
      <c r="AG880" s="4">
        <v>6</v>
      </c>
      <c r="AH880" s="4">
        <v>5</v>
      </c>
      <c r="AI880" s="4">
        <v>5</v>
      </c>
      <c r="AJ880" s="4">
        <v>8</v>
      </c>
      <c r="AK880" s="4">
        <v>8</v>
      </c>
      <c r="AL880" s="4">
        <v>2</v>
      </c>
      <c r="AM880" s="4">
        <v>2</v>
      </c>
      <c r="AN880" s="4">
        <v>0</v>
      </c>
      <c r="AO880" s="4">
        <v>0</v>
      </c>
      <c r="AP880" s="3" t="s">
        <v>59</v>
      </c>
      <c r="AQ880" s="3" t="s">
        <v>71</v>
      </c>
      <c r="AR880" s="6" t="str">
        <f>HYPERLINK("http://catalog.hathitrust.org/Record/000427516","HathiTrust Record")</f>
        <v>HathiTrust Record</v>
      </c>
      <c r="AS880" s="6" t="str">
        <f>HYPERLINK("https://creighton-primo.hosted.exlibrisgroup.com/primo-explore/search?tab=default_tab&amp;search_scope=EVERYTHING&amp;vid=01CRU&amp;lang=en_US&amp;offset=0&amp;query=any,contains,991003246529702656","Catalog Record")</f>
        <v>Catalog Record</v>
      </c>
      <c r="AT880" s="6" t="str">
        <f>HYPERLINK("http://www.worldcat.org/oclc/770708","WorldCat Record")</f>
        <v>WorldCat Record</v>
      </c>
      <c r="AU880" s="3" t="s">
        <v>11132</v>
      </c>
      <c r="AV880" s="3" t="s">
        <v>11133</v>
      </c>
      <c r="AW880" s="3" t="s">
        <v>11134</v>
      </c>
      <c r="AX880" s="3" t="s">
        <v>11134</v>
      </c>
      <c r="AY880" s="3" t="s">
        <v>11135</v>
      </c>
      <c r="AZ880" s="3" t="s">
        <v>76</v>
      </c>
      <c r="BC880" s="3" t="s">
        <v>11136</v>
      </c>
      <c r="BD880" s="3" t="s">
        <v>11137</v>
      </c>
    </row>
    <row r="881" spans="1:56" ht="52.5" customHeight="1" x14ac:dyDescent="0.25">
      <c r="A881" s="7" t="s">
        <v>59</v>
      </c>
      <c r="B881" s="2" t="s">
        <v>11138</v>
      </c>
      <c r="C881" s="2" t="s">
        <v>11139</v>
      </c>
      <c r="D881" s="2" t="s">
        <v>11140</v>
      </c>
      <c r="F881" s="3" t="s">
        <v>59</v>
      </c>
      <c r="G881" s="3" t="s">
        <v>60</v>
      </c>
      <c r="H881" s="3" t="s">
        <v>59</v>
      </c>
      <c r="I881" s="3" t="s">
        <v>59</v>
      </c>
      <c r="J881" s="3" t="s">
        <v>61</v>
      </c>
      <c r="K881" s="2" t="s">
        <v>11141</v>
      </c>
      <c r="L881" s="2" t="s">
        <v>11142</v>
      </c>
      <c r="M881" s="3" t="s">
        <v>164</v>
      </c>
      <c r="O881" s="3" t="s">
        <v>65</v>
      </c>
      <c r="P881" s="3" t="s">
        <v>66</v>
      </c>
      <c r="R881" s="3" t="s">
        <v>68</v>
      </c>
      <c r="S881" s="4">
        <v>13</v>
      </c>
      <c r="T881" s="4">
        <v>13</v>
      </c>
      <c r="U881" s="5" t="s">
        <v>4122</v>
      </c>
      <c r="V881" s="5" t="s">
        <v>4122</v>
      </c>
      <c r="W881" s="5" t="s">
        <v>11054</v>
      </c>
      <c r="X881" s="5" t="s">
        <v>11054</v>
      </c>
      <c r="Y881" s="4">
        <v>269</v>
      </c>
      <c r="Z881" s="4">
        <v>144</v>
      </c>
      <c r="AA881" s="4">
        <v>322</v>
      </c>
      <c r="AB881" s="4">
        <v>2</v>
      </c>
      <c r="AC881" s="4">
        <v>2</v>
      </c>
      <c r="AD881" s="4">
        <v>3</v>
      </c>
      <c r="AE881" s="4">
        <v>11</v>
      </c>
      <c r="AF881" s="4">
        <v>0</v>
      </c>
      <c r="AG881" s="4">
        <v>3</v>
      </c>
      <c r="AH881" s="4">
        <v>2</v>
      </c>
      <c r="AI881" s="4">
        <v>3</v>
      </c>
      <c r="AJ881" s="4">
        <v>0</v>
      </c>
      <c r="AK881" s="4">
        <v>6</v>
      </c>
      <c r="AL881" s="4">
        <v>1</v>
      </c>
      <c r="AM881" s="4">
        <v>1</v>
      </c>
      <c r="AN881" s="4">
        <v>0</v>
      </c>
      <c r="AO881" s="4">
        <v>0</v>
      </c>
      <c r="AP881" s="3" t="s">
        <v>59</v>
      </c>
      <c r="AQ881" s="3" t="s">
        <v>71</v>
      </c>
      <c r="AR881" s="6" t="str">
        <f>HYPERLINK("http://catalog.hathitrust.org/Record/000718601","HathiTrust Record")</f>
        <v>HathiTrust Record</v>
      </c>
      <c r="AS881" s="6" t="str">
        <f>HYPERLINK("https://creighton-primo.hosted.exlibrisgroup.com/primo-explore/search?tab=default_tab&amp;search_scope=EVERYTHING&amp;vid=01CRU&amp;lang=en_US&amp;offset=0&amp;query=any,contains,991004914739702656","Catalog Record")</f>
        <v>Catalog Record</v>
      </c>
      <c r="AT881" s="6" t="str">
        <f>HYPERLINK("http://www.worldcat.org/oclc/6015612","WorldCat Record")</f>
        <v>WorldCat Record</v>
      </c>
      <c r="AU881" s="3" t="s">
        <v>11143</v>
      </c>
      <c r="AV881" s="3" t="s">
        <v>11144</v>
      </c>
      <c r="AW881" s="3" t="s">
        <v>11145</v>
      </c>
      <c r="AX881" s="3" t="s">
        <v>11145</v>
      </c>
      <c r="AY881" s="3" t="s">
        <v>11146</v>
      </c>
      <c r="AZ881" s="3" t="s">
        <v>76</v>
      </c>
      <c r="BB881" s="3" t="s">
        <v>11147</v>
      </c>
      <c r="BC881" s="3" t="s">
        <v>11148</v>
      </c>
      <c r="BD881" s="3" t="s">
        <v>11149</v>
      </c>
    </row>
    <row r="882" spans="1:56" ht="52.5" customHeight="1" x14ac:dyDescent="0.25">
      <c r="A882" s="7" t="s">
        <v>59</v>
      </c>
      <c r="B882" s="2" t="s">
        <v>11150</v>
      </c>
      <c r="C882" s="2" t="s">
        <v>11151</v>
      </c>
      <c r="D882" s="2" t="s">
        <v>11152</v>
      </c>
      <c r="F882" s="3" t="s">
        <v>59</v>
      </c>
      <c r="G882" s="3" t="s">
        <v>60</v>
      </c>
      <c r="H882" s="3" t="s">
        <v>59</v>
      </c>
      <c r="I882" s="3" t="s">
        <v>59</v>
      </c>
      <c r="J882" s="3" t="s">
        <v>61</v>
      </c>
      <c r="K882" s="2" t="s">
        <v>5568</v>
      </c>
      <c r="L882" s="2" t="s">
        <v>11153</v>
      </c>
      <c r="M882" s="3" t="s">
        <v>254</v>
      </c>
      <c r="O882" s="3" t="s">
        <v>65</v>
      </c>
      <c r="P882" s="3" t="s">
        <v>296</v>
      </c>
      <c r="R882" s="3" t="s">
        <v>68</v>
      </c>
      <c r="S882" s="4">
        <v>6</v>
      </c>
      <c r="T882" s="4">
        <v>6</v>
      </c>
      <c r="U882" s="5" t="s">
        <v>11154</v>
      </c>
      <c r="V882" s="5" t="s">
        <v>11154</v>
      </c>
      <c r="W882" s="5" t="s">
        <v>7804</v>
      </c>
      <c r="X882" s="5" t="s">
        <v>7804</v>
      </c>
      <c r="Y882" s="4">
        <v>754</v>
      </c>
      <c r="Z882" s="4">
        <v>582</v>
      </c>
      <c r="AA882" s="4">
        <v>585</v>
      </c>
      <c r="AB882" s="4">
        <v>5</v>
      </c>
      <c r="AC882" s="4">
        <v>5</v>
      </c>
      <c r="AD882" s="4">
        <v>34</v>
      </c>
      <c r="AE882" s="4">
        <v>34</v>
      </c>
      <c r="AF882" s="4">
        <v>14</v>
      </c>
      <c r="AG882" s="4">
        <v>14</v>
      </c>
      <c r="AH882" s="4">
        <v>6</v>
      </c>
      <c r="AI882" s="4">
        <v>6</v>
      </c>
      <c r="AJ882" s="4">
        <v>18</v>
      </c>
      <c r="AK882" s="4">
        <v>18</v>
      </c>
      <c r="AL882" s="4">
        <v>4</v>
      </c>
      <c r="AM882" s="4">
        <v>4</v>
      </c>
      <c r="AN882" s="4">
        <v>0</v>
      </c>
      <c r="AO882" s="4">
        <v>0</v>
      </c>
      <c r="AP882" s="3" t="s">
        <v>59</v>
      </c>
      <c r="AQ882" s="3" t="s">
        <v>71</v>
      </c>
      <c r="AR882" s="6" t="str">
        <f>HYPERLINK("http://catalog.hathitrust.org/Record/000425347","HathiTrust Record")</f>
        <v>HathiTrust Record</v>
      </c>
      <c r="AS882" s="6" t="str">
        <f>HYPERLINK("https://creighton-primo.hosted.exlibrisgroup.com/primo-explore/search?tab=default_tab&amp;search_scope=EVERYTHING&amp;vid=01CRU&amp;lang=en_US&amp;offset=0&amp;query=any,contains,991005437169702656","Catalog Record")</f>
        <v>Catalog Record</v>
      </c>
      <c r="AT882" s="6" t="str">
        <f>HYPERLINK("http://www.worldcat.org/oclc/5050","WorldCat Record")</f>
        <v>WorldCat Record</v>
      </c>
      <c r="AU882" s="3" t="s">
        <v>11155</v>
      </c>
      <c r="AV882" s="3" t="s">
        <v>11156</v>
      </c>
      <c r="AW882" s="3" t="s">
        <v>11157</v>
      </c>
      <c r="AX882" s="3" t="s">
        <v>11157</v>
      </c>
      <c r="AY882" s="3" t="s">
        <v>11158</v>
      </c>
      <c r="AZ882" s="3" t="s">
        <v>76</v>
      </c>
      <c r="BC882" s="3" t="s">
        <v>11159</v>
      </c>
      <c r="BD882" s="3" t="s">
        <v>11160</v>
      </c>
    </row>
    <row r="883" spans="1:56" ht="52.5" customHeight="1" x14ac:dyDescent="0.25">
      <c r="A883" s="7" t="s">
        <v>59</v>
      </c>
      <c r="B883" s="2" t="s">
        <v>11161</v>
      </c>
      <c r="C883" s="2" t="s">
        <v>11162</v>
      </c>
      <c r="D883" s="2" t="s">
        <v>11163</v>
      </c>
      <c r="F883" s="3" t="s">
        <v>59</v>
      </c>
      <c r="G883" s="3" t="s">
        <v>60</v>
      </c>
      <c r="H883" s="3" t="s">
        <v>59</v>
      </c>
      <c r="I883" s="3" t="s">
        <v>59</v>
      </c>
      <c r="J883" s="3" t="s">
        <v>61</v>
      </c>
      <c r="K883" s="2" t="s">
        <v>11164</v>
      </c>
      <c r="L883" s="2" t="s">
        <v>7404</v>
      </c>
      <c r="M883" s="3" t="s">
        <v>1163</v>
      </c>
      <c r="O883" s="3" t="s">
        <v>65</v>
      </c>
      <c r="P883" s="3" t="s">
        <v>699</v>
      </c>
      <c r="R883" s="3" t="s">
        <v>68</v>
      </c>
      <c r="S883" s="4">
        <v>2</v>
      </c>
      <c r="T883" s="4">
        <v>2</v>
      </c>
      <c r="U883" s="5" t="s">
        <v>10078</v>
      </c>
      <c r="V883" s="5" t="s">
        <v>10078</v>
      </c>
      <c r="W883" s="5" t="s">
        <v>11054</v>
      </c>
      <c r="X883" s="5" t="s">
        <v>11054</v>
      </c>
      <c r="Y883" s="4">
        <v>556</v>
      </c>
      <c r="Z883" s="4">
        <v>465</v>
      </c>
      <c r="AA883" s="4">
        <v>491</v>
      </c>
      <c r="AB883" s="4">
        <v>4</v>
      </c>
      <c r="AC883" s="4">
        <v>4</v>
      </c>
      <c r="AD883" s="4">
        <v>21</v>
      </c>
      <c r="AE883" s="4">
        <v>21</v>
      </c>
      <c r="AF883" s="4">
        <v>7</v>
      </c>
      <c r="AG883" s="4">
        <v>7</v>
      </c>
      <c r="AH883" s="4">
        <v>4</v>
      </c>
      <c r="AI883" s="4">
        <v>4</v>
      </c>
      <c r="AJ883" s="4">
        <v>11</v>
      </c>
      <c r="AK883" s="4">
        <v>11</v>
      </c>
      <c r="AL883" s="4">
        <v>3</v>
      </c>
      <c r="AM883" s="4">
        <v>3</v>
      </c>
      <c r="AN883" s="4">
        <v>0</v>
      </c>
      <c r="AO883" s="4">
        <v>0</v>
      </c>
      <c r="AP883" s="3" t="s">
        <v>59</v>
      </c>
      <c r="AQ883" s="3" t="s">
        <v>71</v>
      </c>
      <c r="AR883" s="6" t="str">
        <f>HYPERLINK("http://catalog.hathitrust.org/Record/000605153","HathiTrust Record")</f>
        <v>HathiTrust Record</v>
      </c>
      <c r="AS883" s="6" t="str">
        <f>HYPERLINK("https://creighton-primo.hosted.exlibrisgroup.com/primo-explore/search?tab=default_tab&amp;search_scope=EVERYTHING&amp;vid=01CRU&amp;lang=en_US&amp;offset=0&amp;query=any,contains,991000523379702656","Catalog Record")</f>
        <v>Catalog Record</v>
      </c>
      <c r="AT883" s="6" t="str">
        <f>HYPERLINK("http://www.worldcat.org/oclc/11346462","WorldCat Record")</f>
        <v>WorldCat Record</v>
      </c>
      <c r="AU883" s="3" t="s">
        <v>11165</v>
      </c>
      <c r="AV883" s="3" t="s">
        <v>11166</v>
      </c>
      <c r="AW883" s="3" t="s">
        <v>11167</v>
      </c>
      <c r="AX883" s="3" t="s">
        <v>11167</v>
      </c>
      <c r="AY883" s="3" t="s">
        <v>11168</v>
      </c>
      <c r="AZ883" s="3" t="s">
        <v>76</v>
      </c>
      <c r="BB883" s="3" t="s">
        <v>11169</v>
      </c>
      <c r="BC883" s="3" t="s">
        <v>11170</v>
      </c>
      <c r="BD883" s="3" t="s">
        <v>11171</v>
      </c>
    </row>
    <row r="884" spans="1:56" ht="52.5" customHeight="1" x14ac:dyDescent="0.25">
      <c r="A884" s="7" t="s">
        <v>59</v>
      </c>
      <c r="B884" s="2" t="s">
        <v>11172</v>
      </c>
      <c r="C884" s="2" t="s">
        <v>11173</v>
      </c>
      <c r="D884" s="2" t="s">
        <v>11174</v>
      </c>
      <c r="F884" s="3" t="s">
        <v>59</v>
      </c>
      <c r="G884" s="3" t="s">
        <v>60</v>
      </c>
      <c r="H884" s="3" t="s">
        <v>59</v>
      </c>
      <c r="I884" s="3" t="s">
        <v>59</v>
      </c>
      <c r="J884" s="3" t="s">
        <v>61</v>
      </c>
      <c r="K884" s="2" t="s">
        <v>11175</v>
      </c>
      <c r="L884" s="2" t="s">
        <v>11176</v>
      </c>
      <c r="M884" s="3" t="s">
        <v>350</v>
      </c>
      <c r="O884" s="3" t="s">
        <v>65</v>
      </c>
      <c r="P884" s="3" t="s">
        <v>66</v>
      </c>
      <c r="Q884" s="2" t="s">
        <v>11177</v>
      </c>
      <c r="R884" s="3" t="s">
        <v>68</v>
      </c>
      <c r="S884" s="4">
        <v>5</v>
      </c>
      <c r="T884" s="4">
        <v>5</v>
      </c>
      <c r="U884" s="5" t="s">
        <v>11178</v>
      </c>
      <c r="V884" s="5" t="s">
        <v>11178</v>
      </c>
      <c r="W884" s="5" t="s">
        <v>393</v>
      </c>
      <c r="X884" s="5" t="s">
        <v>393</v>
      </c>
      <c r="Y884" s="4">
        <v>421</v>
      </c>
      <c r="Z884" s="4">
        <v>350</v>
      </c>
      <c r="AA884" s="4">
        <v>1080</v>
      </c>
      <c r="AB884" s="4">
        <v>3</v>
      </c>
      <c r="AC884" s="4">
        <v>4</v>
      </c>
      <c r="AD884" s="4">
        <v>15</v>
      </c>
      <c r="AE884" s="4">
        <v>40</v>
      </c>
      <c r="AF884" s="4">
        <v>7</v>
      </c>
      <c r="AG884" s="4">
        <v>16</v>
      </c>
      <c r="AH884" s="4">
        <v>1</v>
      </c>
      <c r="AI884" s="4">
        <v>9</v>
      </c>
      <c r="AJ884" s="4">
        <v>6</v>
      </c>
      <c r="AK884" s="4">
        <v>20</v>
      </c>
      <c r="AL884" s="4">
        <v>2</v>
      </c>
      <c r="AM884" s="4">
        <v>3</v>
      </c>
      <c r="AN884" s="4">
        <v>2</v>
      </c>
      <c r="AO884" s="4">
        <v>2</v>
      </c>
      <c r="AP884" s="3" t="s">
        <v>59</v>
      </c>
      <c r="AQ884" s="3" t="s">
        <v>59</v>
      </c>
      <c r="AS884" s="6" t="str">
        <f>HYPERLINK("https://creighton-primo.hosted.exlibrisgroup.com/primo-explore/search?tab=default_tab&amp;search_scope=EVERYTHING&amp;vid=01CRU&amp;lang=en_US&amp;offset=0&amp;query=any,contains,991004541959702656","Catalog Record")</f>
        <v>Catalog Record</v>
      </c>
      <c r="AT884" s="6" t="str">
        <f>HYPERLINK("http://www.worldcat.org/oclc/3898010","WorldCat Record")</f>
        <v>WorldCat Record</v>
      </c>
      <c r="AU884" s="3" t="s">
        <v>11179</v>
      </c>
      <c r="AV884" s="3" t="s">
        <v>11180</v>
      </c>
      <c r="AW884" s="3" t="s">
        <v>11181</v>
      </c>
      <c r="AX884" s="3" t="s">
        <v>11181</v>
      </c>
      <c r="AY884" s="3" t="s">
        <v>11182</v>
      </c>
      <c r="AZ884" s="3" t="s">
        <v>76</v>
      </c>
      <c r="BB884" s="3" t="s">
        <v>11183</v>
      </c>
      <c r="BC884" s="3" t="s">
        <v>11184</v>
      </c>
      <c r="BD884" s="3" t="s">
        <v>11185</v>
      </c>
    </row>
    <row r="885" spans="1:56" ht="52.5" customHeight="1" x14ac:dyDescent="0.25">
      <c r="A885" s="7" t="s">
        <v>59</v>
      </c>
      <c r="B885" s="2" t="s">
        <v>11186</v>
      </c>
      <c r="C885" s="2" t="s">
        <v>11187</v>
      </c>
      <c r="D885" s="2" t="s">
        <v>11188</v>
      </c>
      <c r="F885" s="3" t="s">
        <v>59</v>
      </c>
      <c r="G885" s="3" t="s">
        <v>60</v>
      </c>
      <c r="H885" s="3" t="s">
        <v>59</v>
      </c>
      <c r="I885" s="3" t="s">
        <v>59</v>
      </c>
      <c r="J885" s="3" t="s">
        <v>61</v>
      </c>
      <c r="K885" s="2" t="s">
        <v>11189</v>
      </c>
      <c r="L885" s="2" t="s">
        <v>11190</v>
      </c>
      <c r="M885" s="3" t="s">
        <v>148</v>
      </c>
      <c r="O885" s="3" t="s">
        <v>65</v>
      </c>
      <c r="P885" s="3" t="s">
        <v>8838</v>
      </c>
      <c r="R885" s="3" t="s">
        <v>68</v>
      </c>
      <c r="S885" s="4">
        <v>6</v>
      </c>
      <c r="T885" s="4">
        <v>6</v>
      </c>
      <c r="U885" s="5" t="s">
        <v>11191</v>
      </c>
      <c r="V885" s="5" t="s">
        <v>11191</v>
      </c>
      <c r="W885" s="5" t="s">
        <v>5260</v>
      </c>
      <c r="X885" s="5" t="s">
        <v>5260</v>
      </c>
      <c r="Y885" s="4">
        <v>466</v>
      </c>
      <c r="Z885" s="4">
        <v>426</v>
      </c>
      <c r="AA885" s="4">
        <v>474</v>
      </c>
      <c r="AB885" s="4">
        <v>1</v>
      </c>
      <c r="AC885" s="4">
        <v>2</v>
      </c>
      <c r="AD885" s="4">
        <v>18</v>
      </c>
      <c r="AE885" s="4">
        <v>21</v>
      </c>
      <c r="AF885" s="4">
        <v>7</v>
      </c>
      <c r="AG885" s="4">
        <v>8</v>
      </c>
      <c r="AH885" s="4">
        <v>6</v>
      </c>
      <c r="AI885" s="4">
        <v>6</v>
      </c>
      <c r="AJ885" s="4">
        <v>11</v>
      </c>
      <c r="AK885" s="4">
        <v>12</v>
      </c>
      <c r="AL885" s="4">
        <v>0</v>
      </c>
      <c r="AM885" s="4">
        <v>1</v>
      </c>
      <c r="AN885" s="4">
        <v>0</v>
      </c>
      <c r="AO885" s="4">
        <v>0</v>
      </c>
      <c r="AP885" s="3" t="s">
        <v>59</v>
      </c>
      <c r="AQ885" s="3" t="s">
        <v>71</v>
      </c>
      <c r="AR885" s="6" t="str">
        <f>HYPERLINK("http://catalog.hathitrust.org/Record/007478792","HathiTrust Record")</f>
        <v>HathiTrust Record</v>
      </c>
      <c r="AS885" s="6" t="str">
        <f>HYPERLINK("https://creighton-primo.hosted.exlibrisgroup.com/primo-explore/search?tab=default_tab&amp;search_scope=EVERYTHING&amp;vid=01CRU&amp;lang=en_US&amp;offset=0&amp;query=any,contains,991004194089702656","Catalog Record")</f>
        <v>Catalog Record</v>
      </c>
      <c r="AT885" s="6" t="str">
        <f>HYPERLINK("http://www.worldcat.org/oclc/2639529","WorldCat Record")</f>
        <v>WorldCat Record</v>
      </c>
      <c r="AU885" s="3" t="s">
        <v>11192</v>
      </c>
      <c r="AV885" s="3" t="s">
        <v>11193</v>
      </c>
      <c r="AW885" s="3" t="s">
        <v>11194</v>
      </c>
      <c r="AX885" s="3" t="s">
        <v>11194</v>
      </c>
      <c r="AY885" s="3" t="s">
        <v>11195</v>
      </c>
      <c r="AZ885" s="3" t="s">
        <v>76</v>
      </c>
      <c r="BB885" s="3" t="s">
        <v>11196</v>
      </c>
      <c r="BC885" s="3" t="s">
        <v>11197</v>
      </c>
      <c r="BD885" s="3" t="s">
        <v>11198</v>
      </c>
    </row>
    <row r="886" spans="1:56" ht="52.5" customHeight="1" x14ac:dyDescent="0.25">
      <c r="A886" s="7" t="s">
        <v>59</v>
      </c>
      <c r="B886" s="2" t="s">
        <v>11199</v>
      </c>
      <c r="C886" s="2" t="s">
        <v>11200</v>
      </c>
      <c r="D886" s="2" t="s">
        <v>11201</v>
      </c>
      <c r="F886" s="3" t="s">
        <v>59</v>
      </c>
      <c r="G886" s="3" t="s">
        <v>60</v>
      </c>
      <c r="H886" s="3" t="s">
        <v>59</v>
      </c>
      <c r="I886" s="3" t="s">
        <v>59</v>
      </c>
      <c r="J886" s="3" t="s">
        <v>61</v>
      </c>
      <c r="K886" s="2" t="s">
        <v>11202</v>
      </c>
      <c r="L886" s="2" t="s">
        <v>11203</v>
      </c>
      <c r="M886" s="3" t="s">
        <v>3897</v>
      </c>
      <c r="O886" s="3" t="s">
        <v>65</v>
      </c>
      <c r="P886" s="3" t="s">
        <v>771</v>
      </c>
      <c r="R886" s="3" t="s">
        <v>68</v>
      </c>
      <c r="S886" s="4">
        <v>1</v>
      </c>
      <c r="T886" s="4">
        <v>1</v>
      </c>
      <c r="U886" s="5" t="s">
        <v>10078</v>
      </c>
      <c r="V886" s="5" t="s">
        <v>10078</v>
      </c>
      <c r="W886" s="5" t="s">
        <v>3041</v>
      </c>
      <c r="X886" s="5" t="s">
        <v>3041</v>
      </c>
      <c r="Y886" s="4">
        <v>228</v>
      </c>
      <c r="Z886" s="4">
        <v>196</v>
      </c>
      <c r="AA886" s="4">
        <v>198</v>
      </c>
      <c r="AB886" s="4">
        <v>2</v>
      </c>
      <c r="AC886" s="4">
        <v>2</v>
      </c>
      <c r="AD886" s="4">
        <v>12</v>
      </c>
      <c r="AE886" s="4">
        <v>12</v>
      </c>
      <c r="AF886" s="4">
        <v>4</v>
      </c>
      <c r="AG886" s="4">
        <v>4</v>
      </c>
      <c r="AH886" s="4">
        <v>3</v>
      </c>
      <c r="AI886" s="4">
        <v>3</v>
      </c>
      <c r="AJ886" s="4">
        <v>7</v>
      </c>
      <c r="AK886" s="4">
        <v>7</v>
      </c>
      <c r="AL886" s="4">
        <v>1</v>
      </c>
      <c r="AM886" s="4">
        <v>1</v>
      </c>
      <c r="AN886" s="4">
        <v>0</v>
      </c>
      <c r="AO886" s="4">
        <v>0</v>
      </c>
      <c r="AP886" s="3" t="s">
        <v>59</v>
      </c>
      <c r="AQ886" s="3" t="s">
        <v>71</v>
      </c>
      <c r="AR886" s="6" t="str">
        <f>HYPERLINK("http://catalog.hathitrust.org/Record/003985688","HathiTrust Record")</f>
        <v>HathiTrust Record</v>
      </c>
      <c r="AS886" s="6" t="str">
        <f>HYPERLINK("https://creighton-primo.hosted.exlibrisgroup.com/primo-explore/search?tab=default_tab&amp;search_scope=EVERYTHING&amp;vid=01CRU&amp;lang=en_US&amp;offset=0&amp;query=any,contains,991002898929702656","Catalog Record")</f>
        <v>Catalog Record</v>
      </c>
      <c r="AT886" s="6" t="str">
        <f>HYPERLINK("http://www.worldcat.org/oclc/38215587","WorldCat Record")</f>
        <v>WorldCat Record</v>
      </c>
      <c r="AU886" s="3" t="s">
        <v>11204</v>
      </c>
      <c r="AV886" s="3" t="s">
        <v>11205</v>
      </c>
      <c r="AW886" s="3" t="s">
        <v>11206</v>
      </c>
      <c r="AX886" s="3" t="s">
        <v>11206</v>
      </c>
      <c r="AY886" s="3" t="s">
        <v>11207</v>
      </c>
      <c r="AZ886" s="3" t="s">
        <v>76</v>
      </c>
      <c r="BB886" s="3" t="s">
        <v>11208</v>
      </c>
      <c r="BC886" s="3" t="s">
        <v>11209</v>
      </c>
      <c r="BD886" s="3" t="s">
        <v>11210</v>
      </c>
    </row>
    <row r="887" spans="1:56" ht="52.5" customHeight="1" x14ac:dyDescent="0.25">
      <c r="A887" s="7" t="s">
        <v>59</v>
      </c>
      <c r="B887" s="2" t="s">
        <v>11211</v>
      </c>
      <c r="C887" s="2" t="s">
        <v>11212</v>
      </c>
      <c r="D887" s="2" t="s">
        <v>11213</v>
      </c>
      <c r="F887" s="3" t="s">
        <v>59</v>
      </c>
      <c r="G887" s="3" t="s">
        <v>60</v>
      </c>
      <c r="H887" s="3" t="s">
        <v>59</v>
      </c>
      <c r="I887" s="3" t="s">
        <v>59</v>
      </c>
      <c r="J887" s="3" t="s">
        <v>61</v>
      </c>
      <c r="K887" s="2" t="s">
        <v>11214</v>
      </c>
      <c r="L887" s="2" t="s">
        <v>11215</v>
      </c>
      <c r="M887" s="3" t="s">
        <v>514</v>
      </c>
      <c r="O887" s="3" t="s">
        <v>65</v>
      </c>
      <c r="P887" s="3" t="s">
        <v>420</v>
      </c>
      <c r="Q887" s="2" t="s">
        <v>11216</v>
      </c>
      <c r="R887" s="3" t="s">
        <v>68</v>
      </c>
      <c r="S887" s="4">
        <v>4</v>
      </c>
      <c r="T887" s="4">
        <v>4</v>
      </c>
      <c r="U887" s="5" t="s">
        <v>11217</v>
      </c>
      <c r="V887" s="5" t="s">
        <v>11217</v>
      </c>
      <c r="W887" s="5" t="s">
        <v>8643</v>
      </c>
      <c r="X887" s="5" t="s">
        <v>8643</v>
      </c>
      <c r="Y887" s="4">
        <v>1045</v>
      </c>
      <c r="Z887" s="4">
        <v>878</v>
      </c>
      <c r="AA887" s="4">
        <v>882</v>
      </c>
      <c r="AB887" s="4">
        <v>7</v>
      </c>
      <c r="AC887" s="4">
        <v>7</v>
      </c>
      <c r="AD887" s="4">
        <v>45</v>
      </c>
      <c r="AE887" s="4">
        <v>45</v>
      </c>
      <c r="AF887" s="4">
        <v>21</v>
      </c>
      <c r="AG887" s="4">
        <v>21</v>
      </c>
      <c r="AH887" s="4">
        <v>7</v>
      </c>
      <c r="AI887" s="4">
        <v>7</v>
      </c>
      <c r="AJ887" s="4">
        <v>22</v>
      </c>
      <c r="AK887" s="4">
        <v>22</v>
      </c>
      <c r="AL887" s="4">
        <v>6</v>
      </c>
      <c r="AM887" s="4">
        <v>6</v>
      </c>
      <c r="AN887" s="4">
        <v>0</v>
      </c>
      <c r="AO887" s="4">
        <v>0</v>
      </c>
      <c r="AP887" s="3" t="s">
        <v>59</v>
      </c>
      <c r="AQ887" s="3" t="s">
        <v>59</v>
      </c>
      <c r="AS887" s="6" t="str">
        <f>HYPERLINK("https://creighton-primo.hosted.exlibrisgroup.com/primo-explore/search?tab=default_tab&amp;search_scope=EVERYTHING&amp;vid=01CRU&amp;lang=en_US&amp;offset=0&amp;query=any,contains,991001764119702656","Catalog Record")</f>
        <v>Catalog Record</v>
      </c>
      <c r="AT887" s="6" t="str">
        <f>HYPERLINK("http://www.worldcat.org/oclc/236215","WorldCat Record")</f>
        <v>WorldCat Record</v>
      </c>
      <c r="AU887" s="3" t="s">
        <v>11218</v>
      </c>
      <c r="AV887" s="3" t="s">
        <v>11219</v>
      </c>
      <c r="AW887" s="3" t="s">
        <v>11220</v>
      </c>
      <c r="AX887" s="3" t="s">
        <v>11220</v>
      </c>
      <c r="AY887" s="3" t="s">
        <v>11221</v>
      </c>
      <c r="AZ887" s="3" t="s">
        <v>76</v>
      </c>
      <c r="BB887" s="3" t="s">
        <v>11222</v>
      </c>
      <c r="BC887" s="3" t="s">
        <v>11223</v>
      </c>
      <c r="BD887" s="3" t="s">
        <v>11224</v>
      </c>
    </row>
    <row r="888" spans="1:56" ht="52.5" customHeight="1" x14ac:dyDescent="0.25">
      <c r="A888" s="7" t="s">
        <v>59</v>
      </c>
      <c r="B888" s="2" t="s">
        <v>11225</v>
      </c>
      <c r="C888" s="2" t="s">
        <v>11226</v>
      </c>
      <c r="D888" s="2" t="s">
        <v>11227</v>
      </c>
      <c r="F888" s="3" t="s">
        <v>59</v>
      </c>
      <c r="G888" s="3" t="s">
        <v>60</v>
      </c>
      <c r="H888" s="3" t="s">
        <v>59</v>
      </c>
      <c r="I888" s="3" t="s">
        <v>59</v>
      </c>
      <c r="J888" s="3" t="s">
        <v>61</v>
      </c>
      <c r="K888" s="2" t="s">
        <v>11228</v>
      </c>
      <c r="L888" s="2" t="s">
        <v>11229</v>
      </c>
      <c r="M888" s="3" t="s">
        <v>131</v>
      </c>
      <c r="O888" s="3" t="s">
        <v>65</v>
      </c>
      <c r="P888" s="3" t="s">
        <v>420</v>
      </c>
      <c r="R888" s="3" t="s">
        <v>68</v>
      </c>
      <c r="S888" s="4">
        <v>13</v>
      </c>
      <c r="T888" s="4">
        <v>13</v>
      </c>
      <c r="U888" s="5" t="s">
        <v>11230</v>
      </c>
      <c r="V888" s="5" t="s">
        <v>11230</v>
      </c>
      <c r="W888" s="5" t="s">
        <v>9570</v>
      </c>
      <c r="X888" s="5" t="s">
        <v>9570</v>
      </c>
      <c r="Y888" s="4">
        <v>1442</v>
      </c>
      <c r="Z888" s="4">
        <v>1220</v>
      </c>
      <c r="AA888" s="4">
        <v>1227</v>
      </c>
      <c r="AB888" s="4">
        <v>11</v>
      </c>
      <c r="AC888" s="4">
        <v>11</v>
      </c>
      <c r="AD888" s="4">
        <v>51</v>
      </c>
      <c r="AE888" s="4">
        <v>51</v>
      </c>
      <c r="AF888" s="4">
        <v>23</v>
      </c>
      <c r="AG888" s="4">
        <v>23</v>
      </c>
      <c r="AH888" s="4">
        <v>9</v>
      </c>
      <c r="AI888" s="4">
        <v>9</v>
      </c>
      <c r="AJ888" s="4">
        <v>23</v>
      </c>
      <c r="AK888" s="4">
        <v>23</v>
      </c>
      <c r="AL888" s="4">
        <v>8</v>
      </c>
      <c r="AM888" s="4">
        <v>8</v>
      </c>
      <c r="AN888" s="4">
        <v>0</v>
      </c>
      <c r="AO888" s="4">
        <v>0</v>
      </c>
      <c r="AP888" s="3" t="s">
        <v>59</v>
      </c>
      <c r="AQ888" s="3" t="s">
        <v>59</v>
      </c>
      <c r="AS888" s="6" t="str">
        <f>HYPERLINK("https://creighton-primo.hosted.exlibrisgroup.com/primo-explore/search?tab=default_tab&amp;search_scope=EVERYTHING&amp;vid=01CRU&amp;lang=en_US&amp;offset=0&amp;query=any,contains,991003579219702656","Catalog Record")</f>
        <v>Catalog Record</v>
      </c>
      <c r="AT888" s="6" t="str">
        <f>HYPERLINK("http://www.worldcat.org/oclc/1160097","WorldCat Record")</f>
        <v>WorldCat Record</v>
      </c>
      <c r="AU888" s="3" t="s">
        <v>11231</v>
      </c>
      <c r="AV888" s="3" t="s">
        <v>11232</v>
      </c>
      <c r="AW888" s="3" t="s">
        <v>11233</v>
      </c>
      <c r="AX888" s="3" t="s">
        <v>11233</v>
      </c>
      <c r="AY888" s="3" t="s">
        <v>11234</v>
      </c>
      <c r="AZ888" s="3" t="s">
        <v>76</v>
      </c>
      <c r="BB888" s="3" t="s">
        <v>11235</v>
      </c>
      <c r="BC888" s="3" t="s">
        <v>11236</v>
      </c>
      <c r="BD888" s="3" t="s">
        <v>11237</v>
      </c>
    </row>
    <row r="889" spans="1:56" ht="52.5" customHeight="1" x14ac:dyDescent="0.25">
      <c r="A889" s="7" t="s">
        <v>59</v>
      </c>
      <c r="B889" s="2" t="s">
        <v>11238</v>
      </c>
      <c r="C889" s="2" t="s">
        <v>11239</v>
      </c>
      <c r="D889" s="2" t="s">
        <v>11240</v>
      </c>
      <c r="F889" s="3" t="s">
        <v>59</v>
      </c>
      <c r="G889" s="3" t="s">
        <v>60</v>
      </c>
      <c r="H889" s="3" t="s">
        <v>59</v>
      </c>
      <c r="I889" s="3" t="s">
        <v>59</v>
      </c>
      <c r="J889" s="3" t="s">
        <v>61</v>
      </c>
      <c r="K889" s="2" t="s">
        <v>11241</v>
      </c>
      <c r="L889" s="2" t="s">
        <v>11242</v>
      </c>
      <c r="M889" s="3" t="s">
        <v>3780</v>
      </c>
      <c r="O889" s="3" t="s">
        <v>65</v>
      </c>
      <c r="P889" s="3" t="s">
        <v>66</v>
      </c>
      <c r="R889" s="3" t="s">
        <v>68</v>
      </c>
      <c r="S889" s="4">
        <v>4</v>
      </c>
      <c r="T889" s="4">
        <v>4</v>
      </c>
      <c r="U889" s="5" t="s">
        <v>11243</v>
      </c>
      <c r="V889" s="5" t="s">
        <v>11243</v>
      </c>
      <c r="W889" s="5" t="s">
        <v>11244</v>
      </c>
      <c r="X889" s="5" t="s">
        <v>11244</v>
      </c>
      <c r="Y889" s="4">
        <v>1458</v>
      </c>
      <c r="Z889" s="4">
        <v>1333</v>
      </c>
      <c r="AA889" s="4">
        <v>1536</v>
      </c>
      <c r="AB889" s="4">
        <v>12</v>
      </c>
      <c r="AC889" s="4">
        <v>14</v>
      </c>
      <c r="AD889" s="4">
        <v>49</v>
      </c>
      <c r="AE889" s="4">
        <v>50</v>
      </c>
      <c r="AF889" s="4">
        <v>19</v>
      </c>
      <c r="AG889" s="4">
        <v>20</v>
      </c>
      <c r="AH889" s="4">
        <v>10</v>
      </c>
      <c r="AI889" s="4">
        <v>10</v>
      </c>
      <c r="AJ889" s="4">
        <v>19</v>
      </c>
      <c r="AK889" s="4">
        <v>19</v>
      </c>
      <c r="AL889" s="4">
        <v>7</v>
      </c>
      <c r="AM889" s="4">
        <v>7</v>
      </c>
      <c r="AN889" s="4">
        <v>3</v>
      </c>
      <c r="AO889" s="4">
        <v>3</v>
      </c>
      <c r="AP889" s="3" t="s">
        <v>59</v>
      </c>
      <c r="AQ889" s="3" t="s">
        <v>71</v>
      </c>
      <c r="AR889" s="6" t="str">
        <f>HYPERLINK("http://catalog.hathitrust.org/Record/000429263","HathiTrust Record")</f>
        <v>HathiTrust Record</v>
      </c>
      <c r="AS889" s="6" t="str">
        <f>HYPERLINK("https://creighton-primo.hosted.exlibrisgroup.com/primo-explore/search?tab=default_tab&amp;search_scope=EVERYTHING&amp;vid=01CRU&amp;lang=en_US&amp;offset=0&amp;query=any,contains,991001231359702656","Catalog Record")</f>
        <v>Catalog Record</v>
      </c>
      <c r="AT889" s="6" t="str">
        <f>HYPERLINK("http://www.worldcat.org/oclc/203707","WorldCat Record")</f>
        <v>WorldCat Record</v>
      </c>
      <c r="AU889" s="3" t="s">
        <v>11245</v>
      </c>
      <c r="AV889" s="3" t="s">
        <v>11246</v>
      </c>
      <c r="AW889" s="3" t="s">
        <v>11247</v>
      </c>
      <c r="AX889" s="3" t="s">
        <v>11247</v>
      </c>
      <c r="AY889" s="3" t="s">
        <v>11248</v>
      </c>
      <c r="AZ889" s="3" t="s">
        <v>76</v>
      </c>
      <c r="BC889" s="3" t="s">
        <v>11249</v>
      </c>
      <c r="BD889" s="3" t="s">
        <v>11250</v>
      </c>
    </row>
    <row r="890" spans="1:56" ht="52.5" customHeight="1" x14ac:dyDescent="0.25">
      <c r="A890" s="7" t="s">
        <v>59</v>
      </c>
      <c r="B890" s="2" t="s">
        <v>11251</v>
      </c>
      <c r="C890" s="2" t="s">
        <v>11252</v>
      </c>
      <c r="D890" s="2" t="s">
        <v>11253</v>
      </c>
      <c r="F890" s="3" t="s">
        <v>59</v>
      </c>
      <c r="G890" s="3" t="s">
        <v>60</v>
      </c>
      <c r="H890" s="3" t="s">
        <v>59</v>
      </c>
      <c r="I890" s="3" t="s">
        <v>59</v>
      </c>
      <c r="J890" s="3" t="s">
        <v>61</v>
      </c>
      <c r="K890" s="2" t="s">
        <v>11254</v>
      </c>
      <c r="L890" s="2" t="s">
        <v>11255</v>
      </c>
      <c r="M890" s="3" t="s">
        <v>115</v>
      </c>
      <c r="O890" s="3" t="s">
        <v>65</v>
      </c>
      <c r="P890" s="3" t="s">
        <v>66</v>
      </c>
      <c r="Q890" s="2" t="s">
        <v>11256</v>
      </c>
      <c r="R890" s="3" t="s">
        <v>68</v>
      </c>
      <c r="S890" s="4">
        <v>1</v>
      </c>
      <c r="T890" s="4">
        <v>1</v>
      </c>
      <c r="U890" s="5" t="s">
        <v>7433</v>
      </c>
      <c r="V890" s="5" t="s">
        <v>7433</v>
      </c>
      <c r="W890" s="5" t="s">
        <v>11257</v>
      </c>
      <c r="X890" s="5" t="s">
        <v>11257</v>
      </c>
      <c r="Y890" s="4">
        <v>447</v>
      </c>
      <c r="Z890" s="4">
        <v>347</v>
      </c>
      <c r="AA890" s="4">
        <v>354</v>
      </c>
      <c r="AB890" s="4">
        <v>3</v>
      </c>
      <c r="AC890" s="4">
        <v>3</v>
      </c>
      <c r="AD890" s="4">
        <v>9</v>
      </c>
      <c r="AE890" s="4">
        <v>9</v>
      </c>
      <c r="AF890" s="4">
        <v>2</v>
      </c>
      <c r="AG890" s="4">
        <v>2</v>
      </c>
      <c r="AH890" s="4">
        <v>3</v>
      </c>
      <c r="AI890" s="4">
        <v>3</v>
      </c>
      <c r="AJ890" s="4">
        <v>6</v>
      </c>
      <c r="AK890" s="4">
        <v>6</v>
      </c>
      <c r="AL890" s="4">
        <v>2</v>
      </c>
      <c r="AM890" s="4">
        <v>2</v>
      </c>
      <c r="AN890" s="4">
        <v>0</v>
      </c>
      <c r="AO890" s="4">
        <v>0</v>
      </c>
      <c r="AP890" s="3" t="s">
        <v>59</v>
      </c>
      <c r="AQ890" s="3" t="s">
        <v>71</v>
      </c>
      <c r="AR890" s="6" t="str">
        <f>HYPERLINK("http://catalog.hathitrust.org/Record/000425222","HathiTrust Record")</f>
        <v>HathiTrust Record</v>
      </c>
      <c r="AS890" s="6" t="str">
        <f>HYPERLINK("https://creighton-primo.hosted.exlibrisgroup.com/primo-explore/search?tab=default_tab&amp;search_scope=EVERYTHING&amp;vid=01CRU&amp;lang=en_US&amp;offset=0&amp;query=any,contains,991001928219702656","Catalog Record")</f>
        <v>Catalog Record</v>
      </c>
      <c r="AT890" s="6" t="str">
        <f>HYPERLINK("http://www.worldcat.org/oclc/247790","WorldCat Record")</f>
        <v>WorldCat Record</v>
      </c>
      <c r="AU890" s="3" t="s">
        <v>11258</v>
      </c>
      <c r="AV890" s="3" t="s">
        <v>11259</v>
      </c>
      <c r="AW890" s="3" t="s">
        <v>11260</v>
      </c>
      <c r="AX890" s="3" t="s">
        <v>11260</v>
      </c>
      <c r="AY890" s="3" t="s">
        <v>11261</v>
      </c>
      <c r="AZ890" s="3" t="s">
        <v>76</v>
      </c>
      <c r="BB890" s="3" t="s">
        <v>11262</v>
      </c>
      <c r="BC890" s="3" t="s">
        <v>11263</v>
      </c>
      <c r="BD890" s="3" t="s">
        <v>11264</v>
      </c>
    </row>
    <row r="891" spans="1:56" ht="52.5" customHeight="1" x14ac:dyDescent="0.25">
      <c r="A891" s="7" t="s">
        <v>59</v>
      </c>
      <c r="B891" s="2" t="s">
        <v>11265</v>
      </c>
      <c r="C891" s="2" t="s">
        <v>11266</v>
      </c>
      <c r="D891" s="2" t="s">
        <v>11267</v>
      </c>
      <c r="F891" s="3" t="s">
        <v>59</v>
      </c>
      <c r="G891" s="3" t="s">
        <v>60</v>
      </c>
      <c r="H891" s="3" t="s">
        <v>59</v>
      </c>
      <c r="I891" s="3" t="s">
        <v>59</v>
      </c>
      <c r="J891" s="3" t="s">
        <v>61</v>
      </c>
      <c r="L891" s="2" t="s">
        <v>9621</v>
      </c>
      <c r="M891" s="3" t="s">
        <v>405</v>
      </c>
      <c r="O891" s="3" t="s">
        <v>65</v>
      </c>
      <c r="P891" s="3" t="s">
        <v>420</v>
      </c>
      <c r="Q891" s="2" t="s">
        <v>11268</v>
      </c>
      <c r="R891" s="3" t="s">
        <v>68</v>
      </c>
      <c r="S891" s="4">
        <v>9</v>
      </c>
      <c r="T891" s="4">
        <v>9</v>
      </c>
      <c r="U891" s="5" t="s">
        <v>11269</v>
      </c>
      <c r="V891" s="5" t="s">
        <v>11269</v>
      </c>
      <c r="W891" s="5" t="s">
        <v>5949</v>
      </c>
      <c r="X891" s="5" t="s">
        <v>5949</v>
      </c>
      <c r="Y891" s="4">
        <v>452</v>
      </c>
      <c r="Z891" s="4">
        <v>324</v>
      </c>
      <c r="AA891" s="4">
        <v>332</v>
      </c>
      <c r="AB891" s="4">
        <v>3</v>
      </c>
      <c r="AC891" s="4">
        <v>3</v>
      </c>
      <c r="AD891" s="4">
        <v>17</v>
      </c>
      <c r="AE891" s="4">
        <v>17</v>
      </c>
      <c r="AF891" s="4">
        <v>4</v>
      </c>
      <c r="AG891" s="4">
        <v>4</v>
      </c>
      <c r="AH891" s="4">
        <v>4</v>
      </c>
      <c r="AI891" s="4">
        <v>4</v>
      </c>
      <c r="AJ891" s="4">
        <v>11</v>
      </c>
      <c r="AK891" s="4">
        <v>11</v>
      </c>
      <c r="AL891" s="4">
        <v>2</v>
      </c>
      <c r="AM891" s="4">
        <v>2</v>
      </c>
      <c r="AN891" s="4">
        <v>1</v>
      </c>
      <c r="AO891" s="4">
        <v>1</v>
      </c>
      <c r="AP891" s="3" t="s">
        <v>59</v>
      </c>
      <c r="AQ891" s="3" t="s">
        <v>59</v>
      </c>
      <c r="AS891" s="6" t="str">
        <f>HYPERLINK("https://creighton-primo.hosted.exlibrisgroup.com/primo-explore/search?tab=default_tab&amp;search_scope=EVERYTHING&amp;vid=01CRU&amp;lang=en_US&amp;offset=0&amp;query=any,contains,991001002069702656","Catalog Record")</f>
        <v>Catalog Record</v>
      </c>
      <c r="AT891" s="6" t="str">
        <f>HYPERLINK("http://www.worldcat.org/oclc/18882379","WorldCat Record")</f>
        <v>WorldCat Record</v>
      </c>
      <c r="AU891" s="3" t="s">
        <v>11270</v>
      </c>
      <c r="AV891" s="3" t="s">
        <v>11271</v>
      </c>
      <c r="AW891" s="3" t="s">
        <v>11272</v>
      </c>
      <c r="AX891" s="3" t="s">
        <v>11272</v>
      </c>
      <c r="AY891" s="3" t="s">
        <v>11273</v>
      </c>
      <c r="AZ891" s="3" t="s">
        <v>76</v>
      </c>
      <c r="BB891" s="3" t="s">
        <v>11274</v>
      </c>
      <c r="BC891" s="3" t="s">
        <v>11275</v>
      </c>
      <c r="BD891" s="3" t="s">
        <v>11276</v>
      </c>
    </row>
    <row r="892" spans="1:56" ht="52.5" customHeight="1" x14ac:dyDescent="0.25">
      <c r="A892" s="7" t="s">
        <v>59</v>
      </c>
      <c r="B892" s="2" t="s">
        <v>11277</v>
      </c>
      <c r="C892" s="2" t="s">
        <v>11278</v>
      </c>
      <c r="D892" s="2" t="s">
        <v>11279</v>
      </c>
      <c r="F892" s="3" t="s">
        <v>59</v>
      </c>
      <c r="G892" s="3" t="s">
        <v>60</v>
      </c>
      <c r="H892" s="3" t="s">
        <v>59</v>
      </c>
      <c r="I892" s="3" t="s">
        <v>59</v>
      </c>
      <c r="J892" s="3" t="s">
        <v>61</v>
      </c>
      <c r="K892" s="2" t="s">
        <v>11280</v>
      </c>
      <c r="L892" s="2" t="s">
        <v>11281</v>
      </c>
      <c r="M892" s="3" t="s">
        <v>1015</v>
      </c>
      <c r="N892" s="2" t="s">
        <v>671</v>
      </c>
      <c r="O892" s="3" t="s">
        <v>65</v>
      </c>
      <c r="P892" s="3" t="s">
        <v>66</v>
      </c>
      <c r="R892" s="3" t="s">
        <v>68</v>
      </c>
      <c r="S892" s="4">
        <v>4</v>
      </c>
      <c r="T892" s="4">
        <v>4</v>
      </c>
      <c r="U892" s="5" t="s">
        <v>150</v>
      </c>
      <c r="V892" s="5" t="s">
        <v>150</v>
      </c>
      <c r="W892" s="5" t="s">
        <v>11257</v>
      </c>
      <c r="X892" s="5" t="s">
        <v>11257</v>
      </c>
      <c r="Y892" s="4">
        <v>247</v>
      </c>
      <c r="Z892" s="4">
        <v>220</v>
      </c>
      <c r="AA892" s="4">
        <v>293</v>
      </c>
      <c r="AB892" s="4">
        <v>1</v>
      </c>
      <c r="AC892" s="4">
        <v>1</v>
      </c>
      <c r="AD892" s="4">
        <v>10</v>
      </c>
      <c r="AE892" s="4">
        <v>11</v>
      </c>
      <c r="AF892" s="4">
        <v>3</v>
      </c>
      <c r="AG892" s="4">
        <v>3</v>
      </c>
      <c r="AH892" s="4">
        <v>2</v>
      </c>
      <c r="AI892" s="4">
        <v>2</v>
      </c>
      <c r="AJ892" s="4">
        <v>8</v>
      </c>
      <c r="AK892" s="4">
        <v>9</v>
      </c>
      <c r="AL892" s="4">
        <v>0</v>
      </c>
      <c r="AM892" s="4">
        <v>0</v>
      </c>
      <c r="AN892" s="4">
        <v>0</v>
      </c>
      <c r="AO892" s="4">
        <v>0</v>
      </c>
      <c r="AP892" s="3" t="s">
        <v>59</v>
      </c>
      <c r="AQ892" s="3" t="s">
        <v>71</v>
      </c>
      <c r="AR892" s="6" t="str">
        <f>HYPERLINK("http://catalog.hathitrust.org/Record/000425735","HathiTrust Record")</f>
        <v>HathiTrust Record</v>
      </c>
      <c r="AS892" s="6" t="str">
        <f>HYPERLINK("https://creighton-primo.hosted.exlibrisgroup.com/primo-explore/search?tab=default_tab&amp;search_scope=EVERYTHING&amp;vid=01CRU&amp;lang=en_US&amp;offset=0&amp;query=any,contains,991002788439702656","Catalog Record")</f>
        <v>Catalog Record</v>
      </c>
      <c r="AT892" s="6" t="str">
        <f>HYPERLINK("http://www.worldcat.org/oclc/442536","WorldCat Record")</f>
        <v>WorldCat Record</v>
      </c>
      <c r="AU892" s="3" t="s">
        <v>11282</v>
      </c>
      <c r="AV892" s="3" t="s">
        <v>11283</v>
      </c>
      <c r="AW892" s="3" t="s">
        <v>11284</v>
      </c>
      <c r="AX892" s="3" t="s">
        <v>11284</v>
      </c>
      <c r="AY892" s="3" t="s">
        <v>11285</v>
      </c>
      <c r="AZ892" s="3" t="s">
        <v>76</v>
      </c>
      <c r="BC892" s="3" t="s">
        <v>11286</v>
      </c>
      <c r="BD892" s="3" t="s">
        <v>11287</v>
      </c>
    </row>
    <row r="893" spans="1:56" ht="52.5" customHeight="1" x14ac:dyDescent="0.25">
      <c r="A893" s="7" t="s">
        <v>59</v>
      </c>
      <c r="B893" s="2" t="s">
        <v>11288</v>
      </c>
      <c r="C893" s="2" t="s">
        <v>11289</v>
      </c>
      <c r="D893" s="2" t="s">
        <v>11290</v>
      </c>
      <c r="F893" s="3" t="s">
        <v>59</v>
      </c>
      <c r="G893" s="3" t="s">
        <v>60</v>
      </c>
      <c r="H893" s="3" t="s">
        <v>59</v>
      </c>
      <c r="I893" s="3" t="s">
        <v>59</v>
      </c>
      <c r="J893" s="3" t="s">
        <v>61</v>
      </c>
      <c r="K893" s="2" t="s">
        <v>11291</v>
      </c>
      <c r="L893" s="2" t="s">
        <v>11292</v>
      </c>
      <c r="M893" s="3" t="s">
        <v>295</v>
      </c>
      <c r="O893" s="3" t="s">
        <v>65</v>
      </c>
      <c r="P893" s="3" t="s">
        <v>66</v>
      </c>
      <c r="R893" s="3" t="s">
        <v>68</v>
      </c>
      <c r="S893" s="4">
        <v>1</v>
      </c>
      <c r="T893" s="4">
        <v>1</v>
      </c>
      <c r="U893" s="5" t="s">
        <v>11293</v>
      </c>
      <c r="V893" s="5" t="s">
        <v>11293</v>
      </c>
      <c r="W893" s="5" t="s">
        <v>11294</v>
      </c>
      <c r="X893" s="5" t="s">
        <v>11294</v>
      </c>
      <c r="Y893" s="4">
        <v>450</v>
      </c>
      <c r="Z893" s="4">
        <v>403</v>
      </c>
      <c r="AA893" s="4">
        <v>574</v>
      </c>
      <c r="AB893" s="4">
        <v>4</v>
      </c>
      <c r="AC893" s="4">
        <v>4</v>
      </c>
      <c r="AD893" s="4">
        <v>29</v>
      </c>
      <c r="AE893" s="4">
        <v>34</v>
      </c>
      <c r="AF893" s="4">
        <v>9</v>
      </c>
      <c r="AG893" s="4">
        <v>13</v>
      </c>
      <c r="AH893" s="4">
        <v>10</v>
      </c>
      <c r="AI893" s="4">
        <v>10</v>
      </c>
      <c r="AJ893" s="4">
        <v>19</v>
      </c>
      <c r="AK893" s="4">
        <v>21</v>
      </c>
      <c r="AL893" s="4">
        <v>1</v>
      </c>
      <c r="AM893" s="4">
        <v>1</v>
      </c>
      <c r="AN893" s="4">
        <v>0</v>
      </c>
      <c r="AO893" s="4">
        <v>0</v>
      </c>
      <c r="AP893" s="3" t="s">
        <v>59</v>
      </c>
      <c r="AQ893" s="3" t="s">
        <v>71</v>
      </c>
      <c r="AR893" s="6" t="str">
        <f>HYPERLINK("http://catalog.hathitrust.org/Record/000425737","HathiTrust Record")</f>
        <v>HathiTrust Record</v>
      </c>
      <c r="AS893" s="6" t="str">
        <f>HYPERLINK("https://creighton-primo.hosted.exlibrisgroup.com/primo-explore/search?tab=default_tab&amp;search_scope=EVERYTHING&amp;vid=01CRU&amp;lang=en_US&amp;offset=0&amp;query=any,contains,991003042749702656","Catalog Record")</f>
        <v>Catalog Record</v>
      </c>
      <c r="AT893" s="6" t="str">
        <f>HYPERLINK("http://www.worldcat.org/oclc/604041","WorldCat Record")</f>
        <v>WorldCat Record</v>
      </c>
      <c r="AU893" s="3" t="s">
        <v>11295</v>
      </c>
      <c r="AV893" s="3" t="s">
        <v>11296</v>
      </c>
      <c r="AW893" s="3" t="s">
        <v>11297</v>
      </c>
      <c r="AX893" s="3" t="s">
        <v>11297</v>
      </c>
      <c r="AY893" s="3" t="s">
        <v>11298</v>
      </c>
      <c r="AZ893" s="3" t="s">
        <v>76</v>
      </c>
      <c r="BC893" s="3" t="s">
        <v>11299</v>
      </c>
      <c r="BD893" s="3" t="s">
        <v>11300</v>
      </c>
    </row>
    <row r="894" spans="1:56" ht="52.5" customHeight="1" x14ac:dyDescent="0.25">
      <c r="A894" s="7" t="s">
        <v>59</v>
      </c>
      <c r="B894" s="2" t="s">
        <v>11301</v>
      </c>
      <c r="C894" s="2" t="s">
        <v>11302</v>
      </c>
      <c r="D894" s="2" t="s">
        <v>11303</v>
      </c>
      <c r="F894" s="3" t="s">
        <v>59</v>
      </c>
      <c r="G894" s="3" t="s">
        <v>60</v>
      </c>
      <c r="H894" s="3" t="s">
        <v>59</v>
      </c>
      <c r="I894" s="3" t="s">
        <v>59</v>
      </c>
      <c r="J894" s="3" t="s">
        <v>61</v>
      </c>
      <c r="K894" s="2" t="s">
        <v>8147</v>
      </c>
      <c r="L894" s="2" t="s">
        <v>11304</v>
      </c>
      <c r="M894" s="3" t="s">
        <v>1217</v>
      </c>
      <c r="O894" s="3" t="s">
        <v>65</v>
      </c>
      <c r="P894" s="3" t="s">
        <v>699</v>
      </c>
      <c r="R894" s="3" t="s">
        <v>68</v>
      </c>
      <c r="S894" s="4">
        <v>8</v>
      </c>
      <c r="T894" s="4">
        <v>8</v>
      </c>
      <c r="U894" s="5" t="s">
        <v>11305</v>
      </c>
      <c r="V894" s="5" t="s">
        <v>11305</v>
      </c>
      <c r="W894" s="5" t="s">
        <v>11054</v>
      </c>
      <c r="X894" s="5" t="s">
        <v>11054</v>
      </c>
      <c r="Y894" s="4">
        <v>600</v>
      </c>
      <c r="Z894" s="4">
        <v>532</v>
      </c>
      <c r="AA894" s="4">
        <v>541</v>
      </c>
      <c r="AB894" s="4">
        <v>4</v>
      </c>
      <c r="AC894" s="4">
        <v>4</v>
      </c>
      <c r="AD894" s="4">
        <v>20</v>
      </c>
      <c r="AE894" s="4">
        <v>20</v>
      </c>
      <c r="AF894" s="4">
        <v>6</v>
      </c>
      <c r="AG894" s="4">
        <v>6</v>
      </c>
      <c r="AH894" s="4">
        <v>8</v>
      </c>
      <c r="AI894" s="4">
        <v>8</v>
      </c>
      <c r="AJ894" s="4">
        <v>7</v>
      </c>
      <c r="AK894" s="4">
        <v>7</v>
      </c>
      <c r="AL894" s="4">
        <v>3</v>
      </c>
      <c r="AM894" s="4">
        <v>3</v>
      </c>
      <c r="AN894" s="4">
        <v>0</v>
      </c>
      <c r="AO894" s="4">
        <v>0</v>
      </c>
      <c r="AP894" s="3" t="s">
        <v>59</v>
      </c>
      <c r="AQ894" s="3" t="s">
        <v>71</v>
      </c>
      <c r="AR894" s="6" t="str">
        <f>HYPERLINK("http://catalog.hathitrust.org/Record/000205889","HathiTrust Record")</f>
        <v>HathiTrust Record</v>
      </c>
      <c r="AS894" s="6" t="str">
        <f>HYPERLINK("https://creighton-primo.hosted.exlibrisgroup.com/primo-explore/search?tab=default_tab&amp;search_scope=EVERYTHING&amp;vid=01CRU&amp;lang=en_US&amp;offset=0&amp;query=any,contains,991000312719702656","Catalog Record")</f>
        <v>Catalog Record</v>
      </c>
      <c r="AT894" s="6" t="str">
        <f>HYPERLINK("http://www.worldcat.org/oclc/10100738","WorldCat Record")</f>
        <v>WorldCat Record</v>
      </c>
      <c r="AU894" s="3" t="s">
        <v>11306</v>
      </c>
      <c r="AV894" s="3" t="s">
        <v>11307</v>
      </c>
      <c r="AW894" s="3" t="s">
        <v>11308</v>
      </c>
      <c r="AX894" s="3" t="s">
        <v>11308</v>
      </c>
      <c r="AY894" s="3" t="s">
        <v>11309</v>
      </c>
      <c r="AZ894" s="3" t="s">
        <v>76</v>
      </c>
      <c r="BB894" s="3" t="s">
        <v>11310</v>
      </c>
      <c r="BC894" s="3" t="s">
        <v>11311</v>
      </c>
      <c r="BD894" s="3" t="s">
        <v>11312</v>
      </c>
    </row>
    <row r="895" spans="1:56" ht="52.5" customHeight="1" x14ac:dyDescent="0.25">
      <c r="A895" s="7" t="s">
        <v>59</v>
      </c>
      <c r="B895" s="2" t="s">
        <v>11313</v>
      </c>
      <c r="C895" s="2" t="s">
        <v>11314</v>
      </c>
      <c r="D895" s="2" t="s">
        <v>11315</v>
      </c>
      <c r="F895" s="3" t="s">
        <v>59</v>
      </c>
      <c r="G895" s="3" t="s">
        <v>60</v>
      </c>
      <c r="H895" s="3" t="s">
        <v>59</v>
      </c>
      <c r="I895" s="3" t="s">
        <v>59</v>
      </c>
      <c r="J895" s="3" t="s">
        <v>61</v>
      </c>
      <c r="K895" s="2" t="s">
        <v>11316</v>
      </c>
      <c r="L895" s="2" t="s">
        <v>11317</v>
      </c>
      <c r="M895" s="3" t="s">
        <v>1163</v>
      </c>
      <c r="O895" s="3" t="s">
        <v>65</v>
      </c>
      <c r="P895" s="3" t="s">
        <v>66</v>
      </c>
      <c r="Q895" s="2" t="s">
        <v>11318</v>
      </c>
      <c r="R895" s="3" t="s">
        <v>68</v>
      </c>
      <c r="S895" s="4">
        <v>3</v>
      </c>
      <c r="T895" s="4">
        <v>3</v>
      </c>
      <c r="U895" s="5" t="s">
        <v>11319</v>
      </c>
      <c r="V895" s="5" t="s">
        <v>11319</v>
      </c>
      <c r="W895" s="5" t="s">
        <v>11320</v>
      </c>
      <c r="X895" s="5" t="s">
        <v>11320</v>
      </c>
      <c r="Y895" s="4">
        <v>696</v>
      </c>
      <c r="Z895" s="4">
        <v>574</v>
      </c>
      <c r="AA895" s="4">
        <v>581</v>
      </c>
      <c r="AB895" s="4">
        <v>4</v>
      </c>
      <c r="AC895" s="4">
        <v>4</v>
      </c>
      <c r="AD895" s="4">
        <v>22</v>
      </c>
      <c r="AE895" s="4">
        <v>22</v>
      </c>
      <c r="AF895" s="4">
        <v>11</v>
      </c>
      <c r="AG895" s="4">
        <v>11</v>
      </c>
      <c r="AH895" s="4">
        <v>4</v>
      </c>
      <c r="AI895" s="4">
        <v>4</v>
      </c>
      <c r="AJ895" s="4">
        <v>10</v>
      </c>
      <c r="AK895" s="4">
        <v>10</v>
      </c>
      <c r="AL895" s="4">
        <v>3</v>
      </c>
      <c r="AM895" s="4">
        <v>3</v>
      </c>
      <c r="AN895" s="4">
        <v>0</v>
      </c>
      <c r="AO895" s="4">
        <v>0</v>
      </c>
      <c r="AP895" s="3" t="s">
        <v>59</v>
      </c>
      <c r="AQ895" s="3" t="s">
        <v>71</v>
      </c>
      <c r="AR895" s="6" t="str">
        <f>HYPERLINK("http://catalog.hathitrust.org/Record/000569915","HathiTrust Record")</f>
        <v>HathiTrust Record</v>
      </c>
      <c r="AS895" s="6" t="str">
        <f>HYPERLINK("https://creighton-primo.hosted.exlibrisgroup.com/primo-explore/search?tab=default_tab&amp;search_scope=EVERYTHING&amp;vid=01CRU&amp;lang=en_US&amp;offset=0&amp;query=any,contains,991000562249702656","Catalog Record")</f>
        <v>Catalog Record</v>
      </c>
      <c r="AT895" s="6" t="str">
        <f>HYPERLINK("http://www.worldcat.org/oclc/11599197","WorldCat Record")</f>
        <v>WorldCat Record</v>
      </c>
      <c r="AU895" s="3" t="s">
        <v>11321</v>
      </c>
      <c r="AV895" s="3" t="s">
        <v>11322</v>
      </c>
      <c r="AW895" s="3" t="s">
        <v>11323</v>
      </c>
      <c r="AX895" s="3" t="s">
        <v>11323</v>
      </c>
      <c r="AY895" s="3" t="s">
        <v>11324</v>
      </c>
      <c r="AZ895" s="3" t="s">
        <v>76</v>
      </c>
      <c r="BB895" s="3" t="s">
        <v>11325</v>
      </c>
      <c r="BC895" s="3" t="s">
        <v>11326</v>
      </c>
      <c r="BD895" s="3" t="s">
        <v>11327</v>
      </c>
    </row>
    <row r="896" spans="1:56" ht="52.5" customHeight="1" x14ac:dyDescent="0.25">
      <c r="A896" s="7" t="s">
        <v>59</v>
      </c>
      <c r="B896" s="2" t="s">
        <v>11328</v>
      </c>
      <c r="C896" s="2" t="s">
        <v>11329</v>
      </c>
      <c r="D896" s="2" t="s">
        <v>11330</v>
      </c>
      <c r="F896" s="3" t="s">
        <v>59</v>
      </c>
      <c r="G896" s="3" t="s">
        <v>60</v>
      </c>
      <c r="H896" s="3" t="s">
        <v>59</v>
      </c>
      <c r="I896" s="3" t="s">
        <v>59</v>
      </c>
      <c r="J896" s="3" t="s">
        <v>61</v>
      </c>
      <c r="K896" s="2" t="s">
        <v>11331</v>
      </c>
      <c r="L896" s="2" t="s">
        <v>11332</v>
      </c>
      <c r="M896" s="3" t="s">
        <v>1000</v>
      </c>
      <c r="N896" s="2" t="s">
        <v>887</v>
      </c>
      <c r="O896" s="3" t="s">
        <v>65</v>
      </c>
      <c r="P896" s="3" t="s">
        <v>66</v>
      </c>
      <c r="R896" s="3" t="s">
        <v>68</v>
      </c>
      <c r="S896" s="4">
        <v>1</v>
      </c>
      <c r="T896" s="4">
        <v>1</v>
      </c>
      <c r="U896" s="5" t="s">
        <v>11333</v>
      </c>
      <c r="V896" s="5" t="s">
        <v>11333</v>
      </c>
      <c r="W896" s="5" t="s">
        <v>11054</v>
      </c>
      <c r="X896" s="5" t="s">
        <v>11054</v>
      </c>
      <c r="Y896" s="4">
        <v>444</v>
      </c>
      <c r="Z896" s="4">
        <v>433</v>
      </c>
      <c r="AA896" s="4">
        <v>524</v>
      </c>
      <c r="AB896" s="4">
        <v>4</v>
      </c>
      <c r="AC896" s="4">
        <v>4</v>
      </c>
      <c r="AD896" s="4">
        <v>10</v>
      </c>
      <c r="AE896" s="4">
        <v>11</v>
      </c>
      <c r="AF896" s="4">
        <v>3</v>
      </c>
      <c r="AG896" s="4">
        <v>4</v>
      </c>
      <c r="AH896" s="4">
        <v>0</v>
      </c>
      <c r="AI896" s="4">
        <v>0</v>
      </c>
      <c r="AJ896" s="4">
        <v>8</v>
      </c>
      <c r="AK896" s="4">
        <v>8</v>
      </c>
      <c r="AL896" s="4">
        <v>2</v>
      </c>
      <c r="AM896" s="4">
        <v>2</v>
      </c>
      <c r="AN896" s="4">
        <v>0</v>
      </c>
      <c r="AO896" s="4">
        <v>0</v>
      </c>
      <c r="AP896" s="3" t="s">
        <v>59</v>
      </c>
      <c r="AQ896" s="3" t="s">
        <v>71</v>
      </c>
      <c r="AR896" s="6" t="str">
        <f>HYPERLINK("http://catalog.hathitrust.org/Record/000257634","HathiTrust Record")</f>
        <v>HathiTrust Record</v>
      </c>
      <c r="AS896" s="6" t="str">
        <f>HYPERLINK("https://creighton-primo.hosted.exlibrisgroup.com/primo-explore/search?tab=default_tab&amp;search_scope=EVERYTHING&amp;vid=01CRU&amp;lang=en_US&amp;offset=0&amp;query=any,contains,991004672329702656","Catalog Record")</f>
        <v>Catalog Record</v>
      </c>
      <c r="AT896" s="6" t="str">
        <f>HYPERLINK("http://www.worldcat.org/oclc/4516151","WorldCat Record")</f>
        <v>WorldCat Record</v>
      </c>
      <c r="AU896" s="3" t="s">
        <v>11334</v>
      </c>
      <c r="AV896" s="3" t="s">
        <v>11335</v>
      </c>
      <c r="AW896" s="3" t="s">
        <v>11336</v>
      </c>
      <c r="AX896" s="3" t="s">
        <v>11336</v>
      </c>
      <c r="AY896" s="3" t="s">
        <v>11337</v>
      </c>
      <c r="AZ896" s="3" t="s">
        <v>76</v>
      </c>
      <c r="BB896" s="3" t="s">
        <v>11338</v>
      </c>
      <c r="BC896" s="3" t="s">
        <v>11339</v>
      </c>
      <c r="BD896" s="3" t="s">
        <v>11340</v>
      </c>
    </row>
    <row r="897" spans="1:56" ht="52.5" customHeight="1" x14ac:dyDescent="0.25">
      <c r="A897" s="7" t="s">
        <v>59</v>
      </c>
      <c r="B897" s="2" t="s">
        <v>11341</v>
      </c>
      <c r="C897" s="2" t="s">
        <v>11342</v>
      </c>
      <c r="D897" s="2" t="s">
        <v>11343</v>
      </c>
      <c r="F897" s="3" t="s">
        <v>59</v>
      </c>
      <c r="G897" s="3" t="s">
        <v>60</v>
      </c>
      <c r="H897" s="3" t="s">
        <v>59</v>
      </c>
      <c r="I897" s="3" t="s">
        <v>59</v>
      </c>
      <c r="J897" s="3" t="s">
        <v>61</v>
      </c>
      <c r="K897" s="2" t="s">
        <v>11344</v>
      </c>
      <c r="L897" s="2" t="s">
        <v>11345</v>
      </c>
      <c r="M897" s="3" t="s">
        <v>309</v>
      </c>
      <c r="O897" s="3" t="s">
        <v>65</v>
      </c>
      <c r="P897" s="3" t="s">
        <v>699</v>
      </c>
      <c r="Q897" s="2" t="s">
        <v>2938</v>
      </c>
      <c r="R897" s="3" t="s">
        <v>68</v>
      </c>
      <c r="S897" s="4">
        <v>7</v>
      </c>
      <c r="T897" s="4">
        <v>7</v>
      </c>
      <c r="U897" s="5" t="s">
        <v>11346</v>
      </c>
      <c r="V897" s="5" t="s">
        <v>11346</v>
      </c>
      <c r="W897" s="5" t="s">
        <v>11347</v>
      </c>
      <c r="X897" s="5" t="s">
        <v>11347</v>
      </c>
      <c r="Y897" s="4">
        <v>683</v>
      </c>
      <c r="Z897" s="4">
        <v>546</v>
      </c>
      <c r="AA897" s="4">
        <v>554</v>
      </c>
      <c r="AB897" s="4">
        <v>5</v>
      </c>
      <c r="AC897" s="4">
        <v>5</v>
      </c>
      <c r="AD897" s="4">
        <v>24</v>
      </c>
      <c r="AE897" s="4">
        <v>24</v>
      </c>
      <c r="AF897" s="4">
        <v>9</v>
      </c>
      <c r="AG897" s="4">
        <v>9</v>
      </c>
      <c r="AH897" s="4">
        <v>5</v>
      </c>
      <c r="AI897" s="4">
        <v>5</v>
      </c>
      <c r="AJ897" s="4">
        <v>14</v>
      </c>
      <c r="AK897" s="4">
        <v>14</v>
      </c>
      <c r="AL897" s="4">
        <v>3</v>
      </c>
      <c r="AM897" s="4">
        <v>3</v>
      </c>
      <c r="AN897" s="4">
        <v>0</v>
      </c>
      <c r="AO897" s="4">
        <v>0</v>
      </c>
      <c r="AP897" s="3" t="s">
        <v>59</v>
      </c>
      <c r="AQ897" s="3" t="s">
        <v>71</v>
      </c>
      <c r="AR897" s="6" t="str">
        <f>HYPERLINK("http://catalog.hathitrust.org/Record/000724149","HathiTrust Record")</f>
        <v>HathiTrust Record</v>
      </c>
      <c r="AS897" s="6" t="str">
        <f>HYPERLINK("https://creighton-primo.hosted.exlibrisgroup.com/primo-explore/search?tab=default_tab&amp;search_scope=EVERYTHING&amp;vid=01CRU&amp;lang=en_US&amp;offset=0&amp;query=any,contains,991004663339702656","Catalog Record")</f>
        <v>Catalog Record</v>
      </c>
      <c r="AT897" s="6" t="str">
        <f>HYPERLINK("http://www.worldcat.org/oclc/4498730","WorldCat Record")</f>
        <v>WorldCat Record</v>
      </c>
      <c r="AU897" s="3" t="s">
        <v>11348</v>
      </c>
      <c r="AV897" s="3" t="s">
        <v>11349</v>
      </c>
      <c r="AW897" s="3" t="s">
        <v>11350</v>
      </c>
      <c r="AX897" s="3" t="s">
        <v>11350</v>
      </c>
      <c r="AY897" s="3" t="s">
        <v>11351</v>
      </c>
      <c r="AZ897" s="3" t="s">
        <v>76</v>
      </c>
      <c r="BB897" s="3" t="s">
        <v>11352</v>
      </c>
      <c r="BC897" s="3" t="s">
        <v>11353</v>
      </c>
      <c r="BD897" s="3" t="s">
        <v>11354</v>
      </c>
    </row>
    <row r="898" spans="1:56" ht="52.5" customHeight="1" x14ac:dyDescent="0.25">
      <c r="A898" s="7" t="s">
        <v>59</v>
      </c>
      <c r="B898" s="2" t="s">
        <v>11355</v>
      </c>
      <c r="C898" s="2" t="s">
        <v>11356</v>
      </c>
      <c r="D898" s="2" t="s">
        <v>11357</v>
      </c>
      <c r="F898" s="3" t="s">
        <v>59</v>
      </c>
      <c r="G898" s="3" t="s">
        <v>60</v>
      </c>
      <c r="H898" s="3" t="s">
        <v>59</v>
      </c>
      <c r="I898" s="3" t="s">
        <v>59</v>
      </c>
      <c r="J898" s="3" t="s">
        <v>61</v>
      </c>
      <c r="K898" s="2" t="s">
        <v>11358</v>
      </c>
      <c r="L898" s="2" t="s">
        <v>11359</v>
      </c>
      <c r="M898" s="3" t="s">
        <v>164</v>
      </c>
      <c r="N898" s="2" t="s">
        <v>887</v>
      </c>
      <c r="O898" s="3" t="s">
        <v>65</v>
      </c>
      <c r="P898" s="3" t="s">
        <v>66</v>
      </c>
      <c r="R898" s="3" t="s">
        <v>68</v>
      </c>
      <c r="S898" s="4">
        <v>11</v>
      </c>
      <c r="T898" s="4">
        <v>11</v>
      </c>
      <c r="U898" s="5" t="s">
        <v>11360</v>
      </c>
      <c r="V898" s="5" t="s">
        <v>11360</v>
      </c>
      <c r="W898" s="5" t="s">
        <v>407</v>
      </c>
      <c r="X898" s="5" t="s">
        <v>407</v>
      </c>
      <c r="Y898" s="4">
        <v>699</v>
      </c>
      <c r="Z898" s="4">
        <v>618</v>
      </c>
      <c r="AA898" s="4">
        <v>631</v>
      </c>
      <c r="AB898" s="4">
        <v>2</v>
      </c>
      <c r="AC898" s="4">
        <v>2</v>
      </c>
      <c r="AD898" s="4">
        <v>18</v>
      </c>
      <c r="AE898" s="4">
        <v>19</v>
      </c>
      <c r="AF898" s="4">
        <v>5</v>
      </c>
      <c r="AG898" s="4">
        <v>6</v>
      </c>
      <c r="AH898" s="4">
        <v>6</v>
      </c>
      <c r="AI898" s="4">
        <v>6</v>
      </c>
      <c r="AJ898" s="4">
        <v>10</v>
      </c>
      <c r="AK898" s="4">
        <v>11</v>
      </c>
      <c r="AL898" s="4">
        <v>1</v>
      </c>
      <c r="AM898" s="4">
        <v>1</v>
      </c>
      <c r="AN898" s="4">
        <v>0</v>
      </c>
      <c r="AO898" s="4">
        <v>0</v>
      </c>
      <c r="AP898" s="3" t="s">
        <v>59</v>
      </c>
      <c r="AQ898" s="3" t="s">
        <v>59</v>
      </c>
      <c r="AS898" s="6" t="str">
        <f>HYPERLINK("https://creighton-primo.hosted.exlibrisgroup.com/primo-explore/search?tab=default_tab&amp;search_scope=EVERYTHING&amp;vid=01CRU&amp;lang=en_US&amp;offset=0&amp;query=any,contains,991004879049702656","Catalog Record")</f>
        <v>Catalog Record</v>
      </c>
      <c r="AT898" s="6" t="str">
        <f>HYPERLINK("http://www.worldcat.org/oclc/5804008","WorldCat Record")</f>
        <v>WorldCat Record</v>
      </c>
      <c r="AU898" s="3" t="s">
        <v>11361</v>
      </c>
      <c r="AV898" s="3" t="s">
        <v>11362</v>
      </c>
      <c r="AW898" s="3" t="s">
        <v>11363</v>
      </c>
      <c r="AX898" s="3" t="s">
        <v>11363</v>
      </c>
      <c r="AY898" s="3" t="s">
        <v>11364</v>
      </c>
      <c r="AZ898" s="3" t="s">
        <v>76</v>
      </c>
      <c r="BB898" s="3" t="s">
        <v>11365</v>
      </c>
      <c r="BC898" s="3" t="s">
        <v>11366</v>
      </c>
      <c r="BD898" s="3" t="s">
        <v>11367</v>
      </c>
    </row>
    <row r="899" spans="1:56" ht="52.5" customHeight="1" x14ac:dyDescent="0.25">
      <c r="A899" s="7" t="s">
        <v>59</v>
      </c>
      <c r="B899" s="2" t="s">
        <v>11368</v>
      </c>
      <c r="C899" s="2" t="s">
        <v>11369</v>
      </c>
      <c r="D899" s="2" t="s">
        <v>11370</v>
      </c>
      <c r="F899" s="3" t="s">
        <v>59</v>
      </c>
      <c r="G899" s="3" t="s">
        <v>60</v>
      </c>
      <c r="H899" s="3" t="s">
        <v>59</v>
      </c>
      <c r="I899" s="3" t="s">
        <v>59</v>
      </c>
      <c r="J899" s="3" t="s">
        <v>61</v>
      </c>
      <c r="K899" s="2" t="s">
        <v>11371</v>
      </c>
      <c r="L899" s="2" t="s">
        <v>11372</v>
      </c>
      <c r="M899" s="3" t="s">
        <v>224</v>
      </c>
      <c r="N899" s="2" t="s">
        <v>887</v>
      </c>
      <c r="O899" s="3" t="s">
        <v>65</v>
      </c>
      <c r="P899" s="3" t="s">
        <v>283</v>
      </c>
      <c r="R899" s="3" t="s">
        <v>68</v>
      </c>
      <c r="S899" s="4">
        <v>3</v>
      </c>
      <c r="T899" s="4">
        <v>3</v>
      </c>
      <c r="U899" s="5" t="s">
        <v>11373</v>
      </c>
      <c r="V899" s="5" t="s">
        <v>11373</v>
      </c>
      <c r="W899" s="5" t="s">
        <v>11257</v>
      </c>
      <c r="X899" s="5" t="s">
        <v>11257</v>
      </c>
      <c r="Y899" s="4">
        <v>932</v>
      </c>
      <c r="Z899" s="4">
        <v>836</v>
      </c>
      <c r="AA899" s="4">
        <v>842</v>
      </c>
      <c r="AB899" s="4">
        <v>6</v>
      </c>
      <c r="AC899" s="4">
        <v>6</v>
      </c>
      <c r="AD899" s="4">
        <v>33</v>
      </c>
      <c r="AE899" s="4">
        <v>33</v>
      </c>
      <c r="AF899" s="4">
        <v>15</v>
      </c>
      <c r="AG899" s="4">
        <v>15</v>
      </c>
      <c r="AH899" s="4">
        <v>10</v>
      </c>
      <c r="AI899" s="4">
        <v>10</v>
      </c>
      <c r="AJ899" s="4">
        <v>15</v>
      </c>
      <c r="AK899" s="4">
        <v>15</v>
      </c>
      <c r="AL899" s="4">
        <v>4</v>
      </c>
      <c r="AM899" s="4">
        <v>4</v>
      </c>
      <c r="AN899" s="4">
        <v>0</v>
      </c>
      <c r="AO899" s="4">
        <v>0</v>
      </c>
      <c r="AP899" s="3" t="s">
        <v>59</v>
      </c>
      <c r="AQ899" s="3" t="s">
        <v>59</v>
      </c>
      <c r="AS899" s="6" t="str">
        <f>HYPERLINK("https://creighton-primo.hosted.exlibrisgroup.com/primo-explore/search?tab=default_tab&amp;search_scope=EVERYTHING&amp;vid=01CRU&amp;lang=en_US&amp;offset=0&amp;query=any,contains,991003532869702656","Catalog Record")</f>
        <v>Catalog Record</v>
      </c>
      <c r="AT899" s="6" t="str">
        <f>HYPERLINK("http://www.worldcat.org/oclc/1095040","WorldCat Record")</f>
        <v>WorldCat Record</v>
      </c>
      <c r="AU899" s="3" t="s">
        <v>11374</v>
      </c>
      <c r="AV899" s="3" t="s">
        <v>11375</v>
      </c>
      <c r="AW899" s="3" t="s">
        <v>11376</v>
      </c>
      <c r="AX899" s="3" t="s">
        <v>11376</v>
      </c>
      <c r="AY899" s="3" t="s">
        <v>11377</v>
      </c>
      <c r="AZ899" s="3" t="s">
        <v>76</v>
      </c>
      <c r="BB899" s="3" t="s">
        <v>11378</v>
      </c>
      <c r="BC899" s="3" t="s">
        <v>11379</v>
      </c>
      <c r="BD899" s="3" t="s">
        <v>11380</v>
      </c>
    </row>
    <row r="900" spans="1:56" ht="52.5" customHeight="1" x14ac:dyDescent="0.25">
      <c r="A900" s="7" t="s">
        <v>59</v>
      </c>
      <c r="B900" s="2" t="s">
        <v>11381</v>
      </c>
      <c r="C900" s="2" t="s">
        <v>11382</v>
      </c>
      <c r="D900" s="2" t="s">
        <v>11383</v>
      </c>
      <c r="F900" s="3" t="s">
        <v>59</v>
      </c>
      <c r="G900" s="3" t="s">
        <v>60</v>
      </c>
      <c r="H900" s="3" t="s">
        <v>59</v>
      </c>
      <c r="I900" s="3" t="s">
        <v>59</v>
      </c>
      <c r="J900" s="3" t="s">
        <v>61</v>
      </c>
      <c r="L900" s="2" t="s">
        <v>11384</v>
      </c>
      <c r="M900" s="3" t="s">
        <v>405</v>
      </c>
      <c r="O900" s="3" t="s">
        <v>65</v>
      </c>
      <c r="P900" s="3" t="s">
        <v>1218</v>
      </c>
      <c r="R900" s="3" t="s">
        <v>68</v>
      </c>
      <c r="S900" s="4">
        <v>10</v>
      </c>
      <c r="T900" s="4">
        <v>10</v>
      </c>
      <c r="U900" s="5" t="s">
        <v>11385</v>
      </c>
      <c r="V900" s="5" t="s">
        <v>11385</v>
      </c>
      <c r="W900" s="5" t="s">
        <v>618</v>
      </c>
      <c r="X900" s="5" t="s">
        <v>618</v>
      </c>
      <c r="Y900" s="4">
        <v>384</v>
      </c>
      <c r="Z900" s="4">
        <v>340</v>
      </c>
      <c r="AA900" s="4">
        <v>439</v>
      </c>
      <c r="AB900" s="4">
        <v>3</v>
      </c>
      <c r="AC900" s="4">
        <v>4</v>
      </c>
      <c r="AD900" s="4">
        <v>15</v>
      </c>
      <c r="AE900" s="4">
        <v>21</v>
      </c>
      <c r="AF900" s="4">
        <v>7</v>
      </c>
      <c r="AG900" s="4">
        <v>10</v>
      </c>
      <c r="AH900" s="4">
        <v>4</v>
      </c>
      <c r="AI900" s="4">
        <v>4</v>
      </c>
      <c r="AJ900" s="4">
        <v>6</v>
      </c>
      <c r="AK900" s="4">
        <v>9</v>
      </c>
      <c r="AL900" s="4">
        <v>2</v>
      </c>
      <c r="AM900" s="4">
        <v>3</v>
      </c>
      <c r="AN900" s="4">
        <v>0</v>
      </c>
      <c r="AO900" s="4">
        <v>0</v>
      </c>
      <c r="AP900" s="3" t="s">
        <v>59</v>
      </c>
      <c r="AQ900" s="3" t="s">
        <v>59</v>
      </c>
      <c r="AS900" s="6" t="str">
        <f>HYPERLINK("https://creighton-primo.hosted.exlibrisgroup.com/primo-explore/search?tab=default_tab&amp;search_scope=EVERYTHING&amp;vid=01CRU&amp;lang=en_US&amp;offset=0&amp;query=any,contains,991001080639702656","Catalog Record")</f>
        <v>Catalog Record</v>
      </c>
      <c r="AT900" s="6" t="str">
        <f>HYPERLINK("http://www.worldcat.org/oclc/16086156","WorldCat Record")</f>
        <v>WorldCat Record</v>
      </c>
      <c r="AU900" s="3" t="s">
        <v>11386</v>
      </c>
      <c r="AV900" s="3" t="s">
        <v>11387</v>
      </c>
      <c r="AW900" s="3" t="s">
        <v>11388</v>
      </c>
      <c r="AX900" s="3" t="s">
        <v>11388</v>
      </c>
      <c r="AY900" s="3" t="s">
        <v>11389</v>
      </c>
      <c r="AZ900" s="3" t="s">
        <v>76</v>
      </c>
      <c r="BB900" s="3" t="s">
        <v>11390</v>
      </c>
      <c r="BC900" s="3" t="s">
        <v>11391</v>
      </c>
      <c r="BD900" s="3" t="s">
        <v>11392</v>
      </c>
    </row>
    <row r="901" spans="1:56" ht="52.5" customHeight="1" x14ac:dyDescent="0.25">
      <c r="A901" s="7" t="s">
        <v>59</v>
      </c>
      <c r="B901" s="2" t="s">
        <v>11393</v>
      </c>
      <c r="C901" s="2" t="s">
        <v>11394</v>
      </c>
      <c r="D901" s="2" t="s">
        <v>11395</v>
      </c>
      <c r="F901" s="3" t="s">
        <v>59</v>
      </c>
      <c r="G901" s="3" t="s">
        <v>60</v>
      </c>
      <c r="H901" s="3" t="s">
        <v>59</v>
      </c>
      <c r="I901" s="3" t="s">
        <v>59</v>
      </c>
      <c r="J901" s="3" t="s">
        <v>61</v>
      </c>
      <c r="K901" s="2" t="s">
        <v>11396</v>
      </c>
      <c r="L901" s="2" t="s">
        <v>11397</v>
      </c>
      <c r="M901" s="3" t="s">
        <v>350</v>
      </c>
      <c r="O901" s="3" t="s">
        <v>65</v>
      </c>
      <c r="P901" s="3" t="s">
        <v>9176</v>
      </c>
      <c r="R901" s="3" t="s">
        <v>68</v>
      </c>
      <c r="S901" s="4">
        <v>6</v>
      </c>
      <c r="T901" s="4">
        <v>6</v>
      </c>
      <c r="U901" s="5" t="s">
        <v>11398</v>
      </c>
      <c r="V901" s="5" t="s">
        <v>11398</v>
      </c>
      <c r="W901" s="5" t="s">
        <v>11054</v>
      </c>
      <c r="X901" s="5" t="s">
        <v>11054</v>
      </c>
      <c r="Y901" s="4">
        <v>431</v>
      </c>
      <c r="Z901" s="4">
        <v>367</v>
      </c>
      <c r="AA901" s="4">
        <v>507</v>
      </c>
      <c r="AB901" s="4">
        <v>4</v>
      </c>
      <c r="AC901" s="4">
        <v>5</v>
      </c>
      <c r="AD901" s="4">
        <v>15</v>
      </c>
      <c r="AE901" s="4">
        <v>21</v>
      </c>
      <c r="AF901" s="4">
        <v>4</v>
      </c>
      <c r="AG901" s="4">
        <v>4</v>
      </c>
      <c r="AH901" s="4">
        <v>3</v>
      </c>
      <c r="AI901" s="4">
        <v>5</v>
      </c>
      <c r="AJ901" s="4">
        <v>10</v>
      </c>
      <c r="AK901" s="4">
        <v>13</v>
      </c>
      <c r="AL901" s="4">
        <v>2</v>
      </c>
      <c r="AM901" s="4">
        <v>3</v>
      </c>
      <c r="AN901" s="4">
        <v>0</v>
      </c>
      <c r="AO901" s="4">
        <v>1</v>
      </c>
      <c r="AP901" s="3" t="s">
        <v>59</v>
      </c>
      <c r="AQ901" s="3" t="s">
        <v>59</v>
      </c>
      <c r="AS901" s="6" t="str">
        <f>HYPERLINK("https://creighton-primo.hosted.exlibrisgroup.com/primo-explore/search?tab=default_tab&amp;search_scope=EVERYTHING&amp;vid=01CRU&amp;lang=en_US&amp;offset=0&amp;query=any,contains,991004091999702656","Catalog Record")</f>
        <v>Catalog Record</v>
      </c>
      <c r="AT901" s="6" t="str">
        <f>HYPERLINK("http://www.worldcat.org/oclc/2346102","WorldCat Record")</f>
        <v>WorldCat Record</v>
      </c>
      <c r="AU901" s="3" t="s">
        <v>11399</v>
      </c>
      <c r="AV901" s="3" t="s">
        <v>11400</v>
      </c>
      <c r="AW901" s="3" t="s">
        <v>11401</v>
      </c>
      <c r="AX901" s="3" t="s">
        <v>11401</v>
      </c>
      <c r="AY901" s="3" t="s">
        <v>11402</v>
      </c>
      <c r="AZ901" s="3" t="s">
        <v>76</v>
      </c>
      <c r="BB901" s="3" t="s">
        <v>11403</v>
      </c>
      <c r="BC901" s="3" t="s">
        <v>11404</v>
      </c>
      <c r="BD901" s="3" t="s">
        <v>11405</v>
      </c>
    </row>
    <row r="902" spans="1:56" ht="52.5" customHeight="1" x14ac:dyDescent="0.25">
      <c r="A902" s="7" t="s">
        <v>59</v>
      </c>
      <c r="B902" s="2" t="s">
        <v>11406</v>
      </c>
      <c r="C902" s="2" t="s">
        <v>11407</v>
      </c>
      <c r="D902" s="2" t="s">
        <v>11408</v>
      </c>
      <c r="F902" s="3" t="s">
        <v>59</v>
      </c>
      <c r="G902" s="3" t="s">
        <v>60</v>
      </c>
      <c r="H902" s="3" t="s">
        <v>59</v>
      </c>
      <c r="I902" s="3" t="s">
        <v>59</v>
      </c>
      <c r="J902" s="3" t="s">
        <v>61</v>
      </c>
      <c r="K902" s="2" t="s">
        <v>11409</v>
      </c>
      <c r="L902" s="2" t="s">
        <v>11410</v>
      </c>
      <c r="M902" s="3" t="s">
        <v>549</v>
      </c>
      <c r="O902" s="3" t="s">
        <v>65</v>
      </c>
      <c r="P902" s="3" t="s">
        <v>1262</v>
      </c>
      <c r="R902" s="3" t="s">
        <v>68</v>
      </c>
      <c r="S902" s="4">
        <v>10</v>
      </c>
      <c r="T902" s="4">
        <v>10</v>
      </c>
      <c r="U902" s="5" t="s">
        <v>11411</v>
      </c>
      <c r="V902" s="5" t="s">
        <v>11411</v>
      </c>
      <c r="W902" s="5" t="s">
        <v>5557</v>
      </c>
      <c r="X902" s="5" t="s">
        <v>5557</v>
      </c>
      <c r="Y902" s="4">
        <v>569</v>
      </c>
      <c r="Z902" s="4">
        <v>410</v>
      </c>
      <c r="AA902" s="4">
        <v>418</v>
      </c>
      <c r="AB902" s="4">
        <v>3</v>
      </c>
      <c r="AC902" s="4">
        <v>3</v>
      </c>
      <c r="AD902" s="4">
        <v>23</v>
      </c>
      <c r="AE902" s="4">
        <v>23</v>
      </c>
      <c r="AF902" s="4">
        <v>8</v>
      </c>
      <c r="AG902" s="4">
        <v>8</v>
      </c>
      <c r="AH902" s="4">
        <v>7</v>
      </c>
      <c r="AI902" s="4">
        <v>7</v>
      </c>
      <c r="AJ902" s="4">
        <v>11</v>
      </c>
      <c r="AK902" s="4">
        <v>11</v>
      </c>
      <c r="AL902" s="4">
        <v>2</v>
      </c>
      <c r="AM902" s="4">
        <v>2</v>
      </c>
      <c r="AN902" s="4">
        <v>0</v>
      </c>
      <c r="AO902" s="4">
        <v>0</v>
      </c>
      <c r="AP902" s="3" t="s">
        <v>59</v>
      </c>
      <c r="AQ902" s="3" t="s">
        <v>71</v>
      </c>
      <c r="AR902" s="6" t="str">
        <f>HYPERLINK("http://catalog.hathitrust.org/Record/000667609","HathiTrust Record")</f>
        <v>HathiTrust Record</v>
      </c>
      <c r="AS902" s="6" t="str">
        <f>HYPERLINK("https://creighton-primo.hosted.exlibrisgroup.com/primo-explore/search?tab=default_tab&amp;search_scope=EVERYTHING&amp;vid=01CRU&amp;lang=en_US&amp;offset=0&amp;query=any,contains,991000760359702656","Catalog Record")</f>
        <v>Catalog Record</v>
      </c>
      <c r="AT902" s="6" t="str">
        <f>HYPERLINK("http://www.worldcat.org/oclc/12972827","WorldCat Record")</f>
        <v>WorldCat Record</v>
      </c>
      <c r="AU902" s="3" t="s">
        <v>11412</v>
      </c>
      <c r="AV902" s="3" t="s">
        <v>11413</v>
      </c>
      <c r="AW902" s="3" t="s">
        <v>11414</v>
      </c>
      <c r="AX902" s="3" t="s">
        <v>11414</v>
      </c>
      <c r="AY902" s="3" t="s">
        <v>11415</v>
      </c>
      <c r="AZ902" s="3" t="s">
        <v>76</v>
      </c>
      <c r="BB902" s="3" t="s">
        <v>11416</v>
      </c>
      <c r="BC902" s="3" t="s">
        <v>11417</v>
      </c>
      <c r="BD902" s="3" t="s">
        <v>11418</v>
      </c>
    </row>
    <row r="903" spans="1:56" ht="52.5" customHeight="1" x14ac:dyDescent="0.25">
      <c r="A903" s="7" t="s">
        <v>59</v>
      </c>
      <c r="B903" s="2" t="s">
        <v>11419</v>
      </c>
      <c r="C903" s="2" t="s">
        <v>11420</v>
      </c>
      <c r="D903" s="2" t="s">
        <v>11421</v>
      </c>
      <c r="F903" s="3" t="s">
        <v>59</v>
      </c>
      <c r="G903" s="3" t="s">
        <v>60</v>
      </c>
      <c r="H903" s="3" t="s">
        <v>59</v>
      </c>
      <c r="I903" s="3" t="s">
        <v>59</v>
      </c>
      <c r="J903" s="3" t="s">
        <v>61</v>
      </c>
      <c r="K903" s="2" t="s">
        <v>11422</v>
      </c>
      <c r="L903" s="2" t="s">
        <v>8326</v>
      </c>
      <c r="M903" s="3" t="s">
        <v>164</v>
      </c>
      <c r="O903" s="3" t="s">
        <v>65</v>
      </c>
      <c r="P903" s="3" t="s">
        <v>283</v>
      </c>
      <c r="R903" s="3" t="s">
        <v>68</v>
      </c>
      <c r="S903" s="4">
        <v>3</v>
      </c>
      <c r="T903" s="4">
        <v>3</v>
      </c>
      <c r="U903" s="5" t="s">
        <v>11423</v>
      </c>
      <c r="V903" s="5" t="s">
        <v>11423</v>
      </c>
      <c r="W903" s="5" t="s">
        <v>11424</v>
      </c>
      <c r="X903" s="5" t="s">
        <v>11424</v>
      </c>
      <c r="Y903" s="4">
        <v>461</v>
      </c>
      <c r="Z903" s="4">
        <v>378</v>
      </c>
      <c r="AA903" s="4">
        <v>384</v>
      </c>
      <c r="AB903" s="4">
        <v>4</v>
      </c>
      <c r="AC903" s="4">
        <v>4</v>
      </c>
      <c r="AD903" s="4">
        <v>16</v>
      </c>
      <c r="AE903" s="4">
        <v>16</v>
      </c>
      <c r="AF903" s="4">
        <v>5</v>
      </c>
      <c r="AG903" s="4">
        <v>5</v>
      </c>
      <c r="AH903" s="4">
        <v>3</v>
      </c>
      <c r="AI903" s="4">
        <v>3</v>
      </c>
      <c r="AJ903" s="4">
        <v>8</v>
      </c>
      <c r="AK903" s="4">
        <v>8</v>
      </c>
      <c r="AL903" s="4">
        <v>3</v>
      </c>
      <c r="AM903" s="4">
        <v>3</v>
      </c>
      <c r="AN903" s="4">
        <v>0</v>
      </c>
      <c r="AO903" s="4">
        <v>0</v>
      </c>
      <c r="AP903" s="3" t="s">
        <v>59</v>
      </c>
      <c r="AQ903" s="3" t="s">
        <v>71</v>
      </c>
      <c r="AR903" s="6" t="str">
        <f>HYPERLINK("http://catalog.hathitrust.org/Record/000738630","HathiTrust Record")</f>
        <v>HathiTrust Record</v>
      </c>
      <c r="AS903" s="6" t="str">
        <f>HYPERLINK("https://creighton-primo.hosted.exlibrisgroup.com/primo-explore/search?tab=default_tab&amp;search_scope=EVERYTHING&amp;vid=01CRU&amp;lang=en_US&amp;offset=0&amp;query=any,contains,991004935219702656","Catalog Record")</f>
        <v>Catalog Record</v>
      </c>
      <c r="AT903" s="6" t="str">
        <f>HYPERLINK("http://www.worldcat.org/oclc/6142555","WorldCat Record")</f>
        <v>WorldCat Record</v>
      </c>
      <c r="AU903" s="3" t="s">
        <v>11425</v>
      </c>
      <c r="AV903" s="3" t="s">
        <v>11426</v>
      </c>
      <c r="AW903" s="3" t="s">
        <v>11427</v>
      </c>
      <c r="AX903" s="3" t="s">
        <v>11427</v>
      </c>
      <c r="AY903" s="3" t="s">
        <v>11428</v>
      </c>
      <c r="AZ903" s="3" t="s">
        <v>76</v>
      </c>
      <c r="BB903" s="3" t="s">
        <v>11429</v>
      </c>
      <c r="BC903" s="3" t="s">
        <v>11430</v>
      </c>
      <c r="BD903" s="3" t="s">
        <v>11431</v>
      </c>
    </row>
    <row r="904" spans="1:56" ht="52.5" customHeight="1" x14ac:dyDescent="0.25">
      <c r="A904" s="7" t="s">
        <v>59</v>
      </c>
      <c r="B904" s="2" t="s">
        <v>11432</v>
      </c>
      <c r="C904" s="2" t="s">
        <v>11433</v>
      </c>
      <c r="D904" s="2" t="s">
        <v>11434</v>
      </c>
      <c r="F904" s="3" t="s">
        <v>59</v>
      </c>
      <c r="G904" s="3" t="s">
        <v>60</v>
      </c>
      <c r="H904" s="3" t="s">
        <v>59</v>
      </c>
      <c r="I904" s="3" t="s">
        <v>59</v>
      </c>
      <c r="J904" s="3" t="s">
        <v>61</v>
      </c>
      <c r="L904" s="2" t="s">
        <v>11435</v>
      </c>
      <c r="M904" s="3" t="s">
        <v>148</v>
      </c>
      <c r="O904" s="3" t="s">
        <v>65</v>
      </c>
      <c r="P904" s="3" t="s">
        <v>66</v>
      </c>
      <c r="R904" s="3" t="s">
        <v>68</v>
      </c>
      <c r="S904" s="4">
        <v>1</v>
      </c>
      <c r="T904" s="4">
        <v>1</v>
      </c>
      <c r="U904" s="5" t="s">
        <v>2820</v>
      </c>
      <c r="V904" s="5" t="s">
        <v>2820</v>
      </c>
      <c r="W904" s="5" t="s">
        <v>11320</v>
      </c>
      <c r="X904" s="5" t="s">
        <v>11320</v>
      </c>
      <c r="Y904" s="4">
        <v>502</v>
      </c>
      <c r="Z904" s="4">
        <v>420</v>
      </c>
      <c r="AA904" s="4">
        <v>453</v>
      </c>
      <c r="AB904" s="4">
        <v>3</v>
      </c>
      <c r="AC904" s="4">
        <v>3</v>
      </c>
      <c r="AD904" s="4">
        <v>23</v>
      </c>
      <c r="AE904" s="4">
        <v>25</v>
      </c>
      <c r="AF904" s="4">
        <v>10</v>
      </c>
      <c r="AG904" s="4">
        <v>12</v>
      </c>
      <c r="AH904" s="4">
        <v>5</v>
      </c>
      <c r="AI904" s="4">
        <v>5</v>
      </c>
      <c r="AJ904" s="4">
        <v>14</v>
      </c>
      <c r="AK904" s="4">
        <v>15</v>
      </c>
      <c r="AL904" s="4">
        <v>3</v>
      </c>
      <c r="AM904" s="4">
        <v>3</v>
      </c>
      <c r="AN904" s="4">
        <v>0</v>
      </c>
      <c r="AO904" s="4">
        <v>0</v>
      </c>
      <c r="AP904" s="3" t="s">
        <v>59</v>
      </c>
      <c r="AQ904" s="3" t="s">
        <v>71</v>
      </c>
      <c r="AR904" s="6" t="str">
        <f>HYPERLINK("http://catalog.hathitrust.org/Record/000732730","HathiTrust Record")</f>
        <v>HathiTrust Record</v>
      </c>
      <c r="AS904" s="6" t="str">
        <f>HYPERLINK("https://creighton-primo.hosted.exlibrisgroup.com/primo-explore/search?tab=default_tab&amp;search_scope=EVERYTHING&amp;vid=01CRU&amp;lang=en_US&amp;offset=0&amp;query=any,contains,991004158779702656","Catalog Record")</f>
        <v>Catalog Record</v>
      </c>
      <c r="AT904" s="6" t="str">
        <f>HYPERLINK("http://www.worldcat.org/oclc/2542955","WorldCat Record")</f>
        <v>WorldCat Record</v>
      </c>
      <c r="AU904" s="3" t="s">
        <v>11436</v>
      </c>
      <c r="AV904" s="3" t="s">
        <v>11437</v>
      </c>
      <c r="AW904" s="3" t="s">
        <v>11438</v>
      </c>
      <c r="AX904" s="3" t="s">
        <v>11438</v>
      </c>
      <c r="AY904" s="3" t="s">
        <v>11439</v>
      </c>
      <c r="AZ904" s="3" t="s">
        <v>76</v>
      </c>
      <c r="BB904" s="3" t="s">
        <v>11440</v>
      </c>
      <c r="BC904" s="3" t="s">
        <v>11441</v>
      </c>
      <c r="BD904" s="3" t="s">
        <v>11442</v>
      </c>
    </row>
    <row r="905" spans="1:56" ht="52.5" customHeight="1" x14ac:dyDescent="0.25">
      <c r="A905" s="7" t="s">
        <v>59</v>
      </c>
      <c r="B905" s="2" t="s">
        <v>11443</v>
      </c>
      <c r="C905" s="2" t="s">
        <v>11444</v>
      </c>
      <c r="D905" s="2" t="s">
        <v>11445</v>
      </c>
      <c r="F905" s="3" t="s">
        <v>59</v>
      </c>
      <c r="G905" s="3" t="s">
        <v>60</v>
      </c>
      <c r="H905" s="3" t="s">
        <v>59</v>
      </c>
      <c r="I905" s="3" t="s">
        <v>59</v>
      </c>
      <c r="J905" s="3" t="s">
        <v>61</v>
      </c>
      <c r="K905" s="2" t="s">
        <v>11446</v>
      </c>
      <c r="L905" s="2" t="s">
        <v>11447</v>
      </c>
      <c r="M905" s="3" t="s">
        <v>684</v>
      </c>
      <c r="O905" s="3" t="s">
        <v>65</v>
      </c>
      <c r="P905" s="3" t="s">
        <v>66</v>
      </c>
      <c r="Q905" s="2" t="s">
        <v>11448</v>
      </c>
      <c r="R905" s="3" t="s">
        <v>68</v>
      </c>
      <c r="S905" s="4">
        <v>5</v>
      </c>
      <c r="T905" s="4">
        <v>5</v>
      </c>
      <c r="U905" s="5" t="s">
        <v>11449</v>
      </c>
      <c r="V905" s="5" t="s">
        <v>11449</v>
      </c>
      <c r="W905" s="5" t="s">
        <v>2060</v>
      </c>
      <c r="X905" s="5" t="s">
        <v>2060</v>
      </c>
      <c r="Y905" s="4">
        <v>340</v>
      </c>
      <c r="Z905" s="4">
        <v>315</v>
      </c>
      <c r="AA905" s="4">
        <v>316</v>
      </c>
      <c r="AB905" s="4">
        <v>2</v>
      </c>
      <c r="AC905" s="4">
        <v>2</v>
      </c>
      <c r="AD905" s="4">
        <v>12</v>
      </c>
      <c r="AE905" s="4">
        <v>12</v>
      </c>
      <c r="AF905" s="4">
        <v>4</v>
      </c>
      <c r="AG905" s="4">
        <v>4</v>
      </c>
      <c r="AH905" s="4">
        <v>2</v>
      </c>
      <c r="AI905" s="4">
        <v>2</v>
      </c>
      <c r="AJ905" s="4">
        <v>8</v>
      </c>
      <c r="AK905" s="4">
        <v>8</v>
      </c>
      <c r="AL905" s="4">
        <v>1</v>
      </c>
      <c r="AM905" s="4">
        <v>1</v>
      </c>
      <c r="AN905" s="4">
        <v>0</v>
      </c>
      <c r="AO905" s="4">
        <v>0</v>
      </c>
      <c r="AP905" s="3" t="s">
        <v>59</v>
      </c>
      <c r="AQ905" s="3" t="s">
        <v>71</v>
      </c>
      <c r="AR905" s="6" t="str">
        <f>HYPERLINK("http://catalog.hathitrust.org/Record/003517136","HathiTrust Record")</f>
        <v>HathiTrust Record</v>
      </c>
      <c r="AS905" s="6" t="str">
        <f>HYPERLINK("https://creighton-primo.hosted.exlibrisgroup.com/primo-explore/search?tab=default_tab&amp;search_scope=EVERYTHING&amp;vid=01CRU&amp;lang=en_US&amp;offset=0&amp;query=any,contains,991005221509702656","Catalog Record")</f>
        <v>Catalog Record</v>
      </c>
      <c r="AT905" s="6" t="str">
        <f>HYPERLINK("http://www.worldcat.org/oclc/8225666","WorldCat Record")</f>
        <v>WorldCat Record</v>
      </c>
      <c r="AU905" s="3" t="s">
        <v>11450</v>
      </c>
      <c r="AV905" s="3" t="s">
        <v>11451</v>
      </c>
      <c r="AW905" s="3" t="s">
        <v>11452</v>
      </c>
      <c r="AX905" s="3" t="s">
        <v>11452</v>
      </c>
      <c r="AY905" s="3" t="s">
        <v>11453</v>
      </c>
      <c r="AZ905" s="3" t="s">
        <v>76</v>
      </c>
      <c r="BB905" s="3" t="s">
        <v>11454</v>
      </c>
      <c r="BC905" s="3" t="s">
        <v>11455</v>
      </c>
      <c r="BD905" s="3" t="s">
        <v>11456</v>
      </c>
    </row>
    <row r="906" spans="1:56" ht="52.5" customHeight="1" x14ac:dyDescent="0.25">
      <c r="A906" s="7" t="s">
        <v>59</v>
      </c>
      <c r="B906" s="2" t="s">
        <v>11457</v>
      </c>
      <c r="C906" s="2" t="s">
        <v>11458</v>
      </c>
      <c r="D906" s="2" t="s">
        <v>11459</v>
      </c>
      <c r="F906" s="3" t="s">
        <v>59</v>
      </c>
      <c r="G906" s="3" t="s">
        <v>60</v>
      </c>
      <c r="H906" s="3" t="s">
        <v>59</v>
      </c>
      <c r="I906" s="3" t="s">
        <v>59</v>
      </c>
      <c r="J906" s="3" t="s">
        <v>61</v>
      </c>
      <c r="K906" s="2" t="s">
        <v>11460</v>
      </c>
      <c r="L906" s="2" t="s">
        <v>11461</v>
      </c>
      <c r="M906" s="3" t="s">
        <v>1233</v>
      </c>
      <c r="O906" s="3" t="s">
        <v>65</v>
      </c>
      <c r="P906" s="3" t="s">
        <v>491</v>
      </c>
      <c r="R906" s="3" t="s">
        <v>68</v>
      </c>
      <c r="S906" s="4">
        <v>2</v>
      </c>
      <c r="T906" s="4">
        <v>2</v>
      </c>
      <c r="U906" s="5" t="s">
        <v>11360</v>
      </c>
      <c r="V906" s="5" t="s">
        <v>11360</v>
      </c>
      <c r="W906" s="5" t="s">
        <v>11462</v>
      </c>
      <c r="X906" s="5" t="s">
        <v>11462</v>
      </c>
      <c r="Y906" s="4">
        <v>65</v>
      </c>
      <c r="Z906" s="4">
        <v>60</v>
      </c>
      <c r="AA906" s="4">
        <v>455</v>
      </c>
      <c r="AB906" s="4">
        <v>2</v>
      </c>
      <c r="AC906" s="4">
        <v>3</v>
      </c>
      <c r="AD906" s="4">
        <v>2</v>
      </c>
      <c r="AE906" s="4">
        <v>12</v>
      </c>
      <c r="AF906" s="4">
        <v>1</v>
      </c>
      <c r="AG906" s="4">
        <v>5</v>
      </c>
      <c r="AH906" s="4">
        <v>0</v>
      </c>
      <c r="AI906" s="4">
        <v>2</v>
      </c>
      <c r="AJ906" s="4">
        <v>0</v>
      </c>
      <c r="AK906" s="4">
        <v>5</v>
      </c>
      <c r="AL906" s="4">
        <v>1</v>
      </c>
      <c r="AM906" s="4">
        <v>1</v>
      </c>
      <c r="AN906" s="4">
        <v>0</v>
      </c>
      <c r="AO906" s="4">
        <v>0</v>
      </c>
      <c r="AP906" s="3" t="s">
        <v>59</v>
      </c>
      <c r="AQ906" s="3" t="s">
        <v>59</v>
      </c>
      <c r="AS906" s="6" t="str">
        <f>HYPERLINK("https://creighton-primo.hosted.exlibrisgroup.com/primo-explore/search?tab=default_tab&amp;search_scope=EVERYTHING&amp;vid=01CRU&amp;lang=en_US&amp;offset=0&amp;query=any,contains,991003729209702656","Catalog Record")</f>
        <v>Catalog Record</v>
      </c>
      <c r="AT906" s="6" t="str">
        <f>HYPERLINK("http://www.worldcat.org/oclc/1379624","WorldCat Record")</f>
        <v>WorldCat Record</v>
      </c>
      <c r="AU906" s="3" t="s">
        <v>11463</v>
      </c>
      <c r="AV906" s="3" t="s">
        <v>11464</v>
      </c>
      <c r="AW906" s="3" t="s">
        <v>11465</v>
      </c>
      <c r="AX906" s="3" t="s">
        <v>11465</v>
      </c>
      <c r="AY906" s="3" t="s">
        <v>11466</v>
      </c>
      <c r="AZ906" s="3" t="s">
        <v>76</v>
      </c>
      <c r="BC906" s="3" t="s">
        <v>11467</v>
      </c>
      <c r="BD906" s="3" t="s">
        <v>11468</v>
      </c>
    </row>
    <row r="907" spans="1:56" ht="52.5" customHeight="1" x14ac:dyDescent="0.25">
      <c r="A907" s="7" t="s">
        <v>59</v>
      </c>
      <c r="B907" s="2" t="s">
        <v>11469</v>
      </c>
      <c r="C907" s="2" t="s">
        <v>11470</v>
      </c>
      <c r="D907" s="2" t="s">
        <v>11471</v>
      </c>
      <c r="F907" s="3" t="s">
        <v>59</v>
      </c>
      <c r="G907" s="3" t="s">
        <v>60</v>
      </c>
      <c r="H907" s="3" t="s">
        <v>59</v>
      </c>
      <c r="I907" s="3" t="s">
        <v>59</v>
      </c>
      <c r="J907" s="3" t="s">
        <v>61</v>
      </c>
      <c r="K907" s="2" t="s">
        <v>11460</v>
      </c>
      <c r="L907" s="2" t="s">
        <v>11472</v>
      </c>
      <c r="M907" s="3" t="s">
        <v>254</v>
      </c>
      <c r="O907" s="3" t="s">
        <v>65</v>
      </c>
      <c r="P907" s="3" t="s">
        <v>420</v>
      </c>
      <c r="R907" s="3" t="s">
        <v>68</v>
      </c>
      <c r="S907" s="4">
        <v>10</v>
      </c>
      <c r="T907" s="4">
        <v>10</v>
      </c>
      <c r="U907" s="5" t="s">
        <v>11473</v>
      </c>
      <c r="V907" s="5" t="s">
        <v>11473</v>
      </c>
      <c r="W907" s="5" t="s">
        <v>11474</v>
      </c>
      <c r="X907" s="5" t="s">
        <v>11474</v>
      </c>
      <c r="Y907" s="4">
        <v>574</v>
      </c>
      <c r="Z907" s="4">
        <v>518</v>
      </c>
      <c r="AA907" s="4">
        <v>768</v>
      </c>
      <c r="AB907" s="4">
        <v>5</v>
      </c>
      <c r="AC907" s="4">
        <v>8</v>
      </c>
      <c r="AD907" s="4">
        <v>23</v>
      </c>
      <c r="AE907" s="4">
        <v>32</v>
      </c>
      <c r="AF907" s="4">
        <v>13</v>
      </c>
      <c r="AG907" s="4">
        <v>16</v>
      </c>
      <c r="AH907" s="4">
        <v>4</v>
      </c>
      <c r="AI907" s="4">
        <v>6</v>
      </c>
      <c r="AJ907" s="4">
        <v>9</v>
      </c>
      <c r="AK907" s="4">
        <v>15</v>
      </c>
      <c r="AL907" s="4">
        <v>3</v>
      </c>
      <c r="AM907" s="4">
        <v>3</v>
      </c>
      <c r="AN907" s="4">
        <v>0</v>
      </c>
      <c r="AO907" s="4">
        <v>0</v>
      </c>
      <c r="AP907" s="3" t="s">
        <v>59</v>
      </c>
      <c r="AQ907" s="3" t="s">
        <v>71</v>
      </c>
      <c r="AR907" s="6" t="str">
        <f>HYPERLINK("http://catalog.hathitrust.org/Record/000425762","HathiTrust Record")</f>
        <v>HathiTrust Record</v>
      </c>
      <c r="AS907" s="6" t="str">
        <f>HYPERLINK("https://creighton-primo.hosted.exlibrisgroup.com/primo-explore/search?tab=default_tab&amp;search_scope=EVERYTHING&amp;vid=01CRU&amp;lang=en_US&amp;offset=0&amp;query=any,contains,991000061739702656","Catalog Record")</f>
        <v>Catalog Record</v>
      </c>
      <c r="AT907" s="6" t="str">
        <f>HYPERLINK("http://www.worldcat.org/oclc/24729","WorldCat Record")</f>
        <v>WorldCat Record</v>
      </c>
      <c r="AU907" s="3" t="s">
        <v>11475</v>
      </c>
      <c r="AV907" s="3" t="s">
        <v>11476</v>
      </c>
      <c r="AW907" s="3" t="s">
        <v>11477</v>
      </c>
      <c r="AX907" s="3" t="s">
        <v>11477</v>
      </c>
      <c r="AY907" s="3" t="s">
        <v>11478</v>
      </c>
      <c r="AZ907" s="3" t="s">
        <v>76</v>
      </c>
      <c r="BB907" s="3" t="s">
        <v>11479</v>
      </c>
      <c r="BC907" s="3" t="s">
        <v>11480</v>
      </c>
      <c r="BD907" s="3" t="s">
        <v>11481</v>
      </c>
    </row>
    <row r="908" spans="1:56" ht="52.5" customHeight="1" x14ac:dyDescent="0.25">
      <c r="A908" s="7" t="s">
        <v>59</v>
      </c>
      <c r="B908" s="2" t="s">
        <v>11482</v>
      </c>
      <c r="C908" s="2" t="s">
        <v>11483</v>
      </c>
      <c r="D908" s="2" t="s">
        <v>11484</v>
      </c>
      <c r="F908" s="3" t="s">
        <v>59</v>
      </c>
      <c r="G908" s="3" t="s">
        <v>60</v>
      </c>
      <c r="H908" s="3" t="s">
        <v>59</v>
      </c>
      <c r="I908" s="3" t="s">
        <v>59</v>
      </c>
      <c r="J908" s="3" t="s">
        <v>61</v>
      </c>
      <c r="L908" s="2" t="s">
        <v>11485</v>
      </c>
      <c r="M908" s="3" t="s">
        <v>1163</v>
      </c>
      <c r="O908" s="3" t="s">
        <v>65</v>
      </c>
      <c r="P908" s="3" t="s">
        <v>66</v>
      </c>
      <c r="Q908" s="2" t="s">
        <v>11486</v>
      </c>
      <c r="R908" s="3" t="s">
        <v>68</v>
      </c>
      <c r="S908" s="4">
        <v>15</v>
      </c>
      <c r="T908" s="4">
        <v>15</v>
      </c>
      <c r="U908" s="5" t="s">
        <v>11487</v>
      </c>
      <c r="V908" s="5" t="s">
        <v>11487</v>
      </c>
      <c r="W908" s="5" t="s">
        <v>4686</v>
      </c>
      <c r="X908" s="5" t="s">
        <v>4686</v>
      </c>
      <c r="Y908" s="4">
        <v>644</v>
      </c>
      <c r="Z908" s="4">
        <v>453</v>
      </c>
      <c r="AA908" s="4">
        <v>456</v>
      </c>
      <c r="AB908" s="4">
        <v>4</v>
      </c>
      <c r="AC908" s="4">
        <v>4</v>
      </c>
      <c r="AD908" s="4">
        <v>25</v>
      </c>
      <c r="AE908" s="4">
        <v>25</v>
      </c>
      <c r="AF908" s="4">
        <v>11</v>
      </c>
      <c r="AG908" s="4">
        <v>11</v>
      </c>
      <c r="AH908" s="4">
        <v>5</v>
      </c>
      <c r="AI908" s="4">
        <v>5</v>
      </c>
      <c r="AJ908" s="4">
        <v>14</v>
      </c>
      <c r="AK908" s="4">
        <v>14</v>
      </c>
      <c r="AL908" s="4">
        <v>3</v>
      </c>
      <c r="AM908" s="4">
        <v>3</v>
      </c>
      <c r="AN908" s="4">
        <v>0</v>
      </c>
      <c r="AO908" s="4">
        <v>0</v>
      </c>
      <c r="AP908" s="3" t="s">
        <v>59</v>
      </c>
      <c r="AQ908" s="3" t="s">
        <v>71</v>
      </c>
      <c r="AR908" s="6" t="str">
        <f>HYPERLINK("http://catalog.hathitrust.org/Record/000423795","HathiTrust Record")</f>
        <v>HathiTrust Record</v>
      </c>
      <c r="AS908" s="6" t="str">
        <f>HYPERLINK("https://creighton-primo.hosted.exlibrisgroup.com/primo-explore/search?tab=default_tab&amp;search_scope=EVERYTHING&amp;vid=01CRU&amp;lang=en_US&amp;offset=0&amp;query=any,contains,991000568549702656","Catalog Record")</f>
        <v>Catalog Record</v>
      </c>
      <c r="AT908" s="6" t="str">
        <f>HYPERLINK("http://www.worldcat.org/oclc/11624089","WorldCat Record")</f>
        <v>WorldCat Record</v>
      </c>
      <c r="AU908" s="3" t="s">
        <v>11488</v>
      </c>
      <c r="AV908" s="3" t="s">
        <v>11489</v>
      </c>
      <c r="AW908" s="3" t="s">
        <v>11490</v>
      </c>
      <c r="AX908" s="3" t="s">
        <v>11490</v>
      </c>
      <c r="AY908" s="3" t="s">
        <v>11491</v>
      </c>
      <c r="AZ908" s="3" t="s">
        <v>76</v>
      </c>
      <c r="BB908" s="3" t="s">
        <v>11492</v>
      </c>
      <c r="BC908" s="3" t="s">
        <v>11493</v>
      </c>
      <c r="BD908" s="3" t="s">
        <v>11494</v>
      </c>
    </row>
    <row r="909" spans="1:56" ht="52.5" customHeight="1" x14ac:dyDescent="0.25">
      <c r="A909" s="7" t="s">
        <v>59</v>
      </c>
      <c r="B909" s="2" t="s">
        <v>11495</v>
      </c>
      <c r="C909" s="2" t="s">
        <v>11496</v>
      </c>
      <c r="D909" s="2" t="s">
        <v>11497</v>
      </c>
      <c r="F909" s="3" t="s">
        <v>59</v>
      </c>
      <c r="G909" s="3" t="s">
        <v>60</v>
      </c>
      <c r="H909" s="3" t="s">
        <v>59</v>
      </c>
      <c r="I909" s="3" t="s">
        <v>59</v>
      </c>
      <c r="J909" s="3" t="s">
        <v>61</v>
      </c>
      <c r="K909" s="2" t="s">
        <v>2715</v>
      </c>
      <c r="L909" s="2" t="s">
        <v>11498</v>
      </c>
      <c r="M909" s="3" t="s">
        <v>1233</v>
      </c>
      <c r="O909" s="3" t="s">
        <v>65</v>
      </c>
      <c r="P909" s="3" t="s">
        <v>699</v>
      </c>
      <c r="Q909" s="2" t="s">
        <v>2938</v>
      </c>
      <c r="R909" s="3" t="s">
        <v>68</v>
      </c>
      <c r="S909" s="4">
        <v>5</v>
      </c>
      <c r="T909" s="4">
        <v>5</v>
      </c>
      <c r="U909" s="5" t="s">
        <v>11499</v>
      </c>
      <c r="V909" s="5" t="s">
        <v>11499</v>
      </c>
      <c r="W909" s="5" t="s">
        <v>11257</v>
      </c>
      <c r="X909" s="5" t="s">
        <v>11257</v>
      </c>
      <c r="Y909" s="4">
        <v>571</v>
      </c>
      <c r="Z909" s="4">
        <v>517</v>
      </c>
      <c r="AA909" s="4">
        <v>644</v>
      </c>
      <c r="AB909" s="4">
        <v>3</v>
      </c>
      <c r="AC909" s="4">
        <v>3</v>
      </c>
      <c r="AD909" s="4">
        <v>21</v>
      </c>
      <c r="AE909" s="4">
        <v>25</v>
      </c>
      <c r="AF909" s="4">
        <v>7</v>
      </c>
      <c r="AG909" s="4">
        <v>8</v>
      </c>
      <c r="AH909" s="4">
        <v>7</v>
      </c>
      <c r="AI909" s="4">
        <v>8</v>
      </c>
      <c r="AJ909" s="4">
        <v>10</v>
      </c>
      <c r="AK909" s="4">
        <v>13</v>
      </c>
      <c r="AL909" s="4">
        <v>2</v>
      </c>
      <c r="AM909" s="4">
        <v>2</v>
      </c>
      <c r="AN909" s="4">
        <v>0</v>
      </c>
      <c r="AO909" s="4">
        <v>0</v>
      </c>
      <c r="AP909" s="3" t="s">
        <v>59</v>
      </c>
      <c r="AQ909" s="3" t="s">
        <v>71</v>
      </c>
      <c r="AR909" s="6" t="str">
        <f>HYPERLINK("http://catalog.hathitrust.org/Record/000387123","HathiTrust Record")</f>
        <v>HathiTrust Record</v>
      </c>
      <c r="AS909" s="6" t="str">
        <f>HYPERLINK("https://creighton-primo.hosted.exlibrisgroup.com/primo-explore/search?tab=default_tab&amp;search_scope=EVERYTHING&amp;vid=01CRU&amp;lang=en_US&amp;offset=0&amp;query=any,contains,991002971249702656","Catalog Record")</f>
        <v>Catalog Record</v>
      </c>
      <c r="AT909" s="6" t="str">
        <f>HYPERLINK("http://www.worldcat.org/oclc/549316","WorldCat Record")</f>
        <v>WorldCat Record</v>
      </c>
      <c r="AU909" s="3" t="s">
        <v>11500</v>
      </c>
      <c r="AV909" s="3" t="s">
        <v>11501</v>
      </c>
      <c r="AW909" s="3" t="s">
        <v>11502</v>
      </c>
      <c r="AX909" s="3" t="s">
        <v>11502</v>
      </c>
      <c r="AY909" s="3" t="s">
        <v>11503</v>
      </c>
      <c r="AZ909" s="3" t="s">
        <v>76</v>
      </c>
      <c r="BB909" s="3" t="s">
        <v>11504</v>
      </c>
      <c r="BC909" s="3" t="s">
        <v>11505</v>
      </c>
      <c r="BD909" s="3" t="s">
        <v>11506</v>
      </c>
    </row>
    <row r="910" spans="1:56" ht="52.5" customHeight="1" x14ac:dyDescent="0.25">
      <c r="A910" s="7" t="s">
        <v>59</v>
      </c>
      <c r="B910" s="2" t="s">
        <v>11507</v>
      </c>
      <c r="C910" s="2" t="s">
        <v>11508</v>
      </c>
      <c r="D910" s="2" t="s">
        <v>11509</v>
      </c>
      <c r="F910" s="3" t="s">
        <v>59</v>
      </c>
      <c r="G910" s="3" t="s">
        <v>60</v>
      </c>
      <c r="H910" s="3" t="s">
        <v>59</v>
      </c>
      <c r="I910" s="3" t="s">
        <v>59</v>
      </c>
      <c r="J910" s="3" t="s">
        <v>61</v>
      </c>
      <c r="K910" s="2" t="s">
        <v>11510</v>
      </c>
      <c r="L910" s="2" t="s">
        <v>11511</v>
      </c>
      <c r="M910" s="3" t="s">
        <v>100</v>
      </c>
      <c r="O910" s="3" t="s">
        <v>65</v>
      </c>
      <c r="P910" s="3" t="s">
        <v>66</v>
      </c>
      <c r="Q910" s="2" t="s">
        <v>11512</v>
      </c>
      <c r="R910" s="3" t="s">
        <v>68</v>
      </c>
      <c r="S910" s="4">
        <v>5</v>
      </c>
      <c r="T910" s="4">
        <v>5</v>
      </c>
      <c r="U910" s="5" t="s">
        <v>11513</v>
      </c>
      <c r="V910" s="5" t="s">
        <v>11513</v>
      </c>
      <c r="W910" s="5" t="s">
        <v>1666</v>
      </c>
      <c r="X910" s="5" t="s">
        <v>1666</v>
      </c>
      <c r="Y910" s="4">
        <v>602</v>
      </c>
      <c r="Z910" s="4">
        <v>434</v>
      </c>
      <c r="AA910" s="4">
        <v>441</v>
      </c>
      <c r="AB910" s="4">
        <v>5</v>
      </c>
      <c r="AC910" s="4">
        <v>5</v>
      </c>
      <c r="AD910" s="4">
        <v>26</v>
      </c>
      <c r="AE910" s="4">
        <v>26</v>
      </c>
      <c r="AF910" s="4">
        <v>11</v>
      </c>
      <c r="AG910" s="4">
        <v>11</v>
      </c>
      <c r="AH910" s="4">
        <v>4</v>
      </c>
      <c r="AI910" s="4">
        <v>4</v>
      </c>
      <c r="AJ910" s="4">
        <v>13</v>
      </c>
      <c r="AK910" s="4">
        <v>13</v>
      </c>
      <c r="AL910" s="4">
        <v>4</v>
      </c>
      <c r="AM910" s="4">
        <v>4</v>
      </c>
      <c r="AN910" s="4">
        <v>0</v>
      </c>
      <c r="AO910" s="4">
        <v>0</v>
      </c>
      <c r="AP910" s="3" t="s">
        <v>59</v>
      </c>
      <c r="AQ910" s="3" t="s">
        <v>71</v>
      </c>
      <c r="AR910" s="6" t="str">
        <f>HYPERLINK("http://catalog.hathitrust.org/Record/000387143","HathiTrust Record")</f>
        <v>HathiTrust Record</v>
      </c>
      <c r="AS910" s="6" t="str">
        <f>HYPERLINK("https://creighton-primo.hosted.exlibrisgroup.com/primo-explore/search?tab=default_tab&amp;search_scope=EVERYTHING&amp;vid=01CRU&amp;lang=en_US&amp;offset=0&amp;query=any,contains,991000740239702656","Catalog Record")</f>
        <v>Catalog Record</v>
      </c>
      <c r="AT910" s="6" t="str">
        <f>HYPERLINK("http://www.worldcat.org/oclc/129159","WorldCat Record")</f>
        <v>WorldCat Record</v>
      </c>
      <c r="AU910" s="3" t="s">
        <v>11514</v>
      </c>
      <c r="AV910" s="3" t="s">
        <v>11515</v>
      </c>
      <c r="AW910" s="3" t="s">
        <v>11516</v>
      </c>
      <c r="AX910" s="3" t="s">
        <v>11516</v>
      </c>
      <c r="AY910" s="3" t="s">
        <v>11517</v>
      </c>
      <c r="AZ910" s="3" t="s">
        <v>76</v>
      </c>
      <c r="BB910" s="3" t="s">
        <v>11518</v>
      </c>
      <c r="BC910" s="3" t="s">
        <v>11519</v>
      </c>
      <c r="BD910" s="3" t="s">
        <v>11520</v>
      </c>
    </row>
    <row r="911" spans="1:56" ht="52.5" customHeight="1" x14ac:dyDescent="0.25">
      <c r="A911" s="7" t="s">
        <v>59</v>
      </c>
      <c r="B911" s="2" t="s">
        <v>11521</v>
      </c>
      <c r="C911" s="2" t="s">
        <v>11522</v>
      </c>
      <c r="D911" s="2" t="s">
        <v>11523</v>
      </c>
      <c r="F911" s="3" t="s">
        <v>59</v>
      </c>
      <c r="G911" s="3" t="s">
        <v>60</v>
      </c>
      <c r="H911" s="3" t="s">
        <v>59</v>
      </c>
      <c r="I911" s="3" t="s">
        <v>59</v>
      </c>
      <c r="J911" s="3" t="s">
        <v>61</v>
      </c>
      <c r="K911" s="2" t="s">
        <v>11524</v>
      </c>
      <c r="L911" s="2" t="s">
        <v>11525</v>
      </c>
      <c r="M911" s="3" t="s">
        <v>309</v>
      </c>
      <c r="N911" s="2" t="s">
        <v>1289</v>
      </c>
      <c r="O911" s="3" t="s">
        <v>65</v>
      </c>
      <c r="P911" s="3" t="s">
        <v>66</v>
      </c>
      <c r="R911" s="3" t="s">
        <v>68</v>
      </c>
      <c r="S911" s="4">
        <v>10</v>
      </c>
      <c r="T911" s="4">
        <v>10</v>
      </c>
      <c r="U911" s="5" t="s">
        <v>11526</v>
      </c>
      <c r="V911" s="5" t="s">
        <v>11526</v>
      </c>
      <c r="W911" s="5" t="s">
        <v>11527</v>
      </c>
      <c r="X911" s="5" t="s">
        <v>11527</v>
      </c>
      <c r="Y911" s="4">
        <v>345</v>
      </c>
      <c r="Z911" s="4">
        <v>249</v>
      </c>
      <c r="AA911" s="4">
        <v>757</v>
      </c>
      <c r="AB911" s="4">
        <v>4</v>
      </c>
      <c r="AC911" s="4">
        <v>11</v>
      </c>
      <c r="AD911" s="4">
        <v>7</v>
      </c>
      <c r="AE911" s="4">
        <v>38</v>
      </c>
      <c r="AF911" s="4">
        <v>1</v>
      </c>
      <c r="AG911" s="4">
        <v>18</v>
      </c>
      <c r="AH911" s="4">
        <v>0</v>
      </c>
      <c r="AI911" s="4">
        <v>5</v>
      </c>
      <c r="AJ911" s="4">
        <v>6</v>
      </c>
      <c r="AK911" s="4">
        <v>16</v>
      </c>
      <c r="AL911" s="4">
        <v>1</v>
      </c>
      <c r="AM911" s="4">
        <v>6</v>
      </c>
      <c r="AN911" s="4">
        <v>0</v>
      </c>
      <c r="AO911" s="4">
        <v>0</v>
      </c>
      <c r="AP911" s="3" t="s">
        <v>59</v>
      </c>
      <c r="AQ911" s="3" t="s">
        <v>71</v>
      </c>
      <c r="AR911" s="6" t="str">
        <f>HYPERLINK("http://catalog.hathitrust.org/Record/009125131","HathiTrust Record")</f>
        <v>HathiTrust Record</v>
      </c>
      <c r="AS911" s="6" t="str">
        <f>HYPERLINK("https://creighton-primo.hosted.exlibrisgroup.com/primo-explore/search?tab=default_tab&amp;search_scope=EVERYTHING&amp;vid=01CRU&amp;lang=en_US&amp;offset=0&amp;query=any,contains,991004475089702656","Catalog Record")</f>
        <v>Catalog Record</v>
      </c>
      <c r="AT911" s="6" t="str">
        <f>HYPERLINK("http://www.worldcat.org/oclc/3608854","WorldCat Record")</f>
        <v>WorldCat Record</v>
      </c>
      <c r="AU911" s="3" t="s">
        <v>11528</v>
      </c>
      <c r="AV911" s="3" t="s">
        <v>11529</v>
      </c>
      <c r="AW911" s="3" t="s">
        <v>11530</v>
      </c>
      <c r="AX911" s="3" t="s">
        <v>11530</v>
      </c>
      <c r="AY911" s="3" t="s">
        <v>11531</v>
      </c>
      <c r="AZ911" s="3" t="s">
        <v>76</v>
      </c>
      <c r="BB911" s="3" t="s">
        <v>11532</v>
      </c>
      <c r="BC911" s="3" t="s">
        <v>11533</v>
      </c>
      <c r="BD911" s="3" t="s">
        <v>11534</v>
      </c>
    </row>
    <row r="912" spans="1:56" ht="52.5" customHeight="1" x14ac:dyDescent="0.25">
      <c r="A912" s="7" t="s">
        <v>59</v>
      </c>
      <c r="B912" s="2" t="s">
        <v>11535</v>
      </c>
      <c r="C912" s="2" t="s">
        <v>11536</v>
      </c>
      <c r="D912" s="2" t="s">
        <v>11537</v>
      </c>
      <c r="F912" s="3" t="s">
        <v>59</v>
      </c>
      <c r="G912" s="3" t="s">
        <v>60</v>
      </c>
      <c r="H912" s="3" t="s">
        <v>59</v>
      </c>
      <c r="I912" s="3" t="s">
        <v>59</v>
      </c>
      <c r="J912" s="3" t="s">
        <v>61</v>
      </c>
      <c r="L912" s="2" t="s">
        <v>11538</v>
      </c>
      <c r="M912" s="3" t="s">
        <v>148</v>
      </c>
      <c r="O912" s="3" t="s">
        <v>65</v>
      </c>
      <c r="P912" s="3" t="s">
        <v>420</v>
      </c>
      <c r="Q912" s="2" t="s">
        <v>11539</v>
      </c>
      <c r="R912" s="3" t="s">
        <v>68</v>
      </c>
      <c r="S912" s="4">
        <v>14</v>
      </c>
      <c r="T912" s="4">
        <v>14</v>
      </c>
      <c r="U912" s="5" t="s">
        <v>256</v>
      </c>
      <c r="V912" s="5" t="s">
        <v>256</v>
      </c>
      <c r="W912" s="5" t="s">
        <v>3991</v>
      </c>
      <c r="X912" s="5" t="s">
        <v>3991</v>
      </c>
      <c r="Y912" s="4">
        <v>824</v>
      </c>
      <c r="Z912" s="4">
        <v>654</v>
      </c>
      <c r="AA912" s="4">
        <v>657</v>
      </c>
      <c r="AB912" s="4">
        <v>4</v>
      </c>
      <c r="AC912" s="4">
        <v>4</v>
      </c>
      <c r="AD912" s="4">
        <v>36</v>
      </c>
      <c r="AE912" s="4">
        <v>36</v>
      </c>
      <c r="AF912" s="4">
        <v>13</v>
      </c>
      <c r="AG912" s="4">
        <v>13</v>
      </c>
      <c r="AH912" s="4">
        <v>9</v>
      </c>
      <c r="AI912" s="4">
        <v>9</v>
      </c>
      <c r="AJ912" s="4">
        <v>22</v>
      </c>
      <c r="AK912" s="4">
        <v>22</v>
      </c>
      <c r="AL912" s="4">
        <v>3</v>
      </c>
      <c r="AM912" s="4">
        <v>3</v>
      </c>
      <c r="AN912" s="4">
        <v>0</v>
      </c>
      <c r="AO912" s="4">
        <v>0</v>
      </c>
      <c r="AP912" s="3" t="s">
        <v>59</v>
      </c>
      <c r="AQ912" s="3" t="s">
        <v>71</v>
      </c>
      <c r="AR912" s="6" t="str">
        <f>HYPERLINK("http://catalog.hathitrust.org/Record/000126744","HathiTrust Record")</f>
        <v>HathiTrust Record</v>
      </c>
      <c r="AS912" s="6" t="str">
        <f>HYPERLINK("https://creighton-primo.hosted.exlibrisgroup.com/primo-explore/search?tab=default_tab&amp;search_scope=EVERYTHING&amp;vid=01CRU&amp;lang=en_US&amp;offset=0&amp;query=any,contains,991004181639702656","Catalog Record")</f>
        <v>Catalog Record</v>
      </c>
      <c r="AT912" s="6" t="str">
        <f>HYPERLINK("http://www.worldcat.org/oclc/2606224","WorldCat Record")</f>
        <v>WorldCat Record</v>
      </c>
      <c r="AU912" s="3" t="s">
        <v>11540</v>
      </c>
      <c r="AV912" s="3" t="s">
        <v>11541</v>
      </c>
      <c r="AW912" s="3" t="s">
        <v>11542</v>
      </c>
      <c r="AX912" s="3" t="s">
        <v>11542</v>
      </c>
      <c r="AY912" s="3" t="s">
        <v>11543</v>
      </c>
      <c r="AZ912" s="3" t="s">
        <v>76</v>
      </c>
      <c r="BC912" s="3" t="s">
        <v>11544</v>
      </c>
      <c r="BD912" s="3" t="s">
        <v>11545</v>
      </c>
    </row>
    <row r="913" spans="1:56" ht="52.5" customHeight="1" x14ac:dyDescent="0.25">
      <c r="A913" s="7" t="s">
        <v>59</v>
      </c>
      <c r="B913" s="2" t="s">
        <v>11546</v>
      </c>
      <c r="C913" s="2" t="s">
        <v>11547</v>
      </c>
      <c r="D913" s="2" t="s">
        <v>11548</v>
      </c>
      <c r="F913" s="3" t="s">
        <v>59</v>
      </c>
      <c r="G913" s="3" t="s">
        <v>60</v>
      </c>
      <c r="H913" s="3" t="s">
        <v>59</v>
      </c>
      <c r="I913" s="3" t="s">
        <v>59</v>
      </c>
      <c r="J913" s="3" t="s">
        <v>61</v>
      </c>
      <c r="K913" s="2" t="s">
        <v>11549</v>
      </c>
      <c r="L913" s="2" t="s">
        <v>11550</v>
      </c>
      <c r="M913" s="3" t="s">
        <v>756</v>
      </c>
      <c r="O913" s="3" t="s">
        <v>65</v>
      </c>
      <c r="P913" s="3" t="s">
        <v>66</v>
      </c>
      <c r="R913" s="3" t="s">
        <v>68</v>
      </c>
      <c r="S913" s="4">
        <v>3</v>
      </c>
      <c r="T913" s="4">
        <v>3</v>
      </c>
      <c r="U913" s="5" t="s">
        <v>4646</v>
      </c>
      <c r="V913" s="5" t="s">
        <v>4646</v>
      </c>
      <c r="W913" s="5" t="s">
        <v>5437</v>
      </c>
      <c r="X913" s="5" t="s">
        <v>5437</v>
      </c>
      <c r="Y913" s="4">
        <v>484</v>
      </c>
      <c r="Z913" s="4">
        <v>434</v>
      </c>
      <c r="AA913" s="4">
        <v>543</v>
      </c>
      <c r="AB913" s="4">
        <v>5</v>
      </c>
      <c r="AC913" s="4">
        <v>5</v>
      </c>
      <c r="AD913" s="4">
        <v>19</v>
      </c>
      <c r="AE913" s="4">
        <v>23</v>
      </c>
      <c r="AF913" s="4">
        <v>8</v>
      </c>
      <c r="AG913" s="4">
        <v>9</v>
      </c>
      <c r="AH913" s="4">
        <v>2</v>
      </c>
      <c r="AI913" s="4">
        <v>3</v>
      </c>
      <c r="AJ913" s="4">
        <v>9</v>
      </c>
      <c r="AK913" s="4">
        <v>12</v>
      </c>
      <c r="AL913" s="4">
        <v>3</v>
      </c>
      <c r="AM913" s="4">
        <v>3</v>
      </c>
      <c r="AN913" s="4">
        <v>0</v>
      </c>
      <c r="AO913" s="4">
        <v>0</v>
      </c>
      <c r="AP913" s="3" t="s">
        <v>59</v>
      </c>
      <c r="AQ913" s="3" t="s">
        <v>71</v>
      </c>
      <c r="AR913" s="6" t="str">
        <f>HYPERLINK("http://catalog.hathitrust.org/Record/000387828","HathiTrust Record")</f>
        <v>HathiTrust Record</v>
      </c>
      <c r="AS913" s="6" t="str">
        <f>HYPERLINK("https://creighton-primo.hosted.exlibrisgroup.com/primo-explore/search?tab=default_tab&amp;search_scope=EVERYTHING&amp;vid=01CRU&amp;lang=en_US&amp;offset=0&amp;query=any,contains,991003092239702656","Catalog Record")</f>
        <v>Catalog Record</v>
      </c>
      <c r="AT913" s="6" t="str">
        <f>HYPERLINK("http://www.worldcat.org/oclc/642484","WorldCat Record")</f>
        <v>WorldCat Record</v>
      </c>
      <c r="AU913" s="3" t="s">
        <v>11551</v>
      </c>
      <c r="AV913" s="3" t="s">
        <v>11552</v>
      </c>
      <c r="AW913" s="3" t="s">
        <v>11553</v>
      </c>
      <c r="AX913" s="3" t="s">
        <v>11553</v>
      </c>
      <c r="AY913" s="3" t="s">
        <v>11554</v>
      </c>
      <c r="AZ913" s="3" t="s">
        <v>76</v>
      </c>
      <c r="BC913" s="3" t="s">
        <v>11555</v>
      </c>
      <c r="BD913" s="3" t="s">
        <v>11556</v>
      </c>
    </row>
    <row r="914" spans="1:56" ht="52.5" customHeight="1" x14ac:dyDescent="0.25">
      <c r="A914" s="7" t="s">
        <v>59</v>
      </c>
      <c r="B914" s="2" t="s">
        <v>11557</v>
      </c>
      <c r="C914" s="2" t="s">
        <v>11558</v>
      </c>
      <c r="D914" s="2" t="s">
        <v>11559</v>
      </c>
      <c r="F914" s="3" t="s">
        <v>59</v>
      </c>
      <c r="G914" s="3" t="s">
        <v>60</v>
      </c>
      <c r="H914" s="3" t="s">
        <v>59</v>
      </c>
      <c r="I914" s="3" t="s">
        <v>59</v>
      </c>
      <c r="J914" s="3" t="s">
        <v>61</v>
      </c>
      <c r="K914" s="2" t="s">
        <v>8692</v>
      </c>
      <c r="L914" s="2" t="s">
        <v>7942</v>
      </c>
      <c r="M914" s="3" t="s">
        <v>131</v>
      </c>
      <c r="O914" s="3" t="s">
        <v>65</v>
      </c>
      <c r="P914" s="3" t="s">
        <v>699</v>
      </c>
      <c r="Q914" s="2" t="s">
        <v>11560</v>
      </c>
      <c r="R914" s="3" t="s">
        <v>68</v>
      </c>
      <c r="S914" s="4">
        <v>7</v>
      </c>
      <c r="T914" s="4">
        <v>7</v>
      </c>
      <c r="U914" s="5" t="s">
        <v>11561</v>
      </c>
      <c r="V914" s="5" t="s">
        <v>11561</v>
      </c>
      <c r="W914" s="5" t="s">
        <v>11474</v>
      </c>
      <c r="X914" s="5" t="s">
        <v>11474</v>
      </c>
      <c r="Y914" s="4">
        <v>229</v>
      </c>
      <c r="Z914" s="4">
        <v>186</v>
      </c>
      <c r="AA914" s="4">
        <v>186</v>
      </c>
      <c r="AB914" s="4">
        <v>3</v>
      </c>
      <c r="AC914" s="4">
        <v>3</v>
      </c>
      <c r="AD914" s="4">
        <v>8</v>
      </c>
      <c r="AE914" s="4">
        <v>8</v>
      </c>
      <c r="AF914" s="4">
        <v>2</v>
      </c>
      <c r="AG914" s="4">
        <v>2</v>
      </c>
      <c r="AH914" s="4">
        <v>3</v>
      </c>
      <c r="AI914" s="4">
        <v>3</v>
      </c>
      <c r="AJ914" s="4">
        <v>5</v>
      </c>
      <c r="AK914" s="4">
        <v>5</v>
      </c>
      <c r="AL914" s="4">
        <v>2</v>
      </c>
      <c r="AM914" s="4">
        <v>2</v>
      </c>
      <c r="AN914" s="4">
        <v>0</v>
      </c>
      <c r="AO914" s="4">
        <v>0</v>
      </c>
      <c r="AP914" s="3" t="s">
        <v>59</v>
      </c>
      <c r="AQ914" s="3" t="s">
        <v>59</v>
      </c>
      <c r="AS914" s="6" t="str">
        <f>HYPERLINK("https://creighton-primo.hosted.exlibrisgroup.com/primo-explore/search?tab=default_tab&amp;search_scope=EVERYTHING&amp;vid=01CRU&amp;lang=en_US&amp;offset=0&amp;query=any,contains,991003444759702656","Catalog Record")</f>
        <v>Catalog Record</v>
      </c>
      <c r="AT914" s="6" t="str">
        <f>HYPERLINK("http://www.worldcat.org/oclc/980257","WorldCat Record")</f>
        <v>WorldCat Record</v>
      </c>
      <c r="AU914" s="3" t="s">
        <v>11562</v>
      </c>
      <c r="AV914" s="3" t="s">
        <v>11563</v>
      </c>
      <c r="AW914" s="3" t="s">
        <v>11564</v>
      </c>
      <c r="AX914" s="3" t="s">
        <v>11564</v>
      </c>
      <c r="AY914" s="3" t="s">
        <v>11565</v>
      </c>
      <c r="AZ914" s="3" t="s">
        <v>76</v>
      </c>
      <c r="BB914" s="3" t="s">
        <v>11566</v>
      </c>
      <c r="BC914" s="3" t="s">
        <v>11567</v>
      </c>
      <c r="BD914" s="3" t="s">
        <v>11568</v>
      </c>
    </row>
    <row r="915" spans="1:56" ht="52.5" customHeight="1" x14ac:dyDescent="0.25">
      <c r="A915" s="7" t="s">
        <v>59</v>
      </c>
      <c r="B915" s="2" t="s">
        <v>11569</v>
      </c>
      <c r="C915" s="2" t="s">
        <v>11570</v>
      </c>
      <c r="D915" s="2" t="s">
        <v>11571</v>
      </c>
      <c r="F915" s="3" t="s">
        <v>59</v>
      </c>
      <c r="G915" s="3" t="s">
        <v>60</v>
      </c>
      <c r="H915" s="3" t="s">
        <v>71</v>
      </c>
      <c r="I915" s="3" t="s">
        <v>59</v>
      </c>
      <c r="J915" s="3" t="s">
        <v>61</v>
      </c>
      <c r="K915" s="2" t="s">
        <v>11572</v>
      </c>
      <c r="L915" s="2" t="s">
        <v>2871</v>
      </c>
      <c r="M915" s="3" t="s">
        <v>1000</v>
      </c>
      <c r="O915" s="3" t="s">
        <v>65</v>
      </c>
      <c r="P915" s="3" t="s">
        <v>66</v>
      </c>
      <c r="R915" s="3" t="s">
        <v>68</v>
      </c>
      <c r="S915" s="4">
        <v>4</v>
      </c>
      <c r="T915" s="4">
        <v>15</v>
      </c>
      <c r="U915" s="5" t="s">
        <v>11513</v>
      </c>
      <c r="V915" s="5" t="s">
        <v>11513</v>
      </c>
      <c r="W915" s="5" t="s">
        <v>4230</v>
      </c>
      <c r="X915" s="5" t="s">
        <v>4230</v>
      </c>
      <c r="Y915" s="4">
        <v>792</v>
      </c>
      <c r="Z915" s="4">
        <v>675</v>
      </c>
      <c r="AA915" s="4">
        <v>787</v>
      </c>
      <c r="AB915" s="4">
        <v>8</v>
      </c>
      <c r="AC915" s="4">
        <v>8</v>
      </c>
      <c r="AD915" s="4">
        <v>30</v>
      </c>
      <c r="AE915" s="4">
        <v>34</v>
      </c>
      <c r="AF915" s="4">
        <v>13</v>
      </c>
      <c r="AG915" s="4">
        <v>16</v>
      </c>
      <c r="AH915" s="4">
        <v>5</v>
      </c>
      <c r="AI915" s="4">
        <v>6</v>
      </c>
      <c r="AJ915" s="4">
        <v>13</v>
      </c>
      <c r="AK915" s="4">
        <v>15</v>
      </c>
      <c r="AL915" s="4">
        <v>4</v>
      </c>
      <c r="AM915" s="4">
        <v>4</v>
      </c>
      <c r="AN915" s="4">
        <v>0</v>
      </c>
      <c r="AO915" s="4">
        <v>0</v>
      </c>
      <c r="AP915" s="3" t="s">
        <v>59</v>
      </c>
      <c r="AQ915" s="3" t="s">
        <v>71</v>
      </c>
      <c r="AR915" s="6" t="str">
        <f>HYPERLINK("http://catalog.hathitrust.org/Record/000256270","HathiTrust Record")</f>
        <v>HathiTrust Record</v>
      </c>
      <c r="AS915" s="6" t="str">
        <f>HYPERLINK("https://creighton-primo.hosted.exlibrisgroup.com/primo-explore/search?tab=default_tab&amp;search_scope=EVERYTHING&amp;vid=01CRU&amp;lang=en_US&amp;offset=0&amp;query=any,contains,991001777159702656","Catalog Record")</f>
        <v>Catalog Record</v>
      </c>
      <c r="AT915" s="6" t="str">
        <f>HYPERLINK("http://www.worldcat.org/oclc/4495621","WorldCat Record")</f>
        <v>WorldCat Record</v>
      </c>
      <c r="AU915" s="3" t="s">
        <v>11573</v>
      </c>
      <c r="AV915" s="3" t="s">
        <v>11574</v>
      </c>
      <c r="AW915" s="3" t="s">
        <v>11575</v>
      </c>
      <c r="AX915" s="3" t="s">
        <v>11575</v>
      </c>
      <c r="AY915" s="3" t="s">
        <v>11576</v>
      </c>
      <c r="AZ915" s="3" t="s">
        <v>76</v>
      </c>
      <c r="BB915" s="3" t="s">
        <v>11577</v>
      </c>
      <c r="BC915" s="3" t="s">
        <v>11578</v>
      </c>
      <c r="BD915" s="3" t="s">
        <v>11579</v>
      </c>
    </row>
    <row r="916" spans="1:56" ht="52.5" customHeight="1" x14ac:dyDescent="0.25">
      <c r="A916" s="7" t="s">
        <v>59</v>
      </c>
      <c r="B916" s="2" t="s">
        <v>11580</v>
      </c>
      <c r="C916" s="2" t="s">
        <v>11581</v>
      </c>
      <c r="D916" s="2" t="s">
        <v>11582</v>
      </c>
      <c r="F916" s="3" t="s">
        <v>59</v>
      </c>
      <c r="G916" s="3" t="s">
        <v>60</v>
      </c>
      <c r="H916" s="3" t="s">
        <v>59</v>
      </c>
      <c r="I916" s="3" t="s">
        <v>59</v>
      </c>
      <c r="J916" s="3" t="s">
        <v>61</v>
      </c>
      <c r="L916" s="2" t="s">
        <v>11583</v>
      </c>
      <c r="M916" s="3" t="s">
        <v>943</v>
      </c>
      <c r="O916" s="3" t="s">
        <v>65</v>
      </c>
      <c r="P916" s="3" t="s">
        <v>66</v>
      </c>
      <c r="R916" s="3" t="s">
        <v>68</v>
      </c>
      <c r="S916" s="4">
        <v>3</v>
      </c>
      <c r="T916" s="4">
        <v>3</v>
      </c>
      <c r="U916" s="5" t="s">
        <v>11584</v>
      </c>
      <c r="V916" s="5" t="s">
        <v>11584</v>
      </c>
      <c r="W916" s="5" t="s">
        <v>11585</v>
      </c>
      <c r="X916" s="5" t="s">
        <v>11585</v>
      </c>
      <c r="Y916" s="4">
        <v>233</v>
      </c>
      <c r="Z916" s="4">
        <v>143</v>
      </c>
      <c r="AA916" s="4">
        <v>164</v>
      </c>
      <c r="AB916" s="4">
        <v>3</v>
      </c>
      <c r="AC916" s="4">
        <v>3</v>
      </c>
      <c r="AD916" s="4">
        <v>9</v>
      </c>
      <c r="AE916" s="4">
        <v>11</v>
      </c>
      <c r="AF916" s="4">
        <v>1</v>
      </c>
      <c r="AG916" s="4">
        <v>3</v>
      </c>
      <c r="AH916" s="4">
        <v>3</v>
      </c>
      <c r="AI916" s="4">
        <v>3</v>
      </c>
      <c r="AJ916" s="4">
        <v>6</v>
      </c>
      <c r="AK916" s="4">
        <v>7</v>
      </c>
      <c r="AL916" s="4">
        <v>2</v>
      </c>
      <c r="AM916" s="4">
        <v>2</v>
      </c>
      <c r="AN916" s="4">
        <v>0</v>
      </c>
      <c r="AO916" s="4">
        <v>0</v>
      </c>
      <c r="AP916" s="3" t="s">
        <v>59</v>
      </c>
      <c r="AQ916" s="3" t="s">
        <v>59</v>
      </c>
      <c r="AS916" s="6" t="str">
        <f>HYPERLINK("https://creighton-primo.hosted.exlibrisgroup.com/primo-explore/search?tab=default_tab&amp;search_scope=EVERYTHING&amp;vid=01CRU&amp;lang=en_US&amp;offset=0&amp;query=any,contains,991001869069702656","Catalog Record")</f>
        <v>Catalog Record</v>
      </c>
      <c r="AT916" s="6" t="str">
        <f>HYPERLINK("http://www.worldcat.org/oclc/23582920","WorldCat Record")</f>
        <v>WorldCat Record</v>
      </c>
      <c r="AU916" s="3" t="s">
        <v>11586</v>
      </c>
      <c r="AV916" s="3" t="s">
        <v>11587</v>
      </c>
      <c r="AW916" s="3" t="s">
        <v>11588</v>
      </c>
      <c r="AX916" s="3" t="s">
        <v>11588</v>
      </c>
      <c r="AY916" s="3" t="s">
        <v>11589</v>
      </c>
      <c r="AZ916" s="3" t="s">
        <v>76</v>
      </c>
      <c r="BB916" s="3" t="s">
        <v>11590</v>
      </c>
      <c r="BC916" s="3" t="s">
        <v>11591</v>
      </c>
      <c r="BD916" s="3" t="s">
        <v>11592</v>
      </c>
    </row>
    <row r="917" spans="1:56" ht="52.5" customHeight="1" x14ac:dyDescent="0.25">
      <c r="A917" s="7" t="s">
        <v>59</v>
      </c>
      <c r="B917" s="2" t="s">
        <v>11593</v>
      </c>
      <c r="C917" s="2" t="s">
        <v>11594</v>
      </c>
      <c r="D917" s="2" t="s">
        <v>11595</v>
      </c>
      <c r="F917" s="3" t="s">
        <v>59</v>
      </c>
      <c r="G917" s="3" t="s">
        <v>60</v>
      </c>
      <c r="H917" s="3" t="s">
        <v>59</v>
      </c>
      <c r="I917" s="3" t="s">
        <v>59</v>
      </c>
      <c r="J917" s="3" t="s">
        <v>61</v>
      </c>
      <c r="K917" s="2" t="s">
        <v>11596</v>
      </c>
      <c r="L917" s="2" t="s">
        <v>11597</v>
      </c>
      <c r="M917" s="3" t="s">
        <v>365</v>
      </c>
      <c r="O917" s="3" t="s">
        <v>65</v>
      </c>
      <c r="P917" s="3" t="s">
        <v>699</v>
      </c>
      <c r="R917" s="3" t="s">
        <v>68</v>
      </c>
      <c r="S917" s="4">
        <v>3</v>
      </c>
      <c r="T917" s="4">
        <v>3</v>
      </c>
      <c r="U917" s="5" t="s">
        <v>11598</v>
      </c>
      <c r="V917" s="5" t="s">
        <v>11598</v>
      </c>
      <c r="W917" s="5" t="s">
        <v>11599</v>
      </c>
      <c r="X917" s="5" t="s">
        <v>11599</v>
      </c>
      <c r="Y917" s="4">
        <v>52</v>
      </c>
      <c r="Z917" s="4">
        <v>39</v>
      </c>
      <c r="AA917" s="4">
        <v>404</v>
      </c>
      <c r="AB917" s="4">
        <v>1</v>
      </c>
      <c r="AC917" s="4">
        <v>4</v>
      </c>
      <c r="AD917" s="4">
        <v>2</v>
      </c>
      <c r="AE917" s="4">
        <v>26</v>
      </c>
      <c r="AF917" s="4">
        <v>1</v>
      </c>
      <c r="AG917" s="4">
        <v>10</v>
      </c>
      <c r="AH917" s="4">
        <v>0</v>
      </c>
      <c r="AI917" s="4">
        <v>7</v>
      </c>
      <c r="AJ917" s="4">
        <v>1</v>
      </c>
      <c r="AK917" s="4">
        <v>16</v>
      </c>
      <c r="AL917" s="4">
        <v>0</v>
      </c>
      <c r="AM917" s="4">
        <v>3</v>
      </c>
      <c r="AN917" s="4">
        <v>0</v>
      </c>
      <c r="AO917" s="4">
        <v>0</v>
      </c>
      <c r="AP917" s="3" t="s">
        <v>59</v>
      </c>
      <c r="AQ917" s="3" t="s">
        <v>71</v>
      </c>
      <c r="AR917" s="6" t="str">
        <f>HYPERLINK("http://catalog.hathitrust.org/Record/010662048","HathiTrust Record")</f>
        <v>HathiTrust Record</v>
      </c>
      <c r="AS917" s="6" t="str">
        <f>HYPERLINK("https://creighton-primo.hosted.exlibrisgroup.com/primo-explore/search?tab=default_tab&amp;search_scope=EVERYTHING&amp;vid=01CRU&amp;lang=en_US&amp;offset=0&amp;query=any,contains,991001459239702656","Catalog Record")</f>
        <v>Catalog Record</v>
      </c>
      <c r="AT917" s="6" t="str">
        <f>HYPERLINK("http://www.worldcat.org/oclc/19402882","WorldCat Record")</f>
        <v>WorldCat Record</v>
      </c>
      <c r="AU917" s="3" t="s">
        <v>11600</v>
      </c>
      <c r="AV917" s="3" t="s">
        <v>11601</v>
      </c>
      <c r="AW917" s="3" t="s">
        <v>11602</v>
      </c>
      <c r="AX917" s="3" t="s">
        <v>11602</v>
      </c>
      <c r="AY917" s="3" t="s">
        <v>11603</v>
      </c>
      <c r="AZ917" s="3" t="s">
        <v>76</v>
      </c>
      <c r="BB917" s="3" t="s">
        <v>11604</v>
      </c>
      <c r="BC917" s="3" t="s">
        <v>11605</v>
      </c>
      <c r="BD917" s="3" t="s">
        <v>11606</v>
      </c>
    </row>
    <row r="918" spans="1:56" ht="52.5" customHeight="1" x14ac:dyDescent="0.25">
      <c r="A918" s="7" t="s">
        <v>59</v>
      </c>
      <c r="B918" s="2" t="s">
        <v>11607</v>
      </c>
      <c r="C918" s="2" t="s">
        <v>11608</v>
      </c>
      <c r="D918" s="2" t="s">
        <v>11609</v>
      </c>
      <c r="F918" s="3" t="s">
        <v>59</v>
      </c>
      <c r="G918" s="3" t="s">
        <v>60</v>
      </c>
      <c r="H918" s="3" t="s">
        <v>59</v>
      </c>
      <c r="I918" s="3" t="s">
        <v>59</v>
      </c>
      <c r="J918" s="3" t="s">
        <v>61</v>
      </c>
      <c r="L918" s="2" t="s">
        <v>11610</v>
      </c>
      <c r="M918" s="3" t="s">
        <v>195</v>
      </c>
      <c r="O918" s="3" t="s">
        <v>65</v>
      </c>
      <c r="P918" s="3" t="s">
        <v>296</v>
      </c>
      <c r="R918" s="3" t="s">
        <v>68</v>
      </c>
      <c r="S918" s="4">
        <v>6</v>
      </c>
      <c r="T918" s="4">
        <v>6</v>
      </c>
      <c r="U918" s="5" t="s">
        <v>11611</v>
      </c>
      <c r="V918" s="5" t="s">
        <v>11611</v>
      </c>
      <c r="W918" s="5" t="s">
        <v>11054</v>
      </c>
      <c r="X918" s="5" t="s">
        <v>11054</v>
      </c>
      <c r="Y918" s="4">
        <v>257</v>
      </c>
      <c r="Z918" s="4">
        <v>189</v>
      </c>
      <c r="AA918" s="4">
        <v>190</v>
      </c>
      <c r="AB918" s="4">
        <v>4</v>
      </c>
      <c r="AC918" s="4">
        <v>4</v>
      </c>
      <c r="AD918" s="4">
        <v>13</v>
      </c>
      <c r="AE918" s="4">
        <v>13</v>
      </c>
      <c r="AF918" s="4">
        <v>5</v>
      </c>
      <c r="AG918" s="4">
        <v>5</v>
      </c>
      <c r="AH918" s="4">
        <v>2</v>
      </c>
      <c r="AI918" s="4">
        <v>2</v>
      </c>
      <c r="AJ918" s="4">
        <v>7</v>
      </c>
      <c r="AK918" s="4">
        <v>7</v>
      </c>
      <c r="AL918" s="4">
        <v>3</v>
      </c>
      <c r="AM918" s="4">
        <v>3</v>
      </c>
      <c r="AN918" s="4">
        <v>0</v>
      </c>
      <c r="AO918" s="4">
        <v>0</v>
      </c>
      <c r="AP918" s="3" t="s">
        <v>59</v>
      </c>
      <c r="AQ918" s="3" t="s">
        <v>71</v>
      </c>
      <c r="AR918" s="6" t="str">
        <f>HYPERLINK("http://catalog.hathitrust.org/Record/004445830","HathiTrust Record")</f>
        <v>HathiTrust Record</v>
      </c>
      <c r="AS918" s="6" t="str">
        <f>HYPERLINK("https://creighton-primo.hosted.exlibrisgroup.com/primo-explore/search?tab=default_tab&amp;search_scope=EVERYTHING&amp;vid=01CRU&amp;lang=en_US&amp;offset=0&amp;query=any,contains,991005237919702656","Catalog Record")</f>
        <v>Catalog Record</v>
      </c>
      <c r="AT918" s="6" t="str">
        <f>HYPERLINK("http://www.worldcat.org/oclc/8389424","WorldCat Record")</f>
        <v>WorldCat Record</v>
      </c>
      <c r="AU918" s="3" t="s">
        <v>11612</v>
      </c>
      <c r="AV918" s="3" t="s">
        <v>11613</v>
      </c>
      <c r="AW918" s="3" t="s">
        <v>11614</v>
      </c>
      <c r="AX918" s="3" t="s">
        <v>11614</v>
      </c>
      <c r="AY918" s="3" t="s">
        <v>11615</v>
      </c>
      <c r="AZ918" s="3" t="s">
        <v>76</v>
      </c>
      <c r="BB918" s="3" t="s">
        <v>11616</v>
      </c>
      <c r="BC918" s="3" t="s">
        <v>11617</v>
      </c>
      <c r="BD918" s="3" t="s">
        <v>11618</v>
      </c>
    </row>
    <row r="919" spans="1:56" ht="52.5" customHeight="1" x14ac:dyDescent="0.25">
      <c r="A919" s="7" t="s">
        <v>59</v>
      </c>
      <c r="B919" s="2" t="s">
        <v>11619</v>
      </c>
      <c r="C919" s="2" t="s">
        <v>11620</v>
      </c>
      <c r="D919" s="2" t="s">
        <v>11621</v>
      </c>
      <c r="F919" s="3" t="s">
        <v>59</v>
      </c>
      <c r="G919" s="3" t="s">
        <v>60</v>
      </c>
      <c r="H919" s="3" t="s">
        <v>59</v>
      </c>
      <c r="I919" s="3" t="s">
        <v>59</v>
      </c>
      <c r="J919" s="3" t="s">
        <v>61</v>
      </c>
      <c r="K919" s="2" t="s">
        <v>11622</v>
      </c>
      <c r="L919" s="2" t="s">
        <v>11623</v>
      </c>
      <c r="M919" s="3" t="s">
        <v>295</v>
      </c>
      <c r="O919" s="3" t="s">
        <v>65</v>
      </c>
      <c r="P919" s="3" t="s">
        <v>491</v>
      </c>
      <c r="Q919" s="2" t="s">
        <v>11624</v>
      </c>
      <c r="R919" s="3" t="s">
        <v>68</v>
      </c>
      <c r="S919" s="4">
        <v>1</v>
      </c>
      <c r="T919" s="4">
        <v>1</v>
      </c>
      <c r="U919" s="5" t="s">
        <v>11625</v>
      </c>
      <c r="V919" s="5" t="s">
        <v>11625</v>
      </c>
      <c r="W919" s="5" t="s">
        <v>11257</v>
      </c>
      <c r="X919" s="5" t="s">
        <v>11257</v>
      </c>
      <c r="Y919" s="4">
        <v>256</v>
      </c>
      <c r="Z919" s="4">
        <v>224</v>
      </c>
      <c r="AA919" s="4">
        <v>242</v>
      </c>
      <c r="AB919" s="4">
        <v>3</v>
      </c>
      <c r="AC919" s="4">
        <v>3</v>
      </c>
      <c r="AD919" s="4">
        <v>14</v>
      </c>
      <c r="AE919" s="4">
        <v>14</v>
      </c>
      <c r="AF919" s="4">
        <v>5</v>
      </c>
      <c r="AG919" s="4">
        <v>5</v>
      </c>
      <c r="AH919" s="4">
        <v>2</v>
      </c>
      <c r="AI919" s="4">
        <v>2</v>
      </c>
      <c r="AJ919" s="4">
        <v>8</v>
      </c>
      <c r="AK919" s="4">
        <v>8</v>
      </c>
      <c r="AL919" s="4">
        <v>2</v>
      </c>
      <c r="AM919" s="4">
        <v>2</v>
      </c>
      <c r="AN919" s="4">
        <v>0</v>
      </c>
      <c r="AO919" s="4">
        <v>0</v>
      </c>
      <c r="AP919" s="3" t="s">
        <v>59</v>
      </c>
      <c r="AQ919" s="3" t="s">
        <v>71</v>
      </c>
      <c r="AR919" s="6" t="str">
        <f>HYPERLINK("http://catalog.hathitrust.org/Record/000425199","HathiTrust Record")</f>
        <v>HathiTrust Record</v>
      </c>
      <c r="AS919" s="6" t="str">
        <f>HYPERLINK("https://creighton-primo.hosted.exlibrisgroup.com/primo-explore/search?tab=default_tab&amp;search_scope=EVERYTHING&amp;vid=01CRU&amp;lang=en_US&amp;offset=0&amp;query=any,contains,991003688569702656","Catalog Record")</f>
        <v>Catalog Record</v>
      </c>
      <c r="AT919" s="6" t="str">
        <f>HYPERLINK("http://www.worldcat.org/oclc/1317672","WorldCat Record")</f>
        <v>WorldCat Record</v>
      </c>
      <c r="AU919" s="3" t="s">
        <v>11626</v>
      </c>
      <c r="AV919" s="3" t="s">
        <v>11627</v>
      </c>
      <c r="AW919" s="3" t="s">
        <v>11628</v>
      </c>
      <c r="AX919" s="3" t="s">
        <v>11628</v>
      </c>
      <c r="AY919" s="3" t="s">
        <v>11629</v>
      </c>
      <c r="AZ919" s="3" t="s">
        <v>76</v>
      </c>
      <c r="BC919" s="3" t="s">
        <v>11630</v>
      </c>
      <c r="BD919" s="3" t="s">
        <v>11631</v>
      </c>
    </row>
    <row r="920" spans="1:56" ht="52.5" customHeight="1" x14ac:dyDescent="0.25">
      <c r="A920" s="7" t="s">
        <v>59</v>
      </c>
      <c r="B920" s="2" t="s">
        <v>11632</v>
      </c>
      <c r="C920" s="2" t="s">
        <v>11633</v>
      </c>
      <c r="D920" s="2" t="s">
        <v>11634</v>
      </c>
      <c r="F920" s="3" t="s">
        <v>59</v>
      </c>
      <c r="G920" s="3" t="s">
        <v>60</v>
      </c>
      <c r="H920" s="3" t="s">
        <v>59</v>
      </c>
      <c r="I920" s="3" t="s">
        <v>59</v>
      </c>
      <c r="J920" s="3" t="s">
        <v>61</v>
      </c>
      <c r="K920" s="2" t="s">
        <v>11635</v>
      </c>
      <c r="L920" s="2" t="s">
        <v>8590</v>
      </c>
      <c r="M920" s="3" t="s">
        <v>131</v>
      </c>
      <c r="O920" s="3" t="s">
        <v>65</v>
      </c>
      <c r="P920" s="3" t="s">
        <v>66</v>
      </c>
      <c r="R920" s="3" t="s">
        <v>68</v>
      </c>
      <c r="S920" s="4">
        <v>4</v>
      </c>
      <c r="T920" s="4">
        <v>4</v>
      </c>
      <c r="U920" s="5" t="s">
        <v>2203</v>
      </c>
      <c r="V920" s="5" t="s">
        <v>2203</v>
      </c>
      <c r="W920" s="5" t="s">
        <v>11636</v>
      </c>
      <c r="X920" s="5" t="s">
        <v>11636</v>
      </c>
      <c r="Y920" s="4">
        <v>569</v>
      </c>
      <c r="Z920" s="4">
        <v>449</v>
      </c>
      <c r="AA920" s="4">
        <v>461</v>
      </c>
      <c r="AB920" s="4">
        <v>4</v>
      </c>
      <c r="AC920" s="4">
        <v>4</v>
      </c>
      <c r="AD920" s="4">
        <v>21</v>
      </c>
      <c r="AE920" s="4">
        <v>22</v>
      </c>
      <c r="AF920" s="4">
        <v>7</v>
      </c>
      <c r="AG920" s="4">
        <v>7</v>
      </c>
      <c r="AH920" s="4">
        <v>7</v>
      </c>
      <c r="AI920" s="4">
        <v>7</v>
      </c>
      <c r="AJ920" s="4">
        <v>14</v>
      </c>
      <c r="AK920" s="4">
        <v>15</v>
      </c>
      <c r="AL920" s="4">
        <v>2</v>
      </c>
      <c r="AM920" s="4">
        <v>2</v>
      </c>
      <c r="AN920" s="4">
        <v>0</v>
      </c>
      <c r="AO920" s="4">
        <v>0</v>
      </c>
      <c r="AP920" s="3" t="s">
        <v>59</v>
      </c>
      <c r="AQ920" s="3" t="s">
        <v>71</v>
      </c>
      <c r="AR920" s="6" t="str">
        <f>HYPERLINK("http://catalog.hathitrust.org/Record/000013233","HathiTrust Record")</f>
        <v>HathiTrust Record</v>
      </c>
      <c r="AS920" s="6" t="str">
        <f>HYPERLINK("https://creighton-primo.hosted.exlibrisgroup.com/primo-explore/search?tab=default_tab&amp;search_scope=EVERYTHING&amp;vid=01CRU&amp;lang=en_US&amp;offset=0&amp;query=any,contains,991003329059702656","Catalog Record")</f>
        <v>Catalog Record</v>
      </c>
      <c r="AT920" s="6" t="str">
        <f>HYPERLINK("http://www.worldcat.org/oclc/858881","WorldCat Record")</f>
        <v>WorldCat Record</v>
      </c>
      <c r="AU920" s="3" t="s">
        <v>11637</v>
      </c>
      <c r="AV920" s="3" t="s">
        <v>11638</v>
      </c>
      <c r="AW920" s="3" t="s">
        <v>11639</v>
      </c>
      <c r="AX920" s="3" t="s">
        <v>11639</v>
      </c>
      <c r="AY920" s="3" t="s">
        <v>11640</v>
      </c>
      <c r="AZ920" s="3" t="s">
        <v>76</v>
      </c>
      <c r="BB920" s="3" t="s">
        <v>11641</v>
      </c>
      <c r="BC920" s="3" t="s">
        <v>11642</v>
      </c>
      <c r="BD920" s="3" t="s">
        <v>11643</v>
      </c>
    </row>
    <row r="921" spans="1:56" ht="52.5" customHeight="1" x14ac:dyDescent="0.25">
      <c r="A921" s="7" t="s">
        <v>59</v>
      </c>
      <c r="B921" s="2" t="s">
        <v>11644</v>
      </c>
      <c r="C921" s="2" t="s">
        <v>11645</v>
      </c>
      <c r="D921" s="2" t="s">
        <v>11646</v>
      </c>
      <c r="F921" s="3" t="s">
        <v>59</v>
      </c>
      <c r="G921" s="3" t="s">
        <v>60</v>
      </c>
      <c r="H921" s="3" t="s">
        <v>59</v>
      </c>
      <c r="I921" s="3" t="s">
        <v>59</v>
      </c>
      <c r="J921" s="3" t="s">
        <v>61</v>
      </c>
      <c r="K921" s="2" t="s">
        <v>6319</v>
      </c>
      <c r="L921" s="2" t="s">
        <v>4279</v>
      </c>
      <c r="M921" s="3" t="s">
        <v>616</v>
      </c>
      <c r="O921" s="3" t="s">
        <v>65</v>
      </c>
      <c r="P921" s="3" t="s">
        <v>1262</v>
      </c>
      <c r="R921" s="3" t="s">
        <v>68</v>
      </c>
      <c r="S921" s="4">
        <v>7</v>
      </c>
      <c r="T921" s="4">
        <v>7</v>
      </c>
      <c r="U921" s="5" t="s">
        <v>11647</v>
      </c>
      <c r="V921" s="5" t="s">
        <v>11647</v>
      </c>
      <c r="W921" s="5" t="s">
        <v>816</v>
      </c>
      <c r="X921" s="5" t="s">
        <v>816</v>
      </c>
      <c r="Y921" s="4">
        <v>455</v>
      </c>
      <c r="Z921" s="4">
        <v>326</v>
      </c>
      <c r="AA921" s="4">
        <v>377</v>
      </c>
      <c r="AB921" s="4">
        <v>2</v>
      </c>
      <c r="AC921" s="4">
        <v>2</v>
      </c>
      <c r="AD921" s="4">
        <v>21</v>
      </c>
      <c r="AE921" s="4">
        <v>22</v>
      </c>
      <c r="AF921" s="4">
        <v>5</v>
      </c>
      <c r="AG921" s="4">
        <v>5</v>
      </c>
      <c r="AH921" s="4">
        <v>8</v>
      </c>
      <c r="AI921" s="4">
        <v>9</v>
      </c>
      <c r="AJ921" s="4">
        <v>14</v>
      </c>
      <c r="AK921" s="4">
        <v>14</v>
      </c>
      <c r="AL921" s="4">
        <v>1</v>
      </c>
      <c r="AM921" s="4">
        <v>1</v>
      </c>
      <c r="AN921" s="4">
        <v>0</v>
      </c>
      <c r="AO921" s="4">
        <v>0</v>
      </c>
      <c r="AP921" s="3" t="s">
        <v>59</v>
      </c>
      <c r="AQ921" s="3" t="s">
        <v>71</v>
      </c>
      <c r="AR921" s="6" t="str">
        <f>HYPERLINK("http://catalog.hathitrust.org/Record/000928175","HathiTrust Record")</f>
        <v>HathiTrust Record</v>
      </c>
      <c r="AS921" s="6" t="str">
        <f>HYPERLINK("https://creighton-primo.hosted.exlibrisgroup.com/primo-explore/search?tab=default_tab&amp;search_scope=EVERYTHING&amp;vid=01CRU&amp;lang=en_US&amp;offset=0&amp;query=any,contains,991005409079702656","Catalog Record")</f>
        <v>Catalog Record</v>
      </c>
      <c r="AT921" s="6" t="str">
        <f>HYPERLINK("http://www.worldcat.org/oclc/17650213","WorldCat Record")</f>
        <v>WorldCat Record</v>
      </c>
      <c r="AU921" s="3" t="s">
        <v>11648</v>
      </c>
      <c r="AV921" s="3" t="s">
        <v>11649</v>
      </c>
      <c r="AW921" s="3" t="s">
        <v>11650</v>
      </c>
      <c r="AX921" s="3" t="s">
        <v>11650</v>
      </c>
      <c r="AY921" s="3" t="s">
        <v>11651</v>
      </c>
      <c r="AZ921" s="3" t="s">
        <v>76</v>
      </c>
      <c r="BB921" s="3" t="s">
        <v>11652</v>
      </c>
      <c r="BC921" s="3" t="s">
        <v>11653</v>
      </c>
      <c r="BD921" s="3" t="s">
        <v>11654</v>
      </c>
    </row>
    <row r="922" spans="1:56" ht="52.5" customHeight="1" x14ac:dyDescent="0.25">
      <c r="A922" s="7" t="s">
        <v>59</v>
      </c>
      <c r="B922" s="2" t="s">
        <v>11655</v>
      </c>
      <c r="C922" s="2" t="s">
        <v>11656</v>
      </c>
      <c r="D922" s="2" t="s">
        <v>11657</v>
      </c>
      <c r="F922" s="3" t="s">
        <v>59</v>
      </c>
      <c r="G922" s="3" t="s">
        <v>60</v>
      </c>
      <c r="H922" s="3" t="s">
        <v>59</v>
      </c>
      <c r="I922" s="3" t="s">
        <v>59</v>
      </c>
      <c r="J922" s="3" t="s">
        <v>61</v>
      </c>
      <c r="K922" s="2" t="s">
        <v>11658</v>
      </c>
      <c r="L922" s="2" t="s">
        <v>11659</v>
      </c>
      <c r="M922" s="3" t="s">
        <v>915</v>
      </c>
      <c r="N922" s="2" t="s">
        <v>11660</v>
      </c>
      <c r="O922" s="3" t="s">
        <v>65</v>
      </c>
      <c r="P922" s="3" t="s">
        <v>283</v>
      </c>
      <c r="R922" s="3" t="s">
        <v>68</v>
      </c>
      <c r="S922" s="4">
        <v>2</v>
      </c>
      <c r="T922" s="4">
        <v>2</v>
      </c>
      <c r="U922" s="5" t="s">
        <v>11661</v>
      </c>
      <c r="V922" s="5" t="s">
        <v>11661</v>
      </c>
      <c r="W922" s="5" t="s">
        <v>11662</v>
      </c>
      <c r="X922" s="5" t="s">
        <v>11662</v>
      </c>
      <c r="Y922" s="4">
        <v>154</v>
      </c>
      <c r="Z922" s="4">
        <v>96</v>
      </c>
      <c r="AA922" s="4">
        <v>531</v>
      </c>
      <c r="AB922" s="4">
        <v>1</v>
      </c>
      <c r="AC922" s="4">
        <v>1</v>
      </c>
      <c r="AD922" s="4">
        <v>2</v>
      </c>
      <c r="AE922" s="4">
        <v>24</v>
      </c>
      <c r="AF922" s="4">
        <v>2</v>
      </c>
      <c r="AG922" s="4">
        <v>9</v>
      </c>
      <c r="AH922" s="4">
        <v>0</v>
      </c>
      <c r="AI922" s="4">
        <v>6</v>
      </c>
      <c r="AJ922" s="4">
        <v>2</v>
      </c>
      <c r="AK922" s="4">
        <v>14</v>
      </c>
      <c r="AL922" s="4">
        <v>0</v>
      </c>
      <c r="AM922" s="4">
        <v>0</v>
      </c>
      <c r="AN922" s="4">
        <v>0</v>
      </c>
      <c r="AO922" s="4">
        <v>0</v>
      </c>
      <c r="AP922" s="3" t="s">
        <v>59</v>
      </c>
      <c r="AQ922" s="3" t="s">
        <v>71</v>
      </c>
      <c r="AR922" s="6" t="str">
        <f>HYPERLINK("http://catalog.hathitrust.org/Record/102324594","HathiTrust Record")</f>
        <v>HathiTrust Record</v>
      </c>
      <c r="AS922" s="6" t="str">
        <f>HYPERLINK("https://creighton-primo.hosted.exlibrisgroup.com/primo-explore/search?tab=default_tab&amp;search_scope=EVERYTHING&amp;vid=01CRU&amp;lang=en_US&amp;offset=0&amp;query=any,contains,991004678729702656","Catalog Record")</f>
        <v>Catalog Record</v>
      </c>
      <c r="AT922" s="6" t="str">
        <f>HYPERLINK("http://www.worldcat.org/oclc/31820047","WorldCat Record")</f>
        <v>WorldCat Record</v>
      </c>
      <c r="AU922" s="3" t="s">
        <v>11663</v>
      </c>
      <c r="AV922" s="3" t="s">
        <v>11664</v>
      </c>
      <c r="AW922" s="3" t="s">
        <v>11665</v>
      </c>
      <c r="AX922" s="3" t="s">
        <v>11665</v>
      </c>
      <c r="AY922" s="3" t="s">
        <v>11666</v>
      </c>
      <c r="AZ922" s="3" t="s">
        <v>76</v>
      </c>
      <c r="BB922" s="3" t="s">
        <v>11667</v>
      </c>
      <c r="BC922" s="3" t="s">
        <v>11668</v>
      </c>
      <c r="BD922" s="3" t="s">
        <v>11669</v>
      </c>
    </row>
    <row r="923" spans="1:56" ht="52.5" customHeight="1" x14ac:dyDescent="0.25">
      <c r="A923" s="7" t="s">
        <v>59</v>
      </c>
      <c r="B923" s="2" t="s">
        <v>11670</v>
      </c>
      <c r="C923" s="2" t="s">
        <v>11671</v>
      </c>
      <c r="D923" s="2" t="s">
        <v>11672</v>
      </c>
      <c r="F923" s="3" t="s">
        <v>59</v>
      </c>
      <c r="G923" s="3" t="s">
        <v>60</v>
      </c>
      <c r="H923" s="3" t="s">
        <v>59</v>
      </c>
      <c r="I923" s="3" t="s">
        <v>59</v>
      </c>
      <c r="J923" s="3" t="s">
        <v>61</v>
      </c>
      <c r="L923" s="2" t="s">
        <v>11673</v>
      </c>
      <c r="M923" s="3" t="s">
        <v>10267</v>
      </c>
      <c r="O923" s="3" t="s">
        <v>65</v>
      </c>
      <c r="P923" s="3" t="s">
        <v>1262</v>
      </c>
      <c r="R923" s="3" t="s">
        <v>68</v>
      </c>
      <c r="S923" s="4">
        <v>2</v>
      </c>
      <c r="T923" s="4">
        <v>2</v>
      </c>
      <c r="U923" s="5" t="s">
        <v>11674</v>
      </c>
      <c r="V923" s="5" t="s">
        <v>11674</v>
      </c>
      <c r="W923" s="5" t="s">
        <v>11675</v>
      </c>
      <c r="X923" s="5" t="s">
        <v>11675</v>
      </c>
      <c r="Y923" s="4">
        <v>361</v>
      </c>
      <c r="Z923" s="4">
        <v>265</v>
      </c>
      <c r="AA923" s="4">
        <v>277</v>
      </c>
      <c r="AB923" s="4">
        <v>3</v>
      </c>
      <c r="AC923" s="4">
        <v>3</v>
      </c>
      <c r="AD923" s="4">
        <v>13</v>
      </c>
      <c r="AE923" s="4">
        <v>13</v>
      </c>
      <c r="AF923" s="4">
        <v>4</v>
      </c>
      <c r="AG923" s="4">
        <v>4</v>
      </c>
      <c r="AH923" s="4">
        <v>4</v>
      </c>
      <c r="AI923" s="4">
        <v>4</v>
      </c>
      <c r="AJ923" s="4">
        <v>7</v>
      </c>
      <c r="AK923" s="4">
        <v>7</v>
      </c>
      <c r="AL923" s="4">
        <v>2</v>
      </c>
      <c r="AM923" s="4">
        <v>2</v>
      </c>
      <c r="AN923" s="4">
        <v>0</v>
      </c>
      <c r="AO923" s="4">
        <v>0</v>
      </c>
      <c r="AP923" s="3" t="s">
        <v>59</v>
      </c>
      <c r="AQ923" s="3" t="s">
        <v>59</v>
      </c>
      <c r="AS923" s="6" t="str">
        <f>HYPERLINK("https://creighton-primo.hosted.exlibrisgroup.com/primo-explore/search?tab=default_tab&amp;search_scope=EVERYTHING&amp;vid=01CRU&amp;lang=en_US&amp;offset=0&amp;query=any,contains,991002189019702656","Catalog Record")</f>
        <v>Catalog Record</v>
      </c>
      <c r="AT923" s="6" t="str">
        <f>HYPERLINK("http://www.worldcat.org/oclc/28180680","WorldCat Record")</f>
        <v>WorldCat Record</v>
      </c>
      <c r="AU923" s="3" t="s">
        <v>11676</v>
      </c>
      <c r="AV923" s="3" t="s">
        <v>11677</v>
      </c>
      <c r="AW923" s="3" t="s">
        <v>11678</v>
      </c>
      <c r="AX923" s="3" t="s">
        <v>11678</v>
      </c>
      <c r="AY923" s="3" t="s">
        <v>11679</v>
      </c>
      <c r="AZ923" s="3" t="s">
        <v>76</v>
      </c>
      <c r="BB923" s="3" t="s">
        <v>11680</v>
      </c>
      <c r="BC923" s="3" t="s">
        <v>11681</v>
      </c>
      <c r="BD923" s="3" t="s">
        <v>11682</v>
      </c>
    </row>
    <row r="924" spans="1:56" ht="52.5" customHeight="1" x14ac:dyDescent="0.25">
      <c r="A924" s="7" t="s">
        <v>59</v>
      </c>
      <c r="B924" s="2" t="s">
        <v>11683</v>
      </c>
      <c r="C924" s="2" t="s">
        <v>11684</v>
      </c>
      <c r="D924" s="2" t="s">
        <v>11685</v>
      </c>
      <c r="F924" s="3" t="s">
        <v>59</v>
      </c>
      <c r="G924" s="3" t="s">
        <v>60</v>
      </c>
      <c r="H924" s="3" t="s">
        <v>59</v>
      </c>
      <c r="I924" s="3" t="s">
        <v>59</v>
      </c>
      <c r="J924" s="3" t="s">
        <v>61</v>
      </c>
      <c r="K924" s="2" t="s">
        <v>11686</v>
      </c>
      <c r="L924" s="2" t="s">
        <v>11687</v>
      </c>
      <c r="M924" s="3" t="s">
        <v>549</v>
      </c>
      <c r="O924" s="3" t="s">
        <v>65</v>
      </c>
      <c r="P924" s="3" t="s">
        <v>66</v>
      </c>
      <c r="R924" s="3" t="s">
        <v>68</v>
      </c>
      <c r="S924" s="4">
        <v>11</v>
      </c>
      <c r="T924" s="4">
        <v>11</v>
      </c>
      <c r="U924" s="5" t="s">
        <v>11661</v>
      </c>
      <c r="V924" s="5" t="s">
        <v>11661</v>
      </c>
      <c r="W924" s="5" t="s">
        <v>11636</v>
      </c>
      <c r="X924" s="5" t="s">
        <v>11636</v>
      </c>
      <c r="Y924" s="4">
        <v>709</v>
      </c>
      <c r="Z924" s="4">
        <v>574</v>
      </c>
      <c r="AA924" s="4">
        <v>584</v>
      </c>
      <c r="AB924" s="4">
        <v>3</v>
      </c>
      <c r="AC924" s="4">
        <v>3</v>
      </c>
      <c r="AD924" s="4">
        <v>26</v>
      </c>
      <c r="AE924" s="4">
        <v>27</v>
      </c>
      <c r="AF924" s="4">
        <v>13</v>
      </c>
      <c r="AG924" s="4">
        <v>14</v>
      </c>
      <c r="AH924" s="4">
        <v>4</v>
      </c>
      <c r="AI924" s="4">
        <v>4</v>
      </c>
      <c r="AJ924" s="4">
        <v>14</v>
      </c>
      <c r="AK924" s="4">
        <v>15</v>
      </c>
      <c r="AL924" s="4">
        <v>2</v>
      </c>
      <c r="AM924" s="4">
        <v>2</v>
      </c>
      <c r="AN924" s="4">
        <v>0</v>
      </c>
      <c r="AO924" s="4">
        <v>0</v>
      </c>
      <c r="AP924" s="3" t="s">
        <v>59</v>
      </c>
      <c r="AQ924" s="3" t="s">
        <v>59</v>
      </c>
      <c r="AS924" s="6" t="str">
        <f>HYPERLINK("https://creighton-primo.hosted.exlibrisgroup.com/primo-explore/search?tab=default_tab&amp;search_scope=EVERYTHING&amp;vid=01CRU&amp;lang=en_US&amp;offset=0&amp;query=any,contains,991000815489702656","Catalog Record")</f>
        <v>Catalog Record</v>
      </c>
      <c r="AT924" s="6" t="str">
        <f>HYPERLINK("http://www.worldcat.org/oclc/13357952","WorldCat Record")</f>
        <v>WorldCat Record</v>
      </c>
      <c r="AU924" s="3" t="s">
        <v>11688</v>
      </c>
      <c r="AV924" s="3" t="s">
        <v>11689</v>
      </c>
      <c r="AW924" s="3" t="s">
        <v>11690</v>
      </c>
      <c r="AX924" s="3" t="s">
        <v>11690</v>
      </c>
      <c r="AY924" s="3" t="s">
        <v>11691</v>
      </c>
      <c r="AZ924" s="3" t="s">
        <v>76</v>
      </c>
      <c r="BB924" s="3" t="s">
        <v>11692</v>
      </c>
      <c r="BC924" s="3" t="s">
        <v>11693</v>
      </c>
      <c r="BD924" s="3" t="s">
        <v>11694</v>
      </c>
    </row>
    <row r="925" spans="1:56" ht="52.5" customHeight="1" x14ac:dyDescent="0.25">
      <c r="A925" s="7" t="s">
        <v>59</v>
      </c>
      <c r="B925" s="2" t="s">
        <v>11695</v>
      </c>
      <c r="C925" s="2" t="s">
        <v>11696</v>
      </c>
      <c r="D925" s="2" t="s">
        <v>11697</v>
      </c>
      <c r="F925" s="3" t="s">
        <v>59</v>
      </c>
      <c r="G925" s="3" t="s">
        <v>60</v>
      </c>
      <c r="H925" s="3" t="s">
        <v>59</v>
      </c>
      <c r="I925" s="3" t="s">
        <v>59</v>
      </c>
      <c r="J925" s="3" t="s">
        <v>61</v>
      </c>
      <c r="K925" s="2" t="s">
        <v>1895</v>
      </c>
      <c r="L925" s="2" t="s">
        <v>11698</v>
      </c>
      <c r="M925" s="3" t="s">
        <v>180</v>
      </c>
      <c r="O925" s="3" t="s">
        <v>65</v>
      </c>
      <c r="P925" s="3" t="s">
        <v>283</v>
      </c>
      <c r="R925" s="3" t="s">
        <v>68</v>
      </c>
      <c r="S925" s="4">
        <v>2</v>
      </c>
      <c r="T925" s="4">
        <v>2</v>
      </c>
      <c r="U925" s="5" t="s">
        <v>11699</v>
      </c>
      <c r="V925" s="5" t="s">
        <v>11699</v>
      </c>
      <c r="W925" s="5" t="s">
        <v>11257</v>
      </c>
      <c r="X925" s="5" t="s">
        <v>11257</v>
      </c>
      <c r="Y925" s="4">
        <v>1104</v>
      </c>
      <c r="Z925" s="4">
        <v>976</v>
      </c>
      <c r="AA925" s="4">
        <v>1109</v>
      </c>
      <c r="AB925" s="4">
        <v>5</v>
      </c>
      <c r="AC925" s="4">
        <v>5</v>
      </c>
      <c r="AD925" s="4">
        <v>36</v>
      </c>
      <c r="AE925" s="4">
        <v>43</v>
      </c>
      <c r="AF925" s="4">
        <v>13</v>
      </c>
      <c r="AG925" s="4">
        <v>20</v>
      </c>
      <c r="AH925" s="4">
        <v>9</v>
      </c>
      <c r="AI925" s="4">
        <v>10</v>
      </c>
      <c r="AJ925" s="4">
        <v>19</v>
      </c>
      <c r="AK925" s="4">
        <v>20</v>
      </c>
      <c r="AL925" s="4">
        <v>4</v>
      </c>
      <c r="AM925" s="4">
        <v>4</v>
      </c>
      <c r="AN925" s="4">
        <v>0</v>
      </c>
      <c r="AO925" s="4">
        <v>0</v>
      </c>
      <c r="AP925" s="3" t="s">
        <v>59</v>
      </c>
      <c r="AQ925" s="3" t="s">
        <v>59</v>
      </c>
      <c r="AR925" s="6" t="str">
        <f>HYPERLINK("http://catalog.hathitrust.org/Record/000425807","HathiTrust Record")</f>
        <v>HathiTrust Record</v>
      </c>
      <c r="AS925" s="6" t="str">
        <f>HYPERLINK("https://creighton-primo.hosted.exlibrisgroup.com/primo-explore/search?tab=default_tab&amp;search_scope=EVERYTHING&amp;vid=01CRU&amp;lang=en_US&amp;offset=0&amp;query=any,contains,991001311359702656","Catalog Record")</f>
        <v>Catalog Record</v>
      </c>
      <c r="AT925" s="6" t="str">
        <f>HYPERLINK("http://www.worldcat.org/oclc/220661","WorldCat Record")</f>
        <v>WorldCat Record</v>
      </c>
      <c r="AU925" s="3" t="s">
        <v>11700</v>
      </c>
      <c r="AV925" s="3" t="s">
        <v>11701</v>
      </c>
      <c r="AW925" s="3" t="s">
        <v>11702</v>
      </c>
      <c r="AX925" s="3" t="s">
        <v>11702</v>
      </c>
      <c r="AY925" s="3" t="s">
        <v>11703</v>
      </c>
      <c r="AZ925" s="3" t="s">
        <v>76</v>
      </c>
      <c r="BC925" s="3" t="s">
        <v>11704</v>
      </c>
      <c r="BD925" s="3" t="s">
        <v>11705</v>
      </c>
    </row>
    <row r="926" spans="1:56" ht="52.5" customHeight="1" x14ac:dyDescent="0.25">
      <c r="A926" s="7" t="s">
        <v>59</v>
      </c>
      <c r="B926" s="2" t="s">
        <v>11706</v>
      </c>
      <c r="C926" s="2" t="s">
        <v>11707</v>
      </c>
      <c r="D926" s="2" t="s">
        <v>11708</v>
      </c>
      <c r="F926" s="3" t="s">
        <v>59</v>
      </c>
      <c r="G926" s="3" t="s">
        <v>60</v>
      </c>
      <c r="H926" s="3" t="s">
        <v>59</v>
      </c>
      <c r="I926" s="3" t="s">
        <v>59</v>
      </c>
      <c r="J926" s="3" t="s">
        <v>61</v>
      </c>
      <c r="K926" s="2" t="s">
        <v>11709</v>
      </c>
      <c r="L926" s="2" t="s">
        <v>11710</v>
      </c>
      <c r="M926" s="3" t="s">
        <v>756</v>
      </c>
      <c r="O926" s="3" t="s">
        <v>65</v>
      </c>
      <c r="P926" s="3" t="s">
        <v>699</v>
      </c>
      <c r="Q926" s="2" t="s">
        <v>11711</v>
      </c>
      <c r="R926" s="3" t="s">
        <v>68</v>
      </c>
      <c r="S926" s="4">
        <v>1</v>
      </c>
      <c r="T926" s="4">
        <v>1</v>
      </c>
      <c r="U926" s="5" t="s">
        <v>11712</v>
      </c>
      <c r="V926" s="5" t="s">
        <v>11712</v>
      </c>
      <c r="W926" s="5" t="s">
        <v>11257</v>
      </c>
      <c r="X926" s="5" t="s">
        <v>11257</v>
      </c>
      <c r="Y926" s="4">
        <v>484</v>
      </c>
      <c r="Z926" s="4">
        <v>374</v>
      </c>
      <c r="AA926" s="4">
        <v>382</v>
      </c>
      <c r="AB926" s="4">
        <v>4</v>
      </c>
      <c r="AC926" s="4">
        <v>4</v>
      </c>
      <c r="AD926" s="4">
        <v>18</v>
      </c>
      <c r="AE926" s="4">
        <v>18</v>
      </c>
      <c r="AF926" s="4">
        <v>5</v>
      </c>
      <c r="AG926" s="4">
        <v>5</v>
      </c>
      <c r="AH926" s="4">
        <v>6</v>
      </c>
      <c r="AI926" s="4">
        <v>6</v>
      </c>
      <c r="AJ926" s="4">
        <v>8</v>
      </c>
      <c r="AK926" s="4">
        <v>8</v>
      </c>
      <c r="AL926" s="4">
        <v>3</v>
      </c>
      <c r="AM926" s="4">
        <v>3</v>
      </c>
      <c r="AN926" s="4">
        <v>0</v>
      </c>
      <c r="AO926" s="4">
        <v>0</v>
      </c>
      <c r="AP926" s="3" t="s">
        <v>59</v>
      </c>
      <c r="AQ926" s="3" t="s">
        <v>71</v>
      </c>
      <c r="AR926" s="6" t="str">
        <f>HYPERLINK("http://catalog.hathitrust.org/Record/006207486","HathiTrust Record")</f>
        <v>HathiTrust Record</v>
      </c>
      <c r="AS926" s="6" t="str">
        <f>HYPERLINK("https://creighton-primo.hosted.exlibrisgroup.com/primo-explore/search?tab=default_tab&amp;search_scope=EVERYTHING&amp;vid=01CRU&amp;lang=en_US&amp;offset=0&amp;query=any,contains,991003355869702656","Catalog Record")</f>
        <v>Catalog Record</v>
      </c>
      <c r="AT926" s="6" t="str">
        <f>HYPERLINK("http://www.worldcat.org/oclc/889308","WorldCat Record")</f>
        <v>WorldCat Record</v>
      </c>
      <c r="AU926" s="3" t="s">
        <v>11713</v>
      </c>
      <c r="AV926" s="3" t="s">
        <v>11714</v>
      </c>
      <c r="AW926" s="3" t="s">
        <v>11715</v>
      </c>
      <c r="AX926" s="3" t="s">
        <v>11715</v>
      </c>
      <c r="AY926" s="3" t="s">
        <v>11716</v>
      </c>
      <c r="AZ926" s="3" t="s">
        <v>76</v>
      </c>
      <c r="BC926" s="3" t="s">
        <v>11717</v>
      </c>
      <c r="BD926" s="3" t="s">
        <v>11718</v>
      </c>
    </row>
    <row r="927" spans="1:56" ht="52.5" customHeight="1" x14ac:dyDescent="0.25">
      <c r="A927" s="7" t="s">
        <v>59</v>
      </c>
      <c r="B927" s="2" t="s">
        <v>11719</v>
      </c>
      <c r="C927" s="2" t="s">
        <v>11720</v>
      </c>
      <c r="D927" s="2" t="s">
        <v>11721</v>
      </c>
      <c r="F927" s="3" t="s">
        <v>59</v>
      </c>
      <c r="G927" s="3" t="s">
        <v>60</v>
      </c>
      <c r="H927" s="3" t="s">
        <v>59</v>
      </c>
      <c r="I927" s="3" t="s">
        <v>59</v>
      </c>
      <c r="J927" s="3" t="s">
        <v>61</v>
      </c>
      <c r="K927" s="2" t="s">
        <v>11722</v>
      </c>
      <c r="L927" s="2" t="s">
        <v>4354</v>
      </c>
      <c r="M927" s="3" t="s">
        <v>616</v>
      </c>
      <c r="O927" s="3" t="s">
        <v>65</v>
      </c>
      <c r="P927" s="3" t="s">
        <v>699</v>
      </c>
      <c r="R927" s="3" t="s">
        <v>68</v>
      </c>
      <c r="S927" s="4">
        <v>4</v>
      </c>
      <c r="T927" s="4">
        <v>4</v>
      </c>
      <c r="U927" s="5" t="s">
        <v>11723</v>
      </c>
      <c r="V927" s="5" t="s">
        <v>11723</v>
      </c>
      <c r="W927" s="5" t="s">
        <v>11724</v>
      </c>
      <c r="X927" s="5" t="s">
        <v>11724</v>
      </c>
      <c r="Y927" s="4">
        <v>296</v>
      </c>
      <c r="Z927" s="4">
        <v>242</v>
      </c>
      <c r="AA927" s="4">
        <v>262</v>
      </c>
      <c r="AB927" s="4">
        <v>3</v>
      </c>
      <c r="AC927" s="4">
        <v>3</v>
      </c>
      <c r="AD927" s="4">
        <v>10</v>
      </c>
      <c r="AE927" s="4">
        <v>10</v>
      </c>
      <c r="AF927" s="4">
        <v>4</v>
      </c>
      <c r="AG927" s="4">
        <v>4</v>
      </c>
      <c r="AH927" s="4">
        <v>1</v>
      </c>
      <c r="AI927" s="4">
        <v>1</v>
      </c>
      <c r="AJ927" s="4">
        <v>6</v>
      </c>
      <c r="AK927" s="4">
        <v>6</v>
      </c>
      <c r="AL927" s="4">
        <v>2</v>
      </c>
      <c r="AM927" s="4">
        <v>2</v>
      </c>
      <c r="AN927" s="4">
        <v>0</v>
      </c>
      <c r="AO927" s="4">
        <v>0</v>
      </c>
      <c r="AP927" s="3" t="s">
        <v>59</v>
      </c>
      <c r="AQ927" s="3" t="s">
        <v>71</v>
      </c>
      <c r="AR927" s="6" t="str">
        <f>HYPERLINK("http://catalog.hathitrust.org/Record/000927954","HathiTrust Record")</f>
        <v>HathiTrust Record</v>
      </c>
      <c r="AS927" s="6" t="str">
        <f>HYPERLINK("https://creighton-primo.hosted.exlibrisgroup.com/primo-explore/search?tab=default_tab&amp;search_scope=EVERYTHING&amp;vid=01CRU&amp;lang=en_US&amp;offset=0&amp;query=any,contains,991001223729702656","Catalog Record")</f>
        <v>Catalog Record</v>
      </c>
      <c r="AT927" s="6" t="str">
        <f>HYPERLINK("http://www.worldcat.org/oclc/17484523","WorldCat Record")</f>
        <v>WorldCat Record</v>
      </c>
      <c r="AU927" s="3" t="s">
        <v>11725</v>
      </c>
      <c r="AV927" s="3" t="s">
        <v>11726</v>
      </c>
      <c r="AW927" s="3" t="s">
        <v>11727</v>
      </c>
      <c r="AX927" s="3" t="s">
        <v>11727</v>
      </c>
      <c r="AY927" s="3" t="s">
        <v>11728</v>
      </c>
      <c r="AZ927" s="3" t="s">
        <v>76</v>
      </c>
      <c r="BB927" s="3" t="s">
        <v>11729</v>
      </c>
      <c r="BC927" s="3" t="s">
        <v>11730</v>
      </c>
      <c r="BD927" s="3" t="s">
        <v>11731</v>
      </c>
    </row>
    <row r="928" spans="1:56" ht="52.5" customHeight="1" x14ac:dyDescent="0.25">
      <c r="A928" s="7" t="s">
        <v>59</v>
      </c>
      <c r="B928" s="2" t="s">
        <v>11732</v>
      </c>
      <c r="C928" s="2" t="s">
        <v>11733</v>
      </c>
      <c r="D928" s="2" t="s">
        <v>11734</v>
      </c>
      <c r="F928" s="3" t="s">
        <v>59</v>
      </c>
      <c r="G928" s="3" t="s">
        <v>60</v>
      </c>
      <c r="H928" s="3" t="s">
        <v>59</v>
      </c>
      <c r="I928" s="3" t="s">
        <v>59</v>
      </c>
      <c r="J928" s="3" t="s">
        <v>61</v>
      </c>
      <c r="K928" s="2" t="s">
        <v>11735</v>
      </c>
      <c r="L928" s="2" t="s">
        <v>3389</v>
      </c>
      <c r="M928" s="3" t="s">
        <v>684</v>
      </c>
      <c r="N928" s="2" t="s">
        <v>671</v>
      </c>
      <c r="O928" s="3" t="s">
        <v>65</v>
      </c>
      <c r="P928" s="3" t="s">
        <v>699</v>
      </c>
      <c r="R928" s="3" t="s">
        <v>68</v>
      </c>
      <c r="S928" s="4">
        <v>7</v>
      </c>
      <c r="T928" s="4">
        <v>7</v>
      </c>
      <c r="U928" s="5" t="s">
        <v>11736</v>
      </c>
      <c r="V928" s="5" t="s">
        <v>11736</v>
      </c>
      <c r="W928" s="5" t="s">
        <v>11054</v>
      </c>
      <c r="X928" s="5" t="s">
        <v>11054</v>
      </c>
      <c r="Y928" s="4">
        <v>207</v>
      </c>
      <c r="Z928" s="4">
        <v>124</v>
      </c>
      <c r="AA928" s="4">
        <v>441</v>
      </c>
      <c r="AB928" s="4">
        <v>3</v>
      </c>
      <c r="AC928" s="4">
        <v>6</v>
      </c>
      <c r="AD928" s="4">
        <v>8</v>
      </c>
      <c r="AE928" s="4">
        <v>17</v>
      </c>
      <c r="AF928" s="4">
        <v>1</v>
      </c>
      <c r="AG928" s="4">
        <v>4</v>
      </c>
      <c r="AH928" s="4">
        <v>3</v>
      </c>
      <c r="AI928" s="4">
        <v>5</v>
      </c>
      <c r="AJ928" s="4">
        <v>4</v>
      </c>
      <c r="AK928" s="4">
        <v>9</v>
      </c>
      <c r="AL928" s="4">
        <v>2</v>
      </c>
      <c r="AM928" s="4">
        <v>4</v>
      </c>
      <c r="AN928" s="4">
        <v>0</v>
      </c>
      <c r="AO928" s="4">
        <v>0</v>
      </c>
      <c r="AP928" s="3" t="s">
        <v>59</v>
      </c>
      <c r="AQ928" s="3" t="s">
        <v>59</v>
      </c>
      <c r="AS928" s="6" t="str">
        <f>HYPERLINK("https://creighton-primo.hosted.exlibrisgroup.com/primo-explore/search?tab=default_tab&amp;search_scope=EVERYTHING&amp;vid=01CRU&amp;lang=en_US&amp;offset=0&amp;query=any,contains,991005039839702656","Catalog Record")</f>
        <v>Catalog Record</v>
      </c>
      <c r="AT928" s="6" t="str">
        <f>HYPERLINK("http://www.worldcat.org/oclc/6789168","WorldCat Record")</f>
        <v>WorldCat Record</v>
      </c>
      <c r="AU928" s="3" t="s">
        <v>11737</v>
      </c>
      <c r="AV928" s="3" t="s">
        <v>11738</v>
      </c>
      <c r="AW928" s="3" t="s">
        <v>11739</v>
      </c>
      <c r="AX928" s="3" t="s">
        <v>11739</v>
      </c>
      <c r="AY928" s="3" t="s">
        <v>11740</v>
      </c>
      <c r="AZ928" s="3" t="s">
        <v>76</v>
      </c>
      <c r="BB928" s="3" t="s">
        <v>11741</v>
      </c>
      <c r="BC928" s="3" t="s">
        <v>11742</v>
      </c>
      <c r="BD928" s="3" t="s">
        <v>11743</v>
      </c>
    </row>
    <row r="929" spans="1:56" ht="52.5" customHeight="1" x14ac:dyDescent="0.25">
      <c r="A929" s="7" t="s">
        <v>59</v>
      </c>
      <c r="B929" s="2" t="s">
        <v>11744</v>
      </c>
      <c r="C929" s="2" t="s">
        <v>11745</v>
      </c>
      <c r="D929" s="2" t="s">
        <v>11746</v>
      </c>
      <c r="F929" s="3" t="s">
        <v>59</v>
      </c>
      <c r="G929" s="3" t="s">
        <v>60</v>
      </c>
      <c r="H929" s="3" t="s">
        <v>59</v>
      </c>
      <c r="I929" s="3" t="s">
        <v>59</v>
      </c>
      <c r="J929" s="3" t="s">
        <v>61</v>
      </c>
      <c r="K929" s="2" t="s">
        <v>11747</v>
      </c>
      <c r="L929" s="2" t="s">
        <v>8076</v>
      </c>
      <c r="M929" s="3" t="s">
        <v>148</v>
      </c>
      <c r="O929" s="3" t="s">
        <v>65</v>
      </c>
      <c r="P929" s="3" t="s">
        <v>699</v>
      </c>
      <c r="Q929" s="2" t="s">
        <v>11748</v>
      </c>
      <c r="R929" s="3" t="s">
        <v>68</v>
      </c>
      <c r="S929" s="4">
        <v>4</v>
      </c>
      <c r="T929" s="4">
        <v>4</v>
      </c>
      <c r="U929" s="5" t="s">
        <v>11749</v>
      </c>
      <c r="V929" s="5" t="s">
        <v>11749</v>
      </c>
      <c r="W929" s="5" t="s">
        <v>6657</v>
      </c>
      <c r="X929" s="5" t="s">
        <v>6657</v>
      </c>
      <c r="Y929" s="4">
        <v>208</v>
      </c>
      <c r="Z929" s="4">
        <v>180</v>
      </c>
      <c r="AA929" s="4">
        <v>181</v>
      </c>
      <c r="AB929" s="4">
        <v>2</v>
      </c>
      <c r="AC929" s="4">
        <v>2</v>
      </c>
      <c r="AD929" s="4">
        <v>6</v>
      </c>
      <c r="AE929" s="4">
        <v>6</v>
      </c>
      <c r="AF929" s="4">
        <v>2</v>
      </c>
      <c r="AG929" s="4">
        <v>2</v>
      </c>
      <c r="AH929" s="4">
        <v>1</v>
      </c>
      <c r="AI929" s="4">
        <v>1</v>
      </c>
      <c r="AJ929" s="4">
        <v>3</v>
      </c>
      <c r="AK929" s="4">
        <v>3</v>
      </c>
      <c r="AL929" s="4">
        <v>1</v>
      </c>
      <c r="AM929" s="4">
        <v>1</v>
      </c>
      <c r="AN929" s="4">
        <v>0</v>
      </c>
      <c r="AO929" s="4">
        <v>0</v>
      </c>
      <c r="AP929" s="3" t="s">
        <v>59</v>
      </c>
      <c r="AQ929" s="3" t="s">
        <v>71</v>
      </c>
      <c r="AR929" s="6" t="str">
        <f>HYPERLINK("http://catalog.hathitrust.org/Record/007113674","HathiTrust Record")</f>
        <v>HathiTrust Record</v>
      </c>
      <c r="AS929" s="6" t="str">
        <f>HYPERLINK("https://creighton-primo.hosted.exlibrisgroup.com/primo-explore/search?tab=default_tab&amp;search_scope=EVERYTHING&amp;vid=01CRU&amp;lang=en_US&amp;offset=0&amp;query=any,contains,991004084969702656","Catalog Record")</f>
        <v>Catalog Record</v>
      </c>
      <c r="AT929" s="6" t="str">
        <f>HYPERLINK("http://www.worldcat.org/oclc/2331838","WorldCat Record")</f>
        <v>WorldCat Record</v>
      </c>
      <c r="AU929" s="3" t="s">
        <v>11750</v>
      </c>
      <c r="AV929" s="3" t="s">
        <v>11751</v>
      </c>
      <c r="AW929" s="3" t="s">
        <v>11752</v>
      </c>
      <c r="AX929" s="3" t="s">
        <v>11752</v>
      </c>
      <c r="AY929" s="3" t="s">
        <v>11753</v>
      </c>
      <c r="AZ929" s="3" t="s">
        <v>76</v>
      </c>
      <c r="BB929" s="3" t="s">
        <v>11754</v>
      </c>
      <c r="BC929" s="3" t="s">
        <v>11755</v>
      </c>
      <c r="BD929" s="3" t="s">
        <v>11756</v>
      </c>
    </row>
    <row r="930" spans="1:56" ht="52.5" customHeight="1" x14ac:dyDescent="0.25">
      <c r="A930" s="7" t="s">
        <v>59</v>
      </c>
      <c r="B930" s="2" t="s">
        <v>11757</v>
      </c>
      <c r="C930" s="2" t="s">
        <v>11758</v>
      </c>
      <c r="D930" s="2" t="s">
        <v>11759</v>
      </c>
      <c r="F930" s="3" t="s">
        <v>59</v>
      </c>
      <c r="G930" s="3" t="s">
        <v>60</v>
      </c>
      <c r="H930" s="3" t="s">
        <v>59</v>
      </c>
      <c r="I930" s="3" t="s">
        <v>59</v>
      </c>
      <c r="J930" s="3" t="s">
        <v>61</v>
      </c>
      <c r="K930" s="2" t="s">
        <v>11747</v>
      </c>
      <c r="L930" s="2" t="s">
        <v>11760</v>
      </c>
      <c r="M930" s="3" t="s">
        <v>131</v>
      </c>
      <c r="O930" s="3" t="s">
        <v>65</v>
      </c>
      <c r="P930" s="3" t="s">
        <v>323</v>
      </c>
      <c r="R930" s="3" t="s">
        <v>68</v>
      </c>
      <c r="S930" s="4">
        <v>4</v>
      </c>
      <c r="T930" s="4">
        <v>4</v>
      </c>
      <c r="U930" s="5" t="s">
        <v>11761</v>
      </c>
      <c r="V930" s="5" t="s">
        <v>11761</v>
      </c>
      <c r="W930" s="5" t="s">
        <v>5375</v>
      </c>
      <c r="X930" s="5" t="s">
        <v>5375</v>
      </c>
      <c r="Y930" s="4">
        <v>319</v>
      </c>
      <c r="Z930" s="4">
        <v>259</v>
      </c>
      <c r="AA930" s="4">
        <v>275</v>
      </c>
      <c r="AB930" s="4">
        <v>2</v>
      </c>
      <c r="AC930" s="4">
        <v>2</v>
      </c>
      <c r="AD930" s="4">
        <v>18</v>
      </c>
      <c r="AE930" s="4">
        <v>20</v>
      </c>
      <c r="AF930" s="4">
        <v>7</v>
      </c>
      <c r="AG930" s="4">
        <v>8</v>
      </c>
      <c r="AH930" s="4">
        <v>4</v>
      </c>
      <c r="AI930" s="4">
        <v>5</v>
      </c>
      <c r="AJ930" s="4">
        <v>11</v>
      </c>
      <c r="AK930" s="4">
        <v>11</v>
      </c>
      <c r="AL930" s="4">
        <v>1</v>
      </c>
      <c r="AM930" s="4">
        <v>1</v>
      </c>
      <c r="AN930" s="4">
        <v>0</v>
      </c>
      <c r="AO930" s="4">
        <v>0</v>
      </c>
      <c r="AP930" s="3" t="s">
        <v>59</v>
      </c>
      <c r="AQ930" s="3" t="s">
        <v>71</v>
      </c>
      <c r="AR930" s="6" t="str">
        <f>HYPERLINK("http://catalog.hathitrust.org/Record/007473989","HathiTrust Record")</f>
        <v>HathiTrust Record</v>
      </c>
      <c r="AS930" s="6" t="str">
        <f>HYPERLINK("https://creighton-primo.hosted.exlibrisgroup.com/primo-explore/search?tab=default_tab&amp;search_scope=EVERYTHING&amp;vid=01CRU&amp;lang=en_US&amp;offset=0&amp;query=any,contains,991003367199702656","Catalog Record")</f>
        <v>Catalog Record</v>
      </c>
      <c r="AT930" s="6" t="str">
        <f>HYPERLINK("http://www.worldcat.org/oclc/902550","WorldCat Record")</f>
        <v>WorldCat Record</v>
      </c>
      <c r="AU930" s="3" t="s">
        <v>11762</v>
      </c>
      <c r="AV930" s="3" t="s">
        <v>11763</v>
      </c>
      <c r="AW930" s="3" t="s">
        <v>11764</v>
      </c>
      <c r="AX930" s="3" t="s">
        <v>11764</v>
      </c>
      <c r="AY930" s="3" t="s">
        <v>11765</v>
      </c>
      <c r="AZ930" s="3" t="s">
        <v>76</v>
      </c>
      <c r="BB930" s="3" t="s">
        <v>11766</v>
      </c>
      <c r="BC930" s="3" t="s">
        <v>11767</v>
      </c>
      <c r="BD930" s="3" t="s">
        <v>11768</v>
      </c>
    </row>
    <row r="931" spans="1:56" ht="52.5" customHeight="1" x14ac:dyDescent="0.25">
      <c r="A931" s="7" t="s">
        <v>59</v>
      </c>
      <c r="B931" s="2" t="s">
        <v>11769</v>
      </c>
      <c r="C931" s="2" t="s">
        <v>11770</v>
      </c>
      <c r="D931" s="2" t="s">
        <v>11771</v>
      </c>
      <c r="F931" s="3" t="s">
        <v>59</v>
      </c>
      <c r="G931" s="3" t="s">
        <v>60</v>
      </c>
      <c r="H931" s="3" t="s">
        <v>59</v>
      </c>
      <c r="I931" s="3" t="s">
        <v>59</v>
      </c>
      <c r="J931" s="3" t="s">
        <v>61</v>
      </c>
      <c r="K931" s="2" t="s">
        <v>11772</v>
      </c>
      <c r="L931" s="2" t="s">
        <v>11773</v>
      </c>
      <c r="M931" s="3" t="s">
        <v>148</v>
      </c>
      <c r="O931" s="3" t="s">
        <v>65</v>
      </c>
      <c r="P931" s="3" t="s">
        <v>283</v>
      </c>
      <c r="R931" s="3" t="s">
        <v>68</v>
      </c>
      <c r="S931" s="4">
        <v>3</v>
      </c>
      <c r="T931" s="4">
        <v>3</v>
      </c>
      <c r="U931" s="5" t="s">
        <v>11774</v>
      </c>
      <c r="V931" s="5" t="s">
        <v>11774</v>
      </c>
      <c r="W931" s="5" t="s">
        <v>959</v>
      </c>
      <c r="X931" s="5" t="s">
        <v>959</v>
      </c>
      <c r="Y931" s="4">
        <v>121</v>
      </c>
      <c r="Z931" s="4">
        <v>95</v>
      </c>
      <c r="AA931" s="4">
        <v>95</v>
      </c>
      <c r="AB931" s="4">
        <v>2</v>
      </c>
      <c r="AC931" s="4">
        <v>2</v>
      </c>
      <c r="AD931" s="4">
        <v>4</v>
      </c>
      <c r="AE931" s="4">
        <v>4</v>
      </c>
      <c r="AF931" s="4">
        <v>1</v>
      </c>
      <c r="AG931" s="4">
        <v>1</v>
      </c>
      <c r="AH931" s="4">
        <v>1</v>
      </c>
      <c r="AI931" s="4">
        <v>1</v>
      </c>
      <c r="AJ931" s="4">
        <v>3</v>
      </c>
      <c r="AK931" s="4">
        <v>3</v>
      </c>
      <c r="AL931" s="4">
        <v>1</v>
      </c>
      <c r="AM931" s="4">
        <v>1</v>
      </c>
      <c r="AN931" s="4">
        <v>0</v>
      </c>
      <c r="AO931" s="4">
        <v>0</v>
      </c>
      <c r="AP931" s="3" t="s">
        <v>59</v>
      </c>
      <c r="AQ931" s="3" t="s">
        <v>59</v>
      </c>
      <c r="AS931" s="6" t="str">
        <f>HYPERLINK("https://creighton-primo.hosted.exlibrisgroup.com/primo-explore/search?tab=default_tab&amp;search_scope=EVERYTHING&amp;vid=01CRU&amp;lang=en_US&amp;offset=0&amp;query=any,contains,991004032759702656","Catalog Record")</f>
        <v>Catalog Record</v>
      </c>
      <c r="AT931" s="6" t="str">
        <f>HYPERLINK("http://www.worldcat.org/oclc/2160961","WorldCat Record")</f>
        <v>WorldCat Record</v>
      </c>
      <c r="AU931" s="3" t="s">
        <v>11775</v>
      </c>
      <c r="AV931" s="3" t="s">
        <v>11776</v>
      </c>
      <c r="AW931" s="3" t="s">
        <v>11777</v>
      </c>
      <c r="AX931" s="3" t="s">
        <v>11777</v>
      </c>
      <c r="AY931" s="3" t="s">
        <v>11778</v>
      </c>
      <c r="AZ931" s="3" t="s">
        <v>76</v>
      </c>
      <c r="BC931" s="3" t="s">
        <v>11779</v>
      </c>
      <c r="BD931" s="3" t="s">
        <v>11780</v>
      </c>
    </row>
    <row r="932" spans="1:56" ht="52.5" customHeight="1" x14ac:dyDescent="0.25">
      <c r="A932" s="7" t="s">
        <v>59</v>
      </c>
      <c r="B932" s="2" t="s">
        <v>11781</v>
      </c>
      <c r="C932" s="2" t="s">
        <v>11782</v>
      </c>
      <c r="D932" s="2" t="s">
        <v>11783</v>
      </c>
      <c r="F932" s="3" t="s">
        <v>59</v>
      </c>
      <c r="G932" s="3" t="s">
        <v>60</v>
      </c>
      <c r="H932" s="3" t="s">
        <v>59</v>
      </c>
      <c r="I932" s="3" t="s">
        <v>59</v>
      </c>
      <c r="J932" s="3" t="s">
        <v>61</v>
      </c>
      <c r="L932" s="2" t="s">
        <v>7842</v>
      </c>
      <c r="M932" s="3" t="s">
        <v>309</v>
      </c>
      <c r="O932" s="3" t="s">
        <v>65</v>
      </c>
      <c r="P932" s="3" t="s">
        <v>66</v>
      </c>
      <c r="Q932" s="2" t="s">
        <v>1164</v>
      </c>
      <c r="R932" s="3" t="s">
        <v>68</v>
      </c>
      <c r="S932" s="4">
        <v>5</v>
      </c>
      <c r="T932" s="4">
        <v>5</v>
      </c>
      <c r="U932" s="5" t="s">
        <v>11784</v>
      </c>
      <c r="V932" s="5" t="s">
        <v>11784</v>
      </c>
      <c r="W932" s="5" t="s">
        <v>324</v>
      </c>
      <c r="X932" s="5" t="s">
        <v>324</v>
      </c>
      <c r="Y932" s="4">
        <v>405</v>
      </c>
      <c r="Z932" s="4">
        <v>271</v>
      </c>
      <c r="AA932" s="4">
        <v>279</v>
      </c>
      <c r="AB932" s="4">
        <v>3</v>
      </c>
      <c r="AC932" s="4">
        <v>3</v>
      </c>
      <c r="AD932" s="4">
        <v>8</v>
      </c>
      <c r="AE932" s="4">
        <v>8</v>
      </c>
      <c r="AF932" s="4">
        <v>0</v>
      </c>
      <c r="AG932" s="4">
        <v>0</v>
      </c>
      <c r="AH932" s="4">
        <v>3</v>
      </c>
      <c r="AI932" s="4">
        <v>3</v>
      </c>
      <c r="AJ932" s="4">
        <v>5</v>
      </c>
      <c r="AK932" s="4">
        <v>5</v>
      </c>
      <c r="AL932" s="4">
        <v>1</v>
      </c>
      <c r="AM932" s="4">
        <v>1</v>
      </c>
      <c r="AN932" s="4">
        <v>1</v>
      </c>
      <c r="AO932" s="4">
        <v>1</v>
      </c>
      <c r="AP932" s="3" t="s">
        <v>59</v>
      </c>
      <c r="AQ932" s="3" t="s">
        <v>59</v>
      </c>
      <c r="AS932" s="6" t="str">
        <f>HYPERLINK("https://creighton-primo.hosted.exlibrisgroup.com/primo-explore/search?tab=default_tab&amp;search_scope=EVERYTHING&amp;vid=01CRU&amp;lang=en_US&amp;offset=0&amp;query=any,contains,991004445199702656","Catalog Record")</f>
        <v>Catalog Record</v>
      </c>
      <c r="AT932" s="6" t="str">
        <f>HYPERLINK("http://www.worldcat.org/oclc/3481179","WorldCat Record")</f>
        <v>WorldCat Record</v>
      </c>
      <c r="AU932" s="3" t="s">
        <v>11785</v>
      </c>
      <c r="AV932" s="3" t="s">
        <v>11786</v>
      </c>
      <c r="AW932" s="3" t="s">
        <v>11787</v>
      </c>
      <c r="AX932" s="3" t="s">
        <v>11787</v>
      </c>
      <c r="AY932" s="3" t="s">
        <v>11788</v>
      </c>
      <c r="AZ932" s="3" t="s">
        <v>76</v>
      </c>
      <c r="BB932" s="3" t="s">
        <v>11789</v>
      </c>
      <c r="BC932" s="3" t="s">
        <v>11790</v>
      </c>
      <c r="BD932" s="3" t="s">
        <v>11791</v>
      </c>
    </row>
    <row r="933" spans="1:56" ht="52.5" customHeight="1" x14ac:dyDescent="0.25">
      <c r="A933" s="7" t="s">
        <v>59</v>
      </c>
      <c r="B933" s="2" t="s">
        <v>11792</v>
      </c>
      <c r="C933" s="2" t="s">
        <v>11793</v>
      </c>
      <c r="D933" s="2" t="s">
        <v>11794</v>
      </c>
      <c r="F933" s="3" t="s">
        <v>59</v>
      </c>
      <c r="G933" s="3" t="s">
        <v>60</v>
      </c>
      <c r="H933" s="3" t="s">
        <v>59</v>
      </c>
      <c r="I933" s="3" t="s">
        <v>71</v>
      </c>
      <c r="J933" s="3" t="s">
        <v>61</v>
      </c>
      <c r="K933" s="2" t="s">
        <v>11795</v>
      </c>
      <c r="L933" s="2" t="s">
        <v>11796</v>
      </c>
      <c r="M933" s="3" t="s">
        <v>100</v>
      </c>
      <c r="O933" s="3" t="s">
        <v>65</v>
      </c>
      <c r="P933" s="3" t="s">
        <v>4872</v>
      </c>
      <c r="Q933" s="2" t="s">
        <v>9568</v>
      </c>
      <c r="R933" s="3" t="s">
        <v>68</v>
      </c>
      <c r="S933" s="4">
        <v>7</v>
      </c>
      <c r="T933" s="4">
        <v>7</v>
      </c>
      <c r="U933" s="5" t="s">
        <v>11797</v>
      </c>
      <c r="V933" s="5" t="s">
        <v>11797</v>
      </c>
      <c r="W933" s="5" t="s">
        <v>11798</v>
      </c>
      <c r="X933" s="5" t="s">
        <v>11798</v>
      </c>
      <c r="Y933" s="4">
        <v>346</v>
      </c>
      <c r="Z933" s="4">
        <v>265</v>
      </c>
      <c r="AA933" s="4">
        <v>362</v>
      </c>
      <c r="AB933" s="4">
        <v>2</v>
      </c>
      <c r="AC933" s="4">
        <v>2</v>
      </c>
      <c r="AD933" s="4">
        <v>7</v>
      </c>
      <c r="AE933" s="4">
        <v>10</v>
      </c>
      <c r="AF933" s="4">
        <v>3</v>
      </c>
      <c r="AG933" s="4">
        <v>4</v>
      </c>
      <c r="AH933" s="4">
        <v>2</v>
      </c>
      <c r="AI933" s="4">
        <v>4</v>
      </c>
      <c r="AJ933" s="4">
        <v>3</v>
      </c>
      <c r="AK933" s="4">
        <v>4</v>
      </c>
      <c r="AL933" s="4">
        <v>1</v>
      </c>
      <c r="AM933" s="4">
        <v>1</v>
      </c>
      <c r="AN933" s="4">
        <v>0</v>
      </c>
      <c r="AO933" s="4">
        <v>0</v>
      </c>
      <c r="AP933" s="3" t="s">
        <v>59</v>
      </c>
      <c r="AQ933" s="3" t="s">
        <v>71</v>
      </c>
      <c r="AR933" s="6" t="str">
        <f>HYPERLINK("http://catalog.hathitrust.org/Record/000427016","HathiTrust Record")</f>
        <v>HathiTrust Record</v>
      </c>
      <c r="AS933" s="6" t="str">
        <f>HYPERLINK("https://creighton-primo.hosted.exlibrisgroup.com/primo-explore/search?tab=default_tab&amp;search_scope=EVERYTHING&amp;vid=01CRU&amp;lang=en_US&amp;offset=0&amp;query=any,contains,991001221219702656","Catalog Record")</f>
        <v>Catalog Record</v>
      </c>
      <c r="AT933" s="6" t="str">
        <f>HYPERLINK("http://www.worldcat.org/oclc/196823","WorldCat Record")</f>
        <v>WorldCat Record</v>
      </c>
      <c r="AU933" s="3" t="s">
        <v>11799</v>
      </c>
      <c r="AV933" s="3" t="s">
        <v>11800</v>
      </c>
      <c r="AW933" s="3" t="s">
        <v>11801</v>
      </c>
      <c r="AX933" s="3" t="s">
        <v>11801</v>
      </c>
      <c r="AY933" s="3" t="s">
        <v>11802</v>
      </c>
      <c r="AZ933" s="3" t="s">
        <v>76</v>
      </c>
      <c r="BB933" s="3" t="s">
        <v>11803</v>
      </c>
      <c r="BC933" s="3" t="s">
        <v>11804</v>
      </c>
      <c r="BD933" s="3" t="s">
        <v>11805</v>
      </c>
    </row>
    <row r="934" spans="1:56" ht="52.5" customHeight="1" x14ac:dyDescent="0.25">
      <c r="A934" s="7" t="s">
        <v>59</v>
      </c>
      <c r="B934" s="2" t="s">
        <v>11806</v>
      </c>
      <c r="C934" s="2" t="s">
        <v>11807</v>
      </c>
      <c r="D934" s="2" t="s">
        <v>11808</v>
      </c>
      <c r="F934" s="3" t="s">
        <v>59</v>
      </c>
      <c r="G934" s="3" t="s">
        <v>60</v>
      </c>
      <c r="H934" s="3" t="s">
        <v>59</v>
      </c>
      <c r="I934" s="3" t="s">
        <v>59</v>
      </c>
      <c r="J934" s="3" t="s">
        <v>61</v>
      </c>
      <c r="K934" s="2" t="s">
        <v>11809</v>
      </c>
      <c r="L934" s="2" t="s">
        <v>11810</v>
      </c>
      <c r="M934" s="3" t="s">
        <v>148</v>
      </c>
      <c r="O934" s="3" t="s">
        <v>65</v>
      </c>
      <c r="P934" s="3" t="s">
        <v>603</v>
      </c>
      <c r="R934" s="3" t="s">
        <v>68</v>
      </c>
      <c r="S934" s="4">
        <v>3</v>
      </c>
      <c r="T934" s="4">
        <v>3</v>
      </c>
      <c r="U934" s="5" t="s">
        <v>11811</v>
      </c>
      <c r="V934" s="5" t="s">
        <v>11811</v>
      </c>
      <c r="W934" s="5" t="s">
        <v>672</v>
      </c>
      <c r="X934" s="5" t="s">
        <v>672</v>
      </c>
      <c r="Y934" s="4">
        <v>232</v>
      </c>
      <c r="Z934" s="4">
        <v>170</v>
      </c>
      <c r="AA934" s="4">
        <v>172</v>
      </c>
      <c r="AB934" s="4">
        <v>2</v>
      </c>
      <c r="AC934" s="4">
        <v>2</v>
      </c>
      <c r="AD934" s="4">
        <v>7</v>
      </c>
      <c r="AE934" s="4">
        <v>7</v>
      </c>
      <c r="AF934" s="4">
        <v>2</v>
      </c>
      <c r="AG934" s="4">
        <v>2</v>
      </c>
      <c r="AH934" s="4">
        <v>3</v>
      </c>
      <c r="AI934" s="4">
        <v>3</v>
      </c>
      <c r="AJ934" s="4">
        <v>3</v>
      </c>
      <c r="AK934" s="4">
        <v>3</v>
      </c>
      <c r="AL934" s="4">
        <v>1</v>
      </c>
      <c r="AM934" s="4">
        <v>1</v>
      </c>
      <c r="AN934" s="4">
        <v>0</v>
      </c>
      <c r="AO934" s="4">
        <v>0</v>
      </c>
      <c r="AP934" s="3" t="s">
        <v>59</v>
      </c>
      <c r="AQ934" s="3" t="s">
        <v>71</v>
      </c>
      <c r="AR934" s="6" t="str">
        <f>HYPERLINK("http://catalog.hathitrust.org/Record/102465332","HathiTrust Record")</f>
        <v>HathiTrust Record</v>
      </c>
      <c r="AS934" s="6" t="str">
        <f>HYPERLINK("https://creighton-primo.hosted.exlibrisgroup.com/primo-explore/search?tab=default_tab&amp;search_scope=EVERYTHING&amp;vid=01CRU&amp;lang=en_US&amp;offset=0&amp;query=any,contains,991003636379702656","Catalog Record")</f>
        <v>Catalog Record</v>
      </c>
      <c r="AT934" s="6" t="str">
        <f>HYPERLINK("http://www.worldcat.org/oclc/1230568","WorldCat Record")</f>
        <v>WorldCat Record</v>
      </c>
      <c r="AU934" s="3" t="s">
        <v>11812</v>
      </c>
      <c r="AV934" s="3" t="s">
        <v>11813</v>
      </c>
      <c r="AW934" s="3" t="s">
        <v>11814</v>
      </c>
      <c r="AX934" s="3" t="s">
        <v>11814</v>
      </c>
      <c r="AY934" s="3" t="s">
        <v>11815</v>
      </c>
      <c r="AZ934" s="3" t="s">
        <v>76</v>
      </c>
      <c r="BB934" s="3" t="s">
        <v>11816</v>
      </c>
      <c r="BC934" s="3" t="s">
        <v>11817</v>
      </c>
      <c r="BD934" s="3" t="s">
        <v>11818</v>
      </c>
    </row>
    <row r="935" spans="1:56" ht="52.5" customHeight="1" x14ac:dyDescent="0.25">
      <c r="A935" s="7" t="s">
        <v>59</v>
      </c>
      <c r="B935" s="2" t="s">
        <v>11819</v>
      </c>
      <c r="C935" s="2" t="s">
        <v>11820</v>
      </c>
      <c r="D935" s="2" t="s">
        <v>11821</v>
      </c>
      <c r="F935" s="3" t="s">
        <v>59</v>
      </c>
      <c r="G935" s="3" t="s">
        <v>60</v>
      </c>
      <c r="H935" s="3" t="s">
        <v>59</v>
      </c>
      <c r="I935" s="3" t="s">
        <v>59</v>
      </c>
      <c r="J935" s="3" t="s">
        <v>61</v>
      </c>
      <c r="K935" s="2" t="s">
        <v>11822</v>
      </c>
      <c r="L935" s="2" t="s">
        <v>7842</v>
      </c>
      <c r="M935" s="3" t="s">
        <v>309</v>
      </c>
      <c r="N935" s="2" t="s">
        <v>671</v>
      </c>
      <c r="O935" s="3" t="s">
        <v>65</v>
      </c>
      <c r="P935" s="3" t="s">
        <v>66</v>
      </c>
      <c r="R935" s="3" t="s">
        <v>68</v>
      </c>
      <c r="S935" s="4">
        <v>8</v>
      </c>
      <c r="T935" s="4">
        <v>8</v>
      </c>
      <c r="U935" s="5" t="s">
        <v>11823</v>
      </c>
      <c r="V935" s="5" t="s">
        <v>11823</v>
      </c>
      <c r="W935" s="5" t="s">
        <v>3223</v>
      </c>
      <c r="X935" s="5" t="s">
        <v>3223</v>
      </c>
      <c r="Y935" s="4">
        <v>838</v>
      </c>
      <c r="Z935" s="4">
        <v>619</v>
      </c>
      <c r="AA935" s="4">
        <v>1670</v>
      </c>
      <c r="AB935" s="4">
        <v>2</v>
      </c>
      <c r="AC935" s="4">
        <v>10</v>
      </c>
      <c r="AD935" s="4">
        <v>19</v>
      </c>
      <c r="AE935" s="4">
        <v>50</v>
      </c>
      <c r="AF935" s="4">
        <v>5</v>
      </c>
      <c r="AG935" s="4">
        <v>20</v>
      </c>
      <c r="AH935" s="4">
        <v>5</v>
      </c>
      <c r="AI935" s="4">
        <v>10</v>
      </c>
      <c r="AJ935" s="4">
        <v>10</v>
      </c>
      <c r="AK935" s="4">
        <v>24</v>
      </c>
      <c r="AL935" s="4">
        <v>1</v>
      </c>
      <c r="AM935" s="4">
        <v>6</v>
      </c>
      <c r="AN935" s="4">
        <v>0</v>
      </c>
      <c r="AO935" s="4">
        <v>1</v>
      </c>
      <c r="AP935" s="3" t="s">
        <v>59</v>
      </c>
      <c r="AQ935" s="3" t="s">
        <v>59</v>
      </c>
      <c r="AS935" s="6" t="str">
        <f>HYPERLINK("https://creighton-primo.hosted.exlibrisgroup.com/primo-explore/search?tab=default_tab&amp;search_scope=EVERYTHING&amp;vid=01CRU&amp;lang=en_US&amp;offset=0&amp;query=any,contains,991004452789702656","Catalog Record")</f>
        <v>Catalog Record</v>
      </c>
      <c r="AT935" s="6" t="str">
        <f>HYPERLINK("http://www.worldcat.org/oclc/3516523","WorldCat Record")</f>
        <v>WorldCat Record</v>
      </c>
      <c r="AU935" s="3" t="s">
        <v>11824</v>
      </c>
      <c r="AV935" s="3" t="s">
        <v>11825</v>
      </c>
      <c r="AW935" s="3" t="s">
        <v>11826</v>
      </c>
      <c r="AX935" s="3" t="s">
        <v>11826</v>
      </c>
      <c r="AY935" s="3" t="s">
        <v>11827</v>
      </c>
      <c r="AZ935" s="3" t="s">
        <v>76</v>
      </c>
      <c r="BB935" s="3" t="s">
        <v>11828</v>
      </c>
      <c r="BC935" s="3" t="s">
        <v>11829</v>
      </c>
      <c r="BD935" s="3" t="s">
        <v>11830</v>
      </c>
    </row>
    <row r="936" spans="1:56" ht="52.5" customHeight="1" x14ac:dyDescent="0.25">
      <c r="A936" s="7" t="s">
        <v>59</v>
      </c>
      <c r="B936" s="2" t="s">
        <v>11831</v>
      </c>
      <c r="C936" s="2" t="s">
        <v>11832</v>
      </c>
      <c r="D936" s="2" t="s">
        <v>11833</v>
      </c>
      <c r="F936" s="3" t="s">
        <v>59</v>
      </c>
      <c r="G936" s="3" t="s">
        <v>60</v>
      </c>
      <c r="H936" s="3" t="s">
        <v>59</v>
      </c>
      <c r="I936" s="3" t="s">
        <v>59</v>
      </c>
      <c r="J936" s="3" t="s">
        <v>61</v>
      </c>
      <c r="L936" s="2" t="s">
        <v>11834</v>
      </c>
      <c r="M936" s="3" t="s">
        <v>350</v>
      </c>
      <c r="O936" s="3" t="s">
        <v>65</v>
      </c>
      <c r="P936" s="3" t="s">
        <v>1218</v>
      </c>
      <c r="Q936" s="2" t="s">
        <v>11835</v>
      </c>
      <c r="R936" s="3" t="s">
        <v>68</v>
      </c>
      <c r="S936" s="4">
        <v>7</v>
      </c>
      <c r="T936" s="4">
        <v>7</v>
      </c>
      <c r="U936" s="5" t="s">
        <v>11823</v>
      </c>
      <c r="V936" s="5" t="s">
        <v>11823</v>
      </c>
      <c r="W936" s="5" t="s">
        <v>11257</v>
      </c>
      <c r="X936" s="5" t="s">
        <v>11257</v>
      </c>
      <c r="Y936" s="4">
        <v>636</v>
      </c>
      <c r="Z936" s="4">
        <v>465</v>
      </c>
      <c r="AA936" s="4">
        <v>475</v>
      </c>
      <c r="AB936" s="4">
        <v>4</v>
      </c>
      <c r="AC936" s="4">
        <v>4</v>
      </c>
      <c r="AD936" s="4">
        <v>23</v>
      </c>
      <c r="AE936" s="4">
        <v>23</v>
      </c>
      <c r="AF936" s="4">
        <v>7</v>
      </c>
      <c r="AG936" s="4">
        <v>7</v>
      </c>
      <c r="AH936" s="4">
        <v>5</v>
      </c>
      <c r="AI936" s="4">
        <v>5</v>
      </c>
      <c r="AJ936" s="4">
        <v>15</v>
      </c>
      <c r="AK936" s="4">
        <v>15</v>
      </c>
      <c r="AL936" s="4">
        <v>2</v>
      </c>
      <c r="AM936" s="4">
        <v>2</v>
      </c>
      <c r="AN936" s="4">
        <v>0</v>
      </c>
      <c r="AO936" s="4">
        <v>0</v>
      </c>
      <c r="AP936" s="3" t="s">
        <v>59</v>
      </c>
      <c r="AQ936" s="3" t="s">
        <v>71</v>
      </c>
      <c r="AR936" s="6" t="str">
        <f>HYPERLINK("http://catalog.hathitrust.org/Record/000269492","HathiTrust Record")</f>
        <v>HathiTrust Record</v>
      </c>
      <c r="AS936" s="6" t="str">
        <f>HYPERLINK("https://creighton-primo.hosted.exlibrisgroup.com/primo-explore/search?tab=default_tab&amp;search_scope=EVERYTHING&amp;vid=01CRU&amp;lang=en_US&amp;offset=0&amp;query=any,contains,991004084609702656","Catalog Record")</f>
        <v>Catalog Record</v>
      </c>
      <c r="AT936" s="6" t="str">
        <f>HYPERLINK("http://www.worldcat.org/oclc/2331760","WorldCat Record")</f>
        <v>WorldCat Record</v>
      </c>
      <c r="AU936" s="3" t="s">
        <v>11836</v>
      </c>
      <c r="AV936" s="3" t="s">
        <v>11837</v>
      </c>
      <c r="AW936" s="3" t="s">
        <v>11838</v>
      </c>
      <c r="AX936" s="3" t="s">
        <v>11838</v>
      </c>
      <c r="AY936" s="3" t="s">
        <v>11839</v>
      </c>
      <c r="AZ936" s="3" t="s">
        <v>76</v>
      </c>
      <c r="BB936" s="3" t="s">
        <v>11840</v>
      </c>
      <c r="BC936" s="3" t="s">
        <v>11841</v>
      </c>
      <c r="BD936" s="3" t="s">
        <v>11842</v>
      </c>
    </row>
    <row r="937" spans="1:56" ht="52.5" customHeight="1" x14ac:dyDescent="0.25">
      <c r="A937" s="7" t="s">
        <v>59</v>
      </c>
      <c r="B937" s="2" t="s">
        <v>11843</v>
      </c>
      <c r="C937" s="2" t="s">
        <v>11844</v>
      </c>
      <c r="D937" s="2" t="s">
        <v>11845</v>
      </c>
      <c r="F937" s="3" t="s">
        <v>59</v>
      </c>
      <c r="G937" s="3" t="s">
        <v>60</v>
      </c>
      <c r="H937" s="3" t="s">
        <v>59</v>
      </c>
      <c r="I937" s="3" t="s">
        <v>59</v>
      </c>
      <c r="J937" s="3" t="s">
        <v>61</v>
      </c>
      <c r="K937" s="2" t="s">
        <v>11846</v>
      </c>
      <c r="L937" s="2" t="s">
        <v>11847</v>
      </c>
      <c r="M937" s="3" t="s">
        <v>148</v>
      </c>
      <c r="O937" s="3" t="s">
        <v>65</v>
      </c>
      <c r="P937" s="3" t="s">
        <v>66</v>
      </c>
      <c r="R937" s="3" t="s">
        <v>68</v>
      </c>
      <c r="S937" s="4">
        <v>2</v>
      </c>
      <c r="T937" s="4">
        <v>2</v>
      </c>
      <c r="U937" s="5" t="s">
        <v>11848</v>
      </c>
      <c r="V937" s="5" t="s">
        <v>11848</v>
      </c>
      <c r="W937" s="5" t="s">
        <v>11257</v>
      </c>
      <c r="X937" s="5" t="s">
        <v>11257</v>
      </c>
      <c r="Y937" s="4">
        <v>394</v>
      </c>
      <c r="Z937" s="4">
        <v>265</v>
      </c>
      <c r="AA937" s="4">
        <v>438</v>
      </c>
      <c r="AB937" s="4">
        <v>2</v>
      </c>
      <c r="AC937" s="4">
        <v>3</v>
      </c>
      <c r="AD937" s="4">
        <v>6</v>
      </c>
      <c r="AE937" s="4">
        <v>18</v>
      </c>
      <c r="AF937" s="4">
        <v>3</v>
      </c>
      <c r="AG937" s="4">
        <v>8</v>
      </c>
      <c r="AH937" s="4">
        <v>1</v>
      </c>
      <c r="AI937" s="4">
        <v>4</v>
      </c>
      <c r="AJ937" s="4">
        <v>2</v>
      </c>
      <c r="AK937" s="4">
        <v>9</v>
      </c>
      <c r="AL937" s="4">
        <v>1</v>
      </c>
      <c r="AM937" s="4">
        <v>2</v>
      </c>
      <c r="AN937" s="4">
        <v>0</v>
      </c>
      <c r="AO937" s="4">
        <v>0</v>
      </c>
      <c r="AP937" s="3" t="s">
        <v>59</v>
      </c>
      <c r="AQ937" s="3" t="s">
        <v>59</v>
      </c>
      <c r="AS937" s="6" t="str">
        <f>HYPERLINK("https://creighton-primo.hosted.exlibrisgroup.com/primo-explore/search?tab=default_tab&amp;search_scope=EVERYTHING&amp;vid=01CRU&amp;lang=en_US&amp;offset=0&amp;query=any,contains,991003653229702656","Catalog Record")</f>
        <v>Catalog Record</v>
      </c>
      <c r="AT937" s="6" t="str">
        <f>HYPERLINK("http://www.worldcat.org/oclc/1256893","WorldCat Record")</f>
        <v>WorldCat Record</v>
      </c>
      <c r="AU937" s="3" t="s">
        <v>11849</v>
      </c>
      <c r="AV937" s="3" t="s">
        <v>11850</v>
      </c>
      <c r="AW937" s="3" t="s">
        <v>11851</v>
      </c>
      <c r="AX937" s="3" t="s">
        <v>11851</v>
      </c>
      <c r="AY937" s="3" t="s">
        <v>11852</v>
      </c>
      <c r="AZ937" s="3" t="s">
        <v>76</v>
      </c>
      <c r="BB937" s="3" t="s">
        <v>11853</v>
      </c>
      <c r="BC937" s="3" t="s">
        <v>11854</v>
      </c>
      <c r="BD937" s="3" t="s">
        <v>11855</v>
      </c>
    </row>
    <row r="938" spans="1:56" ht="52.5" customHeight="1" x14ac:dyDescent="0.25">
      <c r="A938" s="7" t="s">
        <v>59</v>
      </c>
      <c r="B938" s="2" t="s">
        <v>11856</v>
      </c>
      <c r="C938" s="2" t="s">
        <v>11857</v>
      </c>
      <c r="D938" s="2" t="s">
        <v>11858</v>
      </c>
      <c r="F938" s="3" t="s">
        <v>59</v>
      </c>
      <c r="G938" s="3" t="s">
        <v>60</v>
      </c>
      <c r="H938" s="3" t="s">
        <v>59</v>
      </c>
      <c r="I938" s="3" t="s">
        <v>59</v>
      </c>
      <c r="J938" s="3" t="s">
        <v>61</v>
      </c>
      <c r="K938" s="2" t="s">
        <v>11859</v>
      </c>
      <c r="L938" s="2" t="s">
        <v>11860</v>
      </c>
      <c r="M938" s="3" t="s">
        <v>100</v>
      </c>
      <c r="O938" s="3" t="s">
        <v>65</v>
      </c>
      <c r="P938" s="3" t="s">
        <v>66</v>
      </c>
      <c r="R938" s="3" t="s">
        <v>68</v>
      </c>
      <c r="S938" s="4">
        <v>4</v>
      </c>
      <c r="T938" s="4">
        <v>4</v>
      </c>
      <c r="U938" s="5" t="s">
        <v>11861</v>
      </c>
      <c r="V938" s="5" t="s">
        <v>11861</v>
      </c>
      <c r="W938" s="5" t="s">
        <v>11257</v>
      </c>
      <c r="X938" s="5" t="s">
        <v>11257</v>
      </c>
      <c r="Y938" s="4">
        <v>963</v>
      </c>
      <c r="Z938" s="4">
        <v>802</v>
      </c>
      <c r="AA938" s="4">
        <v>887</v>
      </c>
      <c r="AB938" s="4">
        <v>5</v>
      </c>
      <c r="AC938" s="4">
        <v>5</v>
      </c>
      <c r="AD938" s="4">
        <v>36</v>
      </c>
      <c r="AE938" s="4">
        <v>37</v>
      </c>
      <c r="AF938" s="4">
        <v>15</v>
      </c>
      <c r="AG938" s="4">
        <v>16</v>
      </c>
      <c r="AH938" s="4">
        <v>8</v>
      </c>
      <c r="AI938" s="4">
        <v>8</v>
      </c>
      <c r="AJ938" s="4">
        <v>20</v>
      </c>
      <c r="AK938" s="4">
        <v>20</v>
      </c>
      <c r="AL938" s="4">
        <v>4</v>
      </c>
      <c r="AM938" s="4">
        <v>4</v>
      </c>
      <c r="AN938" s="4">
        <v>0</v>
      </c>
      <c r="AO938" s="4">
        <v>0</v>
      </c>
      <c r="AP938" s="3" t="s">
        <v>59</v>
      </c>
      <c r="AQ938" s="3" t="s">
        <v>71</v>
      </c>
      <c r="AR938" s="6" t="str">
        <f>HYPERLINK("http://catalog.hathitrust.org/Record/000312404","HathiTrust Record")</f>
        <v>HathiTrust Record</v>
      </c>
      <c r="AS938" s="6" t="str">
        <f>HYPERLINK("https://creighton-primo.hosted.exlibrisgroup.com/primo-explore/search?tab=default_tab&amp;search_scope=EVERYTHING&amp;vid=01CRU&amp;lang=en_US&amp;offset=0&amp;query=any,contains,991000795019702656","Catalog Record")</f>
        <v>Catalog Record</v>
      </c>
      <c r="AT938" s="6" t="str">
        <f>HYPERLINK("http://www.worldcat.org/oclc/136662","WorldCat Record")</f>
        <v>WorldCat Record</v>
      </c>
      <c r="AU938" s="3" t="s">
        <v>11862</v>
      </c>
      <c r="AV938" s="3" t="s">
        <v>11863</v>
      </c>
      <c r="AW938" s="3" t="s">
        <v>11864</v>
      </c>
      <c r="AX938" s="3" t="s">
        <v>11864</v>
      </c>
      <c r="AY938" s="3" t="s">
        <v>11865</v>
      </c>
      <c r="AZ938" s="3" t="s">
        <v>76</v>
      </c>
      <c r="BB938" s="3" t="s">
        <v>11866</v>
      </c>
      <c r="BC938" s="3" t="s">
        <v>11867</v>
      </c>
      <c r="BD938" s="3" t="s">
        <v>11868</v>
      </c>
    </row>
    <row r="939" spans="1:56" ht="52.5" customHeight="1" x14ac:dyDescent="0.25">
      <c r="A939" s="7" t="s">
        <v>59</v>
      </c>
      <c r="B939" s="2" t="s">
        <v>11869</v>
      </c>
      <c r="C939" s="2" t="s">
        <v>11870</v>
      </c>
      <c r="D939" s="2" t="s">
        <v>11871</v>
      </c>
      <c r="F939" s="3" t="s">
        <v>59</v>
      </c>
      <c r="G939" s="3" t="s">
        <v>60</v>
      </c>
      <c r="H939" s="3" t="s">
        <v>59</v>
      </c>
      <c r="I939" s="3" t="s">
        <v>59</v>
      </c>
      <c r="J939" s="3" t="s">
        <v>61</v>
      </c>
      <c r="K939" s="2" t="s">
        <v>11872</v>
      </c>
      <c r="L939" s="2" t="s">
        <v>11873</v>
      </c>
      <c r="M939" s="3" t="s">
        <v>85</v>
      </c>
      <c r="O939" s="3" t="s">
        <v>65</v>
      </c>
      <c r="P939" s="3" t="s">
        <v>66</v>
      </c>
      <c r="Q939" s="2" t="s">
        <v>1602</v>
      </c>
      <c r="R939" s="3" t="s">
        <v>68</v>
      </c>
      <c r="S939" s="4">
        <v>4</v>
      </c>
      <c r="T939" s="4">
        <v>4</v>
      </c>
      <c r="U939" s="5" t="s">
        <v>2544</v>
      </c>
      <c r="V939" s="5" t="s">
        <v>2544</v>
      </c>
      <c r="W939" s="5" t="s">
        <v>11257</v>
      </c>
      <c r="X939" s="5" t="s">
        <v>11257</v>
      </c>
      <c r="Y939" s="4">
        <v>553</v>
      </c>
      <c r="Z939" s="4">
        <v>480</v>
      </c>
      <c r="AA939" s="4">
        <v>555</v>
      </c>
      <c r="AB939" s="4">
        <v>7</v>
      </c>
      <c r="AC939" s="4">
        <v>8</v>
      </c>
      <c r="AD939" s="4">
        <v>28</v>
      </c>
      <c r="AE939" s="4">
        <v>31</v>
      </c>
      <c r="AF939" s="4">
        <v>10</v>
      </c>
      <c r="AG939" s="4">
        <v>12</v>
      </c>
      <c r="AH939" s="4">
        <v>5</v>
      </c>
      <c r="AI939" s="4">
        <v>5</v>
      </c>
      <c r="AJ939" s="4">
        <v>13</v>
      </c>
      <c r="AK939" s="4">
        <v>13</v>
      </c>
      <c r="AL939" s="4">
        <v>6</v>
      </c>
      <c r="AM939" s="4">
        <v>7</v>
      </c>
      <c r="AN939" s="4">
        <v>0</v>
      </c>
      <c r="AO939" s="4">
        <v>0</v>
      </c>
      <c r="AP939" s="3" t="s">
        <v>71</v>
      </c>
      <c r="AQ939" s="3" t="s">
        <v>59</v>
      </c>
      <c r="AR939" s="6" t="str">
        <f>HYPERLINK("http://catalog.hathitrust.org/Record/000426364","HathiTrust Record")</f>
        <v>HathiTrust Record</v>
      </c>
      <c r="AS939" s="6" t="str">
        <f>HYPERLINK("https://creighton-primo.hosted.exlibrisgroup.com/primo-explore/search?tab=default_tab&amp;search_scope=EVERYTHING&amp;vid=01CRU&amp;lang=en_US&amp;offset=0&amp;query=any,contains,991001370199702656","Catalog Record")</f>
        <v>Catalog Record</v>
      </c>
      <c r="AT939" s="6" t="str">
        <f>HYPERLINK("http://www.worldcat.org/oclc/223345","WorldCat Record")</f>
        <v>WorldCat Record</v>
      </c>
      <c r="AU939" s="3" t="s">
        <v>11874</v>
      </c>
      <c r="AV939" s="3" t="s">
        <v>11875</v>
      </c>
      <c r="AW939" s="3" t="s">
        <v>11876</v>
      </c>
      <c r="AX939" s="3" t="s">
        <v>11876</v>
      </c>
      <c r="AY939" s="3" t="s">
        <v>11877</v>
      </c>
      <c r="AZ939" s="3" t="s">
        <v>76</v>
      </c>
      <c r="BC939" s="3" t="s">
        <v>11878</v>
      </c>
      <c r="BD939" s="3" t="s">
        <v>11879</v>
      </c>
    </row>
    <row r="940" spans="1:56" ht="52.5" customHeight="1" x14ac:dyDescent="0.25">
      <c r="A940" s="7" t="s">
        <v>59</v>
      </c>
      <c r="B940" s="2" t="s">
        <v>11880</v>
      </c>
      <c r="C940" s="2" t="s">
        <v>11881</v>
      </c>
      <c r="D940" s="2" t="s">
        <v>11882</v>
      </c>
      <c r="F940" s="3" t="s">
        <v>59</v>
      </c>
      <c r="G940" s="3" t="s">
        <v>60</v>
      </c>
      <c r="H940" s="3" t="s">
        <v>59</v>
      </c>
      <c r="I940" s="3" t="s">
        <v>59</v>
      </c>
      <c r="J940" s="3" t="s">
        <v>61</v>
      </c>
      <c r="K940" s="2" t="s">
        <v>11883</v>
      </c>
      <c r="L940" s="2" t="s">
        <v>11884</v>
      </c>
      <c r="M940" s="3" t="s">
        <v>987</v>
      </c>
      <c r="O940" s="3" t="s">
        <v>65</v>
      </c>
      <c r="P940" s="3" t="s">
        <v>66</v>
      </c>
      <c r="R940" s="3" t="s">
        <v>68</v>
      </c>
      <c r="S940" s="4">
        <v>1</v>
      </c>
      <c r="T940" s="4">
        <v>1</v>
      </c>
      <c r="U940" s="5" t="s">
        <v>11848</v>
      </c>
      <c r="V940" s="5" t="s">
        <v>11848</v>
      </c>
      <c r="W940" s="5" t="s">
        <v>11257</v>
      </c>
      <c r="X940" s="5" t="s">
        <v>11257</v>
      </c>
      <c r="Y940" s="4">
        <v>410</v>
      </c>
      <c r="Z940" s="4">
        <v>305</v>
      </c>
      <c r="AA940" s="4">
        <v>312</v>
      </c>
      <c r="AB940" s="4">
        <v>2</v>
      </c>
      <c r="AC940" s="4">
        <v>2</v>
      </c>
      <c r="AD940" s="4">
        <v>15</v>
      </c>
      <c r="AE940" s="4">
        <v>15</v>
      </c>
      <c r="AF940" s="4">
        <v>6</v>
      </c>
      <c r="AG940" s="4">
        <v>6</v>
      </c>
      <c r="AH940" s="4">
        <v>6</v>
      </c>
      <c r="AI940" s="4">
        <v>6</v>
      </c>
      <c r="AJ940" s="4">
        <v>5</v>
      </c>
      <c r="AK940" s="4">
        <v>5</v>
      </c>
      <c r="AL940" s="4">
        <v>1</v>
      </c>
      <c r="AM940" s="4">
        <v>1</v>
      </c>
      <c r="AN940" s="4">
        <v>0</v>
      </c>
      <c r="AO940" s="4">
        <v>0</v>
      </c>
      <c r="AP940" s="3" t="s">
        <v>59</v>
      </c>
      <c r="AQ940" s="3" t="s">
        <v>71</v>
      </c>
      <c r="AR940" s="6" t="str">
        <f>HYPERLINK("http://catalog.hathitrust.org/Record/000427283","HathiTrust Record")</f>
        <v>HathiTrust Record</v>
      </c>
      <c r="AS940" s="6" t="str">
        <f>HYPERLINK("https://creighton-primo.hosted.exlibrisgroup.com/primo-explore/search?tab=default_tab&amp;search_scope=EVERYTHING&amp;vid=01CRU&amp;lang=en_US&amp;offset=0&amp;query=any,contains,991000561429702656","Catalog Record")</f>
        <v>Catalog Record</v>
      </c>
      <c r="AT940" s="6" t="str">
        <f>HYPERLINK("http://www.worldcat.org/oclc/93511","WorldCat Record")</f>
        <v>WorldCat Record</v>
      </c>
      <c r="AU940" s="3" t="s">
        <v>11885</v>
      </c>
      <c r="AV940" s="3" t="s">
        <v>11886</v>
      </c>
      <c r="AW940" s="3" t="s">
        <v>11887</v>
      </c>
      <c r="AX940" s="3" t="s">
        <v>11887</v>
      </c>
      <c r="AY940" s="3" t="s">
        <v>11888</v>
      </c>
      <c r="AZ940" s="3" t="s">
        <v>76</v>
      </c>
      <c r="BC940" s="3" t="s">
        <v>11889</v>
      </c>
      <c r="BD940" s="3" t="s">
        <v>11890</v>
      </c>
    </row>
    <row r="941" spans="1:56" ht="52.5" customHeight="1" x14ac:dyDescent="0.25">
      <c r="A941" s="7" t="s">
        <v>59</v>
      </c>
      <c r="B941" s="2" t="s">
        <v>11891</v>
      </c>
      <c r="C941" s="2" t="s">
        <v>11892</v>
      </c>
      <c r="D941" s="2" t="s">
        <v>11893</v>
      </c>
      <c r="F941" s="3" t="s">
        <v>59</v>
      </c>
      <c r="G941" s="3" t="s">
        <v>60</v>
      </c>
      <c r="H941" s="3" t="s">
        <v>59</v>
      </c>
      <c r="I941" s="3" t="s">
        <v>59</v>
      </c>
      <c r="J941" s="3" t="s">
        <v>61</v>
      </c>
      <c r="K941" s="2" t="s">
        <v>11894</v>
      </c>
      <c r="L941" s="2" t="s">
        <v>11895</v>
      </c>
      <c r="M941" s="3" t="s">
        <v>3547</v>
      </c>
      <c r="N941" s="2" t="s">
        <v>887</v>
      </c>
      <c r="O941" s="3" t="s">
        <v>65</v>
      </c>
      <c r="P941" s="3" t="s">
        <v>66</v>
      </c>
      <c r="Q941" s="2" t="s">
        <v>11896</v>
      </c>
      <c r="R941" s="3" t="s">
        <v>68</v>
      </c>
      <c r="S941" s="4">
        <v>8</v>
      </c>
      <c r="T941" s="4">
        <v>8</v>
      </c>
      <c r="U941" s="5" t="s">
        <v>11897</v>
      </c>
      <c r="V941" s="5" t="s">
        <v>11897</v>
      </c>
      <c r="W941" s="5" t="s">
        <v>11257</v>
      </c>
      <c r="X941" s="5" t="s">
        <v>11257</v>
      </c>
      <c r="Y941" s="4">
        <v>1134</v>
      </c>
      <c r="Z941" s="4">
        <v>939</v>
      </c>
      <c r="AA941" s="4">
        <v>1082</v>
      </c>
      <c r="AB941" s="4">
        <v>6</v>
      </c>
      <c r="AC941" s="4">
        <v>7</v>
      </c>
      <c r="AD941" s="4">
        <v>44</v>
      </c>
      <c r="AE941" s="4">
        <v>47</v>
      </c>
      <c r="AF941" s="4">
        <v>23</v>
      </c>
      <c r="AG941" s="4">
        <v>23</v>
      </c>
      <c r="AH941" s="4">
        <v>6</v>
      </c>
      <c r="AI941" s="4">
        <v>7</v>
      </c>
      <c r="AJ941" s="4">
        <v>20</v>
      </c>
      <c r="AK941" s="4">
        <v>22</v>
      </c>
      <c r="AL941" s="4">
        <v>3</v>
      </c>
      <c r="AM941" s="4">
        <v>4</v>
      </c>
      <c r="AN941" s="4">
        <v>0</v>
      </c>
      <c r="AO941" s="4">
        <v>0</v>
      </c>
      <c r="AP941" s="3" t="s">
        <v>59</v>
      </c>
      <c r="AQ941" s="3" t="s">
        <v>71</v>
      </c>
      <c r="AR941" s="6" t="str">
        <f>HYPERLINK("http://catalog.hathitrust.org/Record/000003553","HathiTrust Record")</f>
        <v>HathiTrust Record</v>
      </c>
      <c r="AS941" s="6" t="str">
        <f>HYPERLINK("https://creighton-primo.hosted.exlibrisgroup.com/primo-explore/search?tab=default_tab&amp;search_scope=EVERYTHING&amp;vid=01CRU&amp;lang=en_US&amp;offset=0&amp;query=any,contains,991005371539702656","Catalog Record")</f>
        <v>Catalog Record</v>
      </c>
      <c r="AT941" s="6" t="str">
        <f>HYPERLINK("http://www.worldcat.org/oclc/3787733","WorldCat Record")</f>
        <v>WorldCat Record</v>
      </c>
      <c r="AU941" s="3" t="s">
        <v>11898</v>
      </c>
      <c r="AV941" s="3" t="s">
        <v>11899</v>
      </c>
      <c r="AW941" s="3" t="s">
        <v>11900</v>
      </c>
      <c r="AX941" s="3" t="s">
        <v>11900</v>
      </c>
      <c r="AY941" s="3" t="s">
        <v>11901</v>
      </c>
      <c r="AZ941" s="3" t="s">
        <v>76</v>
      </c>
      <c r="BC941" s="3" t="s">
        <v>11902</v>
      </c>
      <c r="BD941" s="3" t="s">
        <v>11903</v>
      </c>
    </row>
    <row r="942" spans="1:56" ht="52.5" customHeight="1" x14ac:dyDescent="0.25">
      <c r="A942" s="7" t="s">
        <v>59</v>
      </c>
      <c r="B942" s="2" t="s">
        <v>11904</v>
      </c>
      <c r="C942" s="2" t="s">
        <v>11905</v>
      </c>
      <c r="D942" s="2" t="s">
        <v>11906</v>
      </c>
      <c r="F942" s="3" t="s">
        <v>59</v>
      </c>
      <c r="G942" s="3" t="s">
        <v>60</v>
      </c>
      <c r="H942" s="3" t="s">
        <v>59</v>
      </c>
      <c r="I942" s="3" t="s">
        <v>59</v>
      </c>
      <c r="J942" s="3" t="s">
        <v>61</v>
      </c>
      <c r="K942" s="2" t="s">
        <v>11907</v>
      </c>
      <c r="L942" s="2" t="s">
        <v>11908</v>
      </c>
      <c r="M942" s="3" t="s">
        <v>115</v>
      </c>
      <c r="O942" s="3" t="s">
        <v>65</v>
      </c>
      <c r="P942" s="3" t="s">
        <v>296</v>
      </c>
      <c r="Q942" s="2" t="s">
        <v>11909</v>
      </c>
      <c r="R942" s="3" t="s">
        <v>68</v>
      </c>
      <c r="S942" s="4">
        <v>1</v>
      </c>
      <c r="T942" s="4">
        <v>1</v>
      </c>
      <c r="U942" s="5" t="s">
        <v>11910</v>
      </c>
      <c r="V942" s="5" t="s">
        <v>11910</v>
      </c>
      <c r="W942" s="5" t="s">
        <v>4150</v>
      </c>
      <c r="X942" s="5" t="s">
        <v>4150</v>
      </c>
      <c r="Y942" s="4">
        <v>512</v>
      </c>
      <c r="Z942" s="4">
        <v>419</v>
      </c>
      <c r="AA942" s="4">
        <v>485</v>
      </c>
      <c r="AB942" s="4">
        <v>2</v>
      </c>
      <c r="AC942" s="4">
        <v>2</v>
      </c>
      <c r="AD942" s="4">
        <v>18</v>
      </c>
      <c r="AE942" s="4">
        <v>19</v>
      </c>
      <c r="AF942" s="4">
        <v>6</v>
      </c>
      <c r="AG942" s="4">
        <v>6</v>
      </c>
      <c r="AH942" s="4">
        <v>4</v>
      </c>
      <c r="AI942" s="4">
        <v>4</v>
      </c>
      <c r="AJ942" s="4">
        <v>12</v>
      </c>
      <c r="AK942" s="4">
        <v>13</v>
      </c>
      <c r="AL942" s="4">
        <v>1</v>
      </c>
      <c r="AM942" s="4">
        <v>1</v>
      </c>
      <c r="AN942" s="4">
        <v>0</v>
      </c>
      <c r="AO942" s="4">
        <v>0</v>
      </c>
      <c r="AP942" s="3" t="s">
        <v>59</v>
      </c>
      <c r="AQ942" s="3" t="s">
        <v>71</v>
      </c>
      <c r="AR942" s="6" t="str">
        <f>HYPERLINK("http://catalog.hathitrust.org/Record/000427715","HathiTrust Record")</f>
        <v>HathiTrust Record</v>
      </c>
      <c r="AS942" s="6" t="str">
        <f>HYPERLINK("https://creighton-primo.hosted.exlibrisgroup.com/primo-explore/search?tab=default_tab&amp;search_scope=EVERYTHING&amp;vid=01CRU&amp;lang=en_US&amp;offset=0&amp;query=any,contains,991002233279702656","Catalog Record")</f>
        <v>Catalog Record</v>
      </c>
      <c r="AT942" s="6" t="str">
        <f>HYPERLINK("http://www.worldcat.org/oclc/294876","WorldCat Record")</f>
        <v>WorldCat Record</v>
      </c>
      <c r="AU942" s="3" t="s">
        <v>11911</v>
      </c>
      <c r="AV942" s="3" t="s">
        <v>11912</v>
      </c>
      <c r="AW942" s="3" t="s">
        <v>11913</v>
      </c>
      <c r="AX942" s="3" t="s">
        <v>11913</v>
      </c>
      <c r="AY942" s="3" t="s">
        <v>11914</v>
      </c>
      <c r="AZ942" s="3" t="s">
        <v>76</v>
      </c>
      <c r="BB942" s="3" t="s">
        <v>11915</v>
      </c>
      <c r="BC942" s="3" t="s">
        <v>11916</v>
      </c>
      <c r="BD942" s="3" t="s">
        <v>11917</v>
      </c>
    </row>
    <row r="943" spans="1:56" ht="52.5" customHeight="1" x14ac:dyDescent="0.25">
      <c r="A943" s="7" t="s">
        <v>59</v>
      </c>
      <c r="B943" s="2" t="s">
        <v>11918</v>
      </c>
      <c r="C943" s="2" t="s">
        <v>11919</v>
      </c>
      <c r="D943" s="2" t="s">
        <v>11920</v>
      </c>
      <c r="F943" s="3" t="s">
        <v>59</v>
      </c>
      <c r="G943" s="3" t="s">
        <v>60</v>
      </c>
      <c r="H943" s="3" t="s">
        <v>59</v>
      </c>
      <c r="I943" s="3" t="s">
        <v>59</v>
      </c>
      <c r="J943" s="3" t="s">
        <v>61</v>
      </c>
      <c r="L943" s="2" t="s">
        <v>11921</v>
      </c>
      <c r="M943" s="3" t="s">
        <v>148</v>
      </c>
      <c r="O943" s="3" t="s">
        <v>65</v>
      </c>
      <c r="P943" s="3" t="s">
        <v>699</v>
      </c>
      <c r="R943" s="3" t="s">
        <v>68</v>
      </c>
      <c r="S943" s="4">
        <v>2</v>
      </c>
      <c r="T943" s="4">
        <v>2</v>
      </c>
      <c r="U943" s="5" t="s">
        <v>2990</v>
      </c>
      <c r="V943" s="5" t="s">
        <v>2990</v>
      </c>
      <c r="W943" s="5" t="s">
        <v>11054</v>
      </c>
      <c r="X943" s="5" t="s">
        <v>11054</v>
      </c>
      <c r="Y943" s="4">
        <v>276</v>
      </c>
      <c r="Z943" s="4">
        <v>248</v>
      </c>
      <c r="AA943" s="4">
        <v>282</v>
      </c>
      <c r="AB943" s="4">
        <v>2</v>
      </c>
      <c r="AC943" s="4">
        <v>3</v>
      </c>
      <c r="AD943" s="4">
        <v>8</v>
      </c>
      <c r="AE943" s="4">
        <v>9</v>
      </c>
      <c r="AF943" s="4">
        <v>2</v>
      </c>
      <c r="AG943" s="4">
        <v>2</v>
      </c>
      <c r="AH943" s="4">
        <v>1</v>
      </c>
      <c r="AI943" s="4">
        <v>1</v>
      </c>
      <c r="AJ943" s="4">
        <v>6</v>
      </c>
      <c r="AK943" s="4">
        <v>6</v>
      </c>
      <c r="AL943" s="4">
        <v>1</v>
      </c>
      <c r="AM943" s="4">
        <v>2</v>
      </c>
      <c r="AN943" s="4">
        <v>0</v>
      </c>
      <c r="AO943" s="4">
        <v>0</v>
      </c>
      <c r="AP943" s="3" t="s">
        <v>59</v>
      </c>
      <c r="AQ943" s="3" t="s">
        <v>59</v>
      </c>
      <c r="AS943" s="6" t="str">
        <f>HYPERLINK("https://creighton-primo.hosted.exlibrisgroup.com/primo-explore/search?tab=default_tab&amp;search_scope=EVERYTHING&amp;vid=01CRU&amp;lang=en_US&amp;offset=0&amp;query=any,contains,991004264029702656","Catalog Record")</f>
        <v>Catalog Record</v>
      </c>
      <c r="AT943" s="6" t="str">
        <f>HYPERLINK("http://www.worldcat.org/oclc/2858505","WorldCat Record")</f>
        <v>WorldCat Record</v>
      </c>
      <c r="AU943" s="3" t="s">
        <v>11922</v>
      </c>
      <c r="AV943" s="3" t="s">
        <v>11923</v>
      </c>
      <c r="AW943" s="3" t="s">
        <v>11924</v>
      </c>
      <c r="AX943" s="3" t="s">
        <v>11924</v>
      </c>
      <c r="AY943" s="3" t="s">
        <v>11925</v>
      </c>
      <c r="AZ943" s="3" t="s">
        <v>76</v>
      </c>
      <c r="BB943" s="3" t="s">
        <v>11926</v>
      </c>
      <c r="BC943" s="3" t="s">
        <v>11927</v>
      </c>
      <c r="BD943" s="3" t="s">
        <v>11928</v>
      </c>
    </row>
    <row r="944" spans="1:56" ht="52.5" customHeight="1" x14ac:dyDescent="0.25">
      <c r="A944" s="7" t="s">
        <v>59</v>
      </c>
      <c r="B944" s="2" t="s">
        <v>11929</v>
      </c>
      <c r="C944" s="2" t="s">
        <v>11930</v>
      </c>
      <c r="D944" s="2" t="s">
        <v>11931</v>
      </c>
      <c r="F944" s="3" t="s">
        <v>59</v>
      </c>
      <c r="G944" s="3" t="s">
        <v>60</v>
      </c>
      <c r="H944" s="3" t="s">
        <v>59</v>
      </c>
      <c r="I944" s="3" t="s">
        <v>59</v>
      </c>
      <c r="J944" s="3" t="s">
        <v>61</v>
      </c>
      <c r="L944" s="2" t="s">
        <v>11932</v>
      </c>
      <c r="M944" s="3" t="s">
        <v>365</v>
      </c>
      <c r="O944" s="3" t="s">
        <v>65</v>
      </c>
      <c r="P944" s="3" t="s">
        <v>66</v>
      </c>
      <c r="R944" s="3" t="s">
        <v>68</v>
      </c>
      <c r="S944" s="4">
        <v>15</v>
      </c>
      <c r="T944" s="4">
        <v>15</v>
      </c>
      <c r="U944" s="5" t="s">
        <v>11823</v>
      </c>
      <c r="V944" s="5" t="s">
        <v>11823</v>
      </c>
      <c r="W944" s="5" t="s">
        <v>4686</v>
      </c>
      <c r="X944" s="5" t="s">
        <v>4686</v>
      </c>
      <c r="Y944" s="4">
        <v>346</v>
      </c>
      <c r="Z944" s="4">
        <v>259</v>
      </c>
      <c r="AA944" s="4">
        <v>280</v>
      </c>
      <c r="AB944" s="4">
        <v>3</v>
      </c>
      <c r="AC944" s="4">
        <v>3</v>
      </c>
      <c r="AD944" s="4">
        <v>15</v>
      </c>
      <c r="AE944" s="4">
        <v>17</v>
      </c>
      <c r="AF944" s="4">
        <v>3</v>
      </c>
      <c r="AG944" s="4">
        <v>5</v>
      </c>
      <c r="AH944" s="4">
        <v>3</v>
      </c>
      <c r="AI944" s="4">
        <v>3</v>
      </c>
      <c r="AJ944" s="4">
        <v>11</v>
      </c>
      <c r="AK944" s="4">
        <v>12</v>
      </c>
      <c r="AL944" s="4">
        <v>2</v>
      </c>
      <c r="AM944" s="4">
        <v>2</v>
      </c>
      <c r="AN944" s="4">
        <v>0</v>
      </c>
      <c r="AO944" s="4">
        <v>0</v>
      </c>
      <c r="AP944" s="3" t="s">
        <v>59</v>
      </c>
      <c r="AQ944" s="3" t="s">
        <v>71</v>
      </c>
      <c r="AR944" s="6" t="str">
        <f>HYPERLINK("http://catalog.hathitrust.org/Record/001822428","HathiTrust Record")</f>
        <v>HathiTrust Record</v>
      </c>
      <c r="AS944" s="6" t="str">
        <f>HYPERLINK("https://creighton-primo.hosted.exlibrisgroup.com/primo-explore/search?tab=default_tab&amp;search_scope=EVERYTHING&amp;vid=01CRU&amp;lang=en_US&amp;offset=0&amp;query=any,contains,991001487289702656","Catalog Record")</f>
        <v>Catalog Record</v>
      </c>
      <c r="AT944" s="6" t="str">
        <f>HYPERLINK("http://www.worldcat.org/oclc/19670768","WorldCat Record")</f>
        <v>WorldCat Record</v>
      </c>
      <c r="AU944" s="3" t="s">
        <v>11933</v>
      </c>
      <c r="AV944" s="3" t="s">
        <v>11934</v>
      </c>
      <c r="AW944" s="3" t="s">
        <v>11935</v>
      </c>
      <c r="AX944" s="3" t="s">
        <v>11935</v>
      </c>
      <c r="AY944" s="3" t="s">
        <v>11936</v>
      </c>
      <c r="AZ944" s="3" t="s">
        <v>76</v>
      </c>
      <c r="BB944" s="3" t="s">
        <v>11937</v>
      </c>
      <c r="BC944" s="3" t="s">
        <v>11938</v>
      </c>
      <c r="BD944" s="3" t="s">
        <v>11939</v>
      </c>
    </row>
    <row r="945" spans="1:56" ht="52.5" customHeight="1" x14ac:dyDescent="0.25">
      <c r="A945" s="7" t="s">
        <v>59</v>
      </c>
      <c r="B945" s="2" t="s">
        <v>11940</v>
      </c>
      <c r="C945" s="2" t="s">
        <v>11941</v>
      </c>
      <c r="D945" s="2" t="s">
        <v>11942</v>
      </c>
      <c r="F945" s="3" t="s">
        <v>59</v>
      </c>
      <c r="G945" s="3" t="s">
        <v>60</v>
      </c>
      <c r="H945" s="3" t="s">
        <v>59</v>
      </c>
      <c r="I945" s="3" t="s">
        <v>59</v>
      </c>
      <c r="J945" s="3" t="s">
        <v>61</v>
      </c>
      <c r="K945" s="2" t="s">
        <v>11943</v>
      </c>
      <c r="L945" s="2" t="s">
        <v>11944</v>
      </c>
      <c r="M945" s="3" t="s">
        <v>475</v>
      </c>
      <c r="O945" s="3" t="s">
        <v>65</v>
      </c>
      <c r="P945" s="3" t="s">
        <v>66</v>
      </c>
      <c r="R945" s="3" t="s">
        <v>68</v>
      </c>
      <c r="S945" s="4">
        <v>2</v>
      </c>
      <c r="T945" s="4">
        <v>2</v>
      </c>
      <c r="U945" s="5" t="s">
        <v>11945</v>
      </c>
      <c r="V945" s="5" t="s">
        <v>11945</v>
      </c>
      <c r="W945" s="5" t="s">
        <v>11054</v>
      </c>
      <c r="X945" s="5" t="s">
        <v>11054</v>
      </c>
      <c r="Y945" s="4">
        <v>239</v>
      </c>
      <c r="Z945" s="4">
        <v>203</v>
      </c>
      <c r="AA945" s="4">
        <v>205</v>
      </c>
      <c r="AB945" s="4">
        <v>3</v>
      </c>
      <c r="AC945" s="4">
        <v>3</v>
      </c>
      <c r="AD945" s="4">
        <v>8</v>
      </c>
      <c r="AE945" s="4">
        <v>8</v>
      </c>
      <c r="AF945" s="4">
        <v>1</v>
      </c>
      <c r="AG945" s="4">
        <v>1</v>
      </c>
      <c r="AH945" s="4">
        <v>2</v>
      </c>
      <c r="AI945" s="4">
        <v>2</v>
      </c>
      <c r="AJ945" s="4">
        <v>5</v>
      </c>
      <c r="AK945" s="4">
        <v>5</v>
      </c>
      <c r="AL945" s="4">
        <v>2</v>
      </c>
      <c r="AM945" s="4">
        <v>2</v>
      </c>
      <c r="AN945" s="4">
        <v>0</v>
      </c>
      <c r="AO945" s="4">
        <v>0</v>
      </c>
      <c r="AP945" s="3" t="s">
        <v>59</v>
      </c>
      <c r="AQ945" s="3" t="s">
        <v>71</v>
      </c>
      <c r="AR945" s="6" t="str">
        <f>HYPERLINK("http://catalog.hathitrust.org/Record/000205268","HathiTrust Record")</f>
        <v>HathiTrust Record</v>
      </c>
      <c r="AS945" s="6" t="str">
        <f>HYPERLINK("https://creighton-primo.hosted.exlibrisgroup.com/primo-explore/search?tab=default_tab&amp;search_scope=EVERYTHING&amp;vid=01CRU&amp;lang=en_US&amp;offset=0&amp;query=any,contains,991005224919702656","Catalog Record")</f>
        <v>Catalog Record</v>
      </c>
      <c r="AT945" s="6" t="str">
        <f>HYPERLINK("http://www.worldcat.org/oclc/8280205","WorldCat Record")</f>
        <v>WorldCat Record</v>
      </c>
      <c r="AU945" s="3" t="s">
        <v>11946</v>
      </c>
      <c r="AV945" s="3" t="s">
        <v>11947</v>
      </c>
      <c r="AW945" s="3" t="s">
        <v>11948</v>
      </c>
      <c r="AX945" s="3" t="s">
        <v>11948</v>
      </c>
      <c r="AY945" s="3" t="s">
        <v>11949</v>
      </c>
      <c r="AZ945" s="3" t="s">
        <v>76</v>
      </c>
      <c r="BB945" s="3" t="s">
        <v>11950</v>
      </c>
      <c r="BC945" s="3" t="s">
        <v>11951</v>
      </c>
      <c r="BD945" s="3" t="s">
        <v>11952</v>
      </c>
    </row>
    <row r="946" spans="1:56" ht="52.5" customHeight="1" x14ac:dyDescent="0.25">
      <c r="A946" s="7" t="s">
        <v>59</v>
      </c>
      <c r="B946" s="2" t="s">
        <v>11953</v>
      </c>
      <c r="C946" s="2" t="s">
        <v>11954</v>
      </c>
      <c r="D946" s="2" t="s">
        <v>11955</v>
      </c>
      <c r="F946" s="3" t="s">
        <v>59</v>
      </c>
      <c r="G946" s="3" t="s">
        <v>60</v>
      </c>
      <c r="H946" s="3" t="s">
        <v>59</v>
      </c>
      <c r="I946" s="3" t="s">
        <v>59</v>
      </c>
      <c r="J946" s="3" t="s">
        <v>61</v>
      </c>
      <c r="K946" s="2" t="s">
        <v>11956</v>
      </c>
      <c r="L946" s="2" t="s">
        <v>11957</v>
      </c>
      <c r="M946" s="3" t="s">
        <v>309</v>
      </c>
      <c r="O946" s="3" t="s">
        <v>65</v>
      </c>
      <c r="P946" s="3" t="s">
        <v>1262</v>
      </c>
      <c r="Q946" s="2" t="s">
        <v>11958</v>
      </c>
      <c r="R946" s="3" t="s">
        <v>68</v>
      </c>
      <c r="S946" s="4">
        <v>2</v>
      </c>
      <c r="T946" s="4">
        <v>2</v>
      </c>
      <c r="U946" s="5" t="s">
        <v>7433</v>
      </c>
      <c r="V946" s="5" t="s">
        <v>7433</v>
      </c>
      <c r="W946" s="5" t="s">
        <v>11054</v>
      </c>
      <c r="X946" s="5" t="s">
        <v>11054</v>
      </c>
      <c r="Y946" s="4">
        <v>377</v>
      </c>
      <c r="Z946" s="4">
        <v>232</v>
      </c>
      <c r="AA946" s="4">
        <v>240</v>
      </c>
      <c r="AB946" s="4">
        <v>3</v>
      </c>
      <c r="AC946" s="4">
        <v>3</v>
      </c>
      <c r="AD946" s="4">
        <v>13</v>
      </c>
      <c r="AE946" s="4">
        <v>13</v>
      </c>
      <c r="AF946" s="4">
        <v>2</v>
      </c>
      <c r="AG946" s="4">
        <v>2</v>
      </c>
      <c r="AH946" s="4">
        <v>4</v>
      </c>
      <c r="AI946" s="4">
        <v>4</v>
      </c>
      <c r="AJ946" s="4">
        <v>8</v>
      </c>
      <c r="AK946" s="4">
        <v>8</v>
      </c>
      <c r="AL946" s="4">
        <v>2</v>
      </c>
      <c r="AM946" s="4">
        <v>2</v>
      </c>
      <c r="AN946" s="4">
        <v>0</v>
      </c>
      <c r="AO946" s="4">
        <v>0</v>
      </c>
      <c r="AP946" s="3" t="s">
        <v>59</v>
      </c>
      <c r="AQ946" s="3" t="s">
        <v>71</v>
      </c>
      <c r="AR946" s="6" t="str">
        <f>HYPERLINK("http://catalog.hathitrust.org/Record/000176319","HathiTrust Record")</f>
        <v>HathiTrust Record</v>
      </c>
      <c r="AS946" s="6" t="str">
        <f>HYPERLINK("https://creighton-primo.hosted.exlibrisgroup.com/primo-explore/search?tab=default_tab&amp;search_scope=EVERYTHING&amp;vid=01CRU&amp;lang=en_US&amp;offset=0&amp;query=any,contains,991004532049702656","Catalog Record")</f>
        <v>Catalog Record</v>
      </c>
      <c r="AT946" s="6" t="str">
        <f>HYPERLINK("http://www.worldcat.org/oclc/4002651","WorldCat Record")</f>
        <v>WorldCat Record</v>
      </c>
      <c r="AU946" s="3" t="s">
        <v>11959</v>
      </c>
      <c r="AV946" s="3" t="s">
        <v>11960</v>
      </c>
      <c r="AW946" s="3" t="s">
        <v>11961</v>
      </c>
      <c r="AX946" s="3" t="s">
        <v>11961</v>
      </c>
      <c r="AY946" s="3" t="s">
        <v>11962</v>
      </c>
      <c r="AZ946" s="3" t="s">
        <v>76</v>
      </c>
      <c r="BB946" s="3" t="s">
        <v>11963</v>
      </c>
      <c r="BC946" s="3" t="s">
        <v>11964</v>
      </c>
      <c r="BD946" s="3" t="s">
        <v>11965</v>
      </c>
    </row>
    <row r="947" spans="1:56" ht="52.5" customHeight="1" x14ac:dyDescent="0.25">
      <c r="A947" s="7" t="s">
        <v>59</v>
      </c>
      <c r="B947" s="2" t="s">
        <v>11966</v>
      </c>
      <c r="C947" s="2" t="s">
        <v>11967</v>
      </c>
      <c r="D947" s="2" t="s">
        <v>11968</v>
      </c>
      <c r="F947" s="3" t="s">
        <v>59</v>
      </c>
      <c r="G947" s="3" t="s">
        <v>60</v>
      </c>
      <c r="H947" s="3" t="s">
        <v>59</v>
      </c>
      <c r="I947" s="3" t="s">
        <v>59</v>
      </c>
      <c r="J947" s="3" t="s">
        <v>61</v>
      </c>
      <c r="K947" s="2" t="s">
        <v>8389</v>
      </c>
      <c r="L947" s="2" t="s">
        <v>4030</v>
      </c>
      <c r="M947" s="3" t="s">
        <v>1015</v>
      </c>
      <c r="O947" s="3" t="s">
        <v>65</v>
      </c>
      <c r="P947" s="3" t="s">
        <v>66</v>
      </c>
      <c r="R947" s="3" t="s">
        <v>68</v>
      </c>
      <c r="S947" s="4">
        <v>3</v>
      </c>
      <c r="T947" s="4">
        <v>3</v>
      </c>
      <c r="U947" s="5" t="s">
        <v>11969</v>
      </c>
      <c r="V947" s="5" t="s">
        <v>11969</v>
      </c>
      <c r="W947" s="5" t="s">
        <v>11257</v>
      </c>
      <c r="X947" s="5" t="s">
        <v>11257</v>
      </c>
      <c r="Y947" s="4">
        <v>304</v>
      </c>
      <c r="Z947" s="4">
        <v>244</v>
      </c>
      <c r="AA947" s="4">
        <v>361</v>
      </c>
      <c r="AB947" s="4">
        <v>3</v>
      </c>
      <c r="AC947" s="4">
        <v>3</v>
      </c>
      <c r="AD947" s="4">
        <v>9</v>
      </c>
      <c r="AE947" s="4">
        <v>16</v>
      </c>
      <c r="AF947" s="4">
        <v>4</v>
      </c>
      <c r="AG947" s="4">
        <v>8</v>
      </c>
      <c r="AH947" s="4">
        <v>2</v>
      </c>
      <c r="AI947" s="4">
        <v>3</v>
      </c>
      <c r="AJ947" s="4">
        <v>3</v>
      </c>
      <c r="AK947" s="4">
        <v>7</v>
      </c>
      <c r="AL947" s="4">
        <v>2</v>
      </c>
      <c r="AM947" s="4">
        <v>2</v>
      </c>
      <c r="AN947" s="4">
        <v>0</v>
      </c>
      <c r="AO947" s="4">
        <v>0</v>
      </c>
      <c r="AP947" s="3" t="s">
        <v>59</v>
      </c>
      <c r="AQ947" s="3" t="s">
        <v>59</v>
      </c>
      <c r="AS947" s="6" t="str">
        <f>HYPERLINK("https://creighton-primo.hosted.exlibrisgroup.com/primo-explore/search?tab=default_tab&amp;search_scope=EVERYTHING&amp;vid=01CRU&amp;lang=en_US&amp;offset=0&amp;query=any,contains,991001231509702656","Catalog Record")</f>
        <v>Catalog Record</v>
      </c>
      <c r="AT947" s="6" t="str">
        <f>HYPERLINK("http://www.worldcat.org/oclc/203724","WorldCat Record")</f>
        <v>WorldCat Record</v>
      </c>
      <c r="AU947" s="3" t="s">
        <v>11970</v>
      </c>
      <c r="AV947" s="3" t="s">
        <v>11971</v>
      </c>
      <c r="AW947" s="3" t="s">
        <v>11972</v>
      </c>
      <c r="AX947" s="3" t="s">
        <v>11972</v>
      </c>
      <c r="AY947" s="3" t="s">
        <v>11973</v>
      </c>
      <c r="AZ947" s="3" t="s">
        <v>76</v>
      </c>
      <c r="BC947" s="3" t="s">
        <v>11974</v>
      </c>
      <c r="BD947" s="3" t="s">
        <v>11975</v>
      </c>
    </row>
    <row r="948" spans="1:56" ht="52.5" customHeight="1" x14ac:dyDescent="0.25">
      <c r="A948" s="7" t="s">
        <v>59</v>
      </c>
      <c r="B948" s="2" t="s">
        <v>11976</v>
      </c>
      <c r="C948" s="2" t="s">
        <v>11977</v>
      </c>
      <c r="D948" s="2" t="s">
        <v>11978</v>
      </c>
      <c r="F948" s="3" t="s">
        <v>59</v>
      </c>
      <c r="G948" s="3" t="s">
        <v>60</v>
      </c>
      <c r="H948" s="3" t="s">
        <v>59</v>
      </c>
      <c r="I948" s="3" t="s">
        <v>59</v>
      </c>
      <c r="J948" s="3" t="s">
        <v>61</v>
      </c>
      <c r="K948" s="2" t="s">
        <v>11979</v>
      </c>
      <c r="L948" s="2" t="s">
        <v>11980</v>
      </c>
      <c r="M948" s="3" t="s">
        <v>1217</v>
      </c>
      <c r="O948" s="3" t="s">
        <v>65</v>
      </c>
      <c r="P948" s="3" t="s">
        <v>66</v>
      </c>
      <c r="R948" s="3" t="s">
        <v>68</v>
      </c>
      <c r="S948" s="4">
        <v>2</v>
      </c>
      <c r="T948" s="4">
        <v>2</v>
      </c>
      <c r="U948" s="5" t="s">
        <v>4553</v>
      </c>
      <c r="V948" s="5" t="s">
        <v>4553</v>
      </c>
      <c r="W948" s="5" t="s">
        <v>11054</v>
      </c>
      <c r="X948" s="5" t="s">
        <v>11054</v>
      </c>
      <c r="Y948" s="4">
        <v>572</v>
      </c>
      <c r="Z948" s="4">
        <v>477</v>
      </c>
      <c r="AA948" s="4">
        <v>505</v>
      </c>
      <c r="AB948" s="4">
        <v>3</v>
      </c>
      <c r="AC948" s="4">
        <v>3</v>
      </c>
      <c r="AD948" s="4">
        <v>22</v>
      </c>
      <c r="AE948" s="4">
        <v>25</v>
      </c>
      <c r="AF948" s="4">
        <v>9</v>
      </c>
      <c r="AG948" s="4">
        <v>10</v>
      </c>
      <c r="AH948" s="4">
        <v>3</v>
      </c>
      <c r="AI948" s="4">
        <v>4</v>
      </c>
      <c r="AJ948" s="4">
        <v>8</v>
      </c>
      <c r="AK948" s="4">
        <v>9</v>
      </c>
      <c r="AL948" s="4">
        <v>2</v>
      </c>
      <c r="AM948" s="4">
        <v>2</v>
      </c>
      <c r="AN948" s="4">
        <v>5</v>
      </c>
      <c r="AO948" s="4">
        <v>6</v>
      </c>
      <c r="AP948" s="3" t="s">
        <v>59</v>
      </c>
      <c r="AQ948" s="3" t="s">
        <v>71</v>
      </c>
      <c r="AR948" s="6" t="str">
        <f>HYPERLINK("http://catalog.hathitrust.org/Record/000120876","HathiTrust Record")</f>
        <v>HathiTrust Record</v>
      </c>
      <c r="AS948" s="6" t="str">
        <f>HYPERLINK("https://creighton-primo.hosted.exlibrisgroup.com/primo-explore/search?tab=default_tab&amp;search_scope=EVERYTHING&amp;vid=01CRU&amp;lang=en_US&amp;offset=0&amp;query=any,contains,991000354119702656","Catalog Record")</f>
        <v>Catalog Record</v>
      </c>
      <c r="AT948" s="6" t="str">
        <f>HYPERLINK("http://www.worldcat.org/oclc/10323532","WorldCat Record")</f>
        <v>WorldCat Record</v>
      </c>
      <c r="AU948" s="3" t="s">
        <v>11981</v>
      </c>
      <c r="AV948" s="3" t="s">
        <v>11982</v>
      </c>
      <c r="AW948" s="3" t="s">
        <v>11983</v>
      </c>
      <c r="AX948" s="3" t="s">
        <v>11983</v>
      </c>
      <c r="AY948" s="3" t="s">
        <v>11984</v>
      </c>
      <c r="AZ948" s="3" t="s">
        <v>76</v>
      </c>
      <c r="BB948" s="3" t="s">
        <v>11985</v>
      </c>
      <c r="BC948" s="3" t="s">
        <v>11986</v>
      </c>
      <c r="BD948" s="3" t="s">
        <v>11987</v>
      </c>
    </row>
    <row r="949" spans="1:56" ht="52.5" customHeight="1" x14ac:dyDescent="0.25">
      <c r="A949" s="7" t="s">
        <v>59</v>
      </c>
      <c r="B949" s="2" t="s">
        <v>11988</v>
      </c>
      <c r="C949" s="2" t="s">
        <v>11989</v>
      </c>
      <c r="D949" s="2" t="s">
        <v>11990</v>
      </c>
      <c r="F949" s="3" t="s">
        <v>59</v>
      </c>
      <c r="G949" s="3" t="s">
        <v>60</v>
      </c>
      <c r="H949" s="3" t="s">
        <v>59</v>
      </c>
      <c r="I949" s="3" t="s">
        <v>59</v>
      </c>
      <c r="J949" s="3" t="s">
        <v>61</v>
      </c>
      <c r="K949" s="2" t="s">
        <v>7110</v>
      </c>
      <c r="L949" s="2" t="s">
        <v>11991</v>
      </c>
      <c r="M949" s="3" t="s">
        <v>1601</v>
      </c>
      <c r="O949" s="3" t="s">
        <v>65</v>
      </c>
      <c r="P949" s="3" t="s">
        <v>66</v>
      </c>
      <c r="R949" s="3" t="s">
        <v>68</v>
      </c>
      <c r="S949" s="4">
        <v>1</v>
      </c>
      <c r="T949" s="4">
        <v>1</v>
      </c>
      <c r="U949" s="5" t="s">
        <v>11992</v>
      </c>
      <c r="V949" s="5" t="s">
        <v>11992</v>
      </c>
      <c r="W949" s="5" t="s">
        <v>11257</v>
      </c>
      <c r="X949" s="5" t="s">
        <v>11257</v>
      </c>
      <c r="Y949" s="4">
        <v>89</v>
      </c>
      <c r="Z949" s="4">
        <v>77</v>
      </c>
      <c r="AA949" s="4">
        <v>275</v>
      </c>
      <c r="AB949" s="4">
        <v>1</v>
      </c>
      <c r="AC949" s="4">
        <v>3</v>
      </c>
      <c r="AD949" s="4">
        <v>2</v>
      </c>
      <c r="AE949" s="4">
        <v>12</v>
      </c>
      <c r="AF949" s="4">
        <v>1</v>
      </c>
      <c r="AG949" s="4">
        <v>5</v>
      </c>
      <c r="AH949" s="4">
        <v>0</v>
      </c>
      <c r="AI949" s="4">
        <v>2</v>
      </c>
      <c r="AJ949" s="4">
        <v>1</v>
      </c>
      <c r="AK949" s="4">
        <v>7</v>
      </c>
      <c r="AL949" s="4">
        <v>0</v>
      </c>
      <c r="AM949" s="4">
        <v>2</v>
      </c>
      <c r="AN949" s="4">
        <v>0</v>
      </c>
      <c r="AO949" s="4">
        <v>0</v>
      </c>
      <c r="AP949" s="3" t="s">
        <v>59</v>
      </c>
      <c r="AQ949" s="3" t="s">
        <v>59</v>
      </c>
      <c r="AR949" s="6" t="str">
        <f>HYPERLINK("http://catalog.hathitrust.org/Record/000427556","HathiTrust Record")</f>
        <v>HathiTrust Record</v>
      </c>
      <c r="AS949" s="6" t="str">
        <f>HYPERLINK("https://creighton-primo.hosted.exlibrisgroup.com/primo-explore/search?tab=default_tab&amp;search_scope=EVERYTHING&amp;vid=01CRU&amp;lang=en_US&amp;offset=0&amp;query=any,contains,991004443389702656","Catalog Record")</f>
        <v>Catalog Record</v>
      </c>
      <c r="AT949" s="6" t="str">
        <f>HYPERLINK("http://www.worldcat.org/oclc/3475073","WorldCat Record")</f>
        <v>WorldCat Record</v>
      </c>
      <c r="AU949" s="3" t="s">
        <v>11993</v>
      </c>
      <c r="AV949" s="3" t="s">
        <v>11994</v>
      </c>
      <c r="AW949" s="3" t="s">
        <v>11995</v>
      </c>
      <c r="AX949" s="3" t="s">
        <v>11995</v>
      </c>
      <c r="AY949" s="3" t="s">
        <v>11996</v>
      </c>
      <c r="AZ949" s="3" t="s">
        <v>76</v>
      </c>
      <c r="BC949" s="3" t="s">
        <v>11997</v>
      </c>
      <c r="BD949" s="3" t="s">
        <v>11998</v>
      </c>
    </row>
    <row r="950" spans="1:56" ht="52.5" customHeight="1" x14ac:dyDescent="0.25">
      <c r="A950" s="7" t="s">
        <v>59</v>
      </c>
      <c r="B950" s="2" t="s">
        <v>11999</v>
      </c>
      <c r="C950" s="2" t="s">
        <v>12000</v>
      </c>
      <c r="D950" s="2" t="s">
        <v>12001</v>
      </c>
      <c r="F950" s="3" t="s">
        <v>59</v>
      </c>
      <c r="G950" s="3" t="s">
        <v>60</v>
      </c>
      <c r="H950" s="3" t="s">
        <v>59</v>
      </c>
      <c r="I950" s="3" t="s">
        <v>59</v>
      </c>
      <c r="J950" s="3" t="s">
        <v>61</v>
      </c>
      <c r="K950" s="2" t="s">
        <v>12002</v>
      </c>
      <c r="L950" s="2" t="s">
        <v>4318</v>
      </c>
      <c r="M950" s="3" t="s">
        <v>475</v>
      </c>
      <c r="O950" s="3" t="s">
        <v>65</v>
      </c>
      <c r="P950" s="3" t="s">
        <v>66</v>
      </c>
      <c r="R950" s="3" t="s">
        <v>68</v>
      </c>
      <c r="S950" s="4">
        <v>4</v>
      </c>
      <c r="T950" s="4">
        <v>4</v>
      </c>
      <c r="U950" s="5" t="s">
        <v>12003</v>
      </c>
      <c r="V950" s="5" t="s">
        <v>12003</v>
      </c>
      <c r="W950" s="5" t="s">
        <v>1454</v>
      </c>
      <c r="X950" s="5" t="s">
        <v>1454</v>
      </c>
      <c r="Y950" s="4">
        <v>345</v>
      </c>
      <c r="Z950" s="4">
        <v>320</v>
      </c>
      <c r="AA950" s="4">
        <v>380</v>
      </c>
      <c r="AB950" s="4">
        <v>3</v>
      </c>
      <c r="AC950" s="4">
        <v>3</v>
      </c>
      <c r="AD950" s="4">
        <v>12</v>
      </c>
      <c r="AE950" s="4">
        <v>13</v>
      </c>
      <c r="AF950" s="4">
        <v>4</v>
      </c>
      <c r="AG950" s="4">
        <v>4</v>
      </c>
      <c r="AH950" s="4">
        <v>4</v>
      </c>
      <c r="AI950" s="4">
        <v>4</v>
      </c>
      <c r="AJ950" s="4">
        <v>4</v>
      </c>
      <c r="AK950" s="4">
        <v>5</v>
      </c>
      <c r="AL950" s="4">
        <v>2</v>
      </c>
      <c r="AM950" s="4">
        <v>2</v>
      </c>
      <c r="AN950" s="4">
        <v>0</v>
      </c>
      <c r="AO950" s="4">
        <v>0</v>
      </c>
      <c r="AP950" s="3" t="s">
        <v>59</v>
      </c>
      <c r="AQ950" s="3" t="s">
        <v>59</v>
      </c>
      <c r="AS950" s="6" t="str">
        <f>HYPERLINK("https://creighton-primo.hosted.exlibrisgroup.com/primo-explore/search?tab=default_tab&amp;search_scope=EVERYTHING&amp;vid=01CRU&amp;lang=en_US&amp;offset=0&amp;query=any,contains,991000252479702656","Catalog Record")</f>
        <v>Catalog Record</v>
      </c>
      <c r="AT950" s="6" t="str">
        <f>HYPERLINK("http://www.worldcat.org/oclc/9759369","WorldCat Record")</f>
        <v>WorldCat Record</v>
      </c>
      <c r="AU950" s="3" t="s">
        <v>12004</v>
      </c>
      <c r="AV950" s="3" t="s">
        <v>12005</v>
      </c>
      <c r="AW950" s="3" t="s">
        <v>12006</v>
      </c>
      <c r="AX950" s="3" t="s">
        <v>12006</v>
      </c>
      <c r="AY950" s="3" t="s">
        <v>12007</v>
      </c>
      <c r="AZ950" s="3" t="s">
        <v>76</v>
      </c>
      <c r="BB950" s="3" t="s">
        <v>12008</v>
      </c>
      <c r="BC950" s="3" t="s">
        <v>12009</v>
      </c>
      <c r="BD950" s="3" t="s">
        <v>12010</v>
      </c>
    </row>
    <row r="951" spans="1:56" ht="52.5" customHeight="1" x14ac:dyDescent="0.25">
      <c r="A951" s="7" t="s">
        <v>59</v>
      </c>
      <c r="B951" s="2" t="s">
        <v>12011</v>
      </c>
      <c r="C951" s="2" t="s">
        <v>12012</v>
      </c>
      <c r="D951" s="2" t="s">
        <v>12013</v>
      </c>
      <c r="F951" s="3" t="s">
        <v>59</v>
      </c>
      <c r="G951" s="3" t="s">
        <v>60</v>
      </c>
      <c r="H951" s="3" t="s">
        <v>59</v>
      </c>
      <c r="I951" s="3" t="s">
        <v>59</v>
      </c>
      <c r="J951" s="3" t="s">
        <v>61</v>
      </c>
      <c r="K951" s="2" t="s">
        <v>3317</v>
      </c>
      <c r="L951" s="2" t="s">
        <v>12014</v>
      </c>
      <c r="M951" s="3" t="s">
        <v>756</v>
      </c>
      <c r="O951" s="3" t="s">
        <v>65</v>
      </c>
      <c r="P951" s="3" t="s">
        <v>296</v>
      </c>
      <c r="R951" s="3" t="s">
        <v>68</v>
      </c>
      <c r="S951" s="4">
        <v>2</v>
      </c>
      <c r="T951" s="4">
        <v>2</v>
      </c>
      <c r="U951" s="5" t="s">
        <v>11992</v>
      </c>
      <c r="V951" s="5" t="s">
        <v>11992</v>
      </c>
      <c r="W951" s="5" t="s">
        <v>12015</v>
      </c>
      <c r="X951" s="5" t="s">
        <v>12015</v>
      </c>
      <c r="Y951" s="4">
        <v>628</v>
      </c>
      <c r="Z951" s="4">
        <v>473</v>
      </c>
      <c r="AA951" s="4">
        <v>482</v>
      </c>
      <c r="AB951" s="4">
        <v>3</v>
      </c>
      <c r="AC951" s="4">
        <v>3</v>
      </c>
      <c r="AD951" s="4">
        <v>25</v>
      </c>
      <c r="AE951" s="4">
        <v>25</v>
      </c>
      <c r="AF951" s="4">
        <v>7</v>
      </c>
      <c r="AG951" s="4">
        <v>7</v>
      </c>
      <c r="AH951" s="4">
        <v>10</v>
      </c>
      <c r="AI951" s="4">
        <v>10</v>
      </c>
      <c r="AJ951" s="4">
        <v>13</v>
      </c>
      <c r="AK951" s="4">
        <v>13</v>
      </c>
      <c r="AL951" s="4">
        <v>2</v>
      </c>
      <c r="AM951" s="4">
        <v>2</v>
      </c>
      <c r="AN951" s="4">
        <v>0</v>
      </c>
      <c r="AO951" s="4">
        <v>0</v>
      </c>
      <c r="AP951" s="3" t="s">
        <v>59</v>
      </c>
      <c r="AQ951" s="3" t="s">
        <v>71</v>
      </c>
      <c r="AR951" s="6" t="str">
        <f>HYPERLINK("http://catalog.hathitrust.org/Record/000427092","HathiTrust Record")</f>
        <v>HathiTrust Record</v>
      </c>
      <c r="AS951" s="6" t="str">
        <f>HYPERLINK("https://creighton-primo.hosted.exlibrisgroup.com/primo-explore/search?tab=default_tab&amp;search_scope=EVERYTHING&amp;vid=01CRU&amp;lang=en_US&amp;offset=0&amp;query=any,contains,991001216059702656","Catalog Record")</f>
        <v>Catalog Record</v>
      </c>
      <c r="AT951" s="6" t="str">
        <f>HYPERLINK("http://www.worldcat.org/oclc/194137","WorldCat Record")</f>
        <v>WorldCat Record</v>
      </c>
      <c r="AU951" s="3" t="s">
        <v>12016</v>
      </c>
      <c r="AV951" s="3" t="s">
        <v>12017</v>
      </c>
      <c r="AW951" s="3" t="s">
        <v>12018</v>
      </c>
      <c r="AX951" s="3" t="s">
        <v>12018</v>
      </c>
      <c r="AY951" s="3" t="s">
        <v>12019</v>
      </c>
      <c r="AZ951" s="3" t="s">
        <v>76</v>
      </c>
      <c r="BC951" s="3" t="s">
        <v>12020</v>
      </c>
      <c r="BD951" s="3" t="s">
        <v>12021</v>
      </c>
    </row>
    <row r="952" spans="1:56" ht="52.5" customHeight="1" x14ac:dyDescent="0.25">
      <c r="A952" s="7" t="s">
        <v>59</v>
      </c>
      <c r="B952" s="2" t="s">
        <v>12022</v>
      </c>
      <c r="C952" s="2" t="s">
        <v>12023</v>
      </c>
      <c r="D952" s="2" t="s">
        <v>12024</v>
      </c>
      <c r="F952" s="3" t="s">
        <v>59</v>
      </c>
      <c r="G952" s="3" t="s">
        <v>60</v>
      </c>
      <c r="H952" s="3" t="s">
        <v>59</v>
      </c>
      <c r="I952" s="3" t="s">
        <v>59</v>
      </c>
      <c r="J952" s="3" t="s">
        <v>61</v>
      </c>
      <c r="K952" s="2" t="s">
        <v>11189</v>
      </c>
      <c r="L952" s="2" t="s">
        <v>12025</v>
      </c>
      <c r="M952" s="3" t="s">
        <v>148</v>
      </c>
      <c r="O952" s="3" t="s">
        <v>65</v>
      </c>
      <c r="P952" s="3" t="s">
        <v>66</v>
      </c>
      <c r="R952" s="3" t="s">
        <v>68</v>
      </c>
      <c r="S952" s="4">
        <v>8</v>
      </c>
      <c r="T952" s="4">
        <v>8</v>
      </c>
      <c r="U952" s="5" t="s">
        <v>12003</v>
      </c>
      <c r="V952" s="5" t="s">
        <v>12003</v>
      </c>
      <c r="W952" s="5" t="s">
        <v>1056</v>
      </c>
      <c r="X952" s="5" t="s">
        <v>1056</v>
      </c>
      <c r="Y952" s="4">
        <v>121</v>
      </c>
      <c r="Z952" s="4">
        <v>107</v>
      </c>
      <c r="AA952" s="4">
        <v>166</v>
      </c>
      <c r="AB952" s="4">
        <v>2</v>
      </c>
      <c r="AC952" s="4">
        <v>3</v>
      </c>
      <c r="AD952" s="4">
        <v>4</v>
      </c>
      <c r="AE952" s="4">
        <v>5</v>
      </c>
      <c r="AF952" s="4">
        <v>0</v>
      </c>
      <c r="AG952" s="4">
        <v>0</v>
      </c>
      <c r="AH952" s="4">
        <v>1</v>
      </c>
      <c r="AI952" s="4">
        <v>1</v>
      </c>
      <c r="AJ952" s="4">
        <v>3</v>
      </c>
      <c r="AK952" s="4">
        <v>3</v>
      </c>
      <c r="AL952" s="4">
        <v>1</v>
      </c>
      <c r="AM952" s="4">
        <v>2</v>
      </c>
      <c r="AN952" s="4">
        <v>0</v>
      </c>
      <c r="AO952" s="4">
        <v>0</v>
      </c>
      <c r="AP952" s="3" t="s">
        <v>59</v>
      </c>
      <c r="AQ952" s="3" t="s">
        <v>71</v>
      </c>
      <c r="AR952" s="6" t="str">
        <f>HYPERLINK("http://catalog.hathitrust.org/Record/006013465","HathiTrust Record")</f>
        <v>HathiTrust Record</v>
      </c>
      <c r="AS952" s="6" t="str">
        <f>HYPERLINK("https://creighton-primo.hosted.exlibrisgroup.com/primo-explore/search?tab=default_tab&amp;search_scope=EVERYTHING&amp;vid=01CRU&amp;lang=en_US&amp;offset=0&amp;query=any,contains,991004117179702656","Catalog Record")</f>
        <v>Catalog Record</v>
      </c>
      <c r="AT952" s="6" t="str">
        <f>HYPERLINK("http://www.worldcat.org/oclc/2418087","WorldCat Record")</f>
        <v>WorldCat Record</v>
      </c>
      <c r="AU952" s="3" t="s">
        <v>12026</v>
      </c>
      <c r="AV952" s="3" t="s">
        <v>12027</v>
      </c>
      <c r="AW952" s="3" t="s">
        <v>12028</v>
      </c>
      <c r="AX952" s="3" t="s">
        <v>12028</v>
      </c>
      <c r="AY952" s="3" t="s">
        <v>12029</v>
      </c>
      <c r="AZ952" s="3" t="s">
        <v>76</v>
      </c>
      <c r="BB952" s="3" t="s">
        <v>12030</v>
      </c>
      <c r="BC952" s="3" t="s">
        <v>12031</v>
      </c>
      <c r="BD952" s="3" t="s">
        <v>12032</v>
      </c>
    </row>
    <row r="953" spans="1:56" ht="52.5" customHeight="1" x14ac:dyDescent="0.25">
      <c r="A953" s="7" t="s">
        <v>59</v>
      </c>
      <c r="B953" s="2" t="s">
        <v>12033</v>
      </c>
      <c r="C953" s="2" t="s">
        <v>12034</v>
      </c>
      <c r="D953" s="2" t="s">
        <v>12035</v>
      </c>
      <c r="F953" s="3" t="s">
        <v>59</v>
      </c>
      <c r="G953" s="3" t="s">
        <v>60</v>
      </c>
      <c r="H953" s="3" t="s">
        <v>71</v>
      </c>
      <c r="I953" s="3" t="s">
        <v>59</v>
      </c>
      <c r="J953" s="3" t="s">
        <v>61</v>
      </c>
      <c r="L953" s="2" t="s">
        <v>12036</v>
      </c>
      <c r="M953" s="3" t="s">
        <v>684</v>
      </c>
      <c r="O953" s="3" t="s">
        <v>65</v>
      </c>
      <c r="P953" s="3" t="s">
        <v>66</v>
      </c>
      <c r="R953" s="3" t="s">
        <v>68</v>
      </c>
      <c r="S953" s="4">
        <v>4</v>
      </c>
      <c r="T953" s="4">
        <v>11</v>
      </c>
      <c r="U953" s="5" t="s">
        <v>12037</v>
      </c>
      <c r="V953" s="5" t="s">
        <v>12038</v>
      </c>
      <c r="W953" s="5" t="s">
        <v>11054</v>
      </c>
      <c r="X953" s="5" t="s">
        <v>11054</v>
      </c>
      <c r="Y953" s="4">
        <v>358</v>
      </c>
      <c r="Z953" s="4">
        <v>317</v>
      </c>
      <c r="AA953" s="4">
        <v>319</v>
      </c>
      <c r="AB953" s="4">
        <v>4</v>
      </c>
      <c r="AC953" s="4">
        <v>4</v>
      </c>
      <c r="AD953" s="4">
        <v>13</v>
      </c>
      <c r="AE953" s="4">
        <v>13</v>
      </c>
      <c r="AF953" s="4">
        <v>5</v>
      </c>
      <c r="AG953" s="4">
        <v>5</v>
      </c>
      <c r="AH953" s="4">
        <v>2</v>
      </c>
      <c r="AI953" s="4">
        <v>2</v>
      </c>
      <c r="AJ953" s="4">
        <v>7</v>
      </c>
      <c r="AK953" s="4">
        <v>7</v>
      </c>
      <c r="AL953" s="4">
        <v>2</v>
      </c>
      <c r="AM953" s="4">
        <v>2</v>
      </c>
      <c r="AN953" s="4">
        <v>0</v>
      </c>
      <c r="AO953" s="4">
        <v>0</v>
      </c>
      <c r="AP953" s="3" t="s">
        <v>59</v>
      </c>
      <c r="AQ953" s="3" t="s">
        <v>71</v>
      </c>
      <c r="AR953" s="6" t="str">
        <f>HYPERLINK("http://catalog.hathitrust.org/Record/000098908","HathiTrust Record")</f>
        <v>HathiTrust Record</v>
      </c>
      <c r="AS953" s="6" t="str">
        <f>HYPERLINK("https://creighton-primo.hosted.exlibrisgroup.com/primo-explore/search?tab=default_tab&amp;search_scope=EVERYTHING&amp;vid=01CRU&amp;lang=en_US&amp;offset=0&amp;query=any,contains,991001781579702656","Catalog Record")</f>
        <v>Catalog Record</v>
      </c>
      <c r="AT953" s="6" t="str">
        <f>HYPERLINK("http://www.worldcat.org/oclc/6943237","WorldCat Record")</f>
        <v>WorldCat Record</v>
      </c>
      <c r="AU953" s="3" t="s">
        <v>12039</v>
      </c>
      <c r="AV953" s="3" t="s">
        <v>12040</v>
      </c>
      <c r="AW953" s="3" t="s">
        <v>12041</v>
      </c>
      <c r="AX953" s="3" t="s">
        <v>12041</v>
      </c>
      <c r="AY953" s="3" t="s">
        <v>12042</v>
      </c>
      <c r="AZ953" s="3" t="s">
        <v>76</v>
      </c>
      <c r="BB953" s="3" t="s">
        <v>12043</v>
      </c>
      <c r="BC953" s="3" t="s">
        <v>12044</v>
      </c>
      <c r="BD953" s="3" t="s">
        <v>12045</v>
      </c>
    </row>
    <row r="954" spans="1:56" ht="52.5" customHeight="1" x14ac:dyDescent="0.25">
      <c r="A954" s="7" t="s">
        <v>59</v>
      </c>
      <c r="B954" s="2" t="s">
        <v>12046</v>
      </c>
      <c r="C954" s="2" t="s">
        <v>12047</v>
      </c>
      <c r="D954" s="2" t="s">
        <v>12048</v>
      </c>
      <c r="F954" s="3" t="s">
        <v>59</v>
      </c>
      <c r="G954" s="3" t="s">
        <v>60</v>
      </c>
      <c r="H954" s="3" t="s">
        <v>59</v>
      </c>
      <c r="I954" s="3" t="s">
        <v>59</v>
      </c>
      <c r="J954" s="3" t="s">
        <v>61</v>
      </c>
      <c r="K954" s="2" t="s">
        <v>12049</v>
      </c>
      <c r="L954" s="2" t="s">
        <v>12050</v>
      </c>
      <c r="M954" s="3" t="s">
        <v>64</v>
      </c>
      <c r="O954" s="3" t="s">
        <v>65</v>
      </c>
      <c r="P954" s="3" t="s">
        <v>12051</v>
      </c>
      <c r="R954" s="3" t="s">
        <v>68</v>
      </c>
      <c r="S954" s="4">
        <v>6</v>
      </c>
      <c r="T954" s="4">
        <v>6</v>
      </c>
      <c r="U954" s="5" t="s">
        <v>12052</v>
      </c>
      <c r="V954" s="5" t="s">
        <v>12052</v>
      </c>
      <c r="W954" s="5" t="s">
        <v>5400</v>
      </c>
      <c r="X954" s="5" t="s">
        <v>5400</v>
      </c>
      <c r="Y954" s="4">
        <v>182</v>
      </c>
      <c r="Z954" s="4">
        <v>133</v>
      </c>
      <c r="AA954" s="4">
        <v>137</v>
      </c>
      <c r="AB954" s="4">
        <v>1</v>
      </c>
      <c r="AC954" s="4">
        <v>1</v>
      </c>
      <c r="AD954" s="4">
        <v>4</v>
      </c>
      <c r="AE954" s="4">
        <v>4</v>
      </c>
      <c r="AF954" s="4">
        <v>2</v>
      </c>
      <c r="AG954" s="4">
        <v>2</v>
      </c>
      <c r="AH954" s="4">
        <v>0</v>
      </c>
      <c r="AI954" s="4">
        <v>0</v>
      </c>
      <c r="AJ954" s="4">
        <v>4</v>
      </c>
      <c r="AK954" s="4">
        <v>4</v>
      </c>
      <c r="AL954" s="4">
        <v>0</v>
      </c>
      <c r="AM954" s="4">
        <v>0</v>
      </c>
      <c r="AN954" s="4">
        <v>0</v>
      </c>
      <c r="AO954" s="4">
        <v>0</v>
      </c>
      <c r="AP954" s="3" t="s">
        <v>59</v>
      </c>
      <c r="AQ954" s="3" t="s">
        <v>71</v>
      </c>
      <c r="AR954" s="6" t="str">
        <f>HYPERLINK("http://catalog.hathitrust.org/Record/000428767","HathiTrust Record")</f>
        <v>HathiTrust Record</v>
      </c>
      <c r="AS954" s="6" t="str">
        <f>HYPERLINK("https://creighton-primo.hosted.exlibrisgroup.com/primo-explore/search?tab=default_tab&amp;search_scope=EVERYTHING&amp;vid=01CRU&amp;lang=en_US&amp;offset=0&amp;query=any,contains,991004204949702656","Catalog Record")</f>
        <v>Catalog Record</v>
      </c>
      <c r="AT954" s="6" t="str">
        <f>HYPERLINK("http://www.worldcat.org/oclc/2662729","WorldCat Record")</f>
        <v>WorldCat Record</v>
      </c>
      <c r="AU954" s="3" t="s">
        <v>12053</v>
      </c>
      <c r="AV954" s="3" t="s">
        <v>12054</v>
      </c>
      <c r="AW954" s="3" t="s">
        <v>12055</v>
      </c>
      <c r="AX954" s="3" t="s">
        <v>12055</v>
      </c>
      <c r="AY954" s="3" t="s">
        <v>12056</v>
      </c>
      <c r="AZ954" s="3" t="s">
        <v>76</v>
      </c>
      <c r="BC954" s="3" t="s">
        <v>12057</v>
      </c>
      <c r="BD954" s="3" t="s">
        <v>12058</v>
      </c>
    </row>
    <row r="955" spans="1:56" ht="52.5" customHeight="1" x14ac:dyDescent="0.25">
      <c r="A955" s="7" t="s">
        <v>59</v>
      </c>
      <c r="B955" s="2" t="s">
        <v>12059</v>
      </c>
      <c r="C955" s="2" t="s">
        <v>12060</v>
      </c>
      <c r="D955" s="2" t="s">
        <v>12061</v>
      </c>
      <c r="F955" s="3" t="s">
        <v>59</v>
      </c>
      <c r="G955" s="3" t="s">
        <v>60</v>
      </c>
      <c r="H955" s="3" t="s">
        <v>59</v>
      </c>
      <c r="I955" s="3" t="s">
        <v>59</v>
      </c>
      <c r="J955" s="3" t="s">
        <v>61</v>
      </c>
      <c r="K955" s="2" t="s">
        <v>12062</v>
      </c>
      <c r="L955" s="2" t="s">
        <v>12063</v>
      </c>
      <c r="M955" s="3" t="s">
        <v>115</v>
      </c>
      <c r="N955" s="2" t="s">
        <v>435</v>
      </c>
      <c r="O955" s="3" t="s">
        <v>65</v>
      </c>
      <c r="P955" s="3" t="s">
        <v>420</v>
      </c>
      <c r="Q955" s="2" t="s">
        <v>7816</v>
      </c>
      <c r="R955" s="3" t="s">
        <v>68</v>
      </c>
      <c r="S955" s="4">
        <v>2</v>
      </c>
      <c r="T955" s="4">
        <v>2</v>
      </c>
      <c r="U955" s="5" t="s">
        <v>958</v>
      </c>
      <c r="V955" s="5" t="s">
        <v>958</v>
      </c>
      <c r="W955" s="5" t="s">
        <v>12015</v>
      </c>
      <c r="X955" s="5" t="s">
        <v>12015</v>
      </c>
      <c r="Y955" s="4">
        <v>371</v>
      </c>
      <c r="Z955" s="4">
        <v>328</v>
      </c>
      <c r="AA955" s="4">
        <v>334</v>
      </c>
      <c r="AB955" s="4">
        <v>4</v>
      </c>
      <c r="AC955" s="4">
        <v>4</v>
      </c>
      <c r="AD955" s="4">
        <v>13</v>
      </c>
      <c r="AE955" s="4">
        <v>13</v>
      </c>
      <c r="AF955" s="4">
        <v>3</v>
      </c>
      <c r="AG955" s="4">
        <v>3</v>
      </c>
      <c r="AH955" s="4">
        <v>4</v>
      </c>
      <c r="AI955" s="4">
        <v>4</v>
      </c>
      <c r="AJ955" s="4">
        <v>7</v>
      </c>
      <c r="AK955" s="4">
        <v>7</v>
      </c>
      <c r="AL955" s="4">
        <v>3</v>
      </c>
      <c r="AM955" s="4">
        <v>3</v>
      </c>
      <c r="AN955" s="4">
        <v>0</v>
      </c>
      <c r="AO955" s="4">
        <v>0</v>
      </c>
      <c r="AP955" s="3" t="s">
        <v>59</v>
      </c>
      <c r="AQ955" s="3" t="s">
        <v>71</v>
      </c>
      <c r="AR955" s="6" t="str">
        <f>HYPERLINK("http://catalog.hathitrust.org/Record/000316889","HathiTrust Record")</f>
        <v>HathiTrust Record</v>
      </c>
      <c r="AS955" s="6" t="str">
        <f>HYPERLINK("https://creighton-primo.hosted.exlibrisgroup.com/primo-explore/search?tab=default_tab&amp;search_scope=EVERYTHING&amp;vid=01CRU&amp;lang=en_US&amp;offset=0&amp;query=any,contains,991002465159702656","Catalog Record")</f>
        <v>Catalog Record</v>
      </c>
      <c r="AT955" s="6" t="str">
        <f>HYPERLINK("http://www.worldcat.org/oclc/357399","WorldCat Record")</f>
        <v>WorldCat Record</v>
      </c>
      <c r="AU955" s="3" t="s">
        <v>12064</v>
      </c>
      <c r="AV955" s="3" t="s">
        <v>12065</v>
      </c>
      <c r="AW955" s="3" t="s">
        <v>12066</v>
      </c>
      <c r="AX955" s="3" t="s">
        <v>12066</v>
      </c>
      <c r="AY955" s="3" t="s">
        <v>12067</v>
      </c>
      <c r="AZ955" s="3" t="s">
        <v>76</v>
      </c>
      <c r="BB955" s="3" t="s">
        <v>12068</v>
      </c>
      <c r="BC955" s="3" t="s">
        <v>12069</v>
      </c>
      <c r="BD955" s="3" t="s">
        <v>12070</v>
      </c>
    </row>
    <row r="956" spans="1:56" ht="52.5" customHeight="1" x14ac:dyDescent="0.25">
      <c r="A956" s="7" t="s">
        <v>59</v>
      </c>
      <c r="B956" s="2" t="s">
        <v>12071</v>
      </c>
      <c r="C956" s="2" t="s">
        <v>12072</v>
      </c>
      <c r="D956" s="2" t="s">
        <v>12073</v>
      </c>
      <c r="F956" s="3" t="s">
        <v>59</v>
      </c>
      <c r="G956" s="3" t="s">
        <v>60</v>
      </c>
      <c r="H956" s="3" t="s">
        <v>59</v>
      </c>
      <c r="I956" s="3" t="s">
        <v>59</v>
      </c>
      <c r="J956" s="3" t="s">
        <v>61</v>
      </c>
      <c r="K956" s="2" t="s">
        <v>12074</v>
      </c>
      <c r="L956" s="2" t="s">
        <v>12075</v>
      </c>
      <c r="M956" s="3" t="s">
        <v>405</v>
      </c>
      <c r="N956" s="2" t="s">
        <v>3938</v>
      </c>
      <c r="O956" s="3" t="s">
        <v>65</v>
      </c>
      <c r="P956" s="3" t="s">
        <v>66</v>
      </c>
      <c r="R956" s="3" t="s">
        <v>68</v>
      </c>
      <c r="S956" s="4">
        <v>7</v>
      </c>
      <c r="T956" s="4">
        <v>7</v>
      </c>
      <c r="U956" s="5" t="s">
        <v>12076</v>
      </c>
      <c r="V956" s="5" t="s">
        <v>12076</v>
      </c>
      <c r="W956" s="5" t="s">
        <v>12077</v>
      </c>
      <c r="X956" s="5" t="s">
        <v>12077</v>
      </c>
      <c r="Y956" s="4">
        <v>666</v>
      </c>
      <c r="Z956" s="4">
        <v>579</v>
      </c>
      <c r="AA956" s="4">
        <v>892</v>
      </c>
      <c r="AB956" s="4">
        <v>3</v>
      </c>
      <c r="AC956" s="4">
        <v>7</v>
      </c>
      <c r="AD956" s="4">
        <v>20</v>
      </c>
      <c r="AE956" s="4">
        <v>34</v>
      </c>
      <c r="AF956" s="4">
        <v>5</v>
      </c>
      <c r="AG956" s="4">
        <v>13</v>
      </c>
      <c r="AH956" s="4">
        <v>7</v>
      </c>
      <c r="AI956" s="4">
        <v>10</v>
      </c>
      <c r="AJ956" s="4">
        <v>12</v>
      </c>
      <c r="AK956" s="4">
        <v>15</v>
      </c>
      <c r="AL956" s="4">
        <v>1</v>
      </c>
      <c r="AM956" s="4">
        <v>4</v>
      </c>
      <c r="AN956" s="4">
        <v>0</v>
      </c>
      <c r="AO956" s="4">
        <v>0</v>
      </c>
      <c r="AP956" s="3" t="s">
        <v>59</v>
      </c>
      <c r="AQ956" s="3" t="s">
        <v>71</v>
      </c>
      <c r="AR956" s="6" t="str">
        <f>HYPERLINK("http://catalog.hathitrust.org/Record/000872627","HathiTrust Record")</f>
        <v>HathiTrust Record</v>
      </c>
      <c r="AS956" s="6" t="str">
        <f>HYPERLINK("https://creighton-primo.hosted.exlibrisgroup.com/primo-explore/search?tab=default_tab&amp;search_scope=EVERYTHING&amp;vid=01CRU&amp;lang=en_US&amp;offset=0&amp;query=any,contains,991000986539702656","Catalog Record")</f>
        <v>Catalog Record</v>
      </c>
      <c r="AT956" s="6" t="str">
        <f>HYPERLINK("http://www.worldcat.org/oclc/15082456","WorldCat Record")</f>
        <v>WorldCat Record</v>
      </c>
      <c r="AU956" s="3" t="s">
        <v>12078</v>
      </c>
      <c r="AV956" s="3" t="s">
        <v>12079</v>
      </c>
      <c r="AW956" s="3" t="s">
        <v>12080</v>
      </c>
      <c r="AX956" s="3" t="s">
        <v>12080</v>
      </c>
      <c r="AY956" s="3" t="s">
        <v>12081</v>
      </c>
      <c r="AZ956" s="3" t="s">
        <v>76</v>
      </c>
      <c r="BB956" s="3" t="s">
        <v>12082</v>
      </c>
      <c r="BC956" s="3" t="s">
        <v>12083</v>
      </c>
      <c r="BD956" s="3" t="s">
        <v>12084</v>
      </c>
    </row>
    <row r="957" spans="1:56" ht="52.5" customHeight="1" x14ac:dyDescent="0.25">
      <c r="A957" s="7" t="s">
        <v>59</v>
      </c>
      <c r="B957" s="2" t="s">
        <v>12085</v>
      </c>
      <c r="C957" s="2" t="s">
        <v>12086</v>
      </c>
      <c r="D957" s="2" t="s">
        <v>12087</v>
      </c>
      <c r="F957" s="3" t="s">
        <v>59</v>
      </c>
      <c r="G957" s="3" t="s">
        <v>60</v>
      </c>
      <c r="H957" s="3" t="s">
        <v>59</v>
      </c>
      <c r="I957" s="3" t="s">
        <v>59</v>
      </c>
      <c r="J957" s="3" t="s">
        <v>61</v>
      </c>
      <c r="K957" s="2" t="s">
        <v>12088</v>
      </c>
      <c r="L957" s="2" t="s">
        <v>12089</v>
      </c>
      <c r="M957" s="3" t="s">
        <v>514</v>
      </c>
      <c r="O957" s="3" t="s">
        <v>65</v>
      </c>
      <c r="P957" s="3" t="s">
        <v>66</v>
      </c>
      <c r="R957" s="3" t="s">
        <v>68</v>
      </c>
      <c r="S957" s="4">
        <v>3</v>
      </c>
      <c r="T957" s="4">
        <v>3</v>
      </c>
      <c r="U957" s="5" t="s">
        <v>12090</v>
      </c>
      <c r="V957" s="5" t="s">
        <v>12090</v>
      </c>
      <c r="W957" s="5" t="s">
        <v>12015</v>
      </c>
      <c r="X957" s="5" t="s">
        <v>12015</v>
      </c>
      <c r="Y957" s="4">
        <v>394</v>
      </c>
      <c r="Z957" s="4">
        <v>339</v>
      </c>
      <c r="AA957" s="4">
        <v>427</v>
      </c>
      <c r="AB957" s="4">
        <v>2</v>
      </c>
      <c r="AC957" s="4">
        <v>2</v>
      </c>
      <c r="AD957" s="4">
        <v>19</v>
      </c>
      <c r="AE957" s="4">
        <v>20</v>
      </c>
      <c r="AF957" s="4">
        <v>7</v>
      </c>
      <c r="AG957" s="4">
        <v>7</v>
      </c>
      <c r="AH957" s="4">
        <v>5</v>
      </c>
      <c r="AI957" s="4">
        <v>5</v>
      </c>
      <c r="AJ957" s="4">
        <v>10</v>
      </c>
      <c r="AK957" s="4">
        <v>11</v>
      </c>
      <c r="AL957" s="4">
        <v>1</v>
      </c>
      <c r="AM957" s="4">
        <v>1</v>
      </c>
      <c r="AN957" s="4">
        <v>0</v>
      </c>
      <c r="AO957" s="4">
        <v>0</v>
      </c>
      <c r="AP957" s="3" t="s">
        <v>59</v>
      </c>
      <c r="AQ957" s="3" t="s">
        <v>71</v>
      </c>
      <c r="AR957" s="6" t="str">
        <f>HYPERLINK("http://catalog.hathitrust.org/Record/000285189","HathiTrust Record")</f>
        <v>HathiTrust Record</v>
      </c>
      <c r="AS957" s="6" t="str">
        <f>HYPERLINK("https://creighton-primo.hosted.exlibrisgroup.com/primo-explore/search?tab=default_tab&amp;search_scope=EVERYTHING&amp;vid=01CRU&amp;lang=en_US&amp;offset=0&amp;query=any,contains,991004204979702656","Catalog Record")</f>
        <v>Catalog Record</v>
      </c>
      <c r="AT957" s="6" t="str">
        <f>HYPERLINK("http://www.worldcat.org/oclc/2662787","WorldCat Record")</f>
        <v>WorldCat Record</v>
      </c>
      <c r="AU957" s="3" t="s">
        <v>12091</v>
      </c>
      <c r="AV957" s="3" t="s">
        <v>12092</v>
      </c>
      <c r="AW957" s="3" t="s">
        <v>12093</v>
      </c>
      <c r="AX957" s="3" t="s">
        <v>12093</v>
      </c>
      <c r="AY957" s="3" t="s">
        <v>12094</v>
      </c>
      <c r="AZ957" s="3" t="s">
        <v>76</v>
      </c>
      <c r="BC957" s="3" t="s">
        <v>12095</v>
      </c>
      <c r="BD957" s="3" t="s">
        <v>12096</v>
      </c>
    </row>
    <row r="958" spans="1:56" ht="52.5" customHeight="1" x14ac:dyDescent="0.25">
      <c r="A958" s="7" t="s">
        <v>59</v>
      </c>
      <c r="B958" s="2" t="s">
        <v>12097</v>
      </c>
      <c r="C958" s="2" t="s">
        <v>12098</v>
      </c>
      <c r="D958" s="2" t="s">
        <v>12099</v>
      </c>
      <c r="F958" s="3" t="s">
        <v>59</v>
      </c>
      <c r="G958" s="3" t="s">
        <v>60</v>
      </c>
      <c r="H958" s="3" t="s">
        <v>59</v>
      </c>
      <c r="I958" s="3" t="s">
        <v>59</v>
      </c>
      <c r="J958" s="3" t="s">
        <v>61</v>
      </c>
      <c r="K958" s="2" t="s">
        <v>12100</v>
      </c>
      <c r="L958" s="2" t="s">
        <v>12101</v>
      </c>
      <c r="M958" s="3" t="s">
        <v>148</v>
      </c>
      <c r="O958" s="3" t="s">
        <v>65</v>
      </c>
      <c r="P958" s="3" t="s">
        <v>296</v>
      </c>
      <c r="R958" s="3" t="s">
        <v>68</v>
      </c>
      <c r="S958" s="4">
        <v>1</v>
      </c>
      <c r="T958" s="4">
        <v>1</v>
      </c>
      <c r="U958" s="5" t="s">
        <v>12102</v>
      </c>
      <c r="V958" s="5" t="s">
        <v>12102</v>
      </c>
      <c r="W958" s="5" t="s">
        <v>11054</v>
      </c>
      <c r="X958" s="5" t="s">
        <v>11054</v>
      </c>
      <c r="Y958" s="4">
        <v>222</v>
      </c>
      <c r="Z958" s="4">
        <v>185</v>
      </c>
      <c r="AA958" s="4">
        <v>201</v>
      </c>
      <c r="AB958" s="4">
        <v>1</v>
      </c>
      <c r="AC958" s="4">
        <v>1</v>
      </c>
      <c r="AD958" s="4">
        <v>7</v>
      </c>
      <c r="AE958" s="4">
        <v>9</v>
      </c>
      <c r="AF958" s="4">
        <v>1</v>
      </c>
      <c r="AG958" s="4">
        <v>2</v>
      </c>
      <c r="AH958" s="4">
        <v>2</v>
      </c>
      <c r="AI958" s="4">
        <v>3</v>
      </c>
      <c r="AJ958" s="4">
        <v>6</v>
      </c>
      <c r="AK958" s="4">
        <v>6</v>
      </c>
      <c r="AL958" s="4">
        <v>0</v>
      </c>
      <c r="AM958" s="4">
        <v>0</v>
      </c>
      <c r="AN958" s="4">
        <v>0</v>
      </c>
      <c r="AO958" s="4">
        <v>0</v>
      </c>
      <c r="AP958" s="3" t="s">
        <v>59</v>
      </c>
      <c r="AQ958" s="3" t="s">
        <v>71</v>
      </c>
      <c r="AR958" s="6" t="str">
        <f>HYPERLINK("http://catalog.hathitrust.org/Record/003872208","HathiTrust Record")</f>
        <v>HathiTrust Record</v>
      </c>
      <c r="AS958" s="6" t="str">
        <f>HYPERLINK("https://creighton-primo.hosted.exlibrisgroup.com/primo-explore/search?tab=default_tab&amp;search_scope=EVERYTHING&amp;vid=01CRU&amp;lang=en_US&amp;offset=0&amp;query=any,contains,991004152979702656","Catalog Record")</f>
        <v>Catalog Record</v>
      </c>
      <c r="AT958" s="6" t="str">
        <f>HYPERLINK("http://www.worldcat.org/oclc/2530587","WorldCat Record")</f>
        <v>WorldCat Record</v>
      </c>
      <c r="AU958" s="3" t="s">
        <v>12103</v>
      </c>
      <c r="AV958" s="3" t="s">
        <v>12104</v>
      </c>
      <c r="AW958" s="3" t="s">
        <v>12105</v>
      </c>
      <c r="AX958" s="3" t="s">
        <v>12105</v>
      </c>
      <c r="AY958" s="3" t="s">
        <v>12106</v>
      </c>
      <c r="AZ958" s="3" t="s">
        <v>76</v>
      </c>
      <c r="BC958" s="3" t="s">
        <v>12107</v>
      </c>
      <c r="BD958" s="3" t="s">
        <v>12108</v>
      </c>
    </row>
    <row r="959" spans="1:56" ht="52.5" customHeight="1" x14ac:dyDescent="0.25">
      <c r="A959" s="7" t="s">
        <v>59</v>
      </c>
      <c r="B959" s="2" t="s">
        <v>12109</v>
      </c>
      <c r="C959" s="2" t="s">
        <v>12110</v>
      </c>
      <c r="D959" s="2" t="s">
        <v>12111</v>
      </c>
      <c r="F959" s="3" t="s">
        <v>59</v>
      </c>
      <c r="G959" s="3" t="s">
        <v>60</v>
      </c>
      <c r="H959" s="3" t="s">
        <v>59</v>
      </c>
      <c r="I959" s="3" t="s">
        <v>59</v>
      </c>
      <c r="J959" s="3" t="s">
        <v>61</v>
      </c>
      <c r="K959" s="2" t="s">
        <v>12112</v>
      </c>
      <c r="L959" s="2" t="s">
        <v>12113</v>
      </c>
      <c r="M959" s="3" t="s">
        <v>115</v>
      </c>
      <c r="O959" s="3" t="s">
        <v>65</v>
      </c>
      <c r="P959" s="3" t="s">
        <v>7774</v>
      </c>
      <c r="Q959" s="2" t="s">
        <v>12114</v>
      </c>
      <c r="R959" s="3" t="s">
        <v>68</v>
      </c>
      <c r="S959" s="4">
        <v>1</v>
      </c>
      <c r="T959" s="4">
        <v>1</v>
      </c>
      <c r="U959" s="5" t="s">
        <v>12115</v>
      </c>
      <c r="V959" s="5" t="s">
        <v>12115</v>
      </c>
      <c r="W959" s="5" t="s">
        <v>12015</v>
      </c>
      <c r="X959" s="5" t="s">
        <v>12015</v>
      </c>
      <c r="Y959" s="4">
        <v>249</v>
      </c>
      <c r="Z959" s="4">
        <v>228</v>
      </c>
      <c r="AA959" s="4">
        <v>237</v>
      </c>
      <c r="AB959" s="4">
        <v>2</v>
      </c>
      <c r="AC959" s="4">
        <v>2</v>
      </c>
      <c r="AD959" s="4">
        <v>10</v>
      </c>
      <c r="AE959" s="4">
        <v>10</v>
      </c>
      <c r="AF959" s="4">
        <v>3</v>
      </c>
      <c r="AG959" s="4">
        <v>3</v>
      </c>
      <c r="AH959" s="4">
        <v>1</v>
      </c>
      <c r="AI959" s="4">
        <v>1</v>
      </c>
      <c r="AJ959" s="4">
        <v>7</v>
      </c>
      <c r="AK959" s="4">
        <v>7</v>
      </c>
      <c r="AL959" s="4">
        <v>1</v>
      </c>
      <c r="AM959" s="4">
        <v>1</v>
      </c>
      <c r="AN959" s="4">
        <v>0</v>
      </c>
      <c r="AO959" s="4">
        <v>0</v>
      </c>
      <c r="AP959" s="3" t="s">
        <v>59</v>
      </c>
      <c r="AQ959" s="3" t="s">
        <v>71</v>
      </c>
      <c r="AR959" s="6" t="str">
        <f>HYPERLINK("http://catalog.hathitrust.org/Record/000427277","HathiTrust Record")</f>
        <v>HathiTrust Record</v>
      </c>
      <c r="AS959" s="6" t="str">
        <f>HYPERLINK("https://creighton-primo.hosted.exlibrisgroup.com/primo-explore/search?tab=default_tab&amp;search_scope=EVERYTHING&amp;vid=01CRU&amp;lang=en_US&amp;offset=0&amp;query=any,contains,991002394389702656","Catalog Record")</f>
        <v>Catalog Record</v>
      </c>
      <c r="AT959" s="6" t="str">
        <f>HYPERLINK("http://www.worldcat.org/oclc/333758","WorldCat Record")</f>
        <v>WorldCat Record</v>
      </c>
      <c r="AU959" s="3" t="s">
        <v>12116</v>
      </c>
      <c r="AV959" s="3" t="s">
        <v>12117</v>
      </c>
      <c r="AW959" s="3" t="s">
        <v>12118</v>
      </c>
      <c r="AX959" s="3" t="s">
        <v>12118</v>
      </c>
      <c r="AY959" s="3" t="s">
        <v>12119</v>
      </c>
      <c r="AZ959" s="3" t="s">
        <v>76</v>
      </c>
      <c r="BC959" s="3" t="s">
        <v>12120</v>
      </c>
      <c r="BD959" s="3" t="s">
        <v>12121</v>
      </c>
    </row>
    <row r="960" spans="1:56" ht="52.5" customHeight="1" x14ac:dyDescent="0.25">
      <c r="A960" s="7" t="s">
        <v>59</v>
      </c>
      <c r="B960" s="2" t="s">
        <v>12122</v>
      </c>
      <c r="C960" s="2" t="s">
        <v>12123</v>
      </c>
      <c r="D960" s="2" t="s">
        <v>12124</v>
      </c>
      <c r="F960" s="3" t="s">
        <v>59</v>
      </c>
      <c r="G960" s="3" t="s">
        <v>60</v>
      </c>
      <c r="H960" s="3" t="s">
        <v>59</v>
      </c>
      <c r="I960" s="3" t="s">
        <v>59</v>
      </c>
      <c r="J960" s="3" t="s">
        <v>61</v>
      </c>
      <c r="K960" s="2" t="s">
        <v>11189</v>
      </c>
      <c r="L960" s="2" t="s">
        <v>12125</v>
      </c>
      <c r="M960" s="3" t="s">
        <v>756</v>
      </c>
      <c r="O960" s="3" t="s">
        <v>65</v>
      </c>
      <c r="P960" s="3" t="s">
        <v>296</v>
      </c>
      <c r="Q960" s="2" t="s">
        <v>12126</v>
      </c>
      <c r="R960" s="3" t="s">
        <v>68</v>
      </c>
      <c r="S960" s="4">
        <v>2</v>
      </c>
      <c r="T960" s="4">
        <v>2</v>
      </c>
      <c r="U960" s="5" t="s">
        <v>12127</v>
      </c>
      <c r="V960" s="5" t="s">
        <v>12127</v>
      </c>
      <c r="W960" s="5" t="s">
        <v>11054</v>
      </c>
      <c r="X960" s="5" t="s">
        <v>11054</v>
      </c>
      <c r="Y960" s="4">
        <v>783</v>
      </c>
      <c r="Z960" s="4">
        <v>613</v>
      </c>
      <c r="AA960" s="4">
        <v>705</v>
      </c>
      <c r="AB960" s="4">
        <v>3</v>
      </c>
      <c r="AC960" s="4">
        <v>3</v>
      </c>
      <c r="AD960" s="4">
        <v>28</v>
      </c>
      <c r="AE960" s="4">
        <v>33</v>
      </c>
      <c r="AF960" s="4">
        <v>10</v>
      </c>
      <c r="AG960" s="4">
        <v>12</v>
      </c>
      <c r="AH960" s="4">
        <v>4</v>
      </c>
      <c r="AI960" s="4">
        <v>6</v>
      </c>
      <c r="AJ960" s="4">
        <v>18</v>
      </c>
      <c r="AK960" s="4">
        <v>21</v>
      </c>
      <c r="AL960" s="4">
        <v>2</v>
      </c>
      <c r="AM960" s="4">
        <v>2</v>
      </c>
      <c r="AN960" s="4">
        <v>0</v>
      </c>
      <c r="AO960" s="4">
        <v>0</v>
      </c>
      <c r="AP960" s="3" t="s">
        <v>59</v>
      </c>
      <c r="AQ960" s="3" t="s">
        <v>71</v>
      </c>
      <c r="AR960" s="6" t="str">
        <f>HYPERLINK("http://catalog.hathitrust.org/Record/000427815","HathiTrust Record")</f>
        <v>HathiTrust Record</v>
      </c>
      <c r="AS960" s="6" t="str">
        <f>HYPERLINK("https://creighton-primo.hosted.exlibrisgroup.com/primo-explore/search?tab=default_tab&amp;search_scope=EVERYTHING&amp;vid=01CRU&amp;lang=en_US&amp;offset=0&amp;query=any,contains,991000971749702656","Catalog Record")</f>
        <v>Catalog Record</v>
      </c>
      <c r="AT960" s="6" t="str">
        <f>HYPERLINK("http://www.worldcat.org/oclc/170458","WorldCat Record")</f>
        <v>WorldCat Record</v>
      </c>
      <c r="AU960" s="3" t="s">
        <v>12128</v>
      </c>
      <c r="AV960" s="3" t="s">
        <v>12129</v>
      </c>
      <c r="AW960" s="3" t="s">
        <v>12130</v>
      </c>
      <c r="AX960" s="3" t="s">
        <v>12130</v>
      </c>
      <c r="AY960" s="3" t="s">
        <v>12131</v>
      </c>
      <c r="AZ960" s="3" t="s">
        <v>76</v>
      </c>
      <c r="BC960" s="3" t="s">
        <v>12132</v>
      </c>
      <c r="BD960" s="3" t="s">
        <v>12133</v>
      </c>
    </row>
    <row r="961" spans="1:56" ht="52.5" customHeight="1" x14ac:dyDescent="0.25">
      <c r="A961" s="7" t="s">
        <v>59</v>
      </c>
      <c r="B961" s="2" t="s">
        <v>12134</v>
      </c>
      <c r="C961" s="2" t="s">
        <v>12135</v>
      </c>
      <c r="D961" s="2" t="s">
        <v>12136</v>
      </c>
      <c r="F961" s="3" t="s">
        <v>59</v>
      </c>
      <c r="G961" s="3" t="s">
        <v>60</v>
      </c>
      <c r="H961" s="3" t="s">
        <v>59</v>
      </c>
      <c r="I961" s="3" t="s">
        <v>59</v>
      </c>
      <c r="J961" s="3" t="s">
        <v>61</v>
      </c>
      <c r="K961" s="2" t="s">
        <v>12137</v>
      </c>
      <c r="L961" s="2" t="s">
        <v>12138</v>
      </c>
      <c r="M961" s="3" t="s">
        <v>5648</v>
      </c>
      <c r="O961" s="3" t="s">
        <v>65</v>
      </c>
      <c r="P961" s="3" t="s">
        <v>66</v>
      </c>
      <c r="Q961" s="2" t="s">
        <v>12139</v>
      </c>
      <c r="R961" s="3" t="s">
        <v>68</v>
      </c>
      <c r="S961" s="4">
        <v>1</v>
      </c>
      <c r="T961" s="4">
        <v>1</v>
      </c>
      <c r="U961" s="5" t="s">
        <v>12140</v>
      </c>
      <c r="V961" s="5" t="s">
        <v>12140</v>
      </c>
      <c r="W961" s="5" t="s">
        <v>7992</v>
      </c>
      <c r="X961" s="5" t="s">
        <v>7992</v>
      </c>
      <c r="Y961" s="4">
        <v>402</v>
      </c>
      <c r="Z961" s="4">
        <v>307</v>
      </c>
      <c r="AA961" s="4">
        <v>328</v>
      </c>
      <c r="AB961" s="4">
        <v>2</v>
      </c>
      <c r="AC961" s="4">
        <v>2</v>
      </c>
      <c r="AD961" s="4">
        <v>20</v>
      </c>
      <c r="AE961" s="4">
        <v>22</v>
      </c>
      <c r="AF961" s="4">
        <v>8</v>
      </c>
      <c r="AG961" s="4">
        <v>10</v>
      </c>
      <c r="AH961" s="4">
        <v>6</v>
      </c>
      <c r="AI961" s="4">
        <v>6</v>
      </c>
      <c r="AJ961" s="4">
        <v>12</v>
      </c>
      <c r="AK961" s="4">
        <v>13</v>
      </c>
      <c r="AL961" s="4">
        <v>1</v>
      </c>
      <c r="AM961" s="4">
        <v>1</v>
      </c>
      <c r="AN961" s="4">
        <v>0</v>
      </c>
      <c r="AO961" s="4">
        <v>0</v>
      </c>
      <c r="AP961" s="3" t="s">
        <v>59</v>
      </c>
      <c r="AQ961" s="3" t="s">
        <v>71</v>
      </c>
      <c r="AR961" s="6" t="str">
        <f>HYPERLINK("http://catalog.hathitrust.org/Record/001949946","HathiTrust Record")</f>
        <v>HathiTrust Record</v>
      </c>
      <c r="AS961" s="6" t="str">
        <f>HYPERLINK("https://creighton-primo.hosted.exlibrisgroup.com/primo-explore/search?tab=default_tab&amp;search_scope=EVERYTHING&amp;vid=01CRU&amp;lang=en_US&amp;offset=0&amp;query=any,contains,991001551039702656","Catalog Record")</f>
        <v>Catalog Record</v>
      </c>
      <c r="AT961" s="6" t="str">
        <f>HYPERLINK("http://www.worldcat.org/oclc/20220051","WorldCat Record")</f>
        <v>WorldCat Record</v>
      </c>
      <c r="AU961" s="3" t="s">
        <v>12141</v>
      </c>
      <c r="AV961" s="3" t="s">
        <v>12142</v>
      </c>
      <c r="AW961" s="3" t="s">
        <v>12143</v>
      </c>
      <c r="AX961" s="3" t="s">
        <v>12143</v>
      </c>
      <c r="AY961" s="3" t="s">
        <v>12144</v>
      </c>
      <c r="AZ961" s="3" t="s">
        <v>76</v>
      </c>
      <c r="BB961" s="3" t="s">
        <v>12145</v>
      </c>
      <c r="BC961" s="3" t="s">
        <v>12146</v>
      </c>
      <c r="BD961" s="3" t="s">
        <v>12147</v>
      </c>
    </row>
    <row r="962" spans="1:56" ht="52.5" customHeight="1" x14ac:dyDescent="0.25">
      <c r="A962" s="7" t="s">
        <v>59</v>
      </c>
      <c r="B962" s="2" t="s">
        <v>12148</v>
      </c>
      <c r="C962" s="2" t="s">
        <v>12149</v>
      </c>
      <c r="D962" s="2" t="s">
        <v>12150</v>
      </c>
      <c r="F962" s="3" t="s">
        <v>59</v>
      </c>
      <c r="G962" s="3" t="s">
        <v>60</v>
      </c>
      <c r="H962" s="3" t="s">
        <v>59</v>
      </c>
      <c r="I962" s="3" t="s">
        <v>59</v>
      </c>
      <c r="J962" s="3" t="s">
        <v>61</v>
      </c>
      <c r="K962" s="2" t="s">
        <v>12151</v>
      </c>
      <c r="L962" s="2" t="s">
        <v>11884</v>
      </c>
      <c r="M962" s="3" t="s">
        <v>987</v>
      </c>
      <c r="N962" s="2" t="s">
        <v>1289</v>
      </c>
      <c r="O962" s="3" t="s">
        <v>65</v>
      </c>
      <c r="P962" s="3" t="s">
        <v>66</v>
      </c>
      <c r="Q962" s="2" t="s">
        <v>12152</v>
      </c>
      <c r="R962" s="3" t="s">
        <v>68</v>
      </c>
      <c r="S962" s="4">
        <v>3</v>
      </c>
      <c r="T962" s="4">
        <v>3</v>
      </c>
      <c r="U962" s="5" t="s">
        <v>12153</v>
      </c>
      <c r="V962" s="5" t="s">
        <v>12153</v>
      </c>
      <c r="W962" s="5" t="s">
        <v>11054</v>
      </c>
      <c r="X962" s="5" t="s">
        <v>11054</v>
      </c>
      <c r="Y962" s="4">
        <v>620</v>
      </c>
      <c r="Z962" s="4">
        <v>491</v>
      </c>
      <c r="AA962" s="4">
        <v>875</v>
      </c>
      <c r="AB962" s="4">
        <v>3</v>
      </c>
      <c r="AC962" s="4">
        <v>6</v>
      </c>
      <c r="AD962" s="4">
        <v>20</v>
      </c>
      <c r="AE962" s="4">
        <v>36</v>
      </c>
      <c r="AF962" s="4">
        <v>9</v>
      </c>
      <c r="AG962" s="4">
        <v>17</v>
      </c>
      <c r="AH962" s="4">
        <v>5</v>
      </c>
      <c r="AI962" s="4">
        <v>6</v>
      </c>
      <c r="AJ962" s="4">
        <v>8</v>
      </c>
      <c r="AK962" s="4">
        <v>14</v>
      </c>
      <c r="AL962" s="4">
        <v>1</v>
      </c>
      <c r="AM962" s="4">
        <v>4</v>
      </c>
      <c r="AN962" s="4">
        <v>0</v>
      </c>
      <c r="AO962" s="4">
        <v>0</v>
      </c>
      <c r="AP962" s="3" t="s">
        <v>59</v>
      </c>
      <c r="AQ962" s="3" t="s">
        <v>71</v>
      </c>
      <c r="AR962" s="6" t="str">
        <f>HYPERLINK("http://catalog.hathitrust.org/Record/000001588","HathiTrust Record")</f>
        <v>HathiTrust Record</v>
      </c>
      <c r="AS962" s="6" t="str">
        <f>HYPERLINK("https://creighton-primo.hosted.exlibrisgroup.com/primo-explore/search?tab=default_tab&amp;search_scope=EVERYTHING&amp;vid=01CRU&amp;lang=en_US&amp;offset=0&amp;query=any,contains,991000651339702656","Catalog Record")</f>
        <v>Catalog Record</v>
      </c>
      <c r="AT962" s="6" t="str">
        <f>HYPERLINK("http://www.worldcat.org/oclc/113505","WorldCat Record")</f>
        <v>WorldCat Record</v>
      </c>
      <c r="AU962" s="3" t="s">
        <v>12154</v>
      </c>
      <c r="AV962" s="3" t="s">
        <v>12155</v>
      </c>
      <c r="AW962" s="3" t="s">
        <v>12156</v>
      </c>
      <c r="AX962" s="3" t="s">
        <v>12156</v>
      </c>
      <c r="AY962" s="3" t="s">
        <v>12157</v>
      </c>
      <c r="AZ962" s="3" t="s">
        <v>76</v>
      </c>
      <c r="BC962" s="3" t="s">
        <v>12158</v>
      </c>
      <c r="BD962" s="3" t="s">
        <v>12159</v>
      </c>
    </row>
    <row r="963" spans="1:56" ht="52.5" customHeight="1" x14ac:dyDescent="0.25">
      <c r="A963" s="7" t="s">
        <v>59</v>
      </c>
      <c r="B963" s="2" t="s">
        <v>12160</v>
      </c>
      <c r="C963" s="2" t="s">
        <v>12161</v>
      </c>
      <c r="D963" s="2" t="s">
        <v>12162</v>
      </c>
      <c r="F963" s="3" t="s">
        <v>59</v>
      </c>
      <c r="G963" s="3" t="s">
        <v>60</v>
      </c>
      <c r="H963" s="3" t="s">
        <v>59</v>
      </c>
      <c r="I963" s="3" t="s">
        <v>59</v>
      </c>
      <c r="J963" s="3" t="s">
        <v>61</v>
      </c>
      <c r="K963" s="2" t="s">
        <v>12163</v>
      </c>
      <c r="L963" s="2" t="s">
        <v>12164</v>
      </c>
      <c r="M963" s="3" t="s">
        <v>365</v>
      </c>
      <c r="O963" s="3" t="s">
        <v>65</v>
      </c>
      <c r="P963" s="3" t="s">
        <v>66</v>
      </c>
      <c r="Q963" s="2" t="s">
        <v>12165</v>
      </c>
      <c r="R963" s="3" t="s">
        <v>68</v>
      </c>
      <c r="S963" s="4">
        <v>4</v>
      </c>
      <c r="T963" s="4">
        <v>4</v>
      </c>
      <c r="U963" s="5" t="s">
        <v>12166</v>
      </c>
      <c r="V963" s="5" t="s">
        <v>12166</v>
      </c>
      <c r="W963" s="5" t="s">
        <v>12167</v>
      </c>
      <c r="X963" s="5" t="s">
        <v>12167</v>
      </c>
      <c r="Y963" s="4">
        <v>716</v>
      </c>
      <c r="Z963" s="4">
        <v>598</v>
      </c>
      <c r="AA963" s="4">
        <v>633</v>
      </c>
      <c r="AB963" s="4">
        <v>6</v>
      </c>
      <c r="AC963" s="4">
        <v>6</v>
      </c>
      <c r="AD963" s="4">
        <v>30</v>
      </c>
      <c r="AE963" s="4">
        <v>31</v>
      </c>
      <c r="AF963" s="4">
        <v>13</v>
      </c>
      <c r="AG963" s="4">
        <v>13</v>
      </c>
      <c r="AH963" s="4">
        <v>6</v>
      </c>
      <c r="AI963" s="4">
        <v>7</v>
      </c>
      <c r="AJ963" s="4">
        <v>13</v>
      </c>
      <c r="AK963" s="4">
        <v>13</v>
      </c>
      <c r="AL963" s="4">
        <v>5</v>
      </c>
      <c r="AM963" s="4">
        <v>5</v>
      </c>
      <c r="AN963" s="4">
        <v>0</v>
      </c>
      <c r="AO963" s="4">
        <v>0</v>
      </c>
      <c r="AP963" s="3" t="s">
        <v>59</v>
      </c>
      <c r="AQ963" s="3" t="s">
        <v>59</v>
      </c>
      <c r="AS963" s="6" t="str">
        <f>HYPERLINK("https://creighton-primo.hosted.exlibrisgroup.com/primo-explore/search?tab=default_tab&amp;search_scope=EVERYTHING&amp;vid=01CRU&amp;lang=en_US&amp;offset=0&amp;query=any,contains,991001394549702656","Catalog Record")</f>
        <v>Catalog Record</v>
      </c>
      <c r="AT963" s="6" t="str">
        <f>HYPERLINK("http://www.worldcat.org/oclc/18780530","WorldCat Record")</f>
        <v>WorldCat Record</v>
      </c>
      <c r="AU963" s="3" t="s">
        <v>12168</v>
      </c>
      <c r="AV963" s="3" t="s">
        <v>12169</v>
      </c>
      <c r="AW963" s="3" t="s">
        <v>12170</v>
      </c>
      <c r="AX963" s="3" t="s">
        <v>12170</v>
      </c>
      <c r="AY963" s="3" t="s">
        <v>12171</v>
      </c>
      <c r="AZ963" s="3" t="s">
        <v>76</v>
      </c>
      <c r="BB963" s="3" t="s">
        <v>12172</v>
      </c>
      <c r="BC963" s="3" t="s">
        <v>12173</v>
      </c>
      <c r="BD963" s="3" t="s">
        <v>12174</v>
      </c>
    </row>
    <row r="964" spans="1:56" ht="52.5" customHeight="1" x14ac:dyDescent="0.25">
      <c r="A964" s="7" t="s">
        <v>59</v>
      </c>
      <c r="B964" s="2" t="s">
        <v>12175</v>
      </c>
      <c r="C964" s="2" t="s">
        <v>12176</v>
      </c>
      <c r="D964" s="2" t="s">
        <v>12177</v>
      </c>
      <c r="F964" s="3" t="s">
        <v>59</v>
      </c>
      <c r="G964" s="3" t="s">
        <v>60</v>
      </c>
      <c r="H964" s="3" t="s">
        <v>59</v>
      </c>
      <c r="I964" s="3" t="s">
        <v>59</v>
      </c>
      <c r="J964" s="3" t="s">
        <v>61</v>
      </c>
      <c r="K964" s="2" t="s">
        <v>12178</v>
      </c>
      <c r="L964" s="2" t="s">
        <v>12179</v>
      </c>
      <c r="M964" s="3" t="s">
        <v>12180</v>
      </c>
      <c r="O964" s="3" t="s">
        <v>65</v>
      </c>
      <c r="P964" s="3" t="s">
        <v>491</v>
      </c>
      <c r="Q964" s="2" t="s">
        <v>12181</v>
      </c>
      <c r="R964" s="3" t="s">
        <v>68</v>
      </c>
      <c r="S964" s="4">
        <v>4</v>
      </c>
      <c r="T964" s="4">
        <v>4</v>
      </c>
      <c r="U964" s="5" t="s">
        <v>12182</v>
      </c>
      <c r="V964" s="5" t="s">
        <v>12182</v>
      </c>
      <c r="W964" s="5" t="s">
        <v>12015</v>
      </c>
      <c r="X964" s="5" t="s">
        <v>12015</v>
      </c>
      <c r="Y964" s="4">
        <v>243</v>
      </c>
      <c r="Z964" s="4">
        <v>192</v>
      </c>
      <c r="AA964" s="4">
        <v>732</v>
      </c>
      <c r="AB964" s="4">
        <v>5</v>
      </c>
      <c r="AC964" s="4">
        <v>9</v>
      </c>
      <c r="AD964" s="4">
        <v>15</v>
      </c>
      <c r="AE964" s="4">
        <v>37</v>
      </c>
      <c r="AF964" s="4">
        <v>5</v>
      </c>
      <c r="AG964" s="4">
        <v>12</v>
      </c>
      <c r="AH964" s="4">
        <v>2</v>
      </c>
      <c r="AI964" s="4">
        <v>5</v>
      </c>
      <c r="AJ964" s="4">
        <v>6</v>
      </c>
      <c r="AK964" s="4">
        <v>17</v>
      </c>
      <c r="AL964" s="4">
        <v>4</v>
      </c>
      <c r="AM964" s="4">
        <v>8</v>
      </c>
      <c r="AN964" s="4">
        <v>1</v>
      </c>
      <c r="AO964" s="4">
        <v>1</v>
      </c>
      <c r="AP964" s="3" t="s">
        <v>59</v>
      </c>
      <c r="AQ964" s="3" t="s">
        <v>59</v>
      </c>
      <c r="AS964" s="6" t="str">
        <f>HYPERLINK("https://creighton-primo.hosted.exlibrisgroup.com/primo-explore/search?tab=default_tab&amp;search_scope=EVERYTHING&amp;vid=01CRU&amp;lang=en_US&amp;offset=0&amp;query=any,contains,991004184139702656","Catalog Record")</f>
        <v>Catalog Record</v>
      </c>
      <c r="AT964" s="6" t="str">
        <f>HYPERLINK("http://www.worldcat.org/oclc/16770488","WorldCat Record")</f>
        <v>WorldCat Record</v>
      </c>
      <c r="AU964" s="3" t="s">
        <v>12183</v>
      </c>
      <c r="AV964" s="3" t="s">
        <v>12184</v>
      </c>
      <c r="AW964" s="3" t="s">
        <v>12185</v>
      </c>
      <c r="AX964" s="3" t="s">
        <v>12185</v>
      </c>
      <c r="AY964" s="3" t="s">
        <v>12186</v>
      </c>
      <c r="AZ964" s="3" t="s">
        <v>76</v>
      </c>
      <c r="BC964" s="3" t="s">
        <v>12187</v>
      </c>
      <c r="BD964" s="3" t="s">
        <v>12188</v>
      </c>
    </row>
    <row r="965" spans="1:56" ht="52.5" customHeight="1" x14ac:dyDescent="0.25">
      <c r="A965" s="7" t="s">
        <v>59</v>
      </c>
      <c r="B965" s="2" t="s">
        <v>12189</v>
      </c>
      <c r="C965" s="2" t="s">
        <v>12190</v>
      </c>
      <c r="D965" s="2" t="s">
        <v>12191</v>
      </c>
      <c r="F965" s="3" t="s">
        <v>59</v>
      </c>
      <c r="G965" s="3" t="s">
        <v>60</v>
      </c>
      <c r="H965" s="3" t="s">
        <v>59</v>
      </c>
      <c r="I965" s="3" t="s">
        <v>59</v>
      </c>
      <c r="J965" s="3" t="s">
        <v>61</v>
      </c>
      <c r="K965" s="2" t="s">
        <v>12192</v>
      </c>
      <c r="L965" s="2" t="s">
        <v>12193</v>
      </c>
      <c r="M965" s="3" t="s">
        <v>1233</v>
      </c>
      <c r="O965" s="3" t="s">
        <v>65</v>
      </c>
      <c r="P965" s="3" t="s">
        <v>66</v>
      </c>
      <c r="R965" s="3" t="s">
        <v>68</v>
      </c>
      <c r="S965" s="4">
        <v>3</v>
      </c>
      <c r="T965" s="4">
        <v>3</v>
      </c>
      <c r="U965" s="5" t="s">
        <v>12194</v>
      </c>
      <c r="V965" s="5" t="s">
        <v>12194</v>
      </c>
      <c r="W965" s="5" t="s">
        <v>12015</v>
      </c>
      <c r="X965" s="5" t="s">
        <v>12015</v>
      </c>
      <c r="Y965" s="4">
        <v>277</v>
      </c>
      <c r="Z965" s="4">
        <v>208</v>
      </c>
      <c r="AA965" s="4">
        <v>216</v>
      </c>
      <c r="AB965" s="4">
        <v>4</v>
      </c>
      <c r="AC965" s="4">
        <v>4</v>
      </c>
      <c r="AD965" s="4">
        <v>9</v>
      </c>
      <c r="AE965" s="4">
        <v>9</v>
      </c>
      <c r="AF965" s="4">
        <v>0</v>
      </c>
      <c r="AG965" s="4">
        <v>0</v>
      </c>
      <c r="AH965" s="4">
        <v>3</v>
      </c>
      <c r="AI965" s="4">
        <v>3</v>
      </c>
      <c r="AJ965" s="4">
        <v>4</v>
      </c>
      <c r="AK965" s="4">
        <v>4</v>
      </c>
      <c r="AL965" s="4">
        <v>3</v>
      </c>
      <c r="AM965" s="4">
        <v>3</v>
      </c>
      <c r="AN965" s="4">
        <v>0</v>
      </c>
      <c r="AO965" s="4">
        <v>0</v>
      </c>
      <c r="AP965" s="3" t="s">
        <v>59</v>
      </c>
      <c r="AQ965" s="3" t="s">
        <v>71</v>
      </c>
      <c r="AR965" s="6" t="str">
        <f>HYPERLINK("http://catalog.hathitrust.org/Record/000429188","HathiTrust Record")</f>
        <v>HathiTrust Record</v>
      </c>
      <c r="AS965" s="6" t="str">
        <f>HYPERLINK("https://creighton-primo.hosted.exlibrisgroup.com/primo-explore/search?tab=default_tab&amp;search_scope=EVERYTHING&amp;vid=01CRU&amp;lang=en_US&amp;offset=0&amp;query=any,contains,991003351909702656","Catalog Record")</f>
        <v>Catalog Record</v>
      </c>
      <c r="AT965" s="6" t="str">
        <f>HYPERLINK("http://www.worldcat.org/oclc/885572","WorldCat Record")</f>
        <v>WorldCat Record</v>
      </c>
      <c r="AU965" s="3" t="s">
        <v>12195</v>
      </c>
      <c r="AV965" s="3" t="s">
        <v>12196</v>
      </c>
      <c r="AW965" s="3" t="s">
        <v>12197</v>
      </c>
      <c r="AX965" s="3" t="s">
        <v>12197</v>
      </c>
      <c r="AY965" s="3" t="s">
        <v>12198</v>
      </c>
      <c r="AZ965" s="3" t="s">
        <v>76</v>
      </c>
      <c r="BB965" s="3" t="s">
        <v>12199</v>
      </c>
      <c r="BC965" s="3" t="s">
        <v>12200</v>
      </c>
      <c r="BD965" s="3" t="s">
        <v>12201</v>
      </c>
    </row>
    <row r="966" spans="1:56" ht="52.5" customHeight="1" x14ac:dyDescent="0.25">
      <c r="A966" s="7" t="s">
        <v>59</v>
      </c>
      <c r="B966" s="2" t="s">
        <v>12202</v>
      </c>
      <c r="C966" s="2" t="s">
        <v>12203</v>
      </c>
      <c r="D966" s="2" t="s">
        <v>12204</v>
      </c>
      <c r="F966" s="3" t="s">
        <v>59</v>
      </c>
      <c r="G966" s="3" t="s">
        <v>60</v>
      </c>
      <c r="H966" s="3" t="s">
        <v>59</v>
      </c>
      <c r="I966" s="3" t="s">
        <v>59</v>
      </c>
      <c r="J966" s="3" t="s">
        <v>61</v>
      </c>
      <c r="K966" s="2" t="s">
        <v>12205</v>
      </c>
      <c r="L966" s="2" t="s">
        <v>12206</v>
      </c>
      <c r="M966" s="3" t="s">
        <v>254</v>
      </c>
      <c r="N966" s="2" t="s">
        <v>1764</v>
      </c>
      <c r="O966" s="3" t="s">
        <v>65</v>
      </c>
      <c r="P966" s="3" t="s">
        <v>66</v>
      </c>
      <c r="R966" s="3" t="s">
        <v>68</v>
      </c>
      <c r="S966" s="4">
        <v>3</v>
      </c>
      <c r="T966" s="4">
        <v>3</v>
      </c>
      <c r="U966" s="5" t="s">
        <v>12207</v>
      </c>
      <c r="V966" s="5" t="s">
        <v>12207</v>
      </c>
      <c r="W966" s="5" t="s">
        <v>12015</v>
      </c>
      <c r="X966" s="5" t="s">
        <v>12015</v>
      </c>
      <c r="Y966" s="4">
        <v>1730</v>
      </c>
      <c r="Z966" s="4">
        <v>1649</v>
      </c>
      <c r="AA966" s="4">
        <v>1931</v>
      </c>
      <c r="AB966" s="4">
        <v>10</v>
      </c>
      <c r="AC966" s="4">
        <v>12</v>
      </c>
      <c r="AD966" s="4">
        <v>39</v>
      </c>
      <c r="AE966" s="4">
        <v>45</v>
      </c>
      <c r="AF966" s="4">
        <v>15</v>
      </c>
      <c r="AG966" s="4">
        <v>17</v>
      </c>
      <c r="AH966" s="4">
        <v>5</v>
      </c>
      <c r="AI966" s="4">
        <v>8</v>
      </c>
      <c r="AJ966" s="4">
        <v>20</v>
      </c>
      <c r="AK966" s="4">
        <v>23</v>
      </c>
      <c r="AL966" s="4">
        <v>8</v>
      </c>
      <c r="AM966" s="4">
        <v>8</v>
      </c>
      <c r="AN966" s="4">
        <v>0</v>
      </c>
      <c r="AO966" s="4">
        <v>0</v>
      </c>
      <c r="AP966" s="3" t="s">
        <v>59</v>
      </c>
      <c r="AQ966" s="3" t="s">
        <v>71</v>
      </c>
      <c r="AR966" s="6" t="str">
        <f>HYPERLINK("http://catalog.hathitrust.org/Record/000427435","HathiTrust Record")</f>
        <v>HathiTrust Record</v>
      </c>
      <c r="AS966" s="6" t="str">
        <f>HYPERLINK("https://creighton-primo.hosted.exlibrisgroup.com/primo-explore/search?tab=default_tab&amp;search_scope=EVERYTHING&amp;vid=01CRU&amp;lang=en_US&amp;offset=0&amp;query=any,contains,991000086869702656","Catalog Record")</f>
        <v>Catalog Record</v>
      </c>
      <c r="AT966" s="6" t="str">
        <f>HYPERLINK("http://www.worldcat.org/oclc/33649","WorldCat Record")</f>
        <v>WorldCat Record</v>
      </c>
      <c r="AU966" s="3" t="s">
        <v>12208</v>
      </c>
      <c r="AV966" s="3" t="s">
        <v>12209</v>
      </c>
      <c r="AW966" s="3" t="s">
        <v>12210</v>
      </c>
      <c r="AX966" s="3" t="s">
        <v>12210</v>
      </c>
      <c r="AY966" s="3" t="s">
        <v>12211</v>
      </c>
      <c r="AZ966" s="3" t="s">
        <v>76</v>
      </c>
      <c r="BC966" s="3" t="s">
        <v>12212</v>
      </c>
      <c r="BD966" s="3" t="s">
        <v>12213</v>
      </c>
    </row>
    <row r="967" spans="1:56" ht="52.5" customHeight="1" x14ac:dyDescent="0.25">
      <c r="A967" s="7" t="s">
        <v>59</v>
      </c>
      <c r="B967" s="2" t="s">
        <v>12214</v>
      </c>
      <c r="C967" s="2" t="s">
        <v>12215</v>
      </c>
      <c r="D967" s="2" t="s">
        <v>12216</v>
      </c>
      <c r="F967" s="3" t="s">
        <v>59</v>
      </c>
      <c r="G967" s="3" t="s">
        <v>60</v>
      </c>
      <c r="H967" s="3" t="s">
        <v>59</v>
      </c>
      <c r="I967" s="3" t="s">
        <v>59</v>
      </c>
      <c r="J967" s="3" t="s">
        <v>61</v>
      </c>
      <c r="K967" s="2" t="s">
        <v>12217</v>
      </c>
      <c r="L967" s="2" t="s">
        <v>11345</v>
      </c>
      <c r="M967" s="3" t="s">
        <v>309</v>
      </c>
      <c r="N967" s="2" t="s">
        <v>1289</v>
      </c>
      <c r="O967" s="3" t="s">
        <v>65</v>
      </c>
      <c r="P967" s="3" t="s">
        <v>699</v>
      </c>
      <c r="R967" s="3" t="s">
        <v>68</v>
      </c>
      <c r="S967" s="4">
        <v>2</v>
      </c>
      <c r="T967" s="4">
        <v>2</v>
      </c>
      <c r="U967" s="5" t="s">
        <v>12218</v>
      </c>
      <c r="V967" s="5" t="s">
        <v>12218</v>
      </c>
      <c r="W967" s="5" t="s">
        <v>12219</v>
      </c>
      <c r="X967" s="5" t="s">
        <v>12219</v>
      </c>
      <c r="Y967" s="4">
        <v>283</v>
      </c>
      <c r="Z967" s="4">
        <v>184</v>
      </c>
      <c r="AA967" s="4">
        <v>438</v>
      </c>
      <c r="AB967" s="4">
        <v>3</v>
      </c>
      <c r="AC967" s="4">
        <v>5</v>
      </c>
      <c r="AD967" s="4">
        <v>6</v>
      </c>
      <c r="AE967" s="4">
        <v>20</v>
      </c>
      <c r="AF967" s="4">
        <v>1</v>
      </c>
      <c r="AG967" s="4">
        <v>5</v>
      </c>
      <c r="AH967" s="4">
        <v>1</v>
      </c>
      <c r="AI967" s="4">
        <v>5</v>
      </c>
      <c r="AJ967" s="4">
        <v>4</v>
      </c>
      <c r="AK967" s="4">
        <v>10</v>
      </c>
      <c r="AL967" s="4">
        <v>2</v>
      </c>
      <c r="AM967" s="4">
        <v>4</v>
      </c>
      <c r="AN967" s="4">
        <v>0</v>
      </c>
      <c r="AO967" s="4">
        <v>0</v>
      </c>
      <c r="AP967" s="3" t="s">
        <v>59</v>
      </c>
      <c r="AQ967" s="3" t="s">
        <v>71</v>
      </c>
      <c r="AR967" s="6" t="str">
        <f>HYPERLINK("http://catalog.hathitrust.org/Record/007115029","HathiTrust Record")</f>
        <v>HathiTrust Record</v>
      </c>
      <c r="AS967" s="6" t="str">
        <f>HYPERLINK("https://creighton-primo.hosted.exlibrisgroup.com/primo-explore/search?tab=default_tab&amp;search_scope=EVERYTHING&amp;vid=01CRU&amp;lang=en_US&amp;offset=0&amp;query=any,contains,991004477169702656","Catalog Record")</f>
        <v>Catalog Record</v>
      </c>
      <c r="AT967" s="6" t="str">
        <f>HYPERLINK("http://www.worldcat.org/oclc/3609734","WorldCat Record")</f>
        <v>WorldCat Record</v>
      </c>
      <c r="AU967" s="3" t="s">
        <v>12220</v>
      </c>
      <c r="AV967" s="3" t="s">
        <v>12221</v>
      </c>
      <c r="AW967" s="3" t="s">
        <v>12222</v>
      </c>
      <c r="AX967" s="3" t="s">
        <v>12222</v>
      </c>
      <c r="AY967" s="3" t="s">
        <v>12223</v>
      </c>
      <c r="AZ967" s="3" t="s">
        <v>76</v>
      </c>
      <c r="BB967" s="3" t="s">
        <v>12224</v>
      </c>
      <c r="BC967" s="3" t="s">
        <v>12225</v>
      </c>
      <c r="BD967" s="3" t="s">
        <v>12226</v>
      </c>
    </row>
    <row r="968" spans="1:56" ht="52.5" customHeight="1" x14ac:dyDescent="0.25">
      <c r="A968" s="7" t="s">
        <v>59</v>
      </c>
      <c r="B968" s="2" t="s">
        <v>12227</v>
      </c>
      <c r="C968" s="2" t="s">
        <v>12228</v>
      </c>
      <c r="D968" s="2" t="s">
        <v>12229</v>
      </c>
      <c r="F968" s="3" t="s">
        <v>59</v>
      </c>
      <c r="G968" s="3" t="s">
        <v>60</v>
      </c>
      <c r="H968" s="3" t="s">
        <v>59</v>
      </c>
      <c r="I968" s="3" t="s">
        <v>59</v>
      </c>
      <c r="J968" s="3" t="s">
        <v>61</v>
      </c>
      <c r="K968" s="2" t="s">
        <v>12230</v>
      </c>
      <c r="L968" s="2" t="s">
        <v>12231</v>
      </c>
      <c r="M968" s="3" t="s">
        <v>434</v>
      </c>
      <c r="O968" s="3" t="s">
        <v>65</v>
      </c>
      <c r="P968" s="3" t="s">
        <v>66</v>
      </c>
      <c r="R968" s="3" t="s">
        <v>68</v>
      </c>
      <c r="S968" s="4">
        <v>1</v>
      </c>
      <c r="T968" s="4">
        <v>1</v>
      </c>
      <c r="U968" s="5" t="s">
        <v>6895</v>
      </c>
      <c r="V968" s="5" t="s">
        <v>6895</v>
      </c>
      <c r="W968" s="5" t="s">
        <v>5437</v>
      </c>
      <c r="X968" s="5" t="s">
        <v>5437</v>
      </c>
      <c r="Y968" s="4">
        <v>297</v>
      </c>
      <c r="Z968" s="4">
        <v>242</v>
      </c>
      <c r="AA968" s="4">
        <v>299</v>
      </c>
      <c r="AB968" s="4">
        <v>3</v>
      </c>
      <c r="AC968" s="4">
        <v>3</v>
      </c>
      <c r="AD968" s="4">
        <v>12</v>
      </c>
      <c r="AE968" s="4">
        <v>13</v>
      </c>
      <c r="AF968" s="4">
        <v>3</v>
      </c>
      <c r="AG968" s="4">
        <v>3</v>
      </c>
      <c r="AH968" s="4">
        <v>3</v>
      </c>
      <c r="AI968" s="4">
        <v>4</v>
      </c>
      <c r="AJ968" s="4">
        <v>9</v>
      </c>
      <c r="AK968" s="4">
        <v>10</v>
      </c>
      <c r="AL968" s="4">
        <v>1</v>
      </c>
      <c r="AM968" s="4">
        <v>1</v>
      </c>
      <c r="AN968" s="4">
        <v>0</v>
      </c>
      <c r="AO968" s="4">
        <v>0</v>
      </c>
      <c r="AP968" s="3" t="s">
        <v>71</v>
      </c>
      <c r="AQ968" s="3" t="s">
        <v>59</v>
      </c>
      <c r="AR968" s="6" t="str">
        <f>HYPERLINK("http://catalog.hathitrust.org/Record/000427720","HathiTrust Record")</f>
        <v>HathiTrust Record</v>
      </c>
      <c r="AS968" s="6" t="str">
        <f>HYPERLINK("https://creighton-primo.hosted.exlibrisgroup.com/primo-explore/search?tab=default_tab&amp;search_scope=EVERYTHING&amp;vid=01CRU&amp;lang=en_US&amp;offset=0&amp;query=any,contains,991004207739702656","Catalog Record")</f>
        <v>Catalog Record</v>
      </c>
      <c r="AT968" s="6" t="str">
        <f>HYPERLINK("http://www.worldcat.org/oclc/2672249","WorldCat Record")</f>
        <v>WorldCat Record</v>
      </c>
      <c r="AU968" s="3" t="s">
        <v>12232</v>
      </c>
      <c r="AV968" s="3" t="s">
        <v>12233</v>
      </c>
      <c r="AW968" s="3" t="s">
        <v>12234</v>
      </c>
      <c r="AX968" s="3" t="s">
        <v>12234</v>
      </c>
      <c r="AY968" s="3" t="s">
        <v>12235</v>
      </c>
      <c r="AZ968" s="3" t="s">
        <v>76</v>
      </c>
      <c r="BC968" s="3" t="s">
        <v>12236</v>
      </c>
      <c r="BD968" s="3" t="s">
        <v>12237</v>
      </c>
    </row>
    <row r="969" spans="1:56" ht="52.5" customHeight="1" x14ac:dyDescent="0.25">
      <c r="A969" s="7" t="s">
        <v>59</v>
      </c>
      <c r="B969" s="2" t="s">
        <v>12238</v>
      </c>
      <c r="C969" s="2" t="s">
        <v>12239</v>
      </c>
      <c r="D969" s="2" t="s">
        <v>12240</v>
      </c>
      <c r="F969" s="3" t="s">
        <v>59</v>
      </c>
      <c r="G969" s="3" t="s">
        <v>60</v>
      </c>
      <c r="H969" s="3" t="s">
        <v>59</v>
      </c>
      <c r="I969" s="3" t="s">
        <v>59</v>
      </c>
      <c r="J969" s="3" t="s">
        <v>61</v>
      </c>
      <c r="K969" s="2" t="s">
        <v>12241</v>
      </c>
      <c r="L969" s="2" t="s">
        <v>7214</v>
      </c>
      <c r="M969" s="3" t="s">
        <v>405</v>
      </c>
      <c r="O969" s="3" t="s">
        <v>65</v>
      </c>
      <c r="P969" s="3" t="s">
        <v>296</v>
      </c>
      <c r="Q969" s="2" t="s">
        <v>12242</v>
      </c>
      <c r="R969" s="3" t="s">
        <v>68</v>
      </c>
      <c r="S969" s="4">
        <v>7</v>
      </c>
      <c r="T969" s="4">
        <v>7</v>
      </c>
      <c r="U969" s="5" t="s">
        <v>12243</v>
      </c>
      <c r="V969" s="5" t="s">
        <v>12243</v>
      </c>
      <c r="W969" s="5" t="s">
        <v>12244</v>
      </c>
      <c r="X969" s="5" t="s">
        <v>12244</v>
      </c>
      <c r="Y969" s="4">
        <v>957</v>
      </c>
      <c r="Z969" s="4">
        <v>770</v>
      </c>
      <c r="AA969" s="4">
        <v>839</v>
      </c>
      <c r="AB969" s="4">
        <v>8</v>
      </c>
      <c r="AC969" s="4">
        <v>8</v>
      </c>
      <c r="AD969" s="4">
        <v>37</v>
      </c>
      <c r="AE969" s="4">
        <v>40</v>
      </c>
      <c r="AF969" s="4">
        <v>15</v>
      </c>
      <c r="AG969" s="4">
        <v>16</v>
      </c>
      <c r="AH969" s="4">
        <v>5</v>
      </c>
      <c r="AI969" s="4">
        <v>7</v>
      </c>
      <c r="AJ969" s="4">
        <v>18</v>
      </c>
      <c r="AK969" s="4">
        <v>19</v>
      </c>
      <c r="AL969" s="4">
        <v>7</v>
      </c>
      <c r="AM969" s="4">
        <v>7</v>
      </c>
      <c r="AN969" s="4">
        <v>0</v>
      </c>
      <c r="AO969" s="4">
        <v>0</v>
      </c>
      <c r="AP969" s="3" t="s">
        <v>59</v>
      </c>
      <c r="AQ969" s="3" t="s">
        <v>59</v>
      </c>
      <c r="AS969" s="6" t="str">
        <f>HYPERLINK("https://creighton-primo.hosted.exlibrisgroup.com/primo-explore/search?tab=default_tab&amp;search_scope=EVERYTHING&amp;vid=01CRU&amp;lang=en_US&amp;offset=0&amp;query=any,contains,991001051859702656","Catalog Record")</f>
        <v>Catalog Record</v>
      </c>
      <c r="AT969" s="6" t="str">
        <f>HYPERLINK("http://www.worldcat.org/oclc/15656443","WorldCat Record")</f>
        <v>WorldCat Record</v>
      </c>
      <c r="AU969" s="3" t="s">
        <v>12245</v>
      </c>
      <c r="AV969" s="3" t="s">
        <v>12246</v>
      </c>
      <c r="AW969" s="3" t="s">
        <v>12247</v>
      </c>
      <c r="AX969" s="3" t="s">
        <v>12247</v>
      </c>
      <c r="AY969" s="3" t="s">
        <v>12248</v>
      </c>
      <c r="AZ969" s="3" t="s">
        <v>76</v>
      </c>
      <c r="BB969" s="3" t="s">
        <v>12249</v>
      </c>
      <c r="BC969" s="3" t="s">
        <v>12250</v>
      </c>
      <c r="BD969" s="3" t="s">
        <v>12251</v>
      </c>
    </row>
    <row r="970" spans="1:56" ht="52.5" customHeight="1" x14ac:dyDescent="0.25">
      <c r="A970" s="7" t="s">
        <v>59</v>
      </c>
      <c r="B970" s="2" t="s">
        <v>12252</v>
      </c>
      <c r="C970" s="2" t="s">
        <v>12253</v>
      </c>
      <c r="D970" s="2" t="s">
        <v>12254</v>
      </c>
      <c r="F970" s="3" t="s">
        <v>59</v>
      </c>
      <c r="G970" s="3" t="s">
        <v>60</v>
      </c>
      <c r="H970" s="3" t="s">
        <v>59</v>
      </c>
      <c r="I970" s="3" t="s">
        <v>59</v>
      </c>
      <c r="J970" s="3" t="s">
        <v>61</v>
      </c>
      <c r="K970" s="2" t="s">
        <v>12255</v>
      </c>
      <c r="L970" s="2" t="s">
        <v>5105</v>
      </c>
      <c r="M970" s="3" t="s">
        <v>164</v>
      </c>
      <c r="N970" s="2" t="s">
        <v>5106</v>
      </c>
      <c r="O970" s="3" t="s">
        <v>65</v>
      </c>
      <c r="P970" s="3" t="s">
        <v>66</v>
      </c>
      <c r="R970" s="3" t="s">
        <v>68</v>
      </c>
      <c r="S970" s="4">
        <v>4</v>
      </c>
      <c r="T970" s="4">
        <v>4</v>
      </c>
      <c r="U970" s="5" t="s">
        <v>12256</v>
      </c>
      <c r="V970" s="5" t="s">
        <v>12256</v>
      </c>
      <c r="W970" s="5" t="s">
        <v>12257</v>
      </c>
      <c r="X970" s="5" t="s">
        <v>12257</v>
      </c>
      <c r="Y970" s="4">
        <v>322</v>
      </c>
      <c r="Z970" s="4">
        <v>218</v>
      </c>
      <c r="AA970" s="4">
        <v>805</v>
      </c>
      <c r="AB970" s="4">
        <v>2</v>
      </c>
      <c r="AC970" s="4">
        <v>6</v>
      </c>
      <c r="AD970" s="4">
        <v>5</v>
      </c>
      <c r="AE970" s="4">
        <v>32</v>
      </c>
      <c r="AF970" s="4">
        <v>1</v>
      </c>
      <c r="AG970" s="4">
        <v>10</v>
      </c>
      <c r="AH970" s="4">
        <v>1</v>
      </c>
      <c r="AI970" s="4">
        <v>9</v>
      </c>
      <c r="AJ970" s="4">
        <v>3</v>
      </c>
      <c r="AK970" s="4">
        <v>18</v>
      </c>
      <c r="AL970" s="4">
        <v>1</v>
      </c>
      <c r="AM970" s="4">
        <v>4</v>
      </c>
      <c r="AN970" s="4">
        <v>0</v>
      </c>
      <c r="AO970" s="4">
        <v>0</v>
      </c>
      <c r="AP970" s="3" t="s">
        <v>59</v>
      </c>
      <c r="AQ970" s="3" t="s">
        <v>59</v>
      </c>
      <c r="AS970" s="6" t="str">
        <f>HYPERLINK("https://creighton-primo.hosted.exlibrisgroup.com/primo-explore/search?tab=default_tab&amp;search_scope=EVERYTHING&amp;vid=01CRU&amp;lang=en_US&amp;offset=0&amp;query=any,contains,991004808259702656","Catalog Record")</f>
        <v>Catalog Record</v>
      </c>
      <c r="AT970" s="6" t="str">
        <f>HYPERLINK("http://www.worldcat.org/oclc/5264323","WorldCat Record")</f>
        <v>WorldCat Record</v>
      </c>
      <c r="AU970" s="3" t="s">
        <v>12258</v>
      </c>
      <c r="AV970" s="3" t="s">
        <v>12259</v>
      </c>
      <c r="AW970" s="3" t="s">
        <v>12260</v>
      </c>
      <c r="AX970" s="3" t="s">
        <v>12260</v>
      </c>
      <c r="AY970" s="3" t="s">
        <v>12261</v>
      </c>
      <c r="AZ970" s="3" t="s">
        <v>76</v>
      </c>
      <c r="BB970" s="3" t="s">
        <v>12262</v>
      </c>
      <c r="BC970" s="3" t="s">
        <v>12263</v>
      </c>
      <c r="BD970" s="3" t="s">
        <v>12264</v>
      </c>
    </row>
    <row r="971" spans="1:56" ht="52.5" customHeight="1" x14ac:dyDescent="0.25">
      <c r="A971" s="7" t="s">
        <v>59</v>
      </c>
      <c r="B971" s="2" t="s">
        <v>12265</v>
      </c>
      <c r="C971" s="2" t="s">
        <v>12266</v>
      </c>
      <c r="D971" s="2" t="s">
        <v>12267</v>
      </c>
      <c r="F971" s="3" t="s">
        <v>59</v>
      </c>
      <c r="G971" s="3" t="s">
        <v>60</v>
      </c>
      <c r="H971" s="3" t="s">
        <v>59</v>
      </c>
      <c r="I971" s="3" t="s">
        <v>59</v>
      </c>
      <c r="J971" s="3" t="s">
        <v>61</v>
      </c>
      <c r="K971" s="2" t="s">
        <v>12268</v>
      </c>
      <c r="L971" s="2" t="s">
        <v>12269</v>
      </c>
      <c r="M971" s="3" t="s">
        <v>1000</v>
      </c>
      <c r="O971" s="3" t="s">
        <v>65</v>
      </c>
      <c r="P971" s="3" t="s">
        <v>283</v>
      </c>
      <c r="R971" s="3" t="s">
        <v>68</v>
      </c>
      <c r="S971" s="4">
        <v>8</v>
      </c>
      <c r="T971" s="4">
        <v>8</v>
      </c>
      <c r="U971" s="5" t="s">
        <v>4431</v>
      </c>
      <c r="V971" s="5" t="s">
        <v>4431</v>
      </c>
      <c r="W971" s="5" t="s">
        <v>12219</v>
      </c>
      <c r="X971" s="5" t="s">
        <v>12219</v>
      </c>
      <c r="Y971" s="4">
        <v>326</v>
      </c>
      <c r="Z971" s="4">
        <v>233</v>
      </c>
      <c r="AA971" s="4">
        <v>236</v>
      </c>
      <c r="AB971" s="4">
        <v>2</v>
      </c>
      <c r="AC971" s="4">
        <v>2</v>
      </c>
      <c r="AD971" s="4">
        <v>9</v>
      </c>
      <c r="AE971" s="4">
        <v>9</v>
      </c>
      <c r="AF971" s="4">
        <v>2</v>
      </c>
      <c r="AG971" s="4">
        <v>2</v>
      </c>
      <c r="AH971" s="4">
        <v>2</v>
      </c>
      <c r="AI971" s="4">
        <v>2</v>
      </c>
      <c r="AJ971" s="4">
        <v>5</v>
      </c>
      <c r="AK971" s="4">
        <v>5</v>
      </c>
      <c r="AL971" s="4">
        <v>1</v>
      </c>
      <c r="AM971" s="4">
        <v>1</v>
      </c>
      <c r="AN971" s="4">
        <v>0</v>
      </c>
      <c r="AO971" s="4">
        <v>0</v>
      </c>
      <c r="AP971" s="3" t="s">
        <v>59</v>
      </c>
      <c r="AQ971" s="3" t="s">
        <v>71</v>
      </c>
      <c r="AR971" s="6" t="str">
        <f>HYPERLINK("http://catalog.hathitrust.org/Record/000721312","HathiTrust Record")</f>
        <v>HathiTrust Record</v>
      </c>
      <c r="AS971" s="6" t="str">
        <f>HYPERLINK("https://creighton-primo.hosted.exlibrisgroup.com/primo-explore/search?tab=default_tab&amp;search_scope=EVERYTHING&amp;vid=01CRU&amp;lang=en_US&amp;offset=0&amp;query=any,contains,991004655179702656","Catalog Record")</f>
        <v>Catalog Record</v>
      </c>
      <c r="AT971" s="6" t="str">
        <f>HYPERLINK("http://www.worldcat.org/oclc/4495073","WorldCat Record")</f>
        <v>WorldCat Record</v>
      </c>
      <c r="AU971" s="3" t="s">
        <v>12270</v>
      </c>
      <c r="AV971" s="3" t="s">
        <v>12271</v>
      </c>
      <c r="AW971" s="3" t="s">
        <v>12272</v>
      </c>
      <c r="AX971" s="3" t="s">
        <v>12272</v>
      </c>
      <c r="AY971" s="3" t="s">
        <v>12273</v>
      </c>
      <c r="AZ971" s="3" t="s">
        <v>76</v>
      </c>
      <c r="BB971" s="3" t="s">
        <v>12274</v>
      </c>
      <c r="BC971" s="3" t="s">
        <v>12275</v>
      </c>
      <c r="BD971" s="3" t="s">
        <v>12276</v>
      </c>
    </row>
    <row r="972" spans="1:56" ht="52.5" customHeight="1" x14ac:dyDescent="0.25">
      <c r="A972" s="7" t="s">
        <v>59</v>
      </c>
      <c r="B972" s="2" t="s">
        <v>12277</v>
      </c>
      <c r="C972" s="2" t="s">
        <v>12278</v>
      </c>
      <c r="D972" s="2" t="s">
        <v>12279</v>
      </c>
      <c r="F972" s="3" t="s">
        <v>59</v>
      </c>
      <c r="G972" s="3" t="s">
        <v>60</v>
      </c>
      <c r="H972" s="3" t="s">
        <v>59</v>
      </c>
      <c r="I972" s="3" t="s">
        <v>59</v>
      </c>
      <c r="J972" s="3" t="s">
        <v>61</v>
      </c>
      <c r="K972" s="2" t="s">
        <v>12280</v>
      </c>
      <c r="L972" s="2" t="s">
        <v>12281</v>
      </c>
      <c r="M972" s="3" t="s">
        <v>549</v>
      </c>
      <c r="O972" s="3" t="s">
        <v>65</v>
      </c>
      <c r="P972" s="3" t="s">
        <v>829</v>
      </c>
      <c r="R972" s="3" t="s">
        <v>68</v>
      </c>
      <c r="S972" s="4">
        <v>15</v>
      </c>
      <c r="T972" s="4">
        <v>15</v>
      </c>
      <c r="U972" s="5" t="s">
        <v>12282</v>
      </c>
      <c r="V972" s="5" t="s">
        <v>12282</v>
      </c>
      <c r="W972" s="5" t="s">
        <v>2164</v>
      </c>
      <c r="X972" s="5" t="s">
        <v>2164</v>
      </c>
      <c r="Y972" s="4">
        <v>355</v>
      </c>
      <c r="Z972" s="4">
        <v>303</v>
      </c>
      <c r="AA972" s="4">
        <v>303</v>
      </c>
      <c r="AB972" s="4">
        <v>4</v>
      </c>
      <c r="AC972" s="4">
        <v>4</v>
      </c>
      <c r="AD972" s="4">
        <v>15</v>
      </c>
      <c r="AE972" s="4">
        <v>15</v>
      </c>
      <c r="AF972" s="4">
        <v>5</v>
      </c>
      <c r="AG972" s="4">
        <v>5</v>
      </c>
      <c r="AH972" s="4">
        <v>3</v>
      </c>
      <c r="AI972" s="4">
        <v>3</v>
      </c>
      <c r="AJ972" s="4">
        <v>7</v>
      </c>
      <c r="AK972" s="4">
        <v>7</v>
      </c>
      <c r="AL972" s="4">
        <v>3</v>
      </c>
      <c r="AM972" s="4">
        <v>3</v>
      </c>
      <c r="AN972" s="4">
        <v>0</v>
      </c>
      <c r="AO972" s="4">
        <v>0</v>
      </c>
      <c r="AP972" s="3" t="s">
        <v>59</v>
      </c>
      <c r="AQ972" s="3" t="s">
        <v>59</v>
      </c>
      <c r="AS972" s="6" t="str">
        <f>HYPERLINK("https://creighton-primo.hosted.exlibrisgroup.com/primo-explore/search?tab=default_tab&amp;search_scope=EVERYTHING&amp;vid=01CRU&amp;lang=en_US&amp;offset=0&amp;query=any,contains,991000704649702656","Catalog Record")</f>
        <v>Catalog Record</v>
      </c>
      <c r="AT972" s="6" t="str">
        <f>HYPERLINK("http://www.worldcat.org/oclc/12556220","WorldCat Record")</f>
        <v>WorldCat Record</v>
      </c>
      <c r="AU972" s="3" t="s">
        <v>12283</v>
      </c>
      <c r="AV972" s="3" t="s">
        <v>12284</v>
      </c>
      <c r="AW972" s="3" t="s">
        <v>12285</v>
      </c>
      <c r="AX972" s="3" t="s">
        <v>12285</v>
      </c>
      <c r="AY972" s="3" t="s">
        <v>12286</v>
      </c>
      <c r="AZ972" s="3" t="s">
        <v>76</v>
      </c>
      <c r="BB972" s="3" t="s">
        <v>12287</v>
      </c>
      <c r="BC972" s="3" t="s">
        <v>12288</v>
      </c>
      <c r="BD972" s="3" t="s">
        <v>12289</v>
      </c>
    </row>
    <row r="973" spans="1:56" ht="52.5" customHeight="1" x14ac:dyDescent="0.25">
      <c r="A973" s="7" t="s">
        <v>59</v>
      </c>
      <c r="B973" s="2" t="s">
        <v>12290</v>
      </c>
      <c r="C973" s="2" t="s">
        <v>12291</v>
      </c>
      <c r="D973" s="2" t="s">
        <v>12292</v>
      </c>
      <c r="F973" s="3" t="s">
        <v>59</v>
      </c>
      <c r="G973" s="3" t="s">
        <v>60</v>
      </c>
      <c r="H973" s="3" t="s">
        <v>59</v>
      </c>
      <c r="I973" s="3" t="s">
        <v>59</v>
      </c>
      <c r="J973" s="3" t="s">
        <v>61</v>
      </c>
      <c r="L973" s="2" t="s">
        <v>5975</v>
      </c>
      <c r="M973" s="3" t="s">
        <v>405</v>
      </c>
      <c r="O973" s="3" t="s">
        <v>65</v>
      </c>
      <c r="P973" s="3" t="s">
        <v>699</v>
      </c>
      <c r="R973" s="3" t="s">
        <v>68</v>
      </c>
      <c r="S973" s="4">
        <v>2</v>
      </c>
      <c r="T973" s="4">
        <v>2</v>
      </c>
      <c r="U973" s="5" t="s">
        <v>12293</v>
      </c>
      <c r="V973" s="5" t="s">
        <v>12293</v>
      </c>
      <c r="W973" s="5" t="s">
        <v>12257</v>
      </c>
      <c r="X973" s="5" t="s">
        <v>12257</v>
      </c>
      <c r="Y973" s="4">
        <v>309</v>
      </c>
      <c r="Z973" s="4">
        <v>237</v>
      </c>
      <c r="AA973" s="4">
        <v>265</v>
      </c>
      <c r="AB973" s="4">
        <v>3</v>
      </c>
      <c r="AC973" s="4">
        <v>3</v>
      </c>
      <c r="AD973" s="4">
        <v>9</v>
      </c>
      <c r="AE973" s="4">
        <v>9</v>
      </c>
      <c r="AF973" s="4">
        <v>1</v>
      </c>
      <c r="AG973" s="4">
        <v>1</v>
      </c>
      <c r="AH973" s="4">
        <v>3</v>
      </c>
      <c r="AI973" s="4">
        <v>3</v>
      </c>
      <c r="AJ973" s="4">
        <v>6</v>
      </c>
      <c r="AK973" s="4">
        <v>6</v>
      </c>
      <c r="AL973" s="4">
        <v>2</v>
      </c>
      <c r="AM973" s="4">
        <v>2</v>
      </c>
      <c r="AN973" s="4">
        <v>0</v>
      </c>
      <c r="AO973" s="4">
        <v>0</v>
      </c>
      <c r="AP973" s="3" t="s">
        <v>59</v>
      </c>
      <c r="AQ973" s="3" t="s">
        <v>59</v>
      </c>
      <c r="AS973" s="6" t="str">
        <f>HYPERLINK("https://creighton-primo.hosted.exlibrisgroup.com/primo-explore/search?tab=default_tab&amp;search_scope=EVERYTHING&amp;vid=01CRU&amp;lang=en_US&amp;offset=0&amp;query=any,contains,991000942229702656","Catalog Record")</f>
        <v>Catalog Record</v>
      </c>
      <c r="AT973" s="6" t="str">
        <f>HYPERLINK("http://www.worldcat.org/oclc/14413555","WorldCat Record")</f>
        <v>WorldCat Record</v>
      </c>
      <c r="AU973" s="3" t="s">
        <v>12294</v>
      </c>
      <c r="AV973" s="3" t="s">
        <v>12295</v>
      </c>
      <c r="AW973" s="3" t="s">
        <v>12296</v>
      </c>
      <c r="AX973" s="3" t="s">
        <v>12296</v>
      </c>
      <c r="AY973" s="3" t="s">
        <v>12297</v>
      </c>
      <c r="AZ973" s="3" t="s">
        <v>76</v>
      </c>
      <c r="BB973" s="3" t="s">
        <v>12298</v>
      </c>
      <c r="BC973" s="3" t="s">
        <v>12299</v>
      </c>
      <c r="BD973" s="3" t="s">
        <v>12300</v>
      </c>
    </row>
    <row r="974" spans="1:56" ht="52.5" customHeight="1" x14ac:dyDescent="0.25">
      <c r="A974" s="7" t="s">
        <v>59</v>
      </c>
      <c r="B974" s="2" t="s">
        <v>12301</v>
      </c>
      <c r="C974" s="2" t="s">
        <v>12302</v>
      </c>
      <c r="D974" s="2" t="s">
        <v>12303</v>
      </c>
      <c r="F974" s="3" t="s">
        <v>59</v>
      </c>
      <c r="G974" s="3" t="s">
        <v>60</v>
      </c>
      <c r="H974" s="3" t="s">
        <v>59</v>
      </c>
      <c r="I974" s="3" t="s">
        <v>59</v>
      </c>
      <c r="J974" s="3" t="s">
        <v>61</v>
      </c>
      <c r="K974" s="2" t="s">
        <v>12304</v>
      </c>
      <c r="L974" s="2" t="s">
        <v>12305</v>
      </c>
      <c r="M974" s="3" t="s">
        <v>131</v>
      </c>
      <c r="O974" s="3" t="s">
        <v>65</v>
      </c>
      <c r="P974" s="3" t="s">
        <v>66</v>
      </c>
      <c r="R974" s="3" t="s">
        <v>68</v>
      </c>
      <c r="S974" s="4">
        <v>4</v>
      </c>
      <c r="T974" s="4">
        <v>4</v>
      </c>
      <c r="U974" s="5" t="s">
        <v>12306</v>
      </c>
      <c r="V974" s="5" t="s">
        <v>12306</v>
      </c>
      <c r="W974" s="5" t="s">
        <v>12307</v>
      </c>
      <c r="X974" s="5" t="s">
        <v>12307</v>
      </c>
      <c r="Y974" s="4">
        <v>436</v>
      </c>
      <c r="Z974" s="4">
        <v>316</v>
      </c>
      <c r="AA974" s="4">
        <v>319</v>
      </c>
      <c r="AB974" s="4">
        <v>4</v>
      </c>
      <c r="AC974" s="4">
        <v>4</v>
      </c>
      <c r="AD974" s="4">
        <v>9</v>
      </c>
      <c r="AE974" s="4">
        <v>9</v>
      </c>
      <c r="AF974" s="4">
        <v>1</v>
      </c>
      <c r="AG974" s="4">
        <v>1</v>
      </c>
      <c r="AH974" s="4">
        <v>2</v>
      </c>
      <c r="AI974" s="4">
        <v>2</v>
      </c>
      <c r="AJ974" s="4">
        <v>5</v>
      </c>
      <c r="AK974" s="4">
        <v>5</v>
      </c>
      <c r="AL974" s="4">
        <v>2</v>
      </c>
      <c r="AM974" s="4">
        <v>2</v>
      </c>
      <c r="AN974" s="4">
        <v>0</v>
      </c>
      <c r="AO974" s="4">
        <v>0</v>
      </c>
      <c r="AP974" s="3" t="s">
        <v>59</v>
      </c>
      <c r="AQ974" s="3" t="s">
        <v>71</v>
      </c>
      <c r="AR974" s="6" t="str">
        <f>HYPERLINK("http://catalog.hathitrust.org/Record/000428379","HathiTrust Record")</f>
        <v>HathiTrust Record</v>
      </c>
      <c r="AS974" s="6" t="str">
        <f>HYPERLINK("https://creighton-primo.hosted.exlibrisgroup.com/primo-explore/search?tab=default_tab&amp;search_scope=EVERYTHING&amp;vid=01CRU&amp;lang=en_US&amp;offset=0&amp;query=any,contains,991005253789702656","Catalog Record")</f>
        <v>Catalog Record</v>
      </c>
      <c r="AT974" s="6" t="str">
        <f>HYPERLINK("http://www.worldcat.org/oclc/714161","WorldCat Record")</f>
        <v>WorldCat Record</v>
      </c>
      <c r="AU974" s="3" t="s">
        <v>12308</v>
      </c>
      <c r="AV974" s="3" t="s">
        <v>12309</v>
      </c>
      <c r="AW974" s="3" t="s">
        <v>12310</v>
      </c>
      <c r="AX974" s="3" t="s">
        <v>12310</v>
      </c>
      <c r="AY974" s="3" t="s">
        <v>12311</v>
      </c>
      <c r="AZ974" s="3" t="s">
        <v>76</v>
      </c>
      <c r="BB974" s="3" t="s">
        <v>12312</v>
      </c>
      <c r="BC974" s="3" t="s">
        <v>12313</v>
      </c>
      <c r="BD974" s="3" t="s">
        <v>12314</v>
      </c>
    </row>
    <row r="975" spans="1:56" ht="52.5" customHeight="1" x14ac:dyDescent="0.25">
      <c r="A975" s="7" t="s">
        <v>59</v>
      </c>
      <c r="B975" s="2" t="s">
        <v>12315</v>
      </c>
      <c r="C975" s="2" t="s">
        <v>12316</v>
      </c>
      <c r="D975" s="2" t="s">
        <v>12317</v>
      </c>
      <c r="F975" s="3" t="s">
        <v>59</v>
      </c>
      <c r="G975" s="3" t="s">
        <v>60</v>
      </c>
      <c r="H975" s="3" t="s">
        <v>59</v>
      </c>
      <c r="I975" s="3" t="s">
        <v>59</v>
      </c>
      <c r="J975" s="3" t="s">
        <v>61</v>
      </c>
      <c r="K975" s="2" t="s">
        <v>12318</v>
      </c>
      <c r="L975" s="2" t="s">
        <v>5825</v>
      </c>
      <c r="M975" s="3" t="s">
        <v>309</v>
      </c>
      <c r="O975" s="3" t="s">
        <v>65</v>
      </c>
      <c r="P975" s="3" t="s">
        <v>420</v>
      </c>
      <c r="Q975" s="2" t="s">
        <v>4430</v>
      </c>
      <c r="R975" s="3" t="s">
        <v>68</v>
      </c>
      <c r="S975" s="4">
        <v>5</v>
      </c>
      <c r="T975" s="4">
        <v>5</v>
      </c>
      <c r="U975" s="5" t="s">
        <v>12306</v>
      </c>
      <c r="V975" s="5" t="s">
        <v>12306</v>
      </c>
      <c r="W975" s="5" t="s">
        <v>12257</v>
      </c>
      <c r="X975" s="5" t="s">
        <v>12257</v>
      </c>
      <c r="Y975" s="4">
        <v>189</v>
      </c>
      <c r="Z975" s="4">
        <v>151</v>
      </c>
      <c r="AA975" s="4">
        <v>151</v>
      </c>
      <c r="AB975" s="4">
        <v>2</v>
      </c>
      <c r="AC975" s="4">
        <v>2</v>
      </c>
      <c r="AD975" s="4">
        <v>5</v>
      </c>
      <c r="AE975" s="4">
        <v>5</v>
      </c>
      <c r="AF975" s="4">
        <v>2</v>
      </c>
      <c r="AG975" s="4">
        <v>2</v>
      </c>
      <c r="AH975" s="4">
        <v>1</v>
      </c>
      <c r="AI975" s="4">
        <v>1</v>
      </c>
      <c r="AJ975" s="4">
        <v>3</v>
      </c>
      <c r="AK975" s="4">
        <v>3</v>
      </c>
      <c r="AL975" s="4">
        <v>1</v>
      </c>
      <c r="AM975" s="4">
        <v>1</v>
      </c>
      <c r="AN975" s="4">
        <v>0</v>
      </c>
      <c r="AO975" s="4">
        <v>0</v>
      </c>
      <c r="AP975" s="3" t="s">
        <v>59</v>
      </c>
      <c r="AQ975" s="3" t="s">
        <v>59</v>
      </c>
      <c r="AS975" s="6" t="str">
        <f>HYPERLINK("https://creighton-primo.hosted.exlibrisgroup.com/primo-explore/search?tab=default_tab&amp;search_scope=EVERYTHING&amp;vid=01CRU&amp;lang=en_US&amp;offset=0&amp;query=any,contains,991004454299702656","Catalog Record")</f>
        <v>Catalog Record</v>
      </c>
      <c r="AT975" s="6" t="str">
        <f>HYPERLINK("http://www.worldcat.org/oclc/3517071","WorldCat Record")</f>
        <v>WorldCat Record</v>
      </c>
      <c r="AU975" s="3" t="s">
        <v>12319</v>
      </c>
      <c r="AV975" s="3" t="s">
        <v>12320</v>
      </c>
      <c r="AW975" s="3" t="s">
        <v>12321</v>
      </c>
      <c r="AX975" s="3" t="s">
        <v>12321</v>
      </c>
      <c r="AY975" s="3" t="s">
        <v>12322</v>
      </c>
      <c r="AZ975" s="3" t="s">
        <v>76</v>
      </c>
      <c r="BB975" s="3" t="s">
        <v>12323</v>
      </c>
      <c r="BC975" s="3" t="s">
        <v>12324</v>
      </c>
      <c r="BD975" s="3" t="s">
        <v>12325</v>
      </c>
    </row>
    <row r="976" spans="1:56" ht="52.5" customHeight="1" x14ac:dyDescent="0.25">
      <c r="A976" s="7" t="s">
        <v>59</v>
      </c>
      <c r="B976" s="2" t="s">
        <v>12326</v>
      </c>
      <c r="C976" s="2" t="s">
        <v>12327</v>
      </c>
      <c r="D976" s="2" t="s">
        <v>12328</v>
      </c>
      <c r="F976" s="3" t="s">
        <v>59</v>
      </c>
      <c r="G976" s="3" t="s">
        <v>60</v>
      </c>
      <c r="H976" s="3" t="s">
        <v>59</v>
      </c>
      <c r="I976" s="3" t="s">
        <v>59</v>
      </c>
      <c r="J976" s="3" t="s">
        <v>61</v>
      </c>
      <c r="K976" s="2" t="s">
        <v>12329</v>
      </c>
      <c r="L976" s="2" t="s">
        <v>12330</v>
      </c>
      <c r="M976" s="3" t="s">
        <v>164</v>
      </c>
      <c r="O976" s="3" t="s">
        <v>65</v>
      </c>
      <c r="P976" s="3" t="s">
        <v>420</v>
      </c>
      <c r="Q976" s="2" t="s">
        <v>12331</v>
      </c>
      <c r="R976" s="3" t="s">
        <v>68</v>
      </c>
      <c r="S976" s="4">
        <v>9</v>
      </c>
      <c r="T976" s="4">
        <v>9</v>
      </c>
      <c r="U976" s="5" t="s">
        <v>12332</v>
      </c>
      <c r="V976" s="5" t="s">
        <v>12332</v>
      </c>
      <c r="W976" s="5" t="s">
        <v>12333</v>
      </c>
      <c r="X976" s="5" t="s">
        <v>12333</v>
      </c>
      <c r="Y976" s="4">
        <v>136</v>
      </c>
      <c r="Z976" s="4">
        <v>116</v>
      </c>
      <c r="AA976" s="4">
        <v>117</v>
      </c>
      <c r="AB976" s="4">
        <v>2</v>
      </c>
      <c r="AC976" s="4">
        <v>2</v>
      </c>
      <c r="AD976" s="4">
        <v>4</v>
      </c>
      <c r="AE976" s="4">
        <v>4</v>
      </c>
      <c r="AF976" s="4">
        <v>1</v>
      </c>
      <c r="AG976" s="4">
        <v>1</v>
      </c>
      <c r="AH976" s="4">
        <v>1</v>
      </c>
      <c r="AI976" s="4">
        <v>1</v>
      </c>
      <c r="AJ976" s="4">
        <v>2</v>
      </c>
      <c r="AK976" s="4">
        <v>2</v>
      </c>
      <c r="AL976" s="4">
        <v>1</v>
      </c>
      <c r="AM976" s="4">
        <v>1</v>
      </c>
      <c r="AN976" s="4">
        <v>0</v>
      </c>
      <c r="AO976" s="4">
        <v>0</v>
      </c>
      <c r="AP976" s="3" t="s">
        <v>59</v>
      </c>
      <c r="AQ976" s="3" t="s">
        <v>71</v>
      </c>
      <c r="AR976" s="6" t="str">
        <f>HYPERLINK("http://catalog.hathitrust.org/Record/007116665","HathiTrust Record")</f>
        <v>HathiTrust Record</v>
      </c>
      <c r="AS976" s="6" t="str">
        <f>HYPERLINK("https://creighton-primo.hosted.exlibrisgroup.com/primo-explore/search?tab=default_tab&amp;search_scope=EVERYTHING&amp;vid=01CRU&amp;lang=en_US&amp;offset=0&amp;query=any,contains,991004951639702656","Catalog Record")</f>
        <v>Catalog Record</v>
      </c>
      <c r="AT976" s="6" t="str">
        <f>HYPERLINK("http://www.worldcat.org/oclc/6250657","WorldCat Record")</f>
        <v>WorldCat Record</v>
      </c>
      <c r="AU976" s="3" t="s">
        <v>12334</v>
      </c>
      <c r="AV976" s="3" t="s">
        <v>12335</v>
      </c>
      <c r="AW976" s="3" t="s">
        <v>12336</v>
      </c>
      <c r="AX976" s="3" t="s">
        <v>12336</v>
      </c>
      <c r="AY976" s="3" t="s">
        <v>12337</v>
      </c>
      <c r="AZ976" s="3" t="s">
        <v>76</v>
      </c>
      <c r="BB976" s="3" t="s">
        <v>12338</v>
      </c>
      <c r="BC976" s="3" t="s">
        <v>12339</v>
      </c>
      <c r="BD976" s="3" t="s">
        <v>12340</v>
      </c>
    </row>
    <row r="977" spans="1:56" ht="52.5" customHeight="1" x14ac:dyDescent="0.25">
      <c r="A977" s="7" t="s">
        <v>59</v>
      </c>
      <c r="B977" s="2" t="s">
        <v>12341</v>
      </c>
      <c r="C977" s="2" t="s">
        <v>12342</v>
      </c>
      <c r="D977" s="2" t="s">
        <v>12343</v>
      </c>
      <c r="F977" s="3" t="s">
        <v>59</v>
      </c>
      <c r="G977" s="3" t="s">
        <v>60</v>
      </c>
      <c r="H977" s="3" t="s">
        <v>71</v>
      </c>
      <c r="I977" s="3" t="s">
        <v>59</v>
      </c>
      <c r="J977" s="3" t="s">
        <v>61</v>
      </c>
      <c r="L977" s="2" t="s">
        <v>12344</v>
      </c>
      <c r="M977" s="3" t="s">
        <v>1217</v>
      </c>
      <c r="O977" s="3" t="s">
        <v>65</v>
      </c>
      <c r="P977" s="3" t="s">
        <v>66</v>
      </c>
      <c r="R977" s="3" t="s">
        <v>68</v>
      </c>
      <c r="S977" s="4">
        <v>2</v>
      </c>
      <c r="T977" s="4">
        <v>2</v>
      </c>
      <c r="U977" s="5" t="s">
        <v>12345</v>
      </c>
      <c r="V977" s="5" t="s">
        <v>12345</v>
      </c>
      <c r="W977" s="5" t="s">
        <v>12257</v>
      </c>
      <c r="X977" s="5" t="s">
        <v>12257</v>
      </c>
      <c r="Y977" s="4">
        <v>462</v>
      </c>
      <c r="Z977" s="4">
        <v>403</v>
      </c>
      <c r="AA977" s="4">
        <v>410</v>
      </c>
      <c r="AB977" s="4">
        <v>5</v>
      </c>
      <c r="AC977" s="4">
        <v>5</v>
      </c>
      <c r="AD977" s="4">
        <v>20</v>
      </c>
      <c r="AE977" s="4">
        <v>20</v>
      </c>
      <c r="AF977" s="4">
        <v>6</v>
      </c>
      <c r="AG977" s="4">
        <v>6</v>
      </c>
      <c r="AH977" s="4">
        <v>5</v>
      </c>
      <c r="AI977" s="4">
        <v>5</v>
      </c>
      <c r="AJ977" s="4">
        <v>13</v>
      </c>
      <c r="AK977" s="4">
        <v>13</v>
      </c>
      <c r="AL977" s="4">
        <v>3</v>
      </c>
      <c r="AM977" s="4">
        <v>3</v>
      </c>
      <c r="AN977" s="4">
        <v>0</v>
      </c>
      <c r="AO977" s="4">
        <v>0</v>
      </c>
      <c r="AP977" s="3" t="s">
        <v>59</v>
      </c>
      <c r="AQ977" s="3" t="s">
        <v>71</v>
      </c>
      <c r="AR977" s="6" t="str">
        <f>HYPERLINK("http://catalog.hathitrust.org/Record/000404355","HathiTrust Record")</f>
        <v>HathiTrust Record</v>
      </c>
      <c r="AS977" s="6" t="str">
        <f>HYPERLINK("https://creighton-primo.hosted.exlibrisgroup.com/primo-explore/search?tab=default_tab&amp;search_scope=EVERYTHING&amp;vid=01CRU&amp;lang=en_US&amp;offset=0&amp;query=any,contains,991000378649702656","Catalog Record")</f>
        <v>Catalog Record</v>
      </c>
      <c r="AT977" s="6" t="str">
        <f>HYPERLINK("http://www.worldcat.org/oclc/10483426","WorldCat Record")</f>
        <v>WorldCat Record</v>
      </c>
      <c r="AU977" s="3" t="s">
        <v>12346</v>
      </c>
      <c r="AV977" s="3" t="s">
        <v>12347</v>
      </c>
      <c r="AW977" s="3" t="s">
        <v>12348</v>
      </c>
      <c r="AX977" s="3" t="s">
        <v>12348</v>
      </c>
      <c r="AY977" s="3" t="s">
        <v>12349</v>
      </c>
      <c r="AZ977" s="3" t="s">
        <v>76</v>
      </c>
      <c r="BB977" s="3" t="s">
        <v>12350</v>
      </c>
      <c r="BC977" s="3" t="s">
        <v>12351</v>
      </c>
      <c r="BD977" s="3" t="s">
        <v>12352</v>
      </c>
    </row>
    <row r="978" spans="1:56" ht="52.5" customHeight="1" x14ac:dyDescent="0.25">
      <c r="A978" s="7" t="s">
        <v>59</v>
      </c>
      <c r="B978" s="2" t="s">
        <v>12353</v>
      </c>
      <c r="C978" s="2" t="s">
        <v>12354</v>
      </c>
      <c r="D978" s="2" t="s">
        <v>12355</v>
      </c>
      <c r="F978" s="3" t="s">
        <v>59</v>
      </c>
      <c r="G978" s="3" t="s">
        <v>60</v>
      </c>
      <c r="H978" s="3" t="s">
        <v>71</v>
      </c>
      <c r="I978" s="3" t="s">
        <v>59</v>
      </c>
      <c r="J978" s="3" t="s">
        <v>61</v>
      </c>
      <c r="L978" s="2" t="s">
        <v>12356</v>
      </c>
      <c r="M978" s="3" t="s">
        <v>1000</v>
      </c>
      <c r="O978" s="3" t="s">
        <v>65</v>
      </c>
      <c r="P978" s="3" t="s">
        <v>66</v>
      </c>
      <c r="R978" s="3" t="s">
        <v>68</v>
      </c>
      <c r="S978" s="4">
        <v>8</v>
      </c>
      <c r="T978" s="4">
        <v>19</v>
      </c>
      <c r="U978" s="5" t="s">
        <v>12293</v>
      </c>
      <c r="V978" s="5" t="s">
        <v>12293</v>
      </c>
      <c r="W978" s="5" t="s">
        <v>12357</v>
      </c>
      <c r="X978" s="5" t="s">
        <v>12357</v>
      </c>
      <c r="Y978" s="4">
        <v>415</v>
      </c>
      <c r="Z978" s="4">
        <v>333</v>
      </c>
      <c r="AA978" s="4">
        <v>335</v>
      </c>
      <c r="AB978" s="4">
        <v>3</v>
      </c>
      <c r="AC978" s="4">
        <v>3</v>
      </c>
      <c r="AD978" s="4">
        <v>15</v>
      </c>
      <c r="AE978" s="4">
        <v>15</v>
      </c>
      <c r="AF978" s="4">
        <v>6</v>
      </c>
      <c r="AG978" s="4">
        <v>6</v>
      </c>
      <c r="AH978" s="4">
        <v>4</v>
      </c>
      <c r="AI978" s="4">
        <v>4</v>
      </c>
      <c r="AJ978" s="4">
        <v>9</v>
      </c>
      <c r="AK978" s="4">
        <v>9</v>
      </c>
      <c r="AL978" s="4">
        <v>1</v>
      </c>
      <c r="AM978" s="4">
        <v>1</v>
      </c>
      <c r="AN978" s="4">
        <v>0</v>
      </c>
      <c r="AO978" s="4">
        <v>0</v>
      </c>
      <c r="AP978" s="3" t="s">
        <v>59</v>
      </c>
      <c r="AQ978" s="3" t="s">
        <v>71</v>
      </c>
      <c r="AR978" s="6" t="str">
        <f>HYPERLINK("http://catalog.hathitrust.org/Record/000177841","HathiTrust Record")</f>
        <v>HathiTrust Record</v>
      </c>
      <c r="AS978" s="6" t="str">
        <f>HYPERLINK("https://creighton-primo.hosted.exlibrisgroup.com/primo-explore/search?tab=default_tab&amp;search_scope=EVERYTHING&amp;vid=01CRU&amp;lang=en_US&amp;offset=0&amp;query=any,contains,991001759529702656","Catalog Record")</f>
        <v>Catalog Record</v>
      </c>
      <c r="AT978" s="6" t="str">
        <f>HYPERLINK("http://www.worldcat.org/oclc/4036839","WorldCat Record")</f>
        <v>WorldCat Record</v>
      </c>
      <c r="AU978" s="3" t="s">
        <v>12358</v>
      </c>
      <c r="AV978" s="3" t="s">
        <v>12359</v>
      </c>
      <c r="AW978" s="3" t="s">
        <v>12360</v>
      </c>
      <c r="AX978" s="3" t="s">
        <v>12360</v>
      </c>
      <c r="AY978" s="3" t="s">
        <v>12361</v>
      </c>
      <c r="AZ978" s="3" t="s">
        <v>76</v>
      </c>
      <c r="BB978" s="3" t="s">
        <v>12362</v>
      </c>
      <c r="BC978" s="3" t="s">
        <v>12363</v>
      </c>
      <c r="BD978" s="3" t="s">
        <v>12364</v>
      </c>
    </row>
    <row r="979" spans="1:56" ht="52.5" customHeight="1" x14ac:dyDescent="0.25">
      <c r="A979" s="7" t="s">
        <v>59</v>
      </c>
      <c r="B979" s="2" t="s">
        <v>12365</v>
      </c>
      <c r="C979" s="2" t="s">
        <v>12366</v>
      </c>
      <c r="D979" s="2" t="s">
        <v>12367</v>
      </c>
      <c r="F979" s="3" t="s">
        <v>59</v>
      </c>
      <c r="G979" s="3" t="s">
        <v>60</v>
      </c>
      <c r="H979" s="3" t="s">
        <v>59</v>
      </c>
      <c r="I979" s="3" t="s">
        <v>59</v>
      </c>
      <c r="J979" s="3" t="s">
        <v>61</v>
      </c>
      <c r="K979" s="2" t="s">
        <v>12368</v>
      </c>
      <c r="L979" s="2" t="s">
        <v>12369</v>
      </c>
      <c r="M979" s="3" t="s">
        <v>475</v>
      </c>
      <c r="N979" s="2" t="s">
        <v>3938</v>
      </c>
      <c r="O979" s="3" t="s">
        <v>65</v>
      </c>
      <c r="P979" s="3" t="s">
        <v>66</v>
      </c>
      <c r="R979" s="3" t="s">
        <v>68</v>
      </c>
      <c r="S979" s="4">
        <v>8</v>
      </c>
      <c r="T979" s="4">
        <v>8</v>
      </c>
      <c r="U979" s="5" t="s">
        <v>12370</v>
      </c>
      <c r="V979" s="5" t="s">
        <v>12370</v>
      </c>
      <c r="W979" s="5" t="s">
        <v>1638</v>
      </c>
      <c r="X979" s="5" t="s">
        <v>1638</v>
      </c>
      <c r="Y979" s="4">
        <v>166</v>
      </c>
      <c r="Z979" s="4">
        <v>93</v>
      </c>
      <c r="AA979" s="4">
        <v>355</v>
      </c>
      <c r="AB979" s="4">
        <v>1</v>
      </c>
      <c r="AC979" s="4">
        <v>2</v>
      </c>
      <c r="AD979" s="4">
        <v>4</v>
      </c>
      <c r="AE979" s="4">
        <v>18</v>
      </c>
      <c r="AF979" s="4">
        <v>3</v>
      </c>
      <c r="AG979" s="4">
        <v>9</v>
      </c>
      <c r="AH979" s="4">
        <v>0</v>
      </c>
      <c r="AI979" s="4">
        <v>2</v>
      </c>
      <c r="AJ979" s="4">
        <v>1</v>
      </c>
      <c r="AK979" s="4">
        <v>8</v>
      </c>
      <c r="AL979" s="4">
        <v>0</v>
      </c>
      <c r="AM979" s="4">
        <v>1</v>
      </c>
      <c r="AN979" s="4">
        <v>0</v>
      </c>
      <c r="AO979" s="4">
        <v>0</v>
      </c>
      <c r="AP979" s="3" t="s">
        <v>59</v>
      </c>
      <c r="AQ979" s="3" t="s">
        <v>71</v>
      </c>
      <c r="AR979" s="6" t="str">
        <f>HYPERLINK("http://catalog.hathitrust.org/Record/000630153","HathiTrust Record")</f>
        <v>HathiTrust Record</v>
      </c>
      <c r="AS979" s="6" t="str">
        <f>HYPERLINK("https://creighton-primo.hosted.exlibrisgroup.com/primo-explore/search?tab=default_tab&amp;search_scope=EVERYTHING&amp;vid=01CRU&amp;lang=en_US&amp;offset=0&amp;query=any,contains,991005215219702656","Catalog Record")</f>
        <v>Catalog Record</v>
      </c>
      <c r="AT979" s="6" t="str">
        <f>HYPERLINK("http://www.worldcat.org/oclc/8805749","WorldCat Record")</f>
        <v>WorldCat Record</v>
      </c>
      <c r="AU979" s="3" t="s">
        <v>12371</v>
      </c>
      <c r="AV979" s="3" t="s">
        <v>12372</v>
      </c>
      <c r="AW979" s="3" t="s">
        <v>12373</v>
      </c>
      <c r="AX979" s="3" t="s">
        <v>12373</v>
      </c>
      <c r="AY979" s="3" t="s">
        <v>12374</v>
      </c>
      <c r="AZ979" s="3" t="s">
        <v>76</v>
      </c>
      <c r="BB979" s="3" t="s">
        <v>12375</v>
      </c>
      <c r="BC979" s="3" t="s">
        <v>12376</v>
      </c>
      <c r="BD979" s="3" t="s">
        <v>12377</v>
      </c>
    </row>
    <row r="980" spans="1:56" ht="52.5" customHeight="1" x14ac:dyDescent="0.25">
      <c r="A980" s="7" t="s">
        <v>59</v>
      </c>
      <c r="B980" s="2" t="s">
        <v>12378</v>
      </c>
      <c r="C980" s="2" t="s">
        <v>12379</v>
      </c>
      <c r="D980" s="2" t="s">
        <v>12380</v>
      </c>
      <c r="F980" s="3" t="s">
        <v>59</v>
      </c>
      <c r="G980" s="3" t="s">
        <v>60</v>
      </c>
      <c r="H980" s="3" t="s">
        <v>59</v>
      </c>
      <c r="I980" s="3" t="s">
        <v>59</v>
      </c>
      <c r="J980" s="3" t="s">
        <v>61</v>
      </c>
      <c r="K980" s="2" t="s">
        <v>12381</v>
      </c>
      <c r="L980" s="2" t="s">
        <v>12382</v>
      </c>
      <c r="M980" s="3" t="s">
        <v>5648</v>
      </c>
      <c r="O980" s="3" t="s">
        <v>65</v>
      </c>
      <c r="P980" s="3" t="s">
        <v>771</v>
      </c>
      <c r="R980" s="3" t="s">
        <v>68</v>
      </c>
      <c r="S980" s="4">
        <v>5</v>
      </c>
      <c r="T980" s="4">
        <v>5</v>
      </c>
      <c r="U980" s="5" t="s">
        <v>6869</v>
      </c>
      <c r="V980" s="5" t="s">
        <v>6869</v>
      </c>
      <c r="W980" s="5" t="s">
        <v>4281</v>
      </c>
      <c r="X980" s="5" t="s">
        <v>4281</v>
      </c>
      <c r="Y980" s="4">
        <v>430</v>
      </c>
      <c r="Z980" s="4">
        <v>336</v>
      </c>
      <c r="AA980" s="4">
        <v>336</v>
      </c>
      <c r="AB980" s="4">
        <v>4</v>
      </c>
      <c r="AC980" s="4">
        <v>4</v>
      </c>
      <c r="AD980" s="4">
        <v>18</v>
      </c>
      <c r="AE980" s="4">
        <v>18</v>
      </c>
      <c r="AF980" s="4">
        <v>6</v>
      </c>
      <c r="AG980" s="4">
        <v>6</v>
      </c>
      <c r="AH980" s="4">
        <v>4</v>
      </c>
      <c r="AI980" s="4">
        <v>4</v>
      </c>
      <c r="AJ980" s="4">
        <v>11</v>
      </c>
      <c r="AK980" s="4">
        <v>11</v>
      </c>
      <c r="AL980" s="4">
        <v>2</v>
      </c>
      <c r="AM980" s="4">
        <v>2</v>
      </c>
      <c r="AN980" s="4">
        <v>0</v>
      </c>
      <c r="AO980" s="4">
        <v>0</v>
      </c>
      <c r="AP980" s="3" t="s">
        <v>59</v>
      </c>
      <c r="AQ980" s="3" t="s">
        <v>59</v>
      </c>
      <c r="AS980" s="6" t="str">
        <f>HYPERLINK("https://creighton-primo.hosted.exlibrisgroup.com/primo-explore/search?tab=default_tab&amp;search_scope=EVERYTHING&amp;vid=01CRU&amp;lang=en_US&amp;offset=0&amp;query=any,contains,991001664269702656","Catalog Record")</f>
        <v>Catalog Record</v>
      </c>
      <c r="AT980" s="6" t="str">
        <f>HYPERLINK("http://www.worldcat.org/oclc/21197269","WorldCat Record")</f>
        <v>WorldCat Record</v>
      </c>
      <c r="AU980" s="3" t="s">
        <v>12383</v>
      </c>
      <c r="AV980" s="3" t="s">
        <v>12384</v>
      </c>
      <c r="AW980" s="3" t="s">
        <v>12385</v>
      </c>
      <c r="AX980" s="3" t="s">
        <v>12385</v>
      </c>
      <c r="AY980" s="3" t="s">
        <v>12386</v>
      </c>
      <c r="AZ980" s="3" t="s">
        <v>76</v>
      </c>
      <c r="BB980" s="3" t="s">
        <v>12387</v>
      </c>
      <c r="BC980" s="3" t="s">
        <v>12388</v>
      </c>
      <c r="BD980" s="3" t="s">
        <v>12389</v>
      </c>
    </row>
    <row r="981" spans="1:56" ht="52.5" customHeight="1" x14ac:dyDescent="0.25">
      <c r="A981" s="7" t="s">
        <v>59</v>
      </c>
      <c r="B981" s="2" t="s">
        <v>12390</v>
      </c>
      <c r="C981" s="2" t="s">
        <v>12391</v>
      </c>
      <c r="D981" s="2" t="s">
        <v>12392</v>
      </c>
      <c r="F981" s="3" t="s">
        <v>59</v>
      </c>
      <c r="G981" s="3" t="s">
        <v>60</v>
      </c>
      <c r="H981" s="3" t="s">
        <v>59</v>
      </c>
      <c r="I981" s="3" t="s">
        <v>59</v>
      </c>
      <c r="J981" s="3" t="s">
        <v>61</v>
      </c>
      <c r="K981" s="2" t="s">
        <v>12393</v>
      </c>
      <c r="L981" s="2" t="s">
        <v>8945</v>
      </c>
      <c r="M981" s="3" t="s">
        <v>195</v>
      </c>
      <c r="O981" s="3" t="s">
        <v>65</v>
      </c>
      <c r="P981" s="3" t="s">
        <v>66</v>
      </c>
      <c r="R981" s="3" t="s">
        <v>68</v>
      </c>
      <c r="S981" s="4">
        <v>3</v>
      </c>
      <c r="T981" s="4">
        <v>3</v>
      </c>
      <c r="U981" s="5" t="s">
        <v>7776</v>
      </c>
      <c r="V981" s="5" t="s">
        <v>7776</v>
      </c>
      <c r="W981" s="5" t="s">
        <v>12257</v>
      </c>
      <c r="X981" s="5" t="s">
        <v>12257</v>
      </c>
      <c r="Y981" s="4">
        <v>467</v>
      </c>
      <c r="Z981" s="4">
        <v>337</v>
      </c>
      <c r="AA981" s="4">
        <v>347</v>
      </c>
      <c r="AB981" s="4">
        <v>3</v>
      </c>
      <c r="AC981" s="4">
        <v>3</v>
      </c>
      <c r="AD981" s="4">
        <v>6</v>
      </c>
      <c r="AE981" s="4">
        <v>7</v>
      </c>
      <c r="AF981" s="4">
        <v>1</v>
      </c>
      <c r="AG981" s="4">
        <v>2</v>
      </c>
      <c r="AH981" s="4">
        <v>2</v>
      </c>
      <c r="AI981" s="4">
        <v>2</v>
      </c>
      <c r="AJ981" s="4">
        <v>2</v>
      </c>
      <c r="AK981" s="4">
        <v>3</v>
      </c>
      <c r="AL981" s="4">
        <v>2</v>
      </c>
      <c r="AM981" s="4">
        <v>2</v>
      </c>
      <c r="AN981" s="4">
        <v>0</v>
      </c>
      <c r="AO981" s="4">
        <v>0</v>
      </c>
      <c r="AP981" s="3" t="s">
        <v>59</v>
      </c>
      <c r="AQ981" s="3" t="s">
        <v>71</v>
      </c>
      <c r="AR981" s="6" t="str">
        <f>HYPERLINK("http://catalog.hathitrust.org/Record/000106157","HathiTrust Record")</f>
        <v>HathiTrust Record</v>
      </c>
      <c r="AS981" s="6" t="str">
        <f>HYPERLINK("https://creighton-primo.hosted.exlibrisgroup.com/primo-explore/search?tab=default_tab&amp;search_scope=EVERYTHING&amp;vid=01CRU&amp;lang=en_US&amp;offset=0&amp;query=any,contains,991005234149702656","Catalog Record")</f>
        <v>Catalog Record</v>
      </c>
      <c r="AT981" s="6" t="str">
        <f>HYPERLINK("http://www.worldcat.org/oclc/8347745","WorldCat Record")</f>
        <v>WorldCat Record</v>
      </c>
      <c r="AU981" s="3" t="s">
        <v>12394</v>
      </c>
      <c r="AV981" s="3" t="s">
        <v>12395</v>
      </c>
      <c r="AW981" s="3" t="s">
        <v>12396</v>
      </c>
      <c r="AX981" s="3" t="s">
        <v>12396</v>
      </c>
      <c r="AY981" s="3" t="s">
        <v>12397</v>
      </c>
      <c r="AZ981" s="3" t="s">
        <v>76</v>
      </c>
      <c r="BB981" s="3" t="s">
        <v>12398</v>
      </c>
      <c r="BC981" s="3" t="s">
        <v>12399</v>
      </c>
      <c r="BD981" s="3" t="s">
        <v>12400</v>
      </c>
    </row>
    <row r="982" spans="1:56" ht="52.5" customHeight="1" x14ac:dyDescent="0.25">
      <c r="A982" s="7" t="s">
        <v>59</v>
      </c>
      <c r="B982" s="2" t="s">
        <v>12401</v>
      </c>
      <c r="C982" s="2" t="s">
        <v>12402</v>
      </c>
      <c r="D982" s="2" t="s">
        <v>12403</v>
      </c>
      <c r="F982" s="3" t="s">
        <v>59</v>
      </c>
      <c r="G982" s="3" t="s">
        <v>60</v>
      </c>
      <c r="H982" s="3" t="s">
        <v>59</v>
      </c>
      <c r="I982" s="3" t="s">
        <v>59</v>
      </c>
      <c r="J982" s="3" t="s">
        <v>61</v>
      </c>
      <c r="L982" s="2" t="s">
        <v>12404</v>
      </c>
      <c r="M982" s="3" t="s">
        <v>1217</v>
      </c>
      <c r="O982" s="3" t="s">
        <v>65</v>
      </c>
      <c r="P982" s="3" t="s">
        <v>699</v>
      </c>
      <c r="R982" s="3" t="s">
        <v>68</v>
      </c>
      <c r="S982" s="4">
        <v>4</v>
      </c>
      <c r="T982" s="4">
        <v>4</v>
      </c>
      <c r="U982" s="5" t="s">
        <v>9802</v>
      </c>
      <c r="V982" s="5" t="s">
        <v>9802</v>
      </c>
      <c r="W982" s="5" t="s">
        <v>12405</v>
      </c>
      <c r="X982" s="5" t="s">
        <v>12405</v>
      </c>
      <c r="Y982" s="4">
        <v>266</v>
      </c>
      <c r="Z982" s="4">
        <v>195</v>
      </c>
      <c r="AA982" s="4">
        <v>1245</v>
      </c>
      <c r="AB982" s="4">
        <v>2</v>
      </c>
      <c r="AC982" s="4">
        <v>3</v>
      </c>
      <c r="AD982" s="4">
        <v>14</v>
      </c>
      <c r="AE982" s="4">
        <v>39</v>
      </c>
      <c r="AF982" s="4">
        <v>3</v>
      </c>
      <c r="AG982" s="4">
        <v>17</v>
      </c>
      <c r="AH982" s="4">
        <v>4</v>
      </c>
      <c r="AI982" s="4">
        <v>11</v>
      </c>
      <c r="AJ982" s="4">
        <v>8</v>
      </c>
      <c r="AK982" s="4">
        <v>20</v>
      </c>
      <c r="AL982" s="4">
        <v>1</v>
      </c>
      <c r="AM982" s="4">
        <v>2</v>
      </c>
      <c r="AN982" s="4">
        <v>0</v>
      </c>
      <c r="AO982" s="4">
        <v>0</v>
      </c>
      <c r="AP982" s="3" t="s">
        <v>59</v>
      </c>
      <c r="AQ982" s="3" t="s">
        <v>71</v>
      </c>
      <c r="AR982" s="6" t="str">
        <f>HYPERLINK("http://catalog.hathitrust.org/Record/000168348","HathiTrust Record")</f>
        <v>HathiTrust Record</v>
      </c>
      <c r="AS982" s="6" t="str">
        <f>HYPERLINK("https://creighton-primo.hosted.exlibrisgroup.com/primo-explore/search?tab=default_tab&amp;search_scope=EVERYTHING&amp;vid=01CRU&amp;lang=en_US&amp;offset=0&amp;query=any,contains,991000432109702656","Catalog Record")</f>
        <v>Catalog Record</v>
      </c>
      <c r="AT982" s="6" t="str">
        <f>HYPERLINK("http://www.worldcat.org/oclc/10779468","WorldCat Record")</f>
        <v>WorldCat Record</v>
      </c>
      <c r="AU982" s="3" t="s">
        <v>12406</v>
      </c>
      <c r="AV982" s="3" t="s">
        <v>12407</v>
      </c>
      <c r="AW982" s="3" t="s">
        <v>12408</v>
      </c>
      <c r="AX982" s="3" t="s">
        <v>12408</v>
      </c>
      <c r="AY982" s="3" t="s">
        <v>12409</v>
      </c>
      <c r="AZ982" s="3" t="s">
        <v>76</v>
      </c>
      <c r="BB982" s="3" t="s">
        <v>12410</v>
      </c>
      <c r="BC982" s="3" t="s">
        <v>12411</v>
      </c>
      <c r="BD982" s="3" t="s">
        <v>12412</v>
      </c>
    </row>
    <row r="983" spans="1:56" ht="52.5" customHeight="1" x14ac:dyDescent="0.25">
      <c r="A983" s="7" t="s">
        <v>59</v>
      </c>
      <c r="B983" s="2" t="s">
        <v>12413</v>
      </c>
      <c r="C983" s="2" t="s">
        <v>12414</v>
      </c>
      <c r="D983" s="2" t="s">
        <v>12415</v>
      </c>
      <c r="F983" s="3" t="s">
        <v>59</v>
      </c>
      <c r="G983" s="3" t="s">
        <v>60</v>
      </c>
      <c r="H983" s="3" t="s">
        <v>59</v>
      </c>
      <c r="I983" s="3" t="s">
        <v>59</v>
      </c>
      <c r="J983" s="3" t="s">
        <v>61</v>
      </c>
      <c r="K983" s="2" t="s">
        <v>12416</v>
      </c>
      <c r="L983" s="2" t="s">
        <v>12417</v>
      </c>
      <c r="M983" s="3" t="s">
        <v>365</v>
      </c>
      <c r="O983" s="3" t="s">
        <v>65</v>
      </c>
      <c r="P983" s="3" t="s">
        <v>283</v>
      </c>
      <c r="R983" s="3" t="s">
        <v>68</v>
      </c>
      <c r="S983" s="4">
        <v>8</v>
      </c>
      <c r="T983" s="4">
        <v>8</v>
      </c>
      <c r="U983" s="5" t="s">
        <v>12418</v>
      </c>
      <c r="V983" s="5" t="s">
        <v>12418</v>
      </c>
      <c r="W983" s="5" t="s">
        <v>5066</v>
      </c>
      <c r="X983" s="5" t="s">
        <v>5066</v>
      </c>
      <c r="Y983" s="4">
        <v>770</v>
      </c>
      <c r="Z983" s="4">
        <v>636</v>
      </c>
      <c r="AA983" s="4">
        <v>643</v>
      </c>
      <c r="AB983" s="4">
        <v>6</v>
      </c>
      <c r="AC983" s="4">
        <v>6</v>
      </c>
      <c r="AD983" s="4">
        <v>32</v>
      </c>
      <c r="AE983" s="4">
        <v>32</v>
      </c>
      <c r="AF983" s="4">
        <v>12</v>
      </c>
      <c r="AG983" s="4">
        <v>12</v>
      </c>
      <c r="AH983" s="4">
        <v>5</v>
      </c>
      <c r="AI983" s="4">
        <v>5</v>
      </c>
      <c r="AJ983" s="4">
        <v>18</v>
      </c>
      <c r="AK983" s="4">
        <v>18</v>
      </c>
      <c r="AL983" s="4">
        <v>5</v>
      </c>
      <c r="AM983" s="4">
        <v>5</v>
      </c>
      <c r="AN983" s="4">
        <v>0</v>
      </c>
      <c r="AO983" s="4">
        <v>0</v>
      </c>
      <c r="AP983" s="3" t="s">
        <v>59</v>
      </c>
      <c r="AQ983" s="3" t="s">
        <v>71</v>
      </c>
      <c r="AR983" s="6" t="str">
        <f>HYPERLINK("http://catalog.hathitrust.org/Record/001093541","HathiTrust Record")</f>
        <v>HathiTrust Record</v>
      </c>
      <c r="AS983" s="6" t="str">
        <f>HYPERLINK("https://creighton-primo.hosted.exlibrisgroup.com/primo-explore/search?tab=default_tab&amp;search_scope=EVERYTHING&amp;vid=01CRU&amp;lang=en_US&amp;offset=0&amp;query=any,contains,991001353319702656","Catalog Record")</f>
        <v>Catalog Record</v>
      </c>
      <c r="AT983" s="6" t="str">
        <f>HYPERLINK("http://www.worldcat.org/oclc/18462876","WorldCat Record")</f>
        <v>WorldCat Record</v>
      </c>
      <c r="AU983" s="3" t="s">
        <v>12419</v>
      </c>
      <c r="AV983" s="3" t="s">
        <v>12420</v>
      </c>
      <c r="AW983" s="3" t="s">
        <v>12421</v>
      </c>
      <c r="AX983" s="3" t="s">
        <v>12421</v>
      </c>
      <c r="AY983" s="3" t="s">
        <v>12422</v>
      </c>
      <c r="AZ983" s="3" t="s">
        <v>76</v>
      </c>
      <c r="BB983" s="3" t="s">
        <v>12423</v>
      </c>
      <c r="BC983" s="3" t="s">
        <v>12424</v>
      </c>
      <c r="BD983" s="3" t="s">
        <v>12425</v>
      </c>
    </row>
    <row r="984" spans="1:56" ht="52.5" customHeight="1" x14ac:dyDescent="0.25">
      <c r="A984" s="7" t="s">
        <v>59</v>
      </c>
      <c r="B984" s="2" t="s">
        <v>12426</v>
      </c>
      <c r="C984" s="2" t="s">
        <v>12427</v>
      </c>
      <c r="D984" s="2" t="s">
        <v>12428</v>
      </c>
      <c r="F984" s="3" t="s">
        <v>59</v>
      </c>
      <c r="G984" s="3" t="s">
        <v>60</v>
      </c>
      <c r="H984" s="3" t="s">
        <v>59</v>
      </c>
      <c r="I984" s="3" t="s">
        <v>59</v>
      </c>
      <c r="J984" s="3" t="s">
        <v>61</v>
      </c>
      <c r="L984" s="2" t="s">
        <v>12429</v>
      </c>
      <c r="M984" s="3" t="s">
        <v>350</v>
      </c>
      <c r="O984" s="3" t="s">
        <v>65</v>
      </c>
      <c r="P984" s="3" t="s">
        <v>323</v>
      </c>
      <c r="Q984" s="2" t="s">
        <v>12430</v>
      </c>
      <c r="R984" s="3" t="s">
        <v>68</v>
      </c>
      <c r="S984" s="4">
        <v>1</v>
      </c>
      <c r="T984" s="4">
        <v>1</v>
      </c>
      <c r="U984" s="5" t="s">
        <v>12431</v>
      </c>
      <c r="V984" s="5" t="s">
        <v>12431</v>
      </c>
      <c r="W984" s="5" t="s">
        <v>12432</v>
      </c>
      <c r="X984" s="5" t="s">
        <v>12432</v>
      </c>
      <c r="Y984" s="4">
        <v>431</v>
      </c>
      <c r="Z984" s="4">
        <v>325</v>
      </c>
      <c r="AA984" s="4">
        <v>334</v>
      </c>
      <c r="AB984" s="4">
        <v>3</v>
      </c>
      <c r="AC984" s="4">
        <v>3</v>
      </c>
      <c r="AD984" s="4">
        <v>11</v>
      </c>
      <c r="AE984" s="4">
        <v>11</v>
      </c>
      <c r="AF984" s="4">
        <v>4</v>
      </c>
      <c r="AG984" s="4">
        <v>4</v>
      </c>
      <c r="AH984" s="4">
        <v>3</v>
      </c>
      <c r="AI984" s="4">
        <v>3</v>
      </c>
      <c r="AJ984" s="4">
        <v>5</v>
      </c>
      <c r="AK984" s="4">
        <v>5</v>
      </c>
      <c r="AL984" s="4">
        <v>2</v>
      </c>
      <c r="AM984" s="4">
        <v>2</v>
      </c>
      <c r="AN984" s="4">
        <v>0</v>
      </c>
      <c r="AO984" s="4">
        <v>0</v>
      </c>
      <c r="AP984" s="3" t="s">
        <v>59</v>
      </c>
      <c r="AQ984" s="3" t="s">
        <v>71</v>
      </c>
      <c r="AR984" s="6" t="str">
        <f>HYPERLINK("http://catalog.hathitrust.org/Record/000210657","HathiTrust Record")</f>
        <v>HathiTrust Record</v>
      </c>
      <c r="AS984" s="6" t="str">
        <f>HYPERLINK("https://creighton-primo.hosted.exlibrisgroup.com/primo-explore/search?tab=default_tab&amp;search_scope=EVERYTHING&amp;vid=01CRU&amp;lang=en_US&amp;offset=0&amp;query=any,contains,991004254539702656","Catalog Record")</f>
        <v>Catalog Record</v>
      </c>
      <c r="AT984" s="6" t="str">
        <f>HYPERLINK("http://www.worldcat.org/oclc/2818803","WorldCat Record")</f>
        <v>WorldCat Record</v>
      </c>
      <c r="AU984" s="3" t="s">
        <v>12433</v>
      </c>
      <c r="AV984" s="3" t="s">
        <v>12434</v>
      </c>
      <c r="AW984" s="3" t="s">
        <v>12435</v>
      </c>
      <c r="AX984" s="3" t="s">
        <v>12435</v>
      </c>
      <c r="AY984" s="3" t="s">
        <v>12436</v>
      </c>
      <c r="AZ984" s="3" t="s">
        <v>76</v>
      </c>
      <c r="BB984" s="3" t="s">
        <v>12437</v>
      </c>
      <c r="BC984" s="3" t="s">
        <v>12438</v>
      </c>
      <c r="BD984" s="3" t="s">
        <v>12439</v>
      </c>
    </row>
    <row r="985" spans="1:56" ht="52.5" customHeight="1" x14ac:dyDescent="0.25">
      <c r="A985" s="7" t="s">
        <v>59</v>
      </c>
      <c r="B985" s="2" t="s">
        <v>12440</v>
      </c>
      <c r="C985" s="2" t="s">
        <v>12441</v>
      </c>
      <c r="D985" s="2" t="s">
        <v>12442</v>
      </c>
      <c r="F985" s="3" t="s">
        <v>59</v>
      </c>
      <c r="G985" s="3" t="s">
        <v>60</v>
      </c>
      <c r="H985" s="3" t="s">
        <v>59</v>
      </c>
      <c r="I985" s="3" t="s">
        <v>59</v>
      </c>
      <c r="J985" s="3" t="s">
        <v>61</v>
      </c>
      <c r="K985" s="2" t="s">
        <v>12443</v>
      </c>
      <c r="L985" s="2" t="s">
        <v>12444</v>
      </c>
      <c r="M985" s="3" t="s">
        <v>254</v>
      </c>
      <c r="N985" s="2" t="s">
        <v>435</v>
      </c>
      <c r="O985" s="3" t="s">
        <v>65</v>
      </c>
      <c r="P985" s="3" t="s">
        <v>66</v>
      </c>
      <c r="R985" s="3" t="s">
        <v>68</v>
      </c>
      <c r="S985" s="4">
        <v>2</v>
      </c>
      <c r="T985" s="4">
        <v>2</v>
      </c>
      <c r="U985" s="5" t="s">
        <v>12445</v>
      </c>
      <c r="V985" s="5" t="s">
        <v>12445</v>
      </c>
      <c r="W985" s="5" t="s">
        <v>12015</v>
      </c>
      <c r="X985" s="5" t="s">
        <v>12015</v>
      </c>
      <c r="Y985" s="4">
        <v>548</v>
      </c>
      <c r="Z985" s="4">
        <v>493</v>
      </c>
      <c r="AA985" s="4">
        <v>494</v>
      </c>
      <c r="AB985" s="4">
        <v>6</v>
      </c>
      <c r="AC985" s="4">
        <v>6</v>
      </c>
      <c r="AD985" s="4">
        <v>31</v>
      </c>
      <c r="AE985" s="4">
        <v>31</v>
      </c>
      <c r="AF985" s="4">
        <v>8</v>
      </c>
      <c r="AG985" s="4">
        <v>8</v>
      </c>
      <c r="AH985" s="4">
        <v>9</v>
      </c>
      <c r="AI985" s="4">
        <v>9</v>
      </c>
      <c r="AJ985" s="4">
        <v>20</v>
      </c>
      <c r="AK985" s="4">
        <v>20</v>
      </c>
      <c r="AL985" s="4">
        <v>4</v>
      </c>
      <c r="AM985" s="4">
        <v>4</v>
      </c>
      <c r="AN985" s="4">
        <v>0</v>
      </c>
      <c r="AO985" s="4">
        <v>0</v>
      </c>
      <c r="AP985" s="3" t="s">
        <v>59</v>
      </c>
      <c r="AQ985" s="3" t="s">
        <v>59</v>
      </c>
      <c r="AS985" s="6" t="str">
        <f>HYPERLINK("https://creighton-primo.hosted.exlibrisgroup.com/primo-explore/search?tab=default_tab&amp;search_scope=EVERYTHING&amp;vid=01CRU&amp;lang=en_US&amp;offset=0&amp;query=any,contains,991000085419702656","Catalog Record")</f>
        <v>Catalog Record</v>
      </c>
      <c r="AT985" s="6" t="str">
        <f>HYPERLINK("http://www.worldcat.org/oclc/33552","WorldCat Record")</f>
        <v>WorldCat Record</v>
      </c>
      <c r="AU985" s="3" t="s">
        <v>12446</v>
      </c>
      <c r="AV985" s="3" t="s">
        <v>12447</v>
      </c>
      <c r="AW985" s="3" t="s">
        <v>12448</v>
      </c>
      <c r="AX985" s="3" t="s">
        <v>12448</v>
      </c>
      <c r="AY985" s="3" t="s">
        <v>12449</v>
      </c>
      <c r="AZ985" s="3" t="s">
        <v>76</v>
      </c>
      <c r="BC985" s="3" t="s">
        <v>12450</v>
      </c>
      <c r="BD985" s="3" t="s">
        <v>12451</v>
      </c>
    </row>
    <row r="986" spans="1:56" ht="52.5" customHeight="1" x14ac:dyDescent="0.25">
      <c r="A986" s="7" t="s">
        <v>59</v>
      </c>
      <c r="B986" s="2" t="s">
        <v>12452</v>
      </c>
      <c r="C986" s="2" t="s">
        <v>12453</v>
      </c>
      <c r="D986" s="2" t="s">
        <v>12454</v>
      </c>
      <c r="F986" s="3" t="s">
        <v>59</v>
      </c>
      <c r="G986" s="3" t="s">
        <v>60</v>
      </c>
      <c r="H986" s="3" t="s">
        <v>59</v>
      </c>
      <c r="I986" s="3" t="s">
        <v>59</v>
      </c>
      <c r="J986" s="3" t="s">
        <v>61</v>
      </c>
      <c r="L986" s="2" t="s">
        <v>12455</v>
      </c>
      <c r="M986" s="3" t="s">
        <v>1217</v>
      </c>
      <c r="O986" s="3" t="s">
        <v>65</v>
      </c>
      <c r="P986" s="3" t="s">
        <v>1262</v>
      </c>
      <c r="R986" s="3" t="s">
        <v>68</v>
      </c>
      <c r="S986" s="4">
        <v>7</v>
      </c>
      <c r="T986" s="4">
        <v>7</v>
      </c>
      <c r="U986" s="5" t="s">
        <v>12456</v>
      </c>
      <c r="V986" s="5" t="s">
        <v>12456</v>
      </c>
      <c r="W986" s="5" t="s">
        <v>12257</v>
      </c>
      <c r="X986" s="5" t="s">
        <v>12257</v>
      </c>
      <c r="Y986" s="4">
        <v>634</v>
      </c>
      <c r="Z986" s="4">
        <v>466</v>
      </c>
      <c r="AA986" s="4">
        <v>482</v>
      </c>
      <c r="AB986" s="4">
        <v>5</v>
      </c>
      <c r="AC986" s="4">
        <v>5</v>
      </c>
      <c r="AD986" s="4">
        <v>22</v>
      </c>
      <c r="AE986" s="4">
        <v>22</v>
      </c>
      <c r="AF986" s="4">
        <v>7</v>
      </c>
      <c r="AG986" s="4">
        <v>7</v>
      </c>
      <c r="AH986" s="4">
        <v>6</v>
      </c>
      <c r="AI986" s="4">
        <v>6</v>
      </c>
      <c r="AJ986" s="4">
        <v>11</v>
      </c>
      <c r="AK986" s="4">
        <v>11</v>
      </c>
      <c r="AL986" s="4">
        <v>4</v>
      </c>
      <c r="AM986" s="4">
        <v>4</v>
      </c>
      <c r="AN986" s="4">
        <v>0</v>
      </c>
      <c r="AO986" s="4">
        <v>0</v>
      </c>
      <c r="AP986" s="3" t="s">
        <v>59</v>
      </c>
      <c r="AQ986" s="3" t="s">
        <v>59</v>
      </c>
      <c r="AS986" s="6" t="str">
        <f>HYPERLINK("https://creighton-primo.hosted.exlibrisgroup.com/primo-explore/search?tab=default_tab&amp;search_scope=EVERYTHING&amp;vid=01CRU&amp;lang=en_US&amp;offset=0&amp;query=any,contains,991000473149702656","Catalog Record")</f>
        <v>Catalog Record</v>
      </c>
      <c r="AT986" s="6" t="str">
        <f>HYPERLINK("http://www.worldcat.org/oclc/10998759","WorldCat Record")</f>
        <v>WorldCat Record</v>
      </c>
      <c r="AU986" s="3" t="s">
        <v>12457</v>
      </c>
      <c r="AV986" s="3" t="s">
        <v>12458</v>
      </c>
      <c r="AW986" s="3" t="s">
        <v>12459</v>
      </c>
      <c r="AX986" s="3" t="s">
        <v>12459</v>
      </c>
      <c r="AY986" s="3" t="s">
        <v>12460</v>
      </c>
      <c r="AZ986" s="3" t="s">
        <v>76</v>
      </c>
      <c r="BB986" s="3" t="s">
        <v>12461</v>
      </c>
      <c r="BC986" s="3" t="s">
        <v>12462</v>
      </c>
      <c r="BD986" s="3" t="s">
        <v>12463</v>
      </c>
    </row>
    <row r="987" spans="1:56" ht="52.5" customHeight="1" x14ac:dyDescent="0.25">
      <c r="A987" s="7" t="s">
        <v>59</v>
      </c>
      <c r="B987" s="2" t="s">
        <v>12464</v>
      </c>
      <c r="C987" s="2" t="s">
        <v>12465</v>
      </c>
      <c r="D987" s="2" t="s">
        <v>12466</v>
      </c>
      <c r="F987" s="3" t="s">
        <v>59</v>
      </c>
      <c r="G987" s="3" t="s">
        <v>60</v>
      </c>
      <c r="H987" s="3" t="s">
        <v>71</v>
      </c>
      <c r="I987" s="3" t="s">
        <v>59</v>
      </c>
      <c r="J987" s="3" t="s">
        <v>61</v>
      </c>
      <c r="L987" s="2" t="s">
        <v>12467</v>
      </c>
      <c r="M987" s="3" t="s">
        <v>1217</v>
      </c>
      <c r="O987" s="3" t="s">
        <v>65</v>
      </c>
      <c r="P987" s="3" t="s">
        <v>4685</v>
      </c>
      <c r="R987" s="3" t="s">
        <v>68</v>
      </c>
      <c r="S987" s="4">
        <v>4</v>
      </c>
      <c r="T987" s="4">
        <v>4</v>
      </c>
      <c r="U987" s="5" t="s">
        <v>7621</v>
      </c>
      <c r="V987" s="5" t="s">
        <v>7621</v>
      </c>
      <c r="W987" s="5" t="s">
        <v>12257</v>
      </c>
      <c r="X987" s="5" t="s">
        <v>12257</v>
      </c>
      <c r="Y987" s="4">
        <v>541</v>
      </c>
      <c r="Z987" s="4">
        <v>397</v>
      </c>
      <c r="AA987" s="4">
        <v>430</v>
      </c>
      <c r="AB987" s="4">
        <v>7</v>
      </c>
      <c r="AC987" s="4">
        <v>7</v>
      </c>
      <c r="AD987" s="4">
        <v>20</v>
      </c>
      <c r="AE987" s="4">
        <v>21</v>
      </c>
      <c r="AF987" s="4">
        <v>4</v>
      </c>
      <c r="AG987" s="4">
        <v>5</v>
      </c>
      <c r="AH987" s="4">
        <v>4</v>
      </c>
      <c r="AI987" s="4">
        <v>4</v>
      </c>
      <c r="AJ987" s="4">
        <v>10</v>
      </c>
      <c r="AK987" s="4">
        <v>10</v>
      </c>
      <c r="AL987" s="4">
        <v>5</v>
      </c>
      <c r="AM987" s="4">
        <v>5</v>
      </c>
      <c r="AN987" s="4">
        <v>0</v>
      </c>
      <c r="AO987" s="4">
        <v>0</v>
      </c>
      <c r="AP987" s="3" t="s">
        <v>59</v>
      </c>
      <c r="AQ987" s="3" t="s">
        <v>71</v>
      </c>
      <c r="AR987" s="6" t="str">
        <f>HYPERLINK("http://catalog.hathitrust.org/Record/000321557","HathiTrust Record")</f>
        <v>HathiTrust Record</v>
      </c>
      <c r="AS987" s="6" t="str">
        <f>HYPERLINK("https://creighton-primo.hosted.exlibrisgroup.com/primo-explore/search?tab=default_tab&amp;search_scope=EVERYTHING&amp;vid=01CRU&amp;lang=en_US&amp;offset=0&amp;query=any,contains,991000231589702656","Catalog Record")</f>
        <v>Catalog Record</v>
      </c>
      <c r="AT987" s="6" t="str">
        <f>HYPERLINK("http://www.worldcat.org/oclc/9644144","WorldCat Record")</f>
        <v>WorldCat Record</v>
      </c>
      <c r="AU987" s="3" t="s">
        <v>12468</v>
      </c>
      <c r="AV987" s="3" t="s">
        <v>12469</v>
      </c>
      <c r="AW987" s="3" t="s">
        <v>12470</v>
      </c>
      <c r="AX987" s="3" t="s">
        <v>12470</v>
      </c>
      <c r="AY987" s="3" t="s">
        <v>12471</v>
      </c>
      <c r="AZ987" s="3" t="s">
        <v>76</v>
      </c>
      <c r="BB987" s="3" t="s">
        <v>12472</v>
      </c>
      <c r="BC987" s="3" t="s">
        <v>12473</v>
      </c>
      <c r="BD987" s="3" t="s">
        <v>12474</v>
      </c>
    </row>
    <row r="988" spans="1:56" ht="52.5" customHeight="1" x14ac:dyDescent="0.25">
      <c r="A988" s="7" t="s">
        <v>59</v>
      </c>
      <c r="B988" s="2" t="s">
        <v>12475</v>
      </c>
      <c r="C988" s="2" t="s">
        <v>12476</v>
      </c>
      <c r="D988" s="2" t="s">
        <v>12477</v>
      </c>
      <c r="F988" s="3" t="s">
        <v>59</v>
      </c>
      <c r="G988" s="3" t="s">
        <v>60</v>
      </c>
      <c r="H988" s="3" t="s">
        <v>59</v>
      </c>
      <c r="I988" s="3" t="s">
        <v>59</v>
      </c>
      <c r="J988" s="3" t="s">
        <v>61</v>
      </c>
      <c r="L988" s="2" t="s">
        <v>239</v>
      </c>
      <c r="M988" s="3" t="s">
        <v>195</v>
      </c>
      <c r="O988" s="3" t="s">
        <v>65</v>
      </c>
      <c r="P988" s="3" t="s">
        <v>66</v>
      </c>
      <c r="R988" s="3" t="s">
        <v>68</v>
      </c>
      <c r="S988" s="4">
        <v>3</v>
      </c>
      <c r="T988" s="4">
        <v>3</v>
      </c>
      <c r="U988" s="5" t="s">
        <v>12478</v>
      </c>
      <c r="V988" s="5" t="s">
        <v>12478</v>
      </c>
      <c r="W988" s="5" t="s">
        <v>12479</v>
      </c>
      <c r="X988" s="5" t="s">
        <v>12479</v>
      </c>
      <c r="Y988" s="4">
        <v>259</v>
      </c>
      <c r="Z988" s="4">
        <v>210</v>
      </c>
      <c r="AA988" s="4">
        <v>221</v>
      </c>
      <c r="AB988" s="4">
        <v>2</v>
      </c>
      <c r="AC988" s="4">
        <v>2</v>
      </c>
      <c r="AD988" s="4">
        <v>7</v>
      </c>
      <c r="AE988" s="4">
        <v>7</v>
      </c>
      <c r="AF988" s="4">
        <v>1</v>
      </c>
      <c r="AG988" s="4">
        <v>1</v>
      </c>
      <c r="AH988" s="4">
        <v>2</v>
      </c>
      <c r="AI988" s="4">
        <v>2</v>
      </c>
      <c r="AJ988" s="4">
        <v>4</v>
      </c>
      <c r="AK988" s="4">
        <v>4</v>
      </c>
      <c r="AL988" s="4">
        <v>1</v>
      </c>
      <c r="AM988" s="4">
        <v>1</v>
      </c>
      <c r="AN988" s="4">
        <v>0</v>
      </c>
      <c r="AO988" s="4">
        <v>0</v>
      </c>
      <c r="AP988" s="3" t="s">
        <v>59</v>
      </c>
      <c r="AQ988" s="3" t="s">
        <v>59</v>
      </c>
      <c r="AS988" s="6" t="str">
        <f>HYPERLINK("https://creighton-primo.hosted.exlibrisgroup.com/primo-explore/search?tab=default_tab&amp;search_scope=EVERYTHING&amp;vid=01CRU&amp;lang=en_US&amp;offset=0&amp;query=any,contains,991005136899702656","Catalog Record")</f>
        <v>Catalog Record</v>
      </c>
      <c r="AT988" s="6" t="str">
        <f>HYPERLINK("http://www.worldcat.org/oclc/7577987","WorldCat Record")</f>
        <v>WorldCat Record</v>
      </c>
      <c r="AU988" s="3" t="s">
        <v>12480</v>
      </c>
      <c r="AV988" s="3" t="s">
        <v>12481</v>
      </c>
      <c r="AW988" s="3" t="s">
        <v>12482</v>
      </c>
      <c r="AX988" s="3" t="s">
        <v>12482</v>
      </c>
      <c r="AY988" s="3" t="s">
        <v>12483</v>
      </c>
      <c r="AZ988" s="3" t="s">
        <v>76</v>
      </c>
      <c r="BB988" s="3" t="s">
        <v>12484</v>
      </c>
      <c r="BC988" s="3" t="s">
        <v>12485</v>
      </c>
      <c r="BD988" s="3" t="s">
        <v>12486</v>
      </c>
    </row>
    <row r="989" spans="1:56" ht="52.5" customHeight="1" x14ac:dyDescent="0.25">
      <c r="A989" s="7" t="s">
        <v>59</v>
      </c>
      <c r="B989" s="2" t="s">
        <v>12487</v>
      </c>
      <c r="C989" s="2" t="s">
        <v>12488</v>
      </c>
      <c r="D989" s="2" t="s">
        <v>12489</v>
      </c>
      <c r="F989" s="3" t="s">
        <v>59</v>
      </c>
      <c r="G989" s="3" t="s">
        <v>60</v>
      </c>
      <c r="H989" s="3" t="s">
        <v>59</v>
      </c>
      <c r="I989" s="3" t="s">
        <v>59</v>
      </c>
      <c r="J989" s="3" t="s">
        <v>61</v>
      </c>
      <c r="K989" s="2" t="s">
        <v>12490</v>
      </c>
      <c r="L989" s="2" t="s">
        <v>12491</v>
      </c>
      <c r="M989" s="3" t="s">
        <v>1163</v>
      </c>
      <c r="O989" s="3" t="s">
        <v>65</v>
      </c>
      <c r="P989" s="3" t="s">
        <v>283</v>
      </c>
      <c r="R989" s="3" t="s">
        <v>68</v>
      </c>
      <c r="S989" s="4">
        <v>11</v>
      </c>
      <c r="T989" s="4">
        <v>11</v>
      </c>
      <c r="U989" s="5" t="s">
        <v>12478</v>
      </c>
      <c r="V989" s="5" t="s">
        <v>12478</v>
      </c>
      <c r="W989" s="5" t="s">
        <v>12492</v>
      </c>
      <c r="X989" s="5" t="s">
        <v>12492</v>
      </c>
      <c r="Y989" s="4">
        <v>492</v>
      </c>
      <c r="Z989" s="4">
        <v>443</v>
      </c>
      <c r="AA989" s="4">
        <v>449</v>
      </c>
      <c r="AB989" s="4">
        <v>2</v>
      </c>
      <c r="AC989" s="4">
        <v>2</v>
      </c>
      <c r="AD989" s="4">
        <v>8</v>
      </c>
      <c r="AE989" s="4">
        <v>8</v>
      </c>
      <c r="AF989" s="4">
        <v>4</v>
      </c>
      <c r="AG989" s="4">
        <v>4</v>
      </c>
      <c r="AH989" s="4">
        <v>0</v>
      </c>
      <c r="AI989" s="4">
        <v>0</v>
      </c>
      <c r="AJ989" s="4">
        <v>3</v>
      </c>
      <c r="AK989" s="4">
        <v>3</v>
      </c>
      <c r="AL989" s="4">
        <v>1</v>
      </c>
      <c r="AM989" s="4">
        <v>1</v>
      </c>
      <c r="AN989" s="4">
        <v>0</v>
      </c>
      <c r="AO989" s="4">
        <v>0</v>
      </c>
      <c r="AP989" s="3" t="s">
        <v>59</v>
      </c>
      <c r="AQ989" s="3" t="s">
        <v>59</v>
      </c>
      <c r="AS989" s="6" t="str">
        <f>HYPERLINK("https://creighton-primo.hosted.exlibrisgroup.com/primo-explore/search?tab=default_tab&amp;search_scope=EVERYTHING&amp;vid=01CRU&amp;lang=en_US&amp;offset=0&amp;query=any,contains,991000626029702656","Catalog Record")</f>
        <v>Catalog Record</v>
      </c>
      <c r="AT989" s="6" t="str">
        <f>HYPERLINK("http://www.worldcat.org/oclc/12022484","WorldCat Record")</f>
        <v>WorldCat Record</v>
      </c>
      <c r="AU989" s="3" t="s">
        <v>12493</v>
      </c>
      <c r="AV989" s="3" t="s">
        <v>12494</v>
      </c>
      <c r="AW989" s="3" t="s">
        <v>12495</v>
      </c>
      <c r="AX989" s="3" t="s">
        <v>12495</v>
      </c>
      <c r="AY989" s="3" t="s">
        <v>12496</v>
      </c>
      <c r="AZ989" s="3" t="s">
        <v>76</v>
      </c>
      <c r="BB989" s="3" t="s">
        <v>12497</v>
      </c>
      <c r="BC989" s="3" t="s">
        <v>12498</v>
      </c>
      <c r="BD989" s="3" t="s">
        <v>12499</v>
      </c>
    </row>
    <row r="990" spans="1:56" ht="52.5" customHeight="1" x14ac:dyDescent="0.25">
      <c r="A990" s="7" t="s">
        <v>59</v>
      </c>
      <c r="B990" s="2" t="s">
        <v>12500</v>
      </c>
      <c r="C990" s="2" t="s">
        <v>12501</v>
      </c>
      <c r="D990" s="2" t="s">
        <v>12502</v>
      </c>
      <c r="F990" s="3" t="s">
        <v>59</v>
      </c>
      <c r="G990" s="3" t="s">
        <v>60</v>
      </c>
      <c r="H990" s="3" t="s">
        <v>59</v>
      </c>
      <c r="I990" s="3" t="s">
        <v>59</v>
      </c>
      <c r="J990" s="3" t="s">
        <v>61</v>
      </c>
      <c r="K990" s="2" t="s">
        <v>12503</v>
      </c>
      <c r="L990" s="2" t="s">
        <v>12504</v>
      </c>
      <c r="M990" s="3" t="s">
        <v>164</v>
      </c>
      <c r="N990" s="2" t="s">
        <v>12505</v>
      </c>
      <c r="O990" s="3" t="s">
        <v>65</v>
      </c>
      <c r="P990" s="3" t="s">
        <v>66</v>
      </c>
      <c r="R990" s="3" t="s">
        <v>68</v>
      </c>
      <c r="S990" s="4">
        <v>12</v>
      </c>
      <c r="T990" s="4">
        <v>12</v>
      </c>
      <c r="U990" s="5" t="s">
        <v>12506</v>
      </c>
      <c r="V990" s="5" t="s">
        <v>12506</v>
      </c>
      <c r="W990" s="5" t="s">
        <v>324</v>
      </c>
      <c r="X990" s="5" t="s">
        <v>324</v>
      </c>
      <c r="Y990" s="4">
        <v>92</v>
      </c>
      <c r="Z990" s="4">
        <v>82</v>
      </c>
      <c r="AA990" s="4">
        <v>594</v>
      </c>
      <c r="AB990" s="4">
        <v>2</v>
      </c>
      <c r="AC990" s="4">
        <v>5</v>
      </c>
      <c r="AD990" s="4">
        <v>3</v>
      </c>
      <c r="AE990" s="4">
        <v>19</v>
      </c>
      <c r="AF990" s="4">
        <v>0</v>
      </c>
      <c r="AG990" s="4">
        <v>6</v>
      </c>
      <c r="AH990" s="4">
        <v>0</v>
      </c>
      <c r="AI990" s="4">
        <v>3</v>
      </c>
      <c r="AJ990" s="4">
        <v>2</v>
      </c>
      <c r="AK990" s="4">
        <v>11</v>
      </c>
      <c r="AL990" s="4">
        <v>1</v>
      </c>
      <c r="AM990" s="4">
        <v>3</v>
      </c>
      <c r="AN990" s="4">
        <v>0</v>
      </c>
      <c r="AO990" s="4">
        <v>0</v>
      </c>
      <c r="AP990" s="3" t="s">
        <v>59</v>
      </c>
      <c r="AQ990" s="3" t="s">
        <v>59</v>
      </c>
      <c r="AS990" s="6" t="str">
        <f>HYPERLINK("https://creighton-primo.hosted.exlibrisgroup.com/primo-explore/search?tab=default_tab&amp;search_scope=EVERYTHING&amp;vid=01CRU&amp;lang=en_US&amp;offset=0&amp;query=any,contains,991004920959702656","Catalog Record")</f>
        <v>Catalog Record</v>
      </c>
      <c r="AT990" s="6" t="str">
        <f>HYPERLINK("http://www.worldcat.org/oclc/6043043","WorldCat Record")</f>
        <v>WorldCat Record</v>
      </c>
      <c r="AU990" s="3" t="s">
        <v>12507</v>
      </c>
      <c r="AV990" s="3" t="s">
        <v>12508</v>
      </c>
      <c r="AW990" s="3" t="s">
        <v>12509</v>
      </c>
      <c r="AX990" s="3" t="s">
        <v>12509</v>
      </c>
      <c r="AY990" s="3" t="s">
        <v>12510</v>
      </c>
      <c r="AZ990" s="3" t="s">
        <v>76</v>
      </c>
      <c r="BB990" s="3" t="s">
        <v>12511</v>
      </c>
      <c r="BC990" s="3" t="s">
        <v>12512</v>
      </c>
      <c r="BD990" s="3" t="s">
        <v>12513</v>
      </c>
    </row>
    <row r="991" spans="1:56" ht="52.5" customHeight="1" x14ac:dyDescent="0.25">
      <c r="A991" s="7" t="s">
        <v>59</v>
      </c>
      <c r="B991" s="2" t="s">
        <v>12514</v>
      </c>
      <c r="C991" s="2" t="s">
        <v>12515</v>
      </c>
      <c r="D991" s="2" t="s">
        <v>12516</v>
      </c>
      <c r="F991" s="3" t="s">
        <v>59</v>
      </c>
      <c r="G991" s="3" t="s">
        <v>60</v>
      </c>
      <c r="H991" s="3" t="s">
        <v>59</v>
      </c>
      <c r="I991" s="3" t="s">
        <v>59</v>
      </c>
      <c r="J991" s="3" t="s">
        <v>61</v>
      </c>
      <c r="L991" s="2" t="s">
        <v>12517</v>
      </c>
      <c r="M991" s="3" t="s">
        <v>195</v>
      </c>
      <c r="O991" s="3" t="s">
        <v>65</v>
      </c>
      <c r="P991" s="3" t="s">
        <v>66</v>
      </c>
      <c r="R991" s="3" t="s">
        <v>68</v>
      </c>
      <c r="S991" s="4">
        <v>3</v>
      </c>
      <c r="T991" s="4">
        <v>3</v>
      </c>
      <c r="U991" s="5" t="s">
        <v>12518</v>
      </c>
      <c r="V991" s="5" t="s">
        <v>12518</v>
      </c>
      <c r="W991" s="5" t="s">
        <v>12257</v>
      </c>
      <c r="X991" s="5" t="s">
        <v>12257</v>
      </c>
      <c r="Y991" s="4">
        <v>266</v>
      </c>
      <c r="Z991" s="4">
        <v>232</v>
      </c>
      <c r="AA991" s="4">
        <v>283</v>
      </c>
      <c r="AB991" s="4">
        <v>2</v>
      </c>
      <c r="AC991" s="4">
        <v>4</v>
      </c>
      <c r="AD991" s="4">
        <v>6</v>
      </c>
      <c r="AE991" s="4">
        <v>9</v>
      </c>
      <c r="AF991" s="4">
        <v>1</v>
      </c>
      <c r="AG991" s="4">
        <v>1</v>
      </c>
      <c r="AH991" s="4">
        <v>2</v>
      </c>
      <c r="AI991" s="4">
        <v>2</v>
      </c>
      <c r="AJ991" s="4">
        <v>3</v>
      </c>
      <c r="AK991" s="4">
        <v>4</v>
      </c>
      <c r="AL991" s="4">
        <v>1</v>
      </c>
      <c r="AM991" s="4">
        <v>3</v>
      </c>
      <c r="AN991" s="4">
        <v>0</v>
      </c>
      <c r="AO991" s="4">
        <v>0</v>
      </c>
      <c r="AP991" s="3" t="s">
        <v>59</v>
      </c>
      <c r="AQ991" s="3" t="s">
        <v>59</v>
      </c>
      <c r="AS991" s="6" t="str">
        <f>HYPERLINK("https://creighton-primo.hosted.exlibrisgroup.com/primo-explore/search?tab=default_tab&amp;search_scope=EVERYTHING&amp;vid=01CRU&amp;lang=en_US&amp;offset=0&amp;query=any,contains,991005186469702656","Catalog Record")</f>
        <v>Catalog Record</v>
      </c>
      <c r="AT991" s="6" t="str">
        <f>HYPERLINK("http://www.worldcat.org/oclc/7976522","WorldCat Record")</f>
        <v>WorldCat Record</v>
      </c>
      <c r="AU991" s="3" t="s">
        <v>12519</v>
      </c>
      <c r="AV991" s="3" t="s">
        <v>12520</v>
      </c>
      <c r="AW991" s="3" t="s">
        <v>12521</v>
      </c>
      <c r="AX991" s="3" t="s">
        <v>12521</v>
      </c>
      <c r="AY991" s="3" t="s">
        <v>12522</v>
      </c>
      <c r="AZ991" s="3" t="s">
        <v>76</v>
      </c>
      <c r="BB991" s="3" t="s">
        <v>12523</v>
      </c>
      <c r="BC991" s="3" t="s">
        <v>12524</v>
      </c>
      <c r="BD991" s="3" t="s">
        <v>12525</v>
      </c>
    </row>
    <row r="992" spans="1:56" ht="52.5" customHeight="1" x14ac:dyDescent="0.25">
      <c r="A992" s="7" t="s">
        <v>59</v>
      </c>
      <c r="B992" s="2" t="s">
        <v>12526</v>
      </c>
      <c r="C992" s="2" t="s">
        <v>12527</v>
      </c>
      <c r="D992" s="2" t="s">
        <v>12528</v>
      </c>
      <c r="F992" s="3" t="s">
        <v>59</v>
      </c>
      <c r="G992" s="3" t="s">
        <v>60</v>
      </c>
      <c r="H992" s="3" t="s">
        <v>59</v>
      </c>
      <c r="I992" s="3" t="s">
        <v>59</v>
      </c>
      <c r="J992" s="3" t="s">
        <v>61</v>
      </c>
      <c r="K992" s="2" t="s">
        <v>12529</v>
      </c>
      <c r="L992" s="2" t="s">
        <v>12530</v>
      </c>
      <c r="M992" s="3" t="s">
        <v>943</v>
      </c>
      <c r="O992" s="3" t="s">
        <v>65</v>
      </c>
      <c r="P992" s="3" t="s">
        <v>66</v>
      </c>
      <c r="R992" s="3" t="s">
        <v>68</v>
      </c>
      <c r="S992" s="4">
        <v>14</v>
      </c>
      <c r="T992" s="4">
        <v>14</v>
      </c>
      <c r="U992" s="5" t="s">
        <v>12518</v>
      </c>
      <c r="V992" s="5" t="s">
        <v>12518</v>
      </c>
      <c r="W992" s="5" t="s">
        <v>12531</v>
      </c>
      <c r="X992" s="5" t="s">
        <v>12531</v>
      </c>
      <c r="Y992" s="4">
        <v>385</v>
      </c>
      <c r="Z992" s="4">
        <v>326</v>
      </c>
      <c r="AA992" s="4">
        <v>345</v>
      </c>
      <c r="AB992" s="4">
        <v>3</v>
      </c>
      <c r="AC992" s="4">
        <v>3</v>
      </c>
      <c r="AD992" s="4">
        <v>5</v>
      </c>
      <c r="AE992" s="4">
        <v>5</v>
      </c>
      <c r="AF992" s="4">
        <v>0</v>
      </c>
      <c r="AG992" s="4">
        <v>0</v>
      </c>
      <c r="AH992" s="4">
        <v>0</v>
      </c>
      <c r="AI992" s="4">
        <v>0</v>
      </c>
      <c r="AJ992" s="4">
        <v>3</v>
      </c>
      <c r="AK992" s="4">
        <v>3</v>
      </c>
      <c r="AL992" s="4">
        <v>2</v>
      </c>
      <c r="AM992" s="4">
        <v>2</v>
      </c>
      <c r="AN992" s="4">
        <v>0</v>
      </c>
      <c r="AO992" s="4">
        <v>0</v>
      </c>
      <c r="AP992" s="3" t="s">
        <v>59</v>
      </c>
      <c r="AQ992" s="3" t="s">
        <v>71</v>
      </c>
      <c r="AR992" s="6" t="str">
        <f>HYPERLINK("http://catalog.hathitrust.org/Record/010661349","HathiTrust Record")</f>
        <v>HathiTrust Record</v>
      </c>
      <c r="AS992" s="6" t="str">
        <f>HYPERLINK("https://creighton-primo.hosted.exlibrisgroup.com/primo-explore/search?tab=default_tab&amp;search_scope=EVERYTHING&amp;vid=01CRU&amp;lang=en_US&amp;offset=0&amp;query=any,contains,991001831699702656","Catalog Record")</f>
        <v>Catalog Record</v>
      </c>
      <c r="AT992" s="6" t="str">
        <f>HYPERLINK("http://www.worldcat.org/oclc/23015539","WorldCat Record")</f>
        <v>WorldCat Record</v>
      </c>
      <c r="AU992" s="3" t="s">
        <v>12532</v>
      </c>
      <c r="AV992" s="3" t="s">
        <v>12533</v>
      </c>
      <c r="AW992" s="3" t="s">
        <v>12534</v>
      </c>
      <c r="AX992" s="3" t="s">
        <v>12534</v>
      </c>
      <c r="AY992" s="3" t="s">
        <v>12535</v>
      </c>
      <c r="AZ992" s="3" t="s">
        <v>76</v>
      </c>
      <c r="BB992" s="3" t="s">
        <v>12536</v>
      </c>
      <c r="BC992" s="3" t="s">
        <v>12537</v>
      </c>
      <c r="BD992" s="3" t="s">
        <v>12538</v>
      </c>
    </row>
    <row r="993" spans="1:56" ht="52.5" customHeight="1" x14ac:dyDescent="0.25">
      <c r="A993" s="7" t="s">
        <v>59</v>
      </c>
      <c r="B993" s="2" t="s">
        <v>12539</v>
      </c>
      <c r="C993" s="2" t="s">
        <v>12540</v>
      </c>
      <c r="D993" s="2" t="s">
        <v>12541</v>
      </c>
      <c r="F993" s="3" t="s">
        <v>59</v>
      </c>
      <c r="G993" s="3" t="s">
        <v>60</v>
      </c>
      <c r="H993" s="3" t="s">
        <v>59</v>
      </c>
      <c r="I993" s="3" t="s">
        <v>59</v>
      </c>
      <c r="J993" s="3" t="s">
        <v>61</v>
      </c>
      <c r="L993" s="2" t="s">
        <v>12542</v>
      </c>
      <c r="M993" s="3" t="s">
        <v>684</v>
      </c>
      <c r="O993" s="3" t="s">
        <v>65</v>
      </c>
      <c r="P993" s="3" t="s">
        <v>66</v>
      </c>
      <c r="R993" s="3" t="s">
        <v>68</v>
      </c>
      <c r="S993" s="4">
        <v>12</v>
      </c>
      <c r="T993" s="4">
        <v>12</v>
      </c>
      <c r="U993" s="5" t="s">
        <v>12518</v>
      </c>
      <c r="V993" s="5" t="s">
        <v>12518</v>
      </c>
      <c r="W993" s="5" t="s">
        <v>324</v>
      </c>
      <c r="X993" s="5" t="s">
        <v>324</v>
      </c>
      <c r="Y993" s="4">
        <v>290</v>
      </c>
      <c r="Z993" s="4">
        <v>212</v>
      </c>
      <c r="AA993" s="4">
        <v>214</v>
      </c>
      <c r="AB993" s="4">
        <v>3</v>
      </c>
      <c r="AC993" s="4">
        <v>3</v>
      </c>
      <c r="AD993" s="4">
        <v>10</v>
      </c>
      <c r="AE993" s="4">
        <v>10</v>
      </c>
      <c r="AF993" s="4">
        <v>2</v>
      </c>
      <c r="AG993" s="4">
        <v>2</v>
      </c>
      <c r="AH993" s="4">
        <v>3</v>
      </c>
      <c r="AI993" s="4">
        <v>3</v>
      </c>
      <c r="AJ993" s="4">
        <v>7</v>
      </c>
      <c r="AK993" s="4">
        <v>7</v>
      </c>
      <c r="AL993" s="4">
        <v>2</v>
      </c>
      <c r="AM993" s="4">
        <v>2</v>
      </c>
      <c r="AN993" s="4">
        <v>0</v>
      </c>
      <c r="AO993" s="4">
        <v>0</v>
      </c>
      <c r="AP993" s="3" t="s">
        <v>59</v>
      </c>
      <c r="AQ993" s="3" t="s">
        <v>71</v>
      </c>
      <c r="AR993" s="6" t="str">
        <f>HYPERLINK("http://catalog.hathitrust.org/Record/000304964","HathiTrust Record")</f>
        <v>HathiTrust Record</v>
      </c>
      <c r="AS993" s="6" t="str">
        <f>HYPERLINK("https://creighton-primo.hosted.exlibrisgroup.com/primo-explore/search?tab=default_tab&amp;search_scope=EVERYTHING&amp;vid=01CRU&amp;lang=en_US&amp;offset=0&amp;query=any,contains,991005126019702656","Catalog Record")</f>
        <v>Catalog Record</v>
      </c>
      <c r="AT993" s="6" t="str">
        <f>HYPERLINK("http://www.worldcat.org/oclc/7553606","WorldCat Record")</f>
        <v>WorldCat Record</v>
      </c>
      <c r="AU993" s="3" t="s">
        <v>12543</v>
      </c>
      <c r="AV993" s="3" t="s">
        <v>12544</v>
      </c>
      <c r="AW993" s="3" t="s">
        <v>12545</v>
      </c>
      <c r="AX993" s="3" t="s">
        <v>12545</v>
      </c>
      <c r="AY993" s="3" t="s">
        <v>12546</v>
      </c>
      <c r="AZ993" s="3" t="s">
        <v>76</v>
      </c>
      <c r="BB993" s="3" t="s">
        <v>12547</v>
      </c>
      <c r="BC993" s="3" t="s">
        <v>12548</v>
      </c>
      <c r="BD993" s="3" t="s">
        <v>12549</v>
      </c>
    </row>
    <row r="994" spans="1:56" ht="52.5" customHeight="1" x14ac:dyDescent="0.25">
      <c r="A994" s="7" t="s">
        <v>59</v>
      </c>
      <c r="B994" s="2" t="s">
        <v>12550</v>
      </c>
      <c r="C994" s="2" t="s">
        <v>12551</v>
      </c>
      <c r="D994" s="2" t="s">
        <v>12552</v>
      </c>
      <c r="F994" s="3" t="s">
        <v>59</v>
      </c>
      <c r="G994" s="3" t="s">
        <v>60</v>
      </c>
      <c r="H994" s="3" t="s">
        <v>59</v>
      </c>
      <c r="I994" s="3" t="s">
        <v>59</v>
      </c>
      <c r="J994" s="3" t="s">
        <v>61</v>
      </c>
      <c r="K994" s="2" t="s">
        <v>12553</v>
      </c>
      <c r="L994" s="2" t="s">
        <v>12554</v>
      </c>
      <c r="M994" s="3" t="s">
        <v>684</v>
      </c>
      <c r="O994" s="3" t="s">
        <v>65</v>
      </c>
      <c r="P994" s="3" t="s">
        <v>66</v>
      </c>
      <c r="R994" s="3" t="s">
        <v>68</v>
      </c>
      <c r="S994" s="4">
        <v>9</v>
      </c>
      <c r="T994" s="4">
        <v>9</v>
      </c>
      <c r="U994" s="5" t="s">
        <v>12518</v>
      </c>
      <c r="V994" s="5" t="s">
        <v>12518</v>
      </c>
      <c r="W994" s="5" t="s">
        <v>12555</v>
      </c>
      <c r="X994" s="5" t="s">
        <v>12555</v>
      </c>
      <c r="Y994" s="4">
        <v>302</v>
      </c>
      <c r="Z994" s="4">
        <v>245</v>
      </c>
      <c r="AA994" s="4">
        <v>252</v>
      </c>
      <c r="AB994" s="4">
        <v>3</v>
      </c>
      <c r="AC994" s="4">
        <v>3</v>
      </c>
      <c r="AD994" s="4">
        <v>9</v>
      </c>
      <c r="AE994" s="4">
        <v>9</v>
      </c>
      <c r="AF994" s="4">
        <v>1</v>
      </c>
      <c r="AG994" s="4">
        <v>1</v>
      </c>
      <c r="AH994" s="4">
        <v>1</v>
      </c>
      <c r="AI994" s="4">
        <v>1</v>
      </c>
      <c r="AJ994" s="4">
        <v>6</v>
      </c>
      <c r="AK994" s="4">
        <v>6</v>
      </c>
      <c r="AL994" s="4">
        <v>2</v>
      </c>
      <c r="AM994" s="4">
        <v>2</v>
      </c>
      <c r="AN994" s="4">
        <v>0</v>
      </c>
      <c r="AO994" s="4">
        <v>0</v>
      </c>
      <c r="AP994" s="3" t="s">
        <v>59</v>
      </c>
      <c r="AQ994" s="3" t="s">
        <v>71</v>
      </c>
      <c r="AR994" s="6" t="str">
        <f>HYPERLINK("http://catalog.hathitrust.org/Record/000100366","HathiTrust Record")</f>
        <v>HathiTrust Record</v>
      </c>
      <c r="AS994" s="6" t="str">
        <f>HYPERLINK("https://creighton-primo.hosted.exlibrisgroup.com/primo-explore/search?tab=default_tab&amp;search_scope=EVERYTHING&amp;vid=01CRU&amp;lang=en_US&amp;offset=0&amp;query=any,contains,991005087849702656","Catalog Record")</f>
        <v>Catalog Record</v>
      </c>
      <c r="AT994" s="6" t="str">
        <f>HYPERLINK("http://www.worldcat.org/oclc/7197657","WorldCat Record")</f>
        <v>WorldCat Record</v>
      </c>
      <c r="AU994" s="3" t="s">
        <v>12556</v>
      </c>
      <c r="AV994" s="3" t="s">
        <v>12557</v>
      </c>
      <c r="AW994" s="3" t="s">
        <v>12558</v>
      </c>
      <c r="AX994" s="3" t="s">
        <v>12558</v>
      </c>
      <c r="AY994" s="3" t="s">
        <v>12559</v>
      </c>
      <c r="AZ994" s="3" t="s">
        <v>76</v>
      </c>
      <c r="BB994" s="3" t="s">
        <v>12560</v>
      </c>
      <c r="BC994" s="3" t="s">
        <v>12561</v>
      </c>
      <c r="BD994" s="3" t="s">
        <v>12562</v>
      </c>
    </row>
    <row r="995" spans="1:56" ht="52.5" customHeight="1" x14ac:dyDescent="0.25">
      <c r="A995" s="7" t="s">
        <v>59</v>
      </c>
      <c r="B995" s="2" t="s">
        <v>12563</v>
      </c>
      <c r="C995" s="2" t="s">
        <v>12564</v>
      </c>
      <c r="D995" s="2" t="s">
        <v>12565</v>
      </c>
      <c r="F995" s="3" t="s">
        <v>59</v>
      </c>
      <c r="G995" s="3" t="s">
        <v>60</v>
      </c>
      <c r="H995" s="3" t="s">
        <v>71</v>
      </c>
      <c r="I995" s="3" t="s">
        <v>59</v>
      </c>
      <c r="J995" s="3" t="s">
        <v>61</v>
      </c>
      <c r="L995" s="2" t="s">
        <v>12566</v>
      </c>
      <c r="M995" s="3" t="s">
        <v>1163</v>
      </c>
      <c r="O995" s="3" t="s">
        <v>65</v>
      </c>
      <c r="P995" s="3" t="s">
        <v>699</v>
      </c>
      <c r="R995" s="3" t="s">
        <v>68</v>
      </c>
      <c r="S995" s="4">
        <v>34</v>
      </c>
      <c r="T995" s="4">
        <v>34</v>
      </c>
      <c r="U995" s="5" t="s">
        <v>12567</v>
      </c>
      <c r="V995" s="5" t="s">
        <v>12567</v>
      </c>
      <c r="W995" s="5" t="s">
        <v>12555</v>
      </c>
      <c r="X995" s="5" t="s">
        <v>12555</v>
      </c>
      <c r="Y995" s="4">
        <v>352</v>
      </c>
      <c r="Z995" s="4">
        <v>293</v>
      </c>
      <c r="AA995" s="4">
        <v>318</v>
      </c>
      <c r="AB995" s="4">
        <v>4</v>
      </c>
      <c r="AC995" s="4">
        <v>4</v>
      </c>
      <c r="AD995" s="4">
        <v>10</v>
      </c>
      <c r="AE995" s="4">
        <v>10</v>
      </c>
      <c r="AF995" s="4">
        <v>1</v>
      </c>
      <c r="AG995" s="4">
        <v>1</v>
      </c>
      <c r="AH995" s="4">
        <v>5</v>
      </c>
      <c r="AI995" s="4">
        <v>5</v>
      </c>
      <c r="AJ995" s="4">
        <v>5</v>
      </c>
      <c r="AK995" s="4">
        <v>5</v>
      </c>
      <c r="AL995" s="4">
        <v>2</v>
      </c>
      <c r="AM995" s="4">
        <v>2</v>
      </c>
      <c r="AN995" s="4">
        <v>0</v>
      </c>
      <c r="AO995" s="4">
        <v>0</v>
      </c>
      <c r="AP995" s="3" t="s">
        <v>59</v>
      </c>
      <c r="AQ995" s="3" t="s">
        <v>71</v>
      </c>
      <c r="AR995" s="6" t="str">
        <f>HYPERLINK("http://catalog.hathitrust.org/Record/000653317","HathiTrust Record")</f>
        <v>HathiTrust Record</v>
      </c>
      <c r="AS995" s="6" t="str">
        <f>HYPERLINK("https://creighton-primo.hosted.exlibrisgroup.com/primo-explore/search?tab=default_tab&amp;search_scope=EVERYTHING&amp;vid=01CRU&amp;lang=en_US&amp;offset=0&amp;query=any,contains,991000634719702656","Catalog Record")</f>
        <v>Catalog Record</v>
      </c>
      <c r="AT995" s="6" t="str">
        <f>HYPERLINK("http://www.worldcat.org/oclc/12079849","WorldCat Record")</f>
        <v>WorldCat Record</v>
      </c>
      <c r="AU995" s="3" t="s">
        <v>12568</v>
      </c>
      <c r="AV995" s="3" t="s">
        <v>12569</v>
      </c>
      <c r="AW995" s="3" t="s">
        <v>12570</v>
      </c>
      <c r="AX995" s="3" t="s">
        <v>12570</v>
      </c>
      <c r="AY995" s="3" t="s">
        <v>12571</v>
      </c>
      <c r="AZ995" s="3" t="s">
        <v>76</v>
      </c>
      <c r="BB995" s="3" t="s">
        <v>12572</v>
      </c>
      <c r="BC995" s="3" t="s">
        <v>12573</v>
      </c>
      <c r="BD995" s="3" t="s">
        <v>12574</v>
      </c>
    </row>
    <row r="996" spans="1:56" ht="52.5" customHeight="1" x14ac:dyDescent="0.25">
      <c r="A996" s="7" t="s">
        <v>59</v>
      </c>
      <c r="B996" s="2" t="s">
        <v>12575</v>
      </c>
      <c r="C996" s="2" t="s">
        <v>12576</v>
      </c>
      <c r="D996" s="2" t="s">
        <v>12577</v>
      </c>
      <c r="F996" s="3" t="s">
        <v>59</v>
      </c>
      <c r="G996" s="3" t="s">
        <v>60</v>
      </c>
      <c r="H996" s="3" t="s">
        <v>59</v>
      </c>
      <c r="I996" s="3" t="s">
        <v>59</v>
      </c>
      <c r="J996" s="3" t="s">
        <v>61</v>
      </c>
      <c r="L996" s="2" t="s">
        <v>12578</v>
      </c>
      <c r="M996" s="3" t="s">
        <v>365</v>
      </c>
      <c r="O996" s="3" t="s">
        <v>65</v>
      </c>
      <c r="P996" s="3" t="s">
        <v>420</v>
      </c>
      <c r="Q996" s="2" t="s">
        <v>12579</v>
      </c>
      <c r="R996" s="3" t="s">
        <v>68</v>
      </c>
      <c r="S996" s="4">
        <v>11</v>
      </c>
      <c r="T996" s="4">
        <v>11</v>
      </c>
      <c r="U996" s="5" t="s">
        <v>12567</v>
      </c>
      <c r="V996" s="5" t="s">
        <v>12567</v>
      </c>
      <c r="W996" s="5" t="s">
        <v>12580</v>
      </c>
      <c r="X996" s="5" t="s">
        <v>12580</v>
      </c>
      <c r="Y996" s="4">
        <v>280</v>
      </c>
      <c r="Z996" s="4">
        <v>222</v>
      </c>
      <c r="AA996" s="4">
        <v>227</v>
      </c>
      <c r="AB996" s="4">
        <v>2</v>
      </c>
      <c r="AC996" s="4">
        <v>2</v>
      </c>
      <c r="AD996" s="4">
        <v>12</v>
      </c>
      <c r="AE996" s="4">
        <v>12</v>
      </c>
      <c r="AF996" s="4">
        <v>4</v>
      </c>
      <c r="AG996" s="4">
        <v>4</v>
      </c>
      <c r="AH996" s="4">
        <v>3</v>
      </c>
      <c r="AI996" s="4">
        <v>3</v>
      </c>
      <c r="AJ996" s="4">
        <v>7</v>
      </c>
      <c r="AK996" s="4">
        <v>7</v>
      </c>
      <c r="AL996" s="4">
        <v>1</v>
      </c>
      <c r="AM996" s="4">
        <v>1</v>
      </c>
      <c r="AN996" s="4">
        <v>0</v>
      </c>
      <c r="AO996" s="4">
        <v>0</v>
      </c>
      <c r="AP996" s="3" t="s">
        <v>59</v>
      </c>
      <c r="AQ996" s="3" t="s">
        <v>71</v>
      </c>
      <c r="AR996" s="6" t="str">
        <f>HYPERLINK("http://catalog.hathitrust.org/Record/001545429","HathiTrust Record")</f>
        <v>HathiTrust Record</v>
      </c>
      <c r="AS996" s="6" t="str">
        <f>HYPERLINK("https://creighton-primo.hosted.exlibrisgroup.com/primo-explore/search?tab=default_tab&amp;search_scope=EVERYTHING&amp;vid=01CRU&amp;lang=en_US&amp;offset=0&amp;query=any,contains,991001464499702656","Catalog Record")</f>
        <v>Catalog Record</v>
      </c>
      <c r="AT996" s="6" t="str">
        <f>HYPERLINK("http://www.worldcat.org/oclc/19482523","WorldCat Record")</f>
        <v>WorldCat Record</v>
      </c>
      <c r="AU996" s="3" t="s">
        <v>12581</v>
      </c>
      <c r="AV996" s="3" t="s">
        <v>12582</v>
      </c>
      <c r="AW996" s="3" t="s">
        <v>12583</v>
      </c>
      <c r="AX996" s="3" t="s">
        <v>12583</v>
      </c>
      <c r="AY996" s="3" t="s">
        <v>12584</v>
      </c>
      <c r="AZ996" s="3" t="s">
        <v>76</v>
      </c>
      <c r="BB996" s="3" t="s">
        <v>12585</v>
      </c>
      <c r="BC996" s="3" t="s">
        <v>12586</v>
      </c>
      <c r="BD996" s="3" t="s">
        <v>12587</v>
      </c>
    </row>
    <row r="997" spans="1:56" ht="52.5" customHeight="1" x14ac:dyDescent="0.25">
      <c r="A997" s="7" t="s">
        <v>59</v>
      </c>
      <c r="B997" s="2" t="s">
        <v>12588</v>
      </c>
      <c r="C997" s="2" t="s">
        <v>12589</v>
      </c>
      <c r="D997" s="2" t="s">
        <v>12590</v>
      </c>
      <c r="F997" s="3" t="s">
        <v>59</v>
      </c>
      <c r="G997" s="3" t="s">
        <v>60</v>
      </c>
      <c r="H997" s="3" t="s">
        <v>59</v>
      </c>
      <c r="I997" s="3" t="s">
        <v>59</v>
      </c>
      <c r="J997" s="3" t="s">
        <v>61</v>
      </c>
      <c r="L997" s="2" t="s">
        <v>698</v>
      </c>
      <c r="M997" s="3" t="s">
        <v>684</v>
      </c>
      <c r="O997" s="3" t="s">
        <v>65</v>
      </c>
      <c r="P997" s="3" t="s">
        <v>699</v>
      </c>
      <c r="R997" s="3" t="s">
        <v>68</v>
      </c>
      <c r="S997" s="4">
        <v>10</v>
      </c>
      <c r="T997" s="4">
        <v>10</v>
      </c>
      <c r="U997" s="5" t="s">
        <v>12567</v>
      </c>
      <c r="V997" s="5" t="s">
        <v>12567</v>
      </c>
      <c r="W997" s="5" t="s">
        <v>8551</v>
      </c>
      <c r="X997" s="5" t="s">
        <v>8551</v>
      </c>
      <c r="Y997" s="4">
        <v>362</v>
      </c>
      <c r="Z997" s="4">
        <v>285</v>
      </c>
      <c r="AA997" s="4">
        <v>292</v>
      </c>
      <c r="AB997" s="4">
        <v>3</v>
      </c>
      <c r="AC997" s="4">
        <v>3</v>
      </c>
      <c r="AD997" s="4">
        <v>11</v>
      </c>
      <c r="AE997" s="4">
        <v>11</v>
      </c>
      <c r="AF997" s="4">
        <v>4</v>
      </c>
      <c r="AG997" s="4">
        <v>4</v>
      </c>
      <c r="AH997" s="4">
        <v>2</v>
      </c>
      <c r="AI997" s="4">
        <v>2</v>
      </c>
      <c r="AJ997" s="4">
        <v>8</v>
      </c>
      <c r="AK997" s="4">
        <v>8</v>
      </c>
      <c r="AL997" s="4">
        <v>2</v>
      </c>
      <c r="AM997" s="4">
        <v>2</v>
      </c>
      <c r="AN997" s="4">
        <v>0</v>
      </c>
      <c r="AO997" s="4">
        <v>0</v>
      </c>
      <c r="AP997" s="3" t="s">
        <v>59</v>
      </c>
      <c r="AQ997" s="3" t="s">
        <v>71</v>
      </c>
      <c r="AR997" s="6" t="str">
        <f>HYPERLINK("http://catalog.hathitrust.org/Record/000127950","HathiTrust Record")</f>
        <v>HathiTrust Record</v>
      </c>
      <c r="AS997" s="6" t="str">
        <f>HYPERLINK("https://creighton-primo.hosted.exlibrisgroup.com/primo-explore/search?tab=default_tab&amp;search_scope=EVERYTHING&amp;vid=01CRU&amp;lang=en_US&amp;offset=0&amp;query=any,contains,991005083379702656","Catalog Record")</f>
        <v>Catalog Record</v>
      </c>
      <c r="AT997" s="6" t="str">
        <f>HYPERLINK("http://www.worldcat.org/oclc/7176139","WorldCat Record")</f>
        <v>WorldCat Record</v>
      </c>
      <c r="AU997" s="3" t="s">
        <v>12591</v>
      </c>
      <c r="AV997" s="3" t="s">
        <v>12592</v>
      </c>
      <c r="AW997" s="3" t="s">
        <v>12593</v>
      </c>
      <c r="AX997" s="3" t="s">
        <v>12593</v>
      </c>
      <c r="AY997" s="3" t="s">
        <v>12594</v>
      </c>
      <c r="AZ997" s="3" t="s">
        <v>76</v>
      </c>
      <c r="BB997" s="3" t="s">
        <v>12595</v>
      </c>
      <c r="BC997" s="3" t="s">
        <v>12596</v>
      </c>
      <c r="BD997" s="3" t="s">
        <v>12597</v>
      </c>
    </row>
    <row r="998" spans="1:56" ht="52.5" customHeight="1" x14ac:dyDescent="0.25">
      <c r="A998" s="7" t="s">
        <v>59</v>
      </c>
      <c r="B998" s="2" t="s">
        <v>12598</v>
      </c>
      <c r="C998" s="2" t="s">
        <v>12599</v>
      </c>
      <c r="D998" s="2" t="s">
        <v>12600</v>
      </c>
      <c r="F998" s="3" t="s">
        <v>59</v>
      </c>
      <c r="G998" s="3" t="s">
        <v>60</v>
      </c>
      <c r="H998" s="3" t="s">
        <v>59</v>
      </c>
      <c r="I998" s="3" t="s">
        <v>59</v>
      </c>
      <c r="J998" s="3" t="s">
        <v>61</v>
      </c>
      <c r="K998" s="2" t="s">
        <v>12601</v>
      </c>
      <c r="L998" s="2" t="s">
        <v>12602</v>
      </c>
      <c r="M998" s="3" t="s">
        <v>684</v>
      </c>
      <c r="O998" s="3" t="s">
        <v>65</v>
      </c>
      <c r="P998" s="3" t="s">
        <v>699</v>
      </c>
      <c r="Q998" s="2" t="s">
        <v>12603</v>
      </c>
      <c r="R998" s="3" t="s">
        <v>68</v>
      </c>
      <c r="S998" s="4">
        <v>2</v>
      </c>
      <c r="T998" s="4">
        <v>2</v>
      </c>
      <c r="U998" s="5" t="s">
        <v>9647</v>
      </c>
      <c r="V998" s="5" t="s">
        <v>9647</v>
      </c>
      <c r="W998" s="5" t="s">
        <v>12257</v>
      </c>
      <c r="X998" s="5" t="s">
        <v>12257</v>
      </c>
      <c r="Y998" s="4">
        <v>376</v>
      </c>
      <c r="Z998" s="4">
        <v>287</v>
      </c>
      <c r="AA998" s="4">
        <v>290</v>
      </c>
      <c r="AB998" s="4">
        <v>2</v>
      </c>
      <c r="AC998" s="4">
        <v>2</v>
      </c>
      <c r="AD998" s="4">
        <v>12</v>
      </c>
      <c r="AE998" s="4">
        <v>12</v>
      </c>
      <c r="AF998" s="4">
        <v>4</v>
      </c>
      <c r="AG998" s="4">
        <v>4</v>
      </c>
      <c r="AH998" s="4">
        <v>3</v>
      </c>
      <c r="AI998" s="4">
        <v>3</v>
      </c>
      <c r="AJ998" s="4">
        <v>8</v>
      </c>
      <c r="AK998" s="4">
        <v>8</v>
      </c>
      <c r="AL998" s="4">
        <v>1</v>
      </c>
      <c r="AM998" s="4">
        <v>1</v>
      </c>
      <c r="AN998" s="4">
        <v>0</v>
      </c>
      <c r="AO998" s="4">
        <v>0</v>
      </c>
      <c r="AP998" s="3" t="s">
        <v>59</v>
      </c>
      <c r="AQ998" s="3" t="s">
        <v>71</v>
      </c>
      <c r="AR998" s="6" t="str">
        <f>HYPERLINK("http://catalog.hathitrust.org/Record/000162543","HathiTrust Record")</f>
        <v>HathiTrust Record</v>
      </c>
      <c r="AS998" s="6" t="str">
        <f>HYPERLINK("https://creighton-primo.hosted.exlibrisgroup.com/primo-explore/search?tab=default_tab&amp;search_scope=EVERYTHING&amp;vid=01CRU&amp;lang=en_US&amp;offset=0&amp;query=any,contains,991005155419702656","Catalog Record")</f>
        <v>Catalog Record</v>
      </c>
      <c r="AT998" s="6" t="str">
        <f>HYPERLINK("http://www.worldcat.org/oclc/7739099","WorldCat Record")</f>
        <v>WorldCat Record</v>
      </c>
      <c r="AU998" s="3" t="s">
        <v>12604</v>
      </c>
      <c r="AV998" s="3" t="s">
        <v>12605</v>
      </c>
      <c r="AW998" s="3" t="s">
        <v>12606</v>
      </c>
      <c r="AX998" s="3" t="s">
        <v>12606</v>
      </c>
      <c r="AY998" s="3" t="s">
        <v>12607</v>
      </c>
      <c r="AZ998" s="3" t="s">
        <v>76</v>
      </c>
      <c r="BB998" s="3" t="s">
        <v>12608</v>
      </c>
      <c r="BC998" s="3" t="s">
        <v>12609</v>
      </c>
      <c r="BD998" s="3" t="s">
        <v>12610</v>
      </c>
    </row>
    <row r="999" spans="1:56" ht="52.5" customHeight="1" x14ac:dyDescent="0.25">
      <c r="A999" s="7" t="s">
        <v>59</v>
      </c>
      <c r="B999" s="2" t="s">
        <v>12611</v>
      </c>
      <c r="C999" s="2" t="s">
        <v>12612</v>
      </c>
      <c r="D999" s="2" t="s">
        <v>12613</v>
      </c>
      <c r="F999" s="3" t="s">
        <v>59</v>
      </c>
      <c r="G999" s="3" t="s">
        <v>60</v>
      </c>
      <c r="H999" s="3" t="s">
        <v>59</v>
      </c>
      <c r="I999" s="3" t="s">
        <v>59</v>
      </c>
      <c r="J999" s="3" t="s">
        <v>61</v>
      </c>
      <c r="K999" s="2" t="s">
        <v>12614</v>
      </c>
      <c r="L999" s="2" t="s">
        <v>12615</v>
      </c>
      <c r="M999" s="3" t="s">
        <v>1015</v>
      </c>
      <c r="N999" s="2" t="s">
        <v>435</v>
      </c>
      <c r="O999" s="3" t="s">
        <v>65</v>
      </c>
      <c r="P999" s="3" t="s">
        <v>66</v>
      </c>
      <c r="Q999" s="2" t="s">
        <v>8628</v>
      </c>
      <c r="R999" s="3" t="s">
        <v>68</v>
      </c>
      <c r="S999" s="4">
        <v>25</v>
      </c>
      <c r="T999" s="4">
        <v>25</v>
      </c>
      <c r="U999" s="5" t="s">
        <v>197</v>
      </c>
      <c r="V999" s="5" t="s">
        <v>197</v>
      </c>
      <c r="W999" s="5" t="s">
        <v>12616</v>
      </c>
      <c r="X999" s="5" t="s">
        <v>12616</v>
      </c>
      <c r="Y999" s="4">
        <v>299</v>
      </c>
      <c r="Z999" s="4">
        <v>272</v>
      </c>
      <c r="AA999" s="4">
        <v>274</v>
      </c>
      <c r="AB999" s="4">
        <v>5</v>
      </c>
      <c r="AC999" s="4">
        <v>5</v>
      </c>
      <c r="AD999" s="4">
        <v>11</v>
      </c>
      <c r="AE999" s="4">
        <v>11</v>
      </c>
      <c r="AF999" s="4">
        <v>2</v>
      </c>
      <c r="AG999" s="4">
        <v>2</v>
      </c>
      <c r="AH999" s="4">
        <v>1</v>
      </c>
      <c r="AI999" s="4">
        <v>1</v>
      </c>
      <c r="AJ999" s="4">
        <v>5</v>
      </c>
      <c r="AK999" s="4">
        <v>5</v>
      </c>
      <c r="AL999" s="4">
        <v>4</v>
      </c>
      <c r="AM999" s="4">
        <v>4</v>
      </c>
      <c r="AN999" s="4">
        <v>0</v>
      </c>
      <c r="AO999" s="4">
        <v>0</v>
      </c>
      <c r="AP999" s="3" t="s">
        <v>59</v>
      </c>
      <c r="AQ999" s="3" t="s">
        <v>71</v>
      </c>
      <c r="AR999" s="6" t="str">
        <f>HYPERLINK("http://catalog.hathitrust.org/Record/000429014","HathiTrust Record")</f>
        <v>HathiTrust Record</v>
      </c>
      <c r="AS999" s="6" t="str">
        <f>HYPERLINK("https://creighton-primo.hosted.exlibrisgroup.com/primo-explore/search?tab=default_tab&amp;search_scope=EVERYTHING&amp;vid=01CRU&amp;lang=en_US&amp;offset=0&amp;query=any,contains,991000001139702656","Catalog Record")</f>
        <v>Catalog Record</v>
      </c>
      <c r="AT999" s="6" t="str">
        <f>HYPERLINK("http://www.worldcat.org/oclc/10180","WorldCat Record")</f>
        <v>WorldCat Record</v>
      </c>
      <c r="AU999" s="3" t="s">
        <v>12617</v>
      </c>
      <c r="AV999" s="3" t="s">
        <v>12618</v>
      </c>
      <c r="AW999" s="3" t="s">
        <v>12619</v>
      </c>
      <c r="AX999" s="3" t="s">
        <v>12619</v>
      </c>
      <c r="AY999" s="3" t="s">
        <v>12620</v>
      </c>
      <c r="AZ999" s="3" t="s">
        <v>76</v>
      </c>
      <c r="BC999" s="3" t="s">
        <v>12621</v>
      </c>
      <c r="BD999" s="3" t="s">
        <v>12622</v>
      </c>
    </row>
    <row r="1000" spans="1:56" ht="52.5" customHeight="1" x14ac:dyDescent="0.25">
      <c r="A1000" s="7" t="s">
        <v>59</v>
      </c>
      <c r="B1000" s="2" t="s">
        <v>12623</v>
      </c>
      <c r="C1000" s="2" t="s">
        <v>12624</v>
      </c>
      <c r="D1000" s="2" t="s">
        <v>12625</v>
      </c>
      <c r="F1000" s="3" t="s">
        <v>59</v>
      </c>
      <c r="G1000" s="3" t="s">
        <v>60</v>
      </c>
      <c r="H1000" s="3" t="s">
        <v>59</v>
      </c>
      <c r="I1000" s="3" t="s">
        <v>59</v>
      </c>
      <c r="J1000" s="3" t="s">
        <v>61</v>
      </c>
      <c r="K1000" s="2" t="s">
        <v>8028</v>
      </c>
      <c r="L1000" s="2" t="s">
        <v>12626</v>
      </c>
      <c r="M1000" s="3" t="s">
        <v>64</v>
      </c>
      <c r="O1000" s="3" t="s">
        <v>65</v>
      </c>
      <c r="P1000" s="3" t="s">
        <v>66</v>
      </c>
      <c r="Q1000" s="2" t="s">
        <v>12627</v>
      </c>
      <c r="R1000" s="3" t="s">
        <v>68</v>
      </c>
      <c r="S1000" s="4">
        <v>6</v>
      </c>
      <c r="T1000" s="4">
        <v>6</v>
      </c>
      <c r="U1000" s="5" t="s">
        <v>12628</v>
      </c>
      <c r="V1000" s="5" t="s">
        <v>12628</v>
      </c>
      <c r="W1000" s="5" t="s">
        <v>12616</v>
      </c>
      <c r="X1000" s="5" t="s">
        <v>12616</v>
      </c>
      <c r="Y1000" s="4">
        <v>821</v>
      </c>
      <c r="Z1000" s="4">
        <v>663</v>
      </c>
      <c r="AA1000" s="4">
        <v>669</v>
      </c>
      <c r="AB1000" s="4">
        <v>4</v>
      </c>
      <c r="AC1000" s="4">
        <v>4</v>
      </c>
      <c r="AD1000" s="4">
        <v>26</v>
      </c>
      <c r="AE1000" s="4">
        <v>26</v>
      </c>
      <c r="AF1000" s="4">
        <v>11</v>
      </c>
      <c r="AG1000" s="4">
        <v>11</v>
      </c>
      <c r="AH1000" s="4">
        <v>5</v>
      </c>
      <c r="AI1000" s="4">
        <v>5</v>
      </c>
      <c r="AJ1000" s="4">
        <v>12</v>
      </c>
      <c r="AK1000" s="4">
        <v>12</v>
      </c>
      <c r="AL1000" s="4">
        <v>3</v>
      </c>
      <c r="AM1000" s="4">
        <v>3</v>
      </c>
      <c r="AN1000" s="4">
        <v>0</v>
      </c>
      <c r="AO1000" s="4">
        <v>0</v>
      </c>
      <c r="AP1000" s="3" t="s">
        <v>59</v>
      </c>
      <c r="AQ1000" s="3" t="s">
        <v>71</v>
      </c>
      <c r="AR1000" s="6" t="str">
        <f>HYPERLINK("http://catalog.hathitrust.org/Record/000428111","HathiTrust Record")</f>
        <v>HathiTrust Record</v>
      </c>
      <c r="AS1000" s="6" t="str">
        <f>HYPERLINK("https://creighton-primo.hosted.exlibrisgroup.com/primo-explore/search?tab=default_tab&amp;search_scope=EVERYTHING&amp;vid=01CRU&amp;lang=en_US&amp;offset=0&amp;query=any,contains,991001378159702656","Catalog Record")</f>
        <v>Catalog Record</v>
      </c>
      <c r="AT1000" s="6" t="str">
        <f>HYPERLINK("http://www.worldcat.org/oclc/225552","WorldCat Record")</f>
        <v>WorldCat Record</v>
      </c>
      <c r="AU1000" s="3" t="s">
        <v>12629</v>
      </c>
      <c r="AV1000" s="3" t="s">
        <v>12630</v>
      </c>
      <c r="AW1000" s="3" t="s">
        <v>12631</v>
      </c>
      <c r="AX1000" s="3" t="s">
        <v>12631</v>
      </c>
      <c r="AY1000" s="3" t="s">
        <v>12632</v>
      </c>
      <c r="AZ1000" s="3" t="s">
        <v>76</v>
      </c>
      <c r="BC1000" s="3" t="s">
        <v>12633</v>
      </c>
      <c r="BD1000" s="3" t="s">
        <v>12634</v>
      </c>
    </row>
    <row r="1001" spans="1:56" ht="52.5" customHeight="1" x14ac:dyDescent="0.25">
      <c r="A1001" s="7" t="s">
        <v>59</v>
      </c>
      <c r="B1001" s="2" t="s">
        <v>12635</v>
      </c>
      <c r="C1001" s="2" t="s">
        <v>12636</v>
      </c>
      <c r="D1001" s="2" t="s">
        <v>12637</v>
      </c>
      <c r="F1001" s="3" t="s">
        <v>59</v>
      </c>
      <c r="G1001" s="3" t="s">
        <v>60</v>
      </c>
      <c r="H1001" s="3" t="s">
        <v>59</v>
      </c>
      <c r="I1001" s="3" t="s">
        <v>59</v>
      </c>
      <c r="J1001" s="3" t="s">
        <v>61</v>
      </c>
      <c r="K1001" s="2" t="s">
        <v>12638</v>
      </c>
      <c r="L1001" s="2" t="s">
        <v>8076</v>
      </c>
      <c r="M1001" s="3" t="s">
        <v>148</v>
      </c>
      <c r="O1001" s="3" t="s">
        <v>65</v>
      </c>
      <c r="P1001" s="3" t="s">
        <v>699</v>
      </c>
      <c r="Q1001" s="2" t="s">
        <v>1602</v>
      </c>
      <c r="R1001" s="3" t="s">
        <v>68</v>
      </c>
      <c r="S1001" s="4">
        <v>2</v>
      </c>
      <c r="T1001" s="4">
        <v>2</v>
      </c>
      <c r="U1001" s="5" t="s">
        <v>12639</v>
      </c>
      <c r="V1001" s="5" t="s">
        <v>12639</v>
      </c>
      <c r="W1001" s="5" t="s">
        <v>12219</v>
      </c>
      <c r="X1001" s="5" t="s">
        <v>12219</v>
      </c>
      <c r="Y1001" s="4">
        <v>635</v>
      </c>
      <c r="Z1001" s="4">
        <v>510</v>
      </c>
      <c r="AA1001" s="4">
        <v>516</v>
      </c>
      <c r="AB1001" s="4">
        <v>2</v>
      </c>
      <c r="AC1001" s="4">
        <v>2</v>
      </c>
      <c r="AD1001" s="4">
        <v>20</v>
      </c>
      <c r="AE1001" s="4">
        <v>20</v>
      </c>
      <c r="AF1001" s="4">
        <v>10</v>
      </c>
      <c r="AG1001" s="4">
        <v>10</v>
      </c>
      <c r="AH1001" s="4">
        <v>4</v>
      </c>
      <c r="AI1001" s="4">
        <v>4</v>
      </c>
      <c r="AJ1001" s="4">
        <v>12</v>
      </c>
      <c r="AK1001" s="4">
        <v>12</v>
      </c>
      <c r="AL1001" s="4">
        <v>1</v>
      </c>
      <c r="AM1001" s="4">
        <v>1</v>
      </c>
      <c r="AN1001" s="4">
        <v>0</v>
      </c>
      <c r="AO1001" s="4">
        <v>0</v>
      </c>
      <c r="AP1001" s="3" t="s">
        <v>59</v>
      </c>
      <c r="AQ1001" s="3" t="s">
        <v>71</v>
      </c>
      <c r="AR1001" s="6" t="str">
        <f>HYPERLINK("http://catalog.hathitrust.org/Record/000719955","HathiTrust Record")</f>
        <v>HathiTrust Record</v>
      </c>
      <c r="AS1001" s="6" t="str">
        <f>HYPERLINK("https://creighton-primo.hosted.exlibrisgroup.com/primo-explore/search?tab=default_tab&amp;search_scope=EVERYTHING&amp;vid=01CRU&amp;lang=en_US&amp;offset=0&amp;query=any,contains,991004061709702656","Catalog Record")</f>
        <v>Catalog Record</v>
      </c>
      <c r="AT1001" s="6" t="str">
        <f>HYPERLINK("http://www.worldcat.org/oclc/2272407","WorldCat Record")</f>
        <v>WorldCat Record</v>
      </c>
      <c r="AU1001" s="3" t="s">
        <v>12640</v>
      </c>
      <c r="AV1001" s="3" t="s">
        <v>12641</v>
      </c>
      <c r="AW1001" s="3" t="s">
        <v>12642</v>
      </c>
      <c r="AX1001" s="3" t="s">
        <v>12642</v>
      </c>
      <c r="AY1001" s="3" t="s">
        <v>12643</v>
      </c>
      <c r="AZ1001" s="3" t="s">
        <v>76</v>
      </c>
      <c r="BB1001" s="3" t="s">
        <v>12644</v>
      </c>
      <c r="BC1001" s="3" t="s">
        <v>12645</v>
      </c>
      <c r="BD1001" s="3" t="s">
        <v>12646</v>
      </c>
    </row>
    <row r="1002" spans="1:56" ht="52.5" customHeight="1" x14ac:dyDescent="0.25">
      <c r="A1002" s="7" t="s">
        <v>59</v>
      </c>
      <c r="B1002" s="2" t="s">
        <v>12647</v>
      </c>
      <c r="C1002" s="2" t="s">
        <v>12648</v>
      </c>
      <c r="D1002" s="2" t="s">
        <v>12649</v>
      </c>
      <c r="F1002" s="3" t="s">
        <v>59</v>
      </c>
      <c r="G1002" s="3" t="s">
        <v>60</v>
      </c>
      <c r="H1002" s="3" t="s">
        <v>59</v>
      </c>
      <c r="I1002" s="3" t="s">
        <v>59</v>
      </c>
      <c r="J1002" s="3" t="s">
        <v>61</v>
      </c>
      <c r="K1002" s="2" t="s">
        <v>12650</v>
      </c>
      <c r="L1002" s="2" t="s">
        <v>11525</v>
      </c>
      <c r="M1002" s="3" t="s">
        <v>309</v>
      </c>
      <c r="O1002" s="3" t="s">
        <v>65</v>
      </c>
      <c r="P1002" s="3" t="s">
        <v>66</v>
      </c>
      <c r="R1002" s="3" t="s">
        <v>68</v>
      </c>
      <c r="S1002" s="4">
        <v>19</v>
      </c>
      <c r="T1002" s="4">
        <v>19</v>
      </c>
      <c r="U1002" s="5" t="s">
        <v>7511</v>
      </c>
      <c r="V1002" s="5" t="s">
        <v>7511</v>
      </c>
      <c r="W1002" s="5" t="s">
        <v>12651</v>
      </c>
      <c r="X1002" s="5" t="s">
        <v>12651</v>
      </c>
      <c r="Y1002" s="4">
        <v>531</v>
      </c>
      <c r="Z1002" s="4">
        <v>409</v>
      </c>
      <c r="AA1002" s="4">
        <v>418</v>
      </c>
      <c r="AB1002" s="4">
        <v>4</v>
      </c>
      <c r="AC1002" s="4">
        <v>4</v>
      </c>
      <c r="AD1002" s="4">
        <v>15</v>
      </c>
      <c r="AE1002" s="4">
        <v>15</v>
      </c>
      <c r="AF1002" s="4">
        <v>4</v>
      </c>
      <c r="AG1002" s="4">
        <v>4</v>
      </c>
      <c r="AH1002" s="4">
        <v>5</v>
      </c>
      <c r="AI1002" s="4">
        <v>5</v>
      </c>
      <c r="AJ1002" s="4">
        <v>9</v>
      </c>
      <c r="AK1002" s="4">
        <v>9</v>
      </c>
      <c r="AL1002" s="4">
        <v>2</v>
      </c>
      <c r="AM1002" s="4">
        <v>2</v>
      </c>
      <c r="AN1002" s="4">
        <v>0</v>
      </c>
      <c r="AO1002" s="4">
        <v>0</v>
      </c>
      <c r="AP1002" s="3" t="s">
        <v>59</v>
      </c>
      <c r="AQ1002" s="3" t="s">
        <v>71</v>
      </c>
      <c r="AR1002" s="6" t="str">
        <f>HYPERLINK("http://catalog.hathitrust.org/Record/000092038","HathiTrust Record")</f>
        <v>HathiTrust Record</v>
      </c>
      <c r="AS1002" s="6" t="str">
        <f>HYPERLINK("https://creighton-primo.hosted.exlibrisgroup.com/primo-explore/search?tab=default_tab&amp;search_scope=EVERYTHING&amp;vid=01CRU&amp;lang=en_US&amp;offset=0&amp;query=any,contains,991004480039702656","Catalog Record")</f>
        <v>Catalog Record</v>
      </c>
      <c r="AT1002" s="6" t="str">
        <f>HYPERLINK("http://www.worldcat.org/oclc/3627199","WorldCat Record")</f>
        <v>WorldCat Record</v>
      </c>
      <c r="AU1002" s="3" t="s">
        <v>12652</v>
      </c>
      <c r="AV1002" s="3" t="s">
        <v>12653</v>
      </c>
      <c r="AW1002" s="3" t="s">
        <v>12654</v>
      </c>
      <c r="AX1002" s="3" t="s">
        <v>12654</v>
      </c>
      <c r="AY1002" s="3" t="s">
        <v>12655</v>
      </c>
      <c r="AZ1002" s="3" t="s">
        <v>76</v>
      </c>
      <c r="BB1002" s="3" t="s">
        <v>12656</v>
      </c>
      <c r="BC1002" s="3" t="s">
        <v>12657</v>
      </c>
      <c r="BD1002" s="3" t="s">
        <v>12658</v>
      </c>
    </row>
    <row r="1003" spans="1:56" ht="52.5" customHeight="1" x14ac:dyDescent="0.25">
      <c r="A1003" s="7" t="s">
        <v>59</v>
      </c>
      <c r="B1003" s="2" t="s">
        <v>12659</v>
      </c>
      <c r="C1003" s="2" t="s">
        <v>12660</v>
      </c>
      <c r="D1003" s="2" t="s">
        <v>12661</v>
      </c>
      <c r="F1003" s="3" t="s">
        <v>59</v>
      </c>
      <c r="G1003" s="3" t="s">
        <v>60</v>
      </c>
      <c r="H1003" s="3" t="s">
        <v>59</v>
      </c>
      <c r="I1003" s="3" t="s">
        <v>59</v>
      </c>
      <c r="J1003" s="3" t="s">
        <v>61</v>
      </c>
      <c r="K1003" s="2" t="s">
        <v>12662</v>
      </c>
      <c r="L1003" s="2" t="s">
        <v>12663</v>
      </c>
      <c r="M1003" s="3" t="s">
        <v>309</v>
      </c>
      <c r="O1003" s="3" t="s">
        <v>65</v>
      </c>
      <c r="P1003" s="3" t="s">
        <v>283</v>
      </c>
      <c r="R1003" s="3" t="s">
        <v>68</v>
      </c>
      <c r="S1003" s="4">
        <v>5</v>
      </c>
      <c r="T1003" s="4">
        <v>5</v>
      </c>
      <c r="U1003" s="5" t="s">
        <v>12218</v>
      </c>
      <c r="V1003" s="5" t="s">
        <v>12218</v>
      </c>
      <c r="W1003" s="5" t="s">
        <v>12257</v>
      </c>
      <c r="X1003" s="5" t="s">
        <v>12257</v>
      </c>
      <c r="Y1003" s="4">
        <v>196</v>
      </c>
      <c r="Z1003" s="4">
        <v>162</v>
      </c>
      <c r="AA1003" s="4">
        <v>162</v>
      </c>
      <c r="AB1003" s="4">
        <v>2</v>
      </c>
      <c r="AC1003" s="4">
        <v>2</v>
      </c>
      <c r="AD1003" s="4">
        <v>5</v>
      </c>
      <c r="AE1003" s="4">
        <v>5</v>
      </c>
      <c r="AF1003" s="4">
        <v>1</v>
      </c>
      <c r="AG1003" s="4">
        <v>1</v>
      </c>
      <c r="AH1003" s="4">
        <v>1</v>
      </c>
      <c r="AI1003" s="4">
        <v>1</v>
      </c>
      <c r="AJ1003" s="4">
        <v>4</v>
      </c>
      <c r="AK1003" s="4">
        <v>4</v>
      </c>
      <c r="AL1003" s="4">
        <v>1</v>
      </c>
      <c r="AM1003" s="4">
        <v>1</v>
      </c>
      <c r="AN1003" s="4">
        <v>0</v>
      </c>
      <c r="AO1003" s="4">
        <v>0</v>
      </c>
      <c r="AP1003" s="3" t="s">
        <v>59</v>
      </c>
      <c r="AQ1003" s="3" t="s">
        <v>59</v>
      </c>
      <c r="AS1003" s="6" t="str">
        <f>HYPERLINK("https://creighton-primo.hosted.exlibrisgroup.com/primo-explore/search?tab=default_tab&amp;search_scope=EVERYTHING&amp;vid=01CRU&amp;lang=en_US&amp;offset=0&amp;query=any,contains,991004319869702656","Catalog Record")</f>
        <v>Catalog Record</v>
      </c>
      <c r="AT1003" s="6" t="str">
        <f>HYPERLINK("http://www.worldcat.org/oclc/3017000","WorldCat Record")</f>
        <v>WorldCat Record</v>
      </c>
      <c r="AU1003" s="3" t="s">
        <v>12664</v>
      </c>
      <c r="AV1003" s="3" t="s">
        <v>12665</v>
      </c>
      <c r="AW1003" s="3" t="s">
        <v>12666</v>
      </c>
      <c r="AX1003" s="3" t="s">
        <v>12666</v>
      </c>
      <c r="AY1003" s="3" t="s">
        <v>12667</v>
      </c>
      <c r="AZ1003" s="3" t="s">
        <v>76</v>
      </c>
      <c r="BB1003" s="3" t="s">
        <v>12668</v>
      </c>
      <c r="BC1003" s="3" t="s">
        <v>12669</v>
      </c>
      <c r="BD1003" s="3" t="s">
        <v>12670</v>
      </c>
    </row>
    <row r="1004" spans="1:56" ht="52.5" customHeight="1" x14ac:dyDescent="0.25">
      <c r="A1004" s="7" t="s">
        <v>59</v>
      </c>
      <c r="B1004" s="2" t="s">
        <v>12671</v>
      </c>
      <c r="C1004" s="2" t="s">
        <v>12672</v>
      </c>
      <c r="D1004" s="2" t="s">
        <v>12673</v>
      </c>
      <c r="F1004" s="3" t="s">
        <v>59</v>
      </c>
      <c r="G1004" s="3" t="s">
        <v>60</v>
      </c>
      <c r="H1004" s="3" t="s">
        <v>59</v>
      </c>
      <c r="I1004" s="3" t="s">
        <v>59</v>
      </c>
      <c r="J1004" s="3" t="s">
        <v>61</v>
      </c>
      <c r="K1004" s="2" t="s">
        <v>12674</v>
      </c>
      <c r="L1004" s="2" t="s">
        <v>11345</v>
      </c>
      <c r="M1004" s="3" t="s">
        <v>309</v>
      </c>
      <c r="O1004" s="3" t="s">
        <v>65</v>
      </c>
      <c r="P1004" s="3" t="s">
        <v>699</v>
      </c>
      <c r="R1004" s="3" t="s">
        <v>68</v>
      </c>
      <c r="S1004" s="4">
        <v>7</v>
      </c>
      <c r="T1004" s="4">
        <v>7</v>
      </c>
      <c r="U1004" s="5" t="s">
        <v>12218</v>
      </c>
      <c r="V1004" s="5" t="s">
        <v>12218</v>
      </c>
      <c r="W1004" s="5" t="s">
        <v>12616</v>
      </c>
      <c r="X1004" s="5" t="s">
        <v>12616</v>
      </c>
      <c r="Y1004" s="4">
        <v>322</v>
      </c>
      <c r="Z1004" s="4">
        <v>190</v>
      </c>
      <c r="AA1004" s="4">
        <v>192</v>
      </c>
      <c r="AB1004" s="4">
        <v>2</v>
      </c>
      <c r="AC1004" s="4">
        <v>2</v>
      </c>
      <c r="AD1004" s="4">
        <v>6</v>
      </c>
      <c r="AE1004" s="4">
        <v>6</v>
      </c>
      <c r="AF1004" s="4">
        <v>2</v>
      </c>
      <c r="AG1004" s="4">
        <v>2</v>
      </c>
      <c r="AH1004" s="4">
        <v>1</v>
      </c>
      <c r="AI1004" s="4">
        <v>1</v>
      </c>
      <c r="AJ1004" s="4">
        <v>5</v>
      </c>
      <c r="AK1004" s="4">
        <v>5</v>
      </c>
      <c r="AL1004" s="4">
        <v>0</v>
      </c>
      <c r="AM1004" s="4">
        <v>0</v>
      </c>
      <c r="AN1004" s="4">
        <v>0</v>
      </c>
      <c r="AO1004" s="4">
        <v>0</v>
      </c>
      <c r="AP1004" s="3" t="s">
        <v>59</v>
      </c>
      <c r="AQ1004" s="3" t="s">
        <v>71</v>
      </c>
      <c r="AR1004" s="6" t="str">
        <f>HYPERLINK("http://catalog.hathitrust.org/Record/007114899","HathiTrust Record")</f>
        <v>HathiTrust Record</v>
      </c>
      <c r="AS1004" s="6" t="str">
        <f>HYPERLINK("https://creighton-primo.hosted.exlibrisgroup.com/primo-explore/search?tab=default_tab&amp;search_scope=EVERYTHING&amp;vid=01CRU&amp;lang=en_US&amp;offset=0&amp;query=any,contains,991004475009702656","Catalog Record")</f>
        <v>Catalog Record</v>
      </c>
      <c r="AT1004" s="6" t="str">
        <f>HYPERLINK("http://www.worldcat.org/oclc/3608848","WorldCat Record")</f>
        <v>WorldCat Record</v>
      </c>
      <c r="AU1004" s="3" t="s">
        <v>12675</v>
      </c>
      <c r="AV1004" s="3" t="s">
        <v>12676</v>
      </c>
      <c r="AW1004" s="3" t="s">
        <v>12677</v>
      </c>
      <c r="AX1004" s="3" t="s">
        <v>12677</v>
      </c>
      <c r="AY1004" s="3" t="s">
        <v>12678</v>
      </c>
      <c r="AZ1004" s="3" t="s">
        <v>76</v>
      </c>
      <c r="BB1004" s="3" t="s">
        <v>12679</v>
      </c>
      <c r="BC1004" s="3" t="s">
        <v>12680</v>
      </c>
      <c r="BD1004" s="3" t="s">
        <v>12681</v>
      </c>
    </row>
    <row r="1005" spans="1:56" ht="52.5" customHeight="1" x14ac:dyDescent="0.25">
      <c r="A1005" s="7" t="s">
        <v>59</v>
      </c>
      <c r="B1005" s="2" t="s">
        <v>12682</v>
      </c>
      <c r="C1005" s="2" t="s">
        <v>12683</v>
      </c>
      <c r="D1005" s="2" t="s">
        <v>12684</v>
      </c>
      <c r="E1005" s="3" t="s">
        <v>870</v>
      </c>
      <c r="F1005" s="3" t="s">
        <v>59</v>
      </c>
      <c r="G1005" s="3" t="s">
        <v>60</v>
      </c>
      <c r="H1005" s="3" t="s">
        <v>59</v>
      </c>
      <c r="I1005" s="3" t="s">
        <v>71</v>
      </c>
      <c r="J1005" s="3" t="s">
        <v>61</v>
      </c>
      <c r="L1005" s="2" t="s">
        <v>5947</v>
      </c>
      <c r="M1005" s="3" t="s">
        <v>475</v>
      </c>
      <c r="N1005" s="2" t="s">
        <v>7264</v>
      </c>
      <c r="O1005" s="3" t="s">
        <v>65</v>
      </c>
      <c r="P1005" s="3" t="s">
        <v>66</v>
      </c>
      <c r="Q1005" s="2" t="s">
        <v>12685</v>
      </c>
      <c r="R1005" s="3" t="s">
        <v>68</v>
      </c>
      <c r="S1005" s="4">
        <v>10</v>
      </c>
      <c r="T1005" s="4">
        <v>10</v>
      </c>
      <c r="U1005" s="5" t="s">
        <v>12686</v>
      </c>
      <c r="V1005" s="5" t="s">
        <v>12686</v>
      </c>
      <c r="W1005" s="5" t="s">
        <v>10361</v>
      </c>
      <c r="X1005" s="5" t="s">
        <v>10361</v>
      </c>
      <c r="Y1005" s="4">
        <v>281</v>
      </c>
      <c r="Z1005" s="4">
        <v>236</v>
      </c>
      <c r="AA1005" s="4">
        <v>1138</v>
      </c>
      <c r="AB1005" s="4">
        <v>2</v>
      </c>
      <c r="AC1005" s="4">
        <v>9</v>
      </c>
      <c r="AD1005" s="4">
        <v>9</v>
      </c>
      <c r="AE1005" s="4">
        <v>43</v>
      </c>
      <c r="AF1005" s="4">
        <v>3</v>
      </c>
      <c r="AG1005" s="4">
        <v>20</v>
      </c>
      <c r="AH1005" s="4">
        <v>2</v>
      </c>
      <c r="AI1005" s="4">
        <v>8</v>
      </c>
      <c r="AJ1005" s="4">
        <v>7</v>
      </c>
      <c r="AK1005" s="4">
        <v>22</v>
      </c>
      <c r="AL1005" s="4">
        <v>1</v>
      </c>
      <c r="AM1005" s="4">
        <v>6</v>
      </c>
      <c r="AN1005" s="4">
        <v>0</v>
      </c>
      <c r="AO1005" s="4">
        <v>0</v>
      </c>
      <c r="AP1005" s="3" t="s">
        <v>59</v>
      </c>
      <c r="AQ1005" s="3" t="s">
        <v>71</v>
      </c>
      <c r="AR1005" s="6" t="str">
        <f>HYPERLINK("http://catalog.hathitrust.org/Record/102091685","HathiTrust Record")</f>
        <v>HathiTrust Record</v>
      </c>
      <c r="AS1005" s="6" t="str">
        <f>HYPERLINK("https://creighton-primo.hosted.exlibrisgroup.com/primo-explore/search?tab=default_tab&amp;search_scope=EVERYTHING&amp;vid=01CRU&amp;lang=en_US&amp;offset=0&amp;query=any,contains,991000170889702656","Catalog Record")</f>
        <v>Catalog Record</v>
      </c>
      <c r="AT1005" s="6" t="str">
        <f>HYPERLINK("http://www.worldcat.org/oclc/9324159","WorldCat Record")</f>
        <v>WorldCat Record</v>
      </c>
      <c r="AU1005" s="3" t="s">
        <v>12687</v>
      </c>
      <c r="AV1005" s="3" t="s">
        <v>12688</v>
      </c>
      <c r="AW1005" s="3" t="s">
        <v>12689</v>
      </c>
      <c r="AX1005" s="3" t="s">
        <v>12689</v>
      </c>
      <c r="AY1005" s="3" t="s">
        <v>12690</v>
      </c>
      <c r="AZ1005" s="3" t="s">
        <v>76</v>
      </c>
      <c r="BB1005" s="3" t="s">
        <v>12691</v>
      </c>
      <c r="BC1005" s="3" t="s">
        <v>12692</v>
      </c>
      <c r="BD1005" s="3" t="s">
        <v>12693</v>
      </c>
    </row>
    <row r="1006" spans="1:56" ht="52.5" customHeight="1" x14ac:dyDescent="0.25">
      <c r="A1006" s="7" t="s">
        <v>59</v>
      </c>
      <c r="B1006" s="2" t="s">
        <v>12694</v>
      </c>
      <c r="C1006" s="2" t="s">
        <v>12695</v>
      </c>
      <c r="D1006" s="2" t="s">
        <v>12696</v>
      </c>
      <c r="F1006" s="3" t="s">
        <v>59</v>
      </c>
      <c r="G1006" s="3" t="s">
        <v>60</v>
      </c>
      <c r="H1006" s="3" t="s">
        <v>59</v>
      </c>
      <c r="I1006" s="3" t="s">
        <v>59</v>
      </c>
      <c r="J1006" s="3" t="s">
        <v>61</v>
      </c>
      <c r="L1006" s="2" t="s">
        <v>12697</v>
      </c>
      <c r="M1006" s="3" t="s">
        <v>1000</v>
      </c>
      <c r="O1006" s="3" t="s">
        <v>65</v>
      </c>
      <c r="P1006" s="3" t="s">
        <v>66</v>
      </c>
      <c r="R1006" s="3" t="s">
        <v>68</v>
      </c>
      <c r="S1006" s="4">
        <v>7</v>
      </c>
      <c r="T1006" s="4">
        <v>7</v>
      </c>
      <c r="U1006" s="5" t="s">
        <v>12698</v>
      </c>
      <c r="V1006" s="5" t="s">
        <v>12698</v>
      </c>
      <c r="W1006" s="5" t="s">
        <v>1235</v>
      </c>
      <c r="X1006" s="5" t="s">
        <v>1235</v>
      </c>
      <c r="Y1006" s="4">
        <v>423</v>
      </c>
      <c r="Z1006" s="4">
        <v>322</v>
      </c>
      <c r="AA1006" s="4">
        <v>362</v>
      </c>
      <c r="AB1006" s="4">
        <v>1</v>
      </c>
      <c r="AC1006" s="4">
        <v>2</v>
      </c>
      <c r="AD1006" s="4">
        <v>10</v>
      </c>
      <c r="AE1006" s="4">
        <v>11</v>
      </c>
      <c r="AF1006" s="4">
        <v>4</v>
      </c>
      <c r="AG1006" s="4">
        <v>4</v>
      </c>
      <c r="AH1006" s="4">
        <v>2</v>
      </c>
      <c r="AI1006" s="4">
        <v>2</v>
      </c>
      <c r="AJ1006" s="4">
        <v>7</v>
      </c>
      <c r="AK1006" s="4">
        <v>7</v>
      </c>
      <c r="AL1006" s="4">
        <v>0</v>
      </c>
      <c r="AM1006" s="4">
        <v>1</v>
      </c>
      <c r="AN1006" s="4">
        <v>0</v>
      </c>
      <c r="AO1006" s="4">
        <v>0</v>
      </c>
      <c r="AP1006" s="3" t="s">
        <v>59</v>
      </c>
      <c r="AQ1006" s="3" t="s">
        <v>71</v>
      </c>
      <c r="AR1006" s="6" t="str">
        <f>HYPERLINK("http://catalog.hathitrust.org/Record/000130626","HathiTrust Record")</f>
        <v>HathiTrust Record</v>
      </c>
      <c r="AS1006" s="6" t="str">
        <f>HYPERLINK("https://creighton-primo.hosted.exlibrisgroup.com/primo-explore/search?tab=default_tab&amp;search_scope=EVERYTHING&amp;vid=01CRU&amp;lang=en_US&amp;offset=0&amp;query=any,contains,991004736289702656","Catalog Record")</f>
        <v>Catalog Record</v>
      </c>
      <c r="AT1006" s="6" t="str">
        <f>HYPERLINK("http://www.worldcat.org/oclc/4857767","WorldCat Record")</f>
        <v>WorldCat Record</v>
      </c>
      <c r="AU1006" s="3" t="s">
        <v>12699</v>
      </c>
      <c r="AV1006" s="3" t="s">
        <v>12700</v>
      </c>
      <c r="AW1006" s="3" t="s">
        <v>12701</v>
      </c>
      <c r="AX1006" s="3" t="s">
        <v>12701</v>
      </c>
      <c r="AY1006" s="3" t="s">
        <v>12702</v>
      </c>
      <c r="AZ1006" s="3" t="s">
        <v>76</v>
      </c>
      <c r="BC1006" s="3" t="s">
        <v>12703</v>
      </c>
      <c r="BD1006" s="3" t="s">
        <v>12704</v>
      </c>
    </row>
    <row r="1007" spans="1:56" ht="52.5" customHeight="1" x14ac:dyDescent="0.25">
      <c r="A1007" s="7" t="s">
        <v>59</v>
      </c>
      <c r="B1007" s="2" t="s">
        <v>12705</v>
      </c>
      <c r="C1007" s="2" t="s">
        <v>12706</v>
      </c>
      <c r="D1007" s="2" t="s">
        <v>12707</v>
      </c>
      <c r="F1007" s="3" t="s">
        <v>59</v>
      </c>
      <c r="G1007" s="3" t="s">
        <v>60</v>
      </c>
      <c r="H1007" s="3" t="s">
        <v>59</v>
      </c>
      <c r="I1007" s="3" t="s">
        <v>59</v>
      </c>
      <c r="J1007" s="3" t="s">
        <v>61</v>
      </c>
      <c r="K1007" s="2" t="s">
        <v>12708</v>
      </c>
      <c r="L1007" s="2" t="s">
        <v>12709</v>
      </c>
      <c r="M1007" s="3" t="s">
        <v>254</v>
      </c>
      <c r="N1007" s="2" t="s">
        <v>435</v>
      </c>
      <c r="O1007" s="3" t="s">
        <v>65</v>
      </c>
      <c r="P1007" s="3" t="s">
        <v>1262</v>
      </c>
      <c r="Q1007" s="2" t="s">
        <v>12710</v>
      </c>
      <c r="R1007" s="3" t="s">
        <v>68</v>
      </c>
      <c r="S1007" s="4">
        <v>1</v>
      </c>
      <c r="T1007" s="4">
        <v>1</v>
      </c>
      <c r="U1007" s="5" t="s">
        <v>12711</v>
      </c>
      <c r="V1007" s="5" t="s">
        <v>12711</v>
      </c>
      <c r="W1007" s="5" t="s">
        <v>12015</v>
      </c>
      <c r="X1007" s="5" t="s">
        <v>12015</v>
      </c>
      <c r="Y1007" s="4">
        <v>503</v>
      </c>
      <c r="Z1007" s="4">
        <v>381</v>
      </c>
      <c r="AA1007" s="4">
        <v>434</v>
      </c>
      <c r="AB1007" s="4">
        <v>6</v>
      </c>
      <c r="AC1007" s="4">
        <v>7</v>
      </c>
      <c r="AD1007" s="4">
        <v>21</v>
      </c>
      <c r="AE1007" s="4">
        <v>24</v>
      </c>
      <c r="AF1007" s="4">
        <v>11</v>
      </c>
      <c r="AG1007" s="4">
        <v>11</v>
      </c>
      <c r="AH1007" s="4">
        <v>1</v>
      </c>
      <c r="AI1007" s="4">
        <v>2</v>
      </c>
      <c r="AJ1007" s="4">
        <v>7</v>
      </c>
      <c r="AK1007" s="4">
        <v>8</v>
      </c>
      <c r="AL1007" s="4">
        <v>5</v>
      </c>
      <c r="AM1007" s="4">
        <v>6</v>
      </c>
      <c r="AN1007" s="4">
        <v>0</v>
      </c>
      <c r="AO1007" s="4">
        <v>0</v>
      </c>
      <c r="AP1007" s="3" t="s">
        <v>59</v>
      </c>
      <c r="AQ1007" s="3" t="s">
        <v>71</v>
      </c>
      <c r="AR1007" s="6" t="str">
        <f>HYPERLINK("http://catalog.hathitrust.org/Record/000000319","HathiTrust Record")</f>
        <v>HathiTrust Record</v>
      </c>
      <c r="AS1007" s="6" t="str">
        <f>HYPERLINK("https://creighton-primo.hosted.exlibrisgroup.com/primo-explore/search?tab=default_tab&amp;search_scope=EVERYTHING&amp;vid=01CRU&amp;lang=en_US&amp;offset=0&amp;query=any,contains,991000078309702656","Catalog Record")</f>
        <v>Catalog Record</v>
      </c>
      <c r="AT1007" s="6" t="str">
        <f>HYPERLINK("http://www.worldcat.org/oclc/30551","WorldCat Record")</f>
        <v>WorldCat Record</v>
      </c>
      <c r="AU1007" s="3" t="s">
        <v>12712</v>
      </c>
      <c r="AV1007" s="3" t="s">
        <v>12713</v>
      </c>
      <c r="AW1007" s="3" t="s">
        <v>12714</v>
      </c>
      <c r="AX1007" s="3" t="s">
        <v>12714</v>
      </c>
      <c r="AY1007" s="3" t="s">
        <v>12715</v>
      </c>
      <c r="AZ1007" s="3" t="s">
        <v>76</v>
      </c>
      <c r="BB1007" s="3" t="s">
        <v>12716</v>
      </c>
      <c r="BC1007" s="3" t="s">
        <v>12717</v>
      </c>
      <c r="BD1007" s="3" t="s">
        <v>12718</v>
      </c>
    </row>
    <row r="1008" spans="1:56" ht="52.5" customHeight="1" x14ac:dyDescent="0.25">
      <c r="A1008" s="7" t="s">
        <v>59</v>
      </c>
      <c r="B1008" s="2" t="s">
        <v>12719</v>
      </c>
      <c r="C1008" s="2" t="s">
        <v>12720</v>
      </c>
      <c r="D1008" s="2" t="s">
        <v>12721</v>
      </c>
      <c r="F1008" s="3" t="s">
        <v>59</v>
      </c>
      <c r="G1008" s="3" t="s">
        <v>60</v>
      </c>
      <c r="H1008" s="3" t="s">
        <v>59</v>
      </c>
      <c r="I1008" s="3" t="s">
        <v>59</v>
      </c>
      <c r="J1008" s="3" t="s">
        <v>61</v>
      </c>
      <c r="K1008" s="2" t="s">
        <v>12255</v>
      </c>
      <c r="L1008" s="2" t="s">
        <v>8475</v>
      </c>
      <c r="M1008" s="3" t="s">
        <v>309</v>
      </c>
      <c r="N1008" s="2" t="s">
        <v>12722</v>
      </c>
      <c r="O1008" s="3" t="s">
        <v>65</v>
      </c>
      <c r="P1008" s="3" t="s">
        <v>66</v>
      </c>
      <c r="Q1008" s="2" t="s">
        <v>3470</v>
      </c>
      <c r="R1008" s="3" t="s">
        <v>68</v>
      </c>
      <c r="S1008" s="4">
        <v>5</v>
      </c>
      <c r="T1008" s="4">
        <v>5</v>
      </c>
      <c r="U1008" s="5" t="s">
        <v>12218</v>
      </c>
      <c r="V1008" s="5" t="s">
        <v>12218</v>
      </c>
      <c r="W1008" s="5" t="s">
        <v>12723</v>
      </c>
      <c r="X1008" s="5" t="s">
        <v>12723</v>
      </c>
      <c r="Y1008" s="4">
        <v>486</v>
      </c>
      <c r="Z1008" s="4">
        <v>322</v>
      </c>
      <c r="AA1008" s="4">
        <v>974</v>
      </c>
      <c r="AB1008" s="4">
        <v>3</v>
      </c>
      <c r="AC1008" s="4">
        <v>11</v>
      </c>
      <c r="AD1008" s="4">
        <v>10</v>
      </c>
      <c r="AE1008" s="4">
        <v>34</v>
      </c>
      <c r="AF1008" s="4">
        <v>6</v>
      </c>
      <c r="AG1008" s="4">
        <v>13</v>
      </c>
      <c r="AH1008" s="4">
        <v>1</v>
      </c>
      <c r="AI1008" s="4">
        <v>5</v>
      </c>
      <c r="AJ1008" s="4">
        <v>4</v>
      </c>
      <c r="AK1008" s="4">
        <v>17</v>
      </c>
      <c r="AL1008" s="4">
        <v>1</v>
      </c>
      <c r="AM1008" s="4">
        <v>6</v>
      </c>
      <c r="AN1008" s="4">
        <v>0</v>
      </c>
      <c r="AO1008" s="4">
        <v>0</v>
      </c>
      <c r="AP1008" s="3" t="s">
        <v>59</v>
      </c>
      <c r="AQ1008" s="3" t="s">
        <v>71</v>
      </c>
      <c r="AR1008" s="6" t="str">
        <f>HYPERLINK("http://catalog.hathitrust.org/Record/000292502","HathiTrust Record")</f>
        <v>HathiTrust Record</v>
      </c>
      <c r="AS1008" s="6" t="str">
        <f>HYPERLINK("https://creighton-primo.hosted.exlibrisgroup.com/primo-explore/search?tab=default_tab&amp;search_scope=EVERYTHING&amp;vid=01CRU&amp;lang=en_US&amp;offset=0&amp;query=any,contains,991005265019702656","Catalog Record")</f>
        <v>Catalog Record</v>
      </c>
      <c r="AT1008" s="6" t="str">
        <f>HYPERLINK("http://www.worldcat.org/oclc/3120949","WorldCat Record")</f>
        <v>WorldCat Record</v>
      </c>
      <c r="AU1008" s="3" t="s">
        <v>12724</v>
      </c>
      <c r="AV1008" s="3" t="s">
        <v>12725</v>
      </c>
      <c r="AW1008" s="3" t="s">
        <v>12726</v>
      </c>
      <c r="AX1008" s="3" t="s">
        <v>12726</v>
      </c>
      <c r="AY1008" s="3" t="s">
        <v>12727</v>
      </c>
      <c r="AZ1008" s="3" t="s">
        <v>76</v>
      </c>
      <c r="BB1008" s="3" t="s">
        <v>12728</v>
      </c>
      <c r="BC1008" s="3" t="s">
        <v>12729</v>
      </c>
      <c r="BD1008" s="3" t="s">
        <v>12730</v>
      </c>
    </row>
    <row r="1009" spans="1:56" ht="52.5" customHeight="1" x14ac:dyDescent="0.25">
      <c r="A1009" s="7" t="s">
        <v>59</v>
      </c>
      <c r="B1009" s="2" t="s">
        <v>12731</v>
      </c>
      <c r="C1009" s="2" t="s">
        <v>12732</v>
      </c>
      <c r="D1009" s="2" t="s">
        <v>12733</v>
      </c>
      <c r="F1009" s="3" t="s">
        <v>59</v>
      </c>
      <c r="G1009" s="3" t="s">
        <v>60</v>
      </c>
      <c r="H1009" s="3" t="s">
        <v>59</v>
      </c>
      <c r="I1009" s="3" t="s">
        <v>59</v>
      </c>
      <c r="J1009" s="3" t="s">
        <v>61</v>
      </c>
      <c r="K1009" s="2" t="s">
        <v>12416</v>
      </c>
      <c r="L1009" s="2" t="s">
        <v>12734</v>
      </c>
      <c r="M1009" s="3" t="s">
        <v>100</v>
      </c>
      <c r="O1009" s="3" t="s">
        <v>65</v>
      </c>
      <c r="P1009" s="3" t="s">
        <v>66</v>
      </c>
      <c r="R1009" s="3" t="s">
        <v>68</v>
      </c>
      <c r="S1009" s="4">
        <v>5</v>
      </c>
      <c r="T1009" s="4">
        <v>5</v>
      </c>
      <c r="U1009" s="5" t="s">
        <v>12735</v>
      </c>
      <c r="V1009" s="5" t="s">
        <v>12735</v>
      </c>
      <c r="W1009" s="5" t="s">
        <v>12257</v>
      </c>
      <c r="X1009" s="5" t="s">
        <v>12257</v>
      </c>
      <c r="Y1009" s="4">
        <v>424</v>
      </c>
      <c r="Z1009" s="4">
        <v>268</v>
      </c>
      <c r="AA1009" s="4">
        <v>274</v>
      </c>
      <c r="AB1009" s="4">
        <v>3</v>
      </c>
      <c r="AC1009" s="4">
        <v>3</v>
      </c>
      <c r="AD1009" s="4">
        <v>13</v>
      </c>
      <c r="AE1009" s="4">
        <v>13</v>
      </c>
      <c r="AF1009" s="4">
        <v>4</v>
      </c>
      <c r="AG1009" s="4">
        <v>4</v>
      </c>
      <c r="AH1009" s="4">
        <v>2</v>
      </c>
      <c r="AI1009" s="4">
        <v>2</v>
      </c>
      <c r="AJ1009" s="4">
        <v>6</v>
      </c>
      <c r="AK1009" s="4">
        <v>6</v>
      </c>
      <c r="AL1009" s="4">
        <v>2</v>
      </c>
      <c r="AM1009" s="4">
        <v>2</v>
      </c>
      <c r="AN1009" s="4">
        <v>0</v>
      </c>
      <c r="AO1009" s="4">
        <v>0</v>
      </c>
      <c r="AP1009" s="3" t="s">
        <v>59</v>
      </c>
      <c r="AQ1009" s="3" t="s">
        <v>71</v>
      </c>
      <c r="AR1009" s="6" t="str">
        <f>HYPERLINK("http://catalog.hathitrust.org/Record/000428547","HathiTrust Record")</f>
        <v>HathiTrust Record</v>
      </c>
      <c r="AS1009" s="6" t="str">
        <f>HYPERLINK("https://creighton-primo.hosted.exlibrisgroup.com/primo-explore/search?tab=default_tab&amp;search_scope=EVERYTHING&amp;vid=01CRU&amp;lang=en_US&amp;offset=0&amp;query=any,contains,991000821569702656","Catalog Record")</f>
        <v>Catalog Record</v>
      </c>
      <c r="AT1009" s="6" t="str">
        <f>HYPERLINK("http://www.worldcat.org/oclc/145062","WorldCat Record")</f>
        <v>WorldCat Record</v>
      </c>
      <c r="AU1009" s="3" t="s">
        <v>12736</v>
      </c>
      <c r="AV1009" s="3" t="s">
        <v>12737</v>
      </c>
      <c r="AW1009" s="3" t="s">
        <v>12738</v>
      </c>
      <c r="AX1009" s="3" t="s">
        <v>12738</v>
      </c>
      <c r="AY1009" s="3" t="s">
        <v>12739</v>
      </c>
      <c r="AZ1009" s="3" t="s">
        <v>76</v>
      </c>
      <c r="BB1009" s="3" t="s">
        <v>12740</v>
      </c>
      <c r="BC1009" s="3" t="s">
        <v>12741</v>
      </c>
      <c r="BD1009" s="3" t="s">
        <v>12742</v>
      </c>
    </row>
    <row r="1010" spans="1:56" ht="52.5" customHeight="1" x14ac:dyDescent="0.25">
      <c r="A1010" s="7" t="s">
        <v>59</v>
      </c>
      <c r="B1010" s="2" t="s">
        <v>12743</v>
      </c>
      <c r="C1010" s="2" t="s">
        <v>12744</v>
      </c>
      <c r="D1010" s="2" t="s">
        <v>12745</v>
      </c>
      <c r="F1010" s="3" t="s">
        <v>59</v>
      </c>
      <c r="G1010" s="3" t="s">
        <v>60</v>
      </c>
      <c r="H1010" s="3" t="s">
        <v>59</v>
      </c>
      <c r="I1010" s="3" t="s">
        <v>59</v>
      </c>
      <c r="J1010" s="3" t="s">
        <v>61</v>
      </c>
      <c r="K1010" s="2" t="s">
        <v>12416</v>
      </c>
      <c r="L1010" s="2" t="s">
        <v>12734</v>
      </c>
      <c r="M1010" s="3" t="s">
        <v>100</v>
      </c>
      <c r="O1010" s="3" t="s">
        <v>65</v>
      </c>
      <c r="P1010" s="3" t="s">
        <v>66</v>
      </c>
      <c r="R1010" s="3" t="s">
        <v>68</v>
      </c>
      <c r="S1010" s="4">
        <v>4</v>
      </c>
      <c r="T1010" s="4">
        <v>4</v>
      </c>
      <c r="U1010" s="5" t="s">
        <v>12746</v>
      </c>
      <c r="V1010" s="5" t="s">
        <v>12746</v>
      </c>
      <c r="W1010" s="5" t="s">
        <v>12257</v>
      </c>
      <c r="X1010" s="5" t="s">
        <v>12257</v>
      </c>
      <c r="Y1010" s="4">
        <v>846</v>
      </c>
      <c r="Z1010" s="4">
        <v>680</v>
      </c>
      <c r="AA1010" s="4">
        <v>684</v>
      </c>
      <c r="AB1010" s="4">
        <v>5</v>
      </c>
      <c r="AC1010" s="4">
        <v>5</v>
      </c>
      <c r="AD1010" s="4">
        <v>31</v>
      </c>
      <c r="AE1010" s="4">
        <v>31</v>
      </c>
      <c r="AF1010" s="4">
        <v>15</v>
      </c>
      <c r="AG1010" s="4">
        <v>15</v>
      </c>
      <c r="AH1010" s="4">
        <v>9</v>
      </c>
      <c r="AI1010" s="4">
        <v>9</v>
      </c>
      <c r="AJ1010" s="4">
        <v>11</v>
      </c>
      <c r="AK1010" s="4">
        <v>11</v>
      </c>
      <c r="AL1010" s="4">
        <v>4</v>
      </c>
      <c r="AM1010" s="4">
        <v>4</v>
      </c>
      <c r="AN1010" s="4">
        <v>0</v>
      </c>
      <c r="AO1010" s="4">
        <v>0</v>
      </c>
      <c r="AP1010" s="3" t="s">
        <v>59</v>
      </c>
      <c r="AQ1010" s="3" t="s">
        <v>71</v>
      </c>
      <c r="AR1010" s="6" t="str">
        <f>HYPERLINK("http://catalog.hathitrust.org/Record/000428500","HathiTrust Record")</f>
        <v>HathiTrust Record</v>
      </c>
      <c r="AS1010" s="6" t="str">
        <f>HYPERLINK("https://creighton-primo.hosted.exlibrisgroup.com/primo-explore/search?tab=default_tab&amp;search_scope=EVERYTHING&amp;vid=01CRU&amp;lang=en_US&amp;offset=0&amp;query=any,contains,991000820749702656","Catalog Record")</f>
        <v>Catalog Record</v>
      </c>
      <c r="AT1010" s="6" t="str">
        <f>HYPERLINK("http://www.worldcat.org/oclc/144722","WorldCat Record")</f>
        <v>WorldCat Record</v>
      </c>
      <c r="AU1010" s="3" t="s">
        <v>12747</v>
      </c>
      <c r="AV1010" s="3" t="s">
        <v>12748</v>
      </c>
      <c r="AW1010" s="3" t="s">
        <v>12749</v>
      </c>
      <c r="AX1010" s="3" t="s">
        <v>12749</v>
      </c>
      <c r="AY1010" s="3" t="s">
        <v>12750</v>
      </c>
      <c r="AZ1010" s="3" t="s">
        <v>76</v>
      </c>
      <c r="BB1010" s="3" t="s">
        <v>12751</v>
      </c>
      <c r="BC1010" s="3" t="s">
        <v>12752</v>
      </c>
      <c r="BD1010" s="3" t="s">
        <v>12753</v>
      </c>
    </row>
    <row r="1011" spans="1:56" ht="52.5" customHeight="1" x14ac:dyDescent="0.25">
      <c r="A1011" s="7" t="s">
        <v>59</v>
      </c>
      <c r="B1011" s="2" t="s">
        <v>12754</v>
      </c>
      <c r="C1011" s="2" t="s">
        <v>12755</v>
      </c>
      <c r="D1011" s="2" t="s">
        <v>12756</v>
      </c>
      <c r="F1011" s="3" t="s">
        <v>59</v>
      </c>
      <c r="G1011" s="3" t="s">
        <v>60</v>
      </c>
      <c r="H1011" s="3" t="s">
        <v>59</v>
      </c>
      <c r="I1011" s="3" t="s">
        <v>59</v>
      </c>
      <c r="J1011" s="3" t="s">
        <v>61</v>
      </c>
      <c r="K1011" s="2" t="s">
        <v>12757</v>
      </c>
      <c r="L1011" s="2" t="s">
        <v>12758</v>
      </c>
      <c r="M1011" s="3" t="s">
        <v>684</v>
      </c>
      <c r="O1011" s="3" t="s">
        <v>65</v>
      </c>
      <c r="P1011" s="3" t="s">
        <v>66</v>
      </c>
      <c r="R1011" s="3" t="s">
        <v>68</v>
      </c>
      <c r="S1011" s="4">
        <v>4</v>
      </c>
      <c r="T1011" s="4">
        <v>4</v>
      </c>
      <c r="U1011" s="5" t="s">
        <v>12218</v>
      </c>
      <c r="V1011" s="5" t="s">
        <v>12218</v>
      </c>
      <c r="W1011" s="5" t="s">
        <v>12257</v>
      </c>
      <c r="X1011" s="5" t="s">
        <v>12257</v>
      </c>
      <c r="Y1011" s="4">
        <v>238</v>
      </c>
      <c r="Z1011" s="4">
        <v>142</v>
      </c>
      <c r="AA1011" s="4">
        <v>188</v>
      </c>
      <c r="AB1011" s="4">
        <v>1</v>
      </c>
      <c r="AC1011" s="4">
        <v>2</v>
      </c>
      <c r="AD1011" s="4">
        <v>6</v>
      </c>
      <c r="AE1011" s="4">
        <v>9</v>
      </c>
      <c r="AF1011" s="4">
        <v>3</v>
      </c>
      <c r="AG1011" s="4">
        <v>4</v>
      </c>
      <c r="AH1011" s="4">
        <v>0</v>
      </c>
      <c r="AI1011" s="4">
        <v>1</v>
      </c>
      <c r="AJ1011" s="4">
        <v>4</v>
      </c>
      <c r="AK1011" s="4">
        <v>4</v>
      </c>
      <c r="AL1011" s="4">
        <v>0</v>
      </c>
      <c r="AM1011" s="4">
        <v>1</v>
      </c>
      <c r="AN1011" s="4">
        <v>0</v>
      </c>
      <c r="AO1011" s="4">
        <v>0</v>
      </c>
      <c r="AP1011" s="3" t="s">
        <v>59</v>
      </c>
      <c r="AQ1011" s="3" t="s">
        <v>59</v>
      </c>
      <c r="AS1011" s="6" t="str">
        <f>HYPERLINK("https://creighton-primo.hosted.exlibrisgroup.com/primo-explore/search?tab=default_tab&amp;search_scope=EVERYTHING&amp;vid=01CRU&amp;lang=en_US&amp;offset=0&amp;query=any,contains,991005131759702656","Catalog Record")</f>
        <v>Catalog Record</v>
      </c>
      <c r="AT1011" s="6" t="str">
        <f>HYPERLINK("http://www.worldcat.org/oclc/7573136","WorldCat Record")</f>
        <v>WorldCat Record</v>
      </c>
      <c r="AU1011" s="3" t="s">
        <v>12759</v>
      </c>
      <c r="AV1011" s="3" t="s">
        <v>12760</v>
      </c>
      <c r="AW1011" s="3" t="s">
        <v>12761</v>
      </c>
      <c r="AX1011" s="3" t="s">
        <v>12761</v>
      </c>
      <c r="AY1011" s="3" t="s">
        <v>12762</v>
      </c>
      <c r="AZ1011" s="3" t="s">
        <v>76</v>
      </c>
      <c r="BB1011" s="3" t="s">
        <v>12763</v>
      </c>
      <c r="BC1011" s="3" t="s">
        <v>12764</v>
      </c>
      <c r="BD1011" s="3" t="s">
        <v>12765</v>
      </c>
    </row>
    <row r="1012" spans="1:56" ht="52.5" customHeight="1" x14ac:dyDescent="0.25">
      <c r="A1012" s="7" t="s">
        <v>59</v>
      </c>
      <c r="B1012" s="2" t="s">
        <v>12766</v>
      </c>
      <c r="C1012" s="2" t="s">
        <v>12767</v>
      </c>
      <c r="D1012" s="2" t="s">
        <v>12768</v>
      </c>
      <c r="F1012" s="3" t="s">
        <v>59</v>
      </c>
      <c r="G1012" s="3" t="s">
        <v>60</v>
      </c>
      <c r="H1012" s="3" t="s">
        <v>59</v>
      </c>
      <c r="I1012" s="3" t="s">
        <v>59</v>
      </c>
      <c r="J1012" s="3" t="s">
        <v>61</v>
      </c>
      <c r="K1012" s="2" t="s">
        <v>12769</v>
      </c>
      <c r="L1012" s="2" t="s">
        <v>12770</v>
      </c>
      <c r="M1012" s="3" t="s">
        <v>350</v>
      </c>
      <c r="N1012" s="2" t="s">
        <v>1289</v>
      </c>
      <c r="O1012" s="3" t="s">
        <v>65</v>
      </c>
      <c r="P1012" s="3" t="s">
        <v>1262</v>
      </c>
      <c r="R1012" s="3" t="s">
        <v>68</v>
      </c>
      <c r="S1012" s="4">
        <v>8</v>
      </c>
      <c r="T1012" s="4">
        <v>8</v>
      </c>
      <c r="U1012" s="5" t="s">
        <v>10228</v>
      </c>
      <c r="V1012" s="5" t="s">
        <v>10228</v>
      </c>
      <c r="W1012" s="5" t="s">
        <v>12257</v>
      </c>
      <c r="X1012" s="5" t="s">
        <v>12257</v>
      </c>
      <c r="Y1012" s="4">
        <v>244</v>
      </c>
      <c r="Z1012" s="4">
        <v>177</v>
      </c>
      <c r="AA1012" s="4">
        <v>274</v>
      </c>
      <c r="AB1012" s="4">
        <v>4</v>
      </c>
      <c r="AC1012" s="4">
        <v>7</v>
      </c>
      <c r="AD1012" s="4">
        <v>9</v>
      </c>
      <c r="AE1012" s="4">
        <v>12</v>
      </c>
      <c r="AF1012" s="4">
        <v>4</v>
      </c>
      <c r="AG1012" s="4">
        <v>4</v>
      </c>
      <c r="AH1012" s="4">
        <v>1</v>
      </c>
      <c r="AI1012" s="4">
        <v>1</v>
      </c>
      <c r="AJ1012" s="4">
        <v>3</v>
      </c>
      <c r="AK1012" s="4">
        <v>3</v>
      </c>
      <c r="AL1012" s="4">
        <v>3</v>
      </c>
      <c r="AM1012" s="4">
        <v>6</v>
      </c>
      <c r="AN1012" s="4">
        <v>0</v>
      </c>
      <c r="AO1012" s="4">
        <v>0</v>
      </c>
      <c r="AP1012" s="3" t="s">
        <v>59</v>
      </c>
      <c r="AQ1012" s="3" t="s">
        <v>71</v>
      </c>
      <c r="AR1012" s="6" t="str">
        <f>HYPERLINK("http://catalog.hathitrust.org/Record/009056497","HathiTrust Record")</f>
        <v>HathiTrust Record</v>
      </c>
      <c r="AS1012" s="6" t="str">
        <f>HYPERLINK("https://creighton-primo.hosted.exlibrisgroup.com/primo-explore/search?tab=default_tab&amp;search_scope=EVERYTHING&amp;vid=01CRU&amp;lang=en_US&amp;offset=0&amp;query=any,contains,991004300169702656","Catalog Record")</f>
        <v>Catalog Record</v>
      </c>
      <c r="AT1012" s="6" t="str">
        <f>HYPERLINK("http://www.worldcat.org/oclc/2967875","WorldCat Record")</f>
        <v>WorldCat Record</v>
      </c>
      <c r="AU1012" s="3" t="s">
        <v>12771</v>
      </c>
      <c r="AV1012" s="3" t="s">
        <v>12772</v>
      </c>
      <c r="AW1012" s="3" t="s">
        <v>12773</v>
      </c>
      <c r="AX1012" s="3" t="s">
        <v>12773</v>
      </c>
      <c r="AY1012" s="3" t="s">
        <v>12774</v>
      </c>
      <c r="AZ1012" s="3" t="s">
        <v>76</v>
      </c>
      <c r="BB1012" s="3" t="s">
        <v>12775</v>
      </c>
      <c r="BC1012" s="3" t="s">
        <v>12776</v>
      </c>
      <c r="BD1012" s="3" t="s">
        <v>12777</v>
      </c>
    </row>
    <row r="1013" spans="1:56" ht="52.5" customHeight="1" x14ac:dyDescent="0.25">
      <c r="A1013" s="7" t="s">
        <v>59</v>
      </c>
      <c r="B1013" s="2" t="s">
        <v>12778</v>
      </c>
      <c r="C1013" s="2" t="s">
        <v>12779</v>
      </c>
      <c r="D1013" s="2" t="s">
        <v>12780</v>
      </c>
      <c r="F1013" s="3" t="s">
        <v>59</v>
      </c>
      <c r="G1013" s="3" t="s">
        <v>60</v>
      </c>
      <c r="H1013" s="3" t="s">
        <v>59</v>
      </c>
      <c r="I1013" s="3" t="s">
        <v>59</v>
      </c>
      <c r="J1013" s="3" t="s">
        <v>61</v>
      </c>
      <c r="L1013" s="2" t="s">
        <v>12781</v>
      </c>
      <c r="M1013" s="3" t="s">
        <v>405</v>
      </c>
      <c r="O1013" s="3" t="s">
        <v>65</v>
      </c>
      <c r="P1013" s="3" t="s">
        <v>1262</v>
      </c>
      <c r="R1013" s="3" t="s">
        <v>68</v>
      </c>
      <c r="S1013" s="4">
        <v>9</v>
      </c>
      <c r="T1013" s="4">
        <v>9</v>
      </c>
      <c r="U1013" s="5" t="s">
        <v>12782</v>
      </c>
      <c r="V1013" s="5" t="s">
        <v>12782</v>
      </c>
      <c r="W1013" s="5" t="s">
        <v>12783</v>
      </c>
      <c r="X1013" s="5" t="s">
        <v>12783</v>
      </c>
      <c r="Y1013" s="4">
        <v>756</v>
      </c>
      <c r="Z1013" s="4">
        <v>557</v>
      </c>
      <c r="AA1013" s="4">
        <v>859</v>
      </c>
      <c r="AB1013" s="4">
        <v>7</v>
      </c>
      <c r="AC1013" s="4">
        <v>9</v>
      </c>
      <c r="AD1013" s="4">
        <v>28</v>
      </c>
      <c r="AE1013" s="4">
        <v>40</v>
      </c>
      <c r="AF1013" s="4">
        <v>10</v>
      </c>
      <c r="AG1013" s="4">
        <v>14</v>
      </c>
      <c r="AH1013" s="4">
        <v>6</v>
      </c>
      <c r="AI1013" s="4">
        <v>8</v>
      </c>
      <c r="AJ1013" s="4">
        <v>13</v>
      </c>
      <c r="AK1013" s="4">
        <v>17</v>
      </c>
      <c r="AL1013" s="4">
        <v>6</v>
      </c>
      <c r="AM1013" s="4">
        <v>8</v>
      </c>
      <c r="AN1013" s="4">
        <v>0</v>
      </c>
      <c r="AO1013" s="4">
        <v>1</v>
      </c>
      <c r="AP1013" s="3" t="s">
        <v>59</v>
      </c>
      <c r="AQ1013" s="3" t="s">
        <v>59</v>
      </c>
      <c r="AS1013" s="6" t="str">
        <f>HYPERLINK("https://creighton-primo.hosted.exlibrisgroup.com/primo-explore/search?tab=default_tab&amp;search_scope=EVERYTHING&amp;vid=01CRU&amp;lang=en_US&amp;offset=0&amp;query=any,contains,991001041989702656","Catalog Record")</f>
        <v>Catalog Record</v>
      </c>
      <c r="AT1013" s="6" t="str">
        <f>HYPERLINK("http://www.worldcat.org/oclc/15590266","WorldCat Record")</f>
        <v>WorldCat Record</v>
      </c>
      <c r="AU1013" s="3" t="s">
        <v>12784</v>
      </c>
      <c r="AV1013" s="3" t="s">
        <v>12785</v>
      </c>
      <c r="AW1013" s="3" t="s">
        <v>12786</v>
      </c>
      <c r="AX1013" s="3" t="s">
        <v>12786</v>
      </c>
      <c r="AY1013" s="3" t="s">
        <v>12787</v>
      </c>
      <c r="AZ1013" s="3" t="s">
        <v>76</v>
      </c>
      <c r="BB1013" s="3" t="s">
        <v>12788</v>
      </c>
      <c r="BC1013" s="3" t="s">
        <v>12789</v>
      </c>
      <c r="BD1013" s="3" t="s">
        <v>12790</v>
      </c>
    </row>
    <row r="1014" spans="1:56" ht="52.5" customHeight="1" x14ac:dyDescent="0.25">
      <c r="A1014" s="7" t="s">
        <v>59</v>
      </c>
      <c r="B1014" s="2" t="s">
        <v>12791</v>
      </c>
      <c r="C1014" s="2" t="s">
        <v>12792</v>
      </c>
      <c r="D1014" s="2" t="s">
        <v>12793</v>
      </c>
      <c r="E1014" s="3" t="s">
        <v>12794</v>
      </c>
      <c r="F1014" s="3" t="s">
        <v>59</v>
      </c>
      <c r="G1014" s="3" t="s">
        <v>60</v>
      </c>
      <c r="H1014" s="3" t="s">
        <v>59</v>
      </c>
      <c r="I1014" s="3" t="s">
        <v>59</v>
      </c>
      <c r="J1014" s="3" t="s">
        <v>61</v>
      </c>
      <c r="K1014" s="2" t="s">
        <v>12795</v>
      </c>
      <c r="L1014" s="2" t="s">
        <v>12796</v>
      </c>
      <c r="M1014" s="3" t="s">
        <v>1000</v>
      </c>
      <c r="O1014" s="3" t="s">
        <v>65</v>
      </c>
      <c r="P1014" s="3" t="s">
        <v>699</v>
      </c>
      <c r="R1014" s="3" t="s">
        <v>68</v>
      </c>
      <c r="S1014" s="4">
        <v>3</v>
      </c>
      <c r="T1014" s="4">
        <v>3</v>
      </c>
      <c r="U1014" s="5" t="s">
        <v>4444</v>
      </c>
      <c r="V1014" s="5" t="s">
        <v>4444</v>
      </c>
      <c r="W1014" s="5" t="s">
        <v>12797</v>
      </c>
      <c r="X1014" s="5" t="s">
        <v>12797</v>
      </c>
      <c r="Y1014" s="4">
        <v>307</v>
      </c>
      <c r="Z1014" s="4">
        <v>230</v>
      </c>
      <c r="AA1014" s="4">
        <v>238</v>
      </c>
      <c r="AB1014" s="4">
        <v>3</v>
      </c>
      <c r="AC1014" s="4">
        <v>3</v>
      </c>
      <c r="AD1014" s="4">
        <v>16</v>
      </c>
      <c r="AE1014" s="4">
        <v>16</v>
      </c>
      <c r="AF1014" s="4">
        <v>5</v>
      </c>
      <c r="AG1014" s="4">
        <v>5</v>
      </c>
      <c r="AH1014" s="4">
        <v>6</v>
      </c>
      <c r="AI1014" s="4">
        <v>6</v>
      </c>
      <c r="AJ1014" s="4">
        <v>11</v>
      </c>
      <c r="AK1014" s="4">
        <v>11</v>
      </c>
      <c r="AL1014" s="4">
        <v>1</v>
      </c>
      <c r="AM1014" s="4">
        <v>1</v>
      </c>
      <c r="AN1014" s="4">
        <v>0</v>
      </c>
      <c r="AO1014" s="4">
        <v>0</v>
      </c>
      <c r="AP1014" s="3" t="s">
        <v>59</v>
      </c>
      <c r="AQ1014" s="3" t="s">
        <v>59</v>
      </c>
      <c r="AS1014" s="6" t="str">
        <f>HYPERLINK("https://creighton-primo.hosted.exlibrisgroup.com/primo-explore/search?tab=default_tab&amp;search_scope=EVERYTHING&amp;vid=01CRU&amp;lang=en_US&amp;offset=0&amp;query=any,contains,991004693809702656","Catalog Record")</f>
        <v>Catalog Record</v>
      </c>
      <c r="AT1014" s="6" t="str">
        <f>HYPERLINK("http://www.worldcat.org/oclc/4638130","WorldCat Record")</f>
        <v>WorldCat Record</v>
      </c>
      <c r="AU1014" s="3" t="s">
        <v>12798</v>
      </c>
      <c r="AV1014" s="3" t="s">
        <v>12799</v>
      </c>
      <c r="AW1014" s="3" t="s">
        <v>12800</v>
      </c>
      <c r="AX1014" s="3" t="s">
        <v>12800</v>
      </c>
      <c r="AY1014" s="3" t="s">
        <v>12801</v>
      </c>
      <c r="AZ1014" s="3" t="s">
        <v>76</v>
      </c>
      <c r="BC1014" s="3" t="s">
        <v>12802</v>
      </c>
      <c r="BD1014" s="3" t="s">
        <v>12803</v>
      </c>
    </row>
    <row r="1015" spans="1:56" ht="52.5" customHeight="1" x14ac:dyDescent="0.25">
      <c r="A1015" s="7" t="s">
        <v>59</v>
      </c>
      <c r="B1015" s="2" t="s">
        <v>12804</v>
      </c>
      <c r="C1015" s="2" t="s">
        <v>12805</v>
      </c>
      <c r="D1015" s="2" t="s">
        <v>12806</v>
      </c>
      <c r="E1015" s="3" t="s">
        <v>12807</v>
      </c>
      <c r="F1015" s="3" t="s">
        <v>59</v>
      </c>
      <c r="G1015" s="3" t="s">
        <v>60</v>
      </c>
      <c r="H1015" s="3" t="s">
        <v>59</v>
      </c>
      <c r="I1015" s="3" t="s">
        <v>59</v>
      </c>
      <c r="J1015" s="3" t="s">
        <v>61</v>
      </c>
      <c r="K1015" s="2" t="s">
        <v>12808</v>
      </c>
      <c r="L1015" s="2" t="s">
        <v>12809</v>
      </c>
      <c r="M1015" s="3" t="s">
        <v>164</v>
      </c>
      <c r="O1015" s="3" t="s">
        <v>65</v>
      </c>
      <c r="P1015" s="3" t="s">
        <v>699</v>
      </c>
      <c r="R1015" s="3" t="s">
        <v>68</v>
      </c>
      <c r="S1015" s="4">
        <v>5</v>
      </c>
      <c r="T1015" s="4">
        <v>5</v>
      </c>
      <c r="U1015" s="5" t="s">
        <v>12810</v>
      </c>
      <c r="V1015" s="5" t="s">
        <v>12810</v>
      </c>
      <c r="W1015" s="5" t="s">
        <v>12797</v>
      </c>
      <c r="X1015" s="5" t="s">
        <v>12797</v>
      </c>
      <c r="Y1015" s="4">
        <v>316</v>
      </c>
      <c r="Z1015" s="4">
        <v>242</v>
      </c>
      <c r="AA1015" s="4">
        <v>266</v>
      </c>
      <c r="AB1015" s="4">
        <v>4</v>
      </c>
      <c r="AC1015" s="4">
        <v>4</v>
      </c>
      <c r="AD1015" s="4">
        <v>18</v>
      </c>
      <c r="AE1015" s="4">
        <v>18</v>
      </c>
      <c r="AF1015" s="4">
        <v>5</v>
      </c>
      <c r="AG1015" s="4">
        <v>5</v>
      </c>
      <c r="AH1015" s="4">
        <v>6</v>
      </c>
      <c r="AI1015" s="4">
        <v>6</v>
      </c>
      <c r="AJ1015" s="4">
        <v>12</v>
      </c>
      <c r="AK1015" s="4">
        <v>12</v>
      </c>
      <c r="AL1015" s="4">
        <v>2</v>
      </c>
      <c r="AM1015" s="4">
        <v>2</v>
      </c>
      <c r="AN1015" s="4">
        <v>0</v>
      </c>
      <c r="AO1015" s="4">
        <v>0</v>
      </c>
      <c r="AP1015" s="3" t="s">
        <v>59</v>
      </c>
      <c r="AQ1015" s="3" t="s">
        <v>59</v>
      </c>
      <c r="AS1015" s="6" t="str">
        <f>HYPERLINK("https://creighton-primo.hosted.exlibrisgroup.com/primo-explore/search?tab=default_tab&amp;search_scope=EVERYTHING&amp;vid=01CRU&amp;lang=en_US&amp;offset=0&amp;query=any,contains,991004896459702656","Catalog Record")</f>
        <v>Catalog Record</v>
      </c>
      <c r="AT1015" s="6" t="str">
        <f>HYPERLINK("http://www.worldcat.org/oclc/5894219","WorldCat Record")</f>
        <v>WorldCat Record</v>
      </c>
      <c r="AU1015" s="3" t="s">
        <v>12811</v>
      </c>
      <c r="AV1015" s="3" t="s">
        <v>12812</v>
      </c>
      <c r="AW1015" s="3" t="s">
        <v>12813</v>
      </c>
      <c r="AX1015" s="3" t="s">
        <v>12813</v>
      </c>
      <c r="AY1015" s="3" t="s">
        <v>12814</v>
      </c>
      <c r="AZ1015" s="3" t="s">
        <v>76</v>
      </c>
      <c r="BB1015" s="3" t="s">
        <v>12815</v>
      </c>
      <c r="BC1015" s="3" t="s">
        <v>12816</v>
      </c>
      <c r="BD1015" s="3" t="s">
        <v>12817</v>
      </c>
    </row>
    <row r="1016" spans="1:56" ht="52.5" customHeight="1" x14ac:dyDescent="0.25">
      <c r="A1016" s="7" t="s">
        <v>59</v>
      </c>
      <c r="B1016" s="2" t="s">
        <v>12818</v>
      </c>
      <c r="C1016" s="2" t="s">
        <v>12819</v>
      </c>
      <c r="D1016" s="2" t="s">
        <v>12820</v>
      </c>
      <c r="E1016" s="3" t="s">
        <v>12821</v>
      </c>
      <c r="F1016" s="3" t="s">
        <v>59</v>
      </c>
      <c r="G1016" s="3" t="s">
        <v>60</v>
      </c>
      <c r="H1016" s="3" t="s">
        <v>59</v>
      </c>
      <c r="I1016" s="3" t="s">
        <v>59</v>
      </c>
      <c r="J1016" s="3" t="s">
        <v>61</v>
      </c>
      <c r="K1016" s="2" t="s">
        <v>12822</v>
      </c>
      <c r="L1016" s="2" t="s">
        <v>4631</v>
      </c>
      <c r="M1016" s="3" t="s">
        <v>475</v>
      </c>
      <c r="O1016" s="3" t="s">
        <v>65</v>
      </c>
      <c r="P1016" s="3" t="s">
        <v>699</v>
      </c>
      <c r="R1016" s="3" t="s">
        <v>68</v>
      </c>
      <c r="S1016" s="4">
        <v>4</v>
      </c>
      <c r="T1016" s="4">
        <v>4</v>
      </c>
      <c r="U1016" s="5" t="s">
        <v>12823</v>
      </c>
      <c r="V1016" s="5" t="s">
        <v>12823</v>
      </c>
      <c r="W1016" s="5" t="s">
        <v>12797</v>
      </c>
      <c r="X1016" s="5" t="s">
        <v>12797</v>
      </c>
      <c r="Y1016" s="4">
        <v>272</v>
      </c>
      <c r="Z1016" s="4">
        <v>206</v>
      </c>
      <c r="AA1016" s="4">
        <v>206</v>
      </c>
      <c r="AB1016" s="4">
        <v>2</v>
      </c>
      <c r="AC1016" s="4">
        <v>2</v>
      </c>
      <c r="AD1016" s="4">
        <v>14</v>
      </c>
      <c r="AE1016" s="4">
        <v>14</v>
      </c>
      <c r="AF1016" s="4">
        <v>4</v>
      </c>
      <c r="AG1016" s="4">
        <v>4</v>
      </c>
      <c r="AH1016" s="4">
        <v>3</v>
      </c>
      <c r="AI1016" s="4">
        <v>3</v>
      </c>
      <c r="AJ1016" s="4">
        <v>10</v>
      </c>
      <c r="AK1016" s="4">
        <v>10</v>
      </c>
      <c r="AL1016" s="4">
        <v>1</v>
      </c>
      <c r="AM1016" s="4">
        <v>1</v>
      </c>
      <c r="AN1016" s="4">
        <v>0</v>
      </c>
      <c r="AO1016" s="4">
        <v>0</v>
      </c>
      <c r="AP1016" s="3" t="s">
        <v>59</v>
      </c>
      <c r="AQ1016" s="3" t="s">
        <v>59</v>
      </c>
      <c r="AS1016" s="6" t="str">
        <f>HYPERLINK("https://creighton-primo.hosted.exlibrisgroup.com/primo-explore/search?tab=default_tab&amp;search_scope=EVERYTHING&amp;vid=01CRU&amp;lang=en_US&amp;offset=0&amp;query=any,contains,991000169789702656","Catalog Record")</f>
        <v>Catalog Record</v>
      </c>
      <c r="AT1016" s="6" t="str">
        <f>HYPERLINK("http://www.worldcat.org/oclc/9323187","WorldCat Record")</f>
        <v>WorldCat Record</v>
      </c>
      <c r="AU1016" s="3" t="s">
        <v>12824</v>
      </c>
      <c r="AV1016" s="3" t="s">
        <v>12825</v>
      </c>
      <c r="AW1016" s="3" t="s">
        <v>12826</v>
      </c>
      <c r="AX1016" s="3" t="s">
        <v>12826</v>
      </c>
      <c r="AY1016" s="3" t="s">
        <v>12827</v>
      </c>
      <c r="AZ1016" s="3" t="s">
        <v>76</v>
      </c>
      <c r="BB1016" s="3" t="s">
        <v>12828</v>
      </c>
      <c r="BC1016" s="3" t="s">
        <v>12829</v>
      </c>
      <c r="BD1016" s="3" t="s">
        <v>12830</v>
      </c>
    </row>
    <row r="1017" spans="1:56" ht="52.5" customHeight="1" x14ac:dyDescent="0.25">
      <c r="A1017" s="7" t="s">
        <v>59</v>
      </c>
      <c r="B1017" s="2" t="s">
        <v>12831</v>
      </c>
      <c r="C1017" s="2" t="s">
        <v>12832</v>
      </c>
      <c r="D1017" s="2" t="s">
        <v>12833</v>
      </c>
      <c r="E1017" s="3" t="s">
        <v>12834</v>
      </c>
      <c r="F1017" s="3" t="s">
        <v>59</v>
      </c>
      <c r="G1017" s="3" t="s">
        <v>60</v>
      </c>
      <c r="H1017" s="3" t="s">
        <v>59</v>
      </c>
      <c r="I1017" s="3" t="s">
        <v>59</v>
      </c>
      <c r="J1017" s="3" t="s">
        <v>61</v>
      </c>
      <c r="K1017" s="2" t="s">
        <v>12835</v>
      </c>
      <c r="L1017" s="2" t="s">
        <v>12836</v>
      </c>
      <c r="M1017" s="3" t="s">
        <v>1217</v>
      </c>
      <c r="O1017" s="3" t="s">
        <v>65</v>
      </c>
      <c r="P1017" s="3" t="s">
        <v>699</v>
      </c>
      <c r="R1017" s="3" t="s">
        <v>68</v>
      </c>
      <c r="S1017" s="4">
        <v>7</v>
      </c>
      <c r="T1017" s="4">
        <v>7</v>
      </c>
      <c r="U1017" s="5" t="s">
        <v>12306</v>
      </c>
      <c r="V1017" s="5" t="s">
        <v>12306</v>
      </c>
      <c r="W1017" s="5" t="s">
        <v>12797</v>
      </c>
      <c r="X1017" s="5" t="s">
        <v>12797</v>
      </c>
      <c r="Y1017" s="4">
        <v>307</v>
      </c>
      <c r="Z1017" s="4">
        <v>235</v>
      </c>
      <c r="AA1017" s="4">
        <v>263</v>
      </c>
      <c r="AB1017" s="4">
        <v>2</v>
      </c>
      <c r="AC1017" s="4">
        <v>2</v>
      </c>
      <c r="AD1017" s="4">
        <v>17</v>
      </c>
      <c r="AE1017" s="4">
        <v>17</v>
      </c>
      <c r="AF1017" s="4">
        <v>5</v>
      </c>
      <c r="AG1017" s="4">
        <v>5</v>
      </c>
      <c r="AH1017" s="4">
        <v>4</v>
      </c>
      <c r="AI1017" s="4">
        <v>4</v>
      </c>
      <c r="AJ1017" s="4">
        <v>12</v>
      </c>
      <c r="AK1017" s="4">
        <v>12</v>
      </c>
      <c r="AL1017" s="4">
        <v>1</v>
      </c>
      <c r="AM1017" s="4">
        <v>1</v>
      </c>
      <c r="AN1017" s="4">
        <v>0</v>
      </c>
      <c r="AO1017" s="4">
        <v>0</v>
      </c>
      <c r="AP1017" s="3" t="s">
        <v>59</v>
      </c>
      <c r="AQ1017" s="3" t="s">
        <v>59</v>
      </c>
      <c r="AS1017" s="6" t="str">
        <f>HYPERLINK("https://creighton-primo.hosted.exlibrisgroup.com/primo-explore/search?tab=default_tab&amp;search_scope=EVERYTHING&amp;vid=01CRU&amp;lang=en_US&amp;offset=0&amp;query=any,contains,991000337709702656","Catalog Record")</f>
        <v>Catalog Record</v>
      </c>
      <c r="AT1017" s="6" t="str">
        <f>HYPERLINK("http://www.worldcat.org/oclc/10230865","WorldCat Record")</f>
        <v>WorldCat Record</v>
      </c>
      <c r="AU1017" s="3" t="s">
        <v>12837</v>
      </c>
      <c r="AV1017" s="3" t="s">
        <v>12838</v>
      </c>
      <c r="AW1017" s="3" t="s">
        <v>12839</v>
      </c>
      <c r="AX1017" s="3" t="s">
        <v>12839</v>
      </c>
      <c r="AY1017" s="3" t="s">
        <v>12840</v>
      </c>
      <c r="AZ1017" s="3" t="s">
        <v>76</v>
      </c>
      <c r="BB1017" s="3" t="s">
        <v>12841</v>
      </c>
      <c r="BC1017" s="3" t="s">
        <v>12842</v>
      </c>
      <c r="BD1017" s="3" t="s">
        <v>12843</v>
      </c>
    </row>
    <row r="1018" spans="1:56" ht="52.5" customHeight="1" x14ac:dyDescent="0.25">
      <c r="A1018" s="7" t="s">
        <v>59</v>
      </c>
      <c r="B1018" s="2" t="s">
        <v>12844</v>
      </c>
      <c r="C1018" s="2" t="s">
        <v>12845</v>
      </c>
      <c r="D1018" s="2" t="s">
        <v>12846</v>
      </c>
      <c r="E1018" s="3" t="s">
        <v>12847</v>
      </c>
      <c r="F1018" s="3" t="s">
        <v>59</v>
      </c>
      <c r="G1018" s="3" t="s">
        <v>60</v>
      </c>
      <c r="H1018" s="3" t="s">
        <v>59</v>
      </c>
      <c r="I1018" s="3" t="s">
        <v>59</v>
      </c>
      <c r="J1018" s="3" t="s">
        <v>61</v>
      </c>
      <c r="K1018" s="2" t="s">
        <v>12848</v>
      </c>
      <c r="L1018" s="2" t="s">
        <v>4354</v>
      </c>
      <c r="M1018" s="3" t="s">
        <v>616</v>
      </c>
      <c r="O1018" s="3" t="s">
        <v>65</v>
      </c>
      <c r="P1018" s="3" t="s">
        <v>699</v>
      </c>
      <c r="R1018" s="3" t="s">
        <v>68</v>
      </c>
      <c r="S1018" s="4">
        <v>12</v>
      </c>
      <c r="T1018" s="4">
        <v>12</v>
      </c>
      <c r="U1018" s="5" t="s">
        <v>1381</v>
      </c>
      <c r="V1018" s="5" t="s">
        <v>1381</v>
      </c>
      <c r="W1018" s="5" t="s">
        <v>12797</v>
      </c>
      <c r="X1018" s="5" t="s">
        <v>12797</v>
      </c>
      <c r="Y1018" s="4">
        <v>319</v>
      </c>
      <c r="Z1018" s="4">
        <v>245</v>
      </c>
      <c r="AA1018" s="4">
        <v>271</v>
      </c>
      <c r="AB1018" s="4">
        <v>2</v>
      </c>
      <c r="AC1018" s="4">
        <v>2</v>
      </c>
      <c r="AD1018" s="4">
        <v>13</v>
      </c>
      <c r="AE1018" s="4">
        <v>13</v>
      </c>
      <c r="AF1018" s="4">
        <v>4</v>
      </c>
      <c r="AG1018" s="4">
        <v>4</v>
      </c>
      <c r="AH1018" s="4">
        <v>3</v>
      </c>
      <c r="AI1018" s="4">
        <v>3</v>
      </c>
      <c r="AJ1018" s="4">
        <v>9</v>
      </c>
      <c r="AK1018" s="4">
        <v>9</v>
      </c>
      <c r="AL1018" s="4">
        <v>1</v>
      </c>
      <c r="AM1018" s="4">
        <v>1</v>
      </c>
      <c r="AN1018" s="4">
        <v>0</v>
      </c>
      <c r="AO1018" s="4">
        <v>0</v>
      </c>
      <c r="AP1018" s="3" t="s">
        <v>59</v>
      </c>
      <c r="AQ1018" s="3" t="s">
        <v>59</v>
      </c>
      <c r="AS1018" s="6" t="str">
        <f>HYPERLINK("https://creighton-primo.hosted.exlibrisgroup.com/primo-explore/search?tab=default_tab&amp;search_scope=EVERYTHING&amp;vid=01CRU&amp;lang=en_US&amp;offset=0&amp;query=any,contains,991001193779702656","Catalog Record")</f>
        <v>Catalog Record</v>
      </c>
      <c r="AT1018" s="6" t="str">
        <f>HYPERLINK("http://www.worldcat.org/oclc/17263697","WorldCat Record")</f>
        <v>WorldCat Record</v>
      </c>
      <c r="AU1018" s="3" t="s">
        <v>12849</v>
      </c>
      <c r="AV1018" s="3" t="s">
        <v>12850</v>
      </c>
      <c r="AW1018" s="3" t="s">
        <v>12851</v>
      </c>
      <c r="AX1018" s="3" t="s">
        <v>12851</v>
      </c>
      <c r="AY1018" s="3" t="s">
        <v>12852</v>
      </c>
      <c r="AZ1018" s="3" t="s">
        <v>76</v>
      </c>
      <c r="BB1018" s="3" t="s">
        <v>12853</v>
      </c>
      <c r="BC1018" s="3" t="s">
        <v>12854</v>
      </c>
      <c r="BD1018" s="3" t="s">
        <v>12855</v>
      </c>
    </row>
    <row r="1019" spans="1:56" ht="52.5" customHeight="1" x14ac:dyDescent="0.25">
      <c r="A1019" s="7" t="s">
        <v>59</v>
      </c>
      <c r="B1019" s="2" t="s">
        <v>12856</v>
      </c>
      <c r="C1019" s="2" t="s">
        <v>12857</v>
      </c>
      <c r="D1019" s="2" t="s">
        <v>12858</v>
      </c>
      <c r="E1019" s="3" t="s">
        <v>12859</v>
      </c>
      <c r="F1019" s="3" t="s">
        <v>59</v>
      </c>
      <c r="G1019" s="3" t="s">
        <v>60</v>
      </c>
      <c r="H1019" s="3" t="s">
        <v>59</v>
      </c>
      <c r="I1019" s="3" t="s">
        <v>59</v>
      </c>
      <c r="J1019" s="3" t="s">
        <v>61</v>
      </c>
      <c r="L1019" s="2" t="s">
        <v>12860</v>
      </c>
      <c r="M1019" s="3" t="s">
        <v>943</v>
      </c>
      <c r="O1019" s="3" t="s">
        <v>65</v>
      </c>
      <c r="P1019" s="3" t="s">
        <v>699</v>
      </c>
      <c r="Q1019" s="2" t="s">
        <v>12861</v>
      </c>
      <c r="R1019" s="3" t="s">
        <v>68</v>
      </c>
      <c r="S1019" s="4">
        <v>3</v>
      </c>
      <c r="T1019" s="4">
        <v>3</v>
      </c>
      <c r="U1019" s="5" t="s">
        <v>12862</v>
      </c>
      <c r="V1019" s="5" t="s">
        <v>12862</v>
      </c>
      <c r="W1019" s="5" t="s">
        <v>7609</v>
      </c>
      <c r="X1019" s="5" t="s">
        <v>7609</v>
      </c>
      <c r="Y1019" s="4">
        <v>306</v>
      </c>
      <c r="Z1019" s="4">
        <v>236</v>
      </c>
      <c r="AA1019" s="4">
        <v>242</v>
      </c>
      <c r="AB1019" s="4">
        <v>2</v>
      </c>
      <c r="AC1019" s="4">
        <v>2</v>
      </c>
      <c r="AD1019" s="4">
        <v>19</v>
      </c>
      <c r="AE1019" s="4">
        <v>19</v>
      </c>
      <c r="AF1019" s="4">
        <v>6</v>
      </c>
      <c r="AG1019" s="4">
        <v>6</v>
      </c>
      <c r="AH1019" s="4">
        <v>5</v>
      </c>
      <c r="AI1019" s="4">
        <v>5</v>
      </c>
      <c r="AJ1019" s="4">
        <v>13</v>
      </c>
      <c r="AK1019" s="4">
        <v>13</v>
      </c>
      <c r="AL1019" s="4">
        <v>1</v>
      </c>
      <c r="AM1019" s="4">
        <v>1</v>
      </c>
      <c r="AN1019" s="4">
        <v>0</v>
      </c>
      <c r="AO1019" s="4">
        <v>0</v>
      </c>
      <c r="AP1019" s="3" t="s">
        <v>59</v>
      </c>
      <c r="AQ1019" s="3" t="s">
        <v>59</v>
      </c>
      <c r="AS1019" s="6" t="str">
        <f>HYPERLINK("https://creighton-primo.hosted.exlibrisgroup.com/primo-explore/search?tab=default_tab&amp;search_scope=EVERYTHING&amp;vid=01CRU&amp;lang=en_US&amp;offset=0&amp;query=any,contains,991001686009702656","Catalog Record")</f>
        <v>Catalog Record</v>
      </c>
      <c r="AT1019" s="6" t="str">
        <f>HYPERLINK("http://www.worldcat.org/oclc/21406477","WorldCat Record")</f>
        <v>WorldCat Record</v>
      </c>
      <c r="AU1019" s="3" t="s">
        <v>12863</v>
      </c>
      <c r="AV1019" s="3" t="s">
        <v>12864</v>
      </c>
      <c r="AW1019" s="3" t="s">
        <v>12865</v>
      </c>
      <c r="AX1019" s="3" t="s">
        <v>12865</v>
      </c>
      <c r="AY1019" s="3" t="s">
        <v>12866</v>
      </c>
      <c r="AZ1019" s="3" t="s">
        <v>76</v>
      </c>
      <c r="BB1019" s="3" t="s">
        <v>12867</v>
      </c>
      <c r="BC1019" s="3" t="s">
        <v>12868</v>
      </c>
      <c r="BD1019" s="3" t="s">
        <v>12869</v>
      </c>
    </row>
    <row r="1020" spans="1:56" ht="52.5" customHeight="1" x14ac:dyDescent="0.25">
      <c r="A1020" s="7" t="s">
        <v>59</v>
      </c>
      <c r="B1020" s="2" t="s">
        <v>12870</v>
      </c>
      <c r="C1020" s="2" t="s">
        <v>12871</v>
      </c>
      <c r="D1020" s="2" t="s">
        <v>12872</v>
      </c>
      <c r="F1020" s="3" t="s">
        <v>59</v>
      </c>
      <c r="G1020" s="3" t="s">
        <v>60</v>
      </c>
      <c r="H1020" s="3" t="s">
        <v>59</v>
      </c>
      <c r="I1020" s="3" t="s">
        <v>59</v>
      </c>
      <c r="J1020" s="3" t="s">
        <v>61</v>
      </c>
      <c r="K1020" s="2" t="s">
        <v>12873</v>
      </c>
      <c r="L1020" s="2" t="s">
        <v>12874</v>
      </c>
      <c r="M1020" s="3" t="s">
        <v>350</v>
      </c>
      <c r="O1020" s="3" t="s">
        <v>65</v>
      </c>
      <c r="P1020" s="3" t="s">
        <v>420</v>
      </c>
      <c r="Q1020" s="2" t="s">
        <v>4430</v>
      </c>
      <c r="R1020" s="3" t="s">
        <v>68</v>
      </c>
      <c r="S1020" s="4">
        <v>3</v>
      </c>
      <c r="T1020" s="4">
        <v>3</v>
      </c>
      <c r="U1020" s="5" t="s">
        <v>12875</v>
      </c>
      <c r="V1020" s="5" t="s">
        <v>12875</v>
      </c>
      <c r="W1020" s="5" t="s">
        <v>3403</v>
      </c>
      <c r="X1020" s="5" t="s">
        <v>3403</v>
      </c>
      <c r="Y1020" s="4">
        <v>287</v>
      </c>
      <c r="Z1020" s="4">
        <v>231</v>
      </c>
      <c r="AA1020" s="4">
        <v>232</v>
      </c>
      <c r="AB1020" s="4">
        <v>6</v>
      </c>
      <c r="AC1020" s="4">
        <v>6</v>
      </c>
      <c r="AD1020" s="4">
        <v>9</v>
      </c>
      <c r="AE1020" s="4">
        <v>9</v>
      </c>
      <c r="AF1020" s="4">
        <v>2</v>
      </c>
      <c r="AG1020" s="4">
        <v>2</v>
      </c>
      <c r="AH1020" s="4">
        <v>2</v>
      </c>
      <c r="AI1020" s="4">
        <v>2</v>
      </c>
      <c r="AJ1020" s="4">
        <v>5</v>
      </c>
      <c r="AK1020" s="4">
        <v>5</v>
      </c>
      <c r="AL1020" s="4">
        <v>3</v>
      </c>
      <c r="AM1020" s="4">
        <v>3</v>
      </c>
      <c r="AN1020" s="4">
        <v>0</v>
      </c>
      <c r="AO1020" s="4">
        <v>0</v>
      </c>
      <c r="AP1020" s="3" t="s">
        <v>59</v>
      </c>
      <c r="AQ1020" s="3" t="s">
        <v>71</v>
      </c>
      <c r="AR1020" s="6" t="str">
        <f>HYPERLINK("http://catalog.hathitrust.org/Record/007475220","HathiTrust Record")</f>
        <v>HathiTrust Record</v>
      </c>
      <c r="AS1020" s="6" t="str">
        <f>HYPERLINK("https://creighton-primo.hosted.exlibrisgroup.com/primo-explore/search?tab=default_tab&amp;search_scope=EVERYTHING&amp;vid=01CRU&amp;lang=en_US&amp;offset=0&amp;query=any,contains,991005265039702656","Catalog Record")</f>
        <v>Catalog Record</v>
      </c>
      <c r="AT1020" s="6" t="str">
        <f>HYPERLINK("http://www.worldcat.org/oclc/2984309","WorldCat Record")</f>
        <v>WorldCat Record</v>
      </c>
      <c r="AU1020" s="3" t="s">
        <v>12876</v>
      </c>
      <c r="AV1020" s="3" t="s">
        <v>12877</v>
      </c>
      <c r="AW1020" s="3" t="s">
        <v>12878</v>
      </c>
      <c r="AX1020" s="3" t="s">
        <v>12878</v>
      </c>
      <c r="AY1020" s="3" t="s">
        <v>12879</v>
      </c>
      <c r="AZ1020" s="3" t="s">
        <v>76</v>
      </c>
      <c r="BB1020" s="3" t="s">
        <v>12880</v>
      </c>
      <c r="BC1020" s="3" t="s">
        <v>12881</v>
      </c>
      <c r="BD1020" s="3" t="s">
        <v>12882</v>
      </c>
    </row>
    <row r="1021" spans="1:56" ht="52.5" customHeight="1" x14ac:dyDescent="0.25">
      <c r="A1021" s="7" t="s">
        <v>59</v>
      </c>
      <c r="B1021" s="2" t="s">
        <v>12883</v>
      </c>
      <c r="C1021" s="2" t="s">
        <v>12884</v>
      </c>
      <c r="D1021" s="2" t="s">
        <v>12885</v>
      </c>
      <c r="F1021" s="3" t="s">
        <v>59</v>
      </c>
      <c r="G1021" s="3" t="s">
        <v>60</v>
      </c>
      <c r="H1021" s="3" t="s">
        <v>59</v>
      </c>
      <c r="I1021" s="3" t="s">
        <v>59</v>
      </c>
      <c r="J1021" s="3" t="s">
        <v>61</v>
      </c>
      <c r="K1021" s="2" t="s">
        <v>12886</v>
      </c>
      <c r="L1021" s="2" t="s">
        <v>4176</v>
      </c>
      <c r="M1021" s="3" t="s">
        <v>1000</v>
      </c>
      <c r="N1021" s="2" t="s">
        <v>671</v>
      </c>
      <c r="O1021" s="3" t="s">
        <v>65</v>
      </c>
      <c r="P1021" s="3" t="s">
        <v>699</v>
      </c>
      <c r="Q1021" s="2" t="s">
        <v>12887</v>
      </c>
      <c r="R1021" s="3" t="s">
        <v>68</v>
      </c>
      <c r="S1021" s="4">
        <v>1</v>
      </c>
      <c r="T1021" s="4">
        <v>1</v>
      </c>
      <c r="U1021" s="5" t="s">
        <v>12282</v>
      </c>
      <c r="V1021" s="5" t="s">
        <v>12282</v>
      </c>
      <c r="W1021" s="5" t="s">
        <v>12257</v>
      </c>
      <c r="X1021" s="5" t="s">
        <v>12257</v>
      </c>
      <c r="Y1021" s="4">
        <v>426</v>
      </c>
      <c r="Z1021" s="4">
        <v>302</v>
      </c>
      <c r="AA1021" s="4">
        <v>1034</v>
      </c>
      <c r="AB1021" s="4">
        <v>4</v>
      </c>
      <c r="AC1021" s="4">
        <v>8</v>
      </c>
      <c r="AD1021" s="4">
        <v>11</v>
      </c>
      <c r="AE1021" s="4">
        <v>34</v>
      </c>
      <c r="AF1021" s="4">
        <v>4</v>
      </c>
      <c r="AG1021" s="4">
        <v>12</v>
      </c>
      <c r="AH1021" s="4">
        <v>4</v>
      </c>
      <c r="AI1021" s="4">
        <v>9</v>
      </c>
      <c r="AJ1021" s="4">
        <v>3</v>
      </c>
      <c r="AK1021" s="4">
        <v>17</v>
      </c>
      <c r="AL1021" s="4">
        <v>3</v>
      </c>
      <c r="AM1021" s="4">
        <v>6</v>
      </c>
      <c r="AN1021" s="4">
        <v>0</v>
      </c>
      <c r="AO1021" s="4">
        <v>0</v>
      </c>
      <c r="AP1021" s="3" t="s">
        <v>59</v>
      </c>
      <c r="AQ1021" s="3" t="s">
        <v>71</v>
      </c>
      <c r="AR1021" s="6" t="str">
        <f>HYPERLINK("http://catalog.hathitrust.org/Record/000702770","HathiTrust Record")</f>
        <v>HathiTrust Record</v>
      </c>
      <c r="AS1021" s="6" t="str">
        <f>HYPERLINK("https://creighton-primo.hosted.exlibrisgroup.com/primo-explore/search?tab=default_tab&amp;search_scope=EVERYTHING&amp;vid=01CRU&amp;lang=en_US&amp;offset=0&amp;query=any,contains,991004649929702656","Catalog Record")</f>
        <v>Catalog Record</v>
      </c>
      <c r="AT1021" s="6" t="str">
        <f>HYPERLINK("http://www.worldcat.org/oclc/4493534","WorldCat Record")</f>
        <v>WorldCat Record</v>
      </c>
      <c r="AU1021" s="3" t="s">
        <v>12888</v>
      </c>
      <c r="AV1021" s="3" t="s">
        <v>12889</v>
      </c>
      <c r="AW1021" s="3" t="s">
        <v>12890</v>
      </c>
      <c r="AX1021" s="3" t="s">
        <v>12890</v>
      </c>
      <c r="AY1021" s="3" t="s">
        <v>12891</v>
      </c>
      <c r="AZ1021" s="3" t="s">
        <v>76</v>
      </c>
      <c r="BB1021" s="3" t="s">
        <v>12892</v>
      </c>
      <c r="BC1021" s="3" t="s">
        <v>12893</v>
      </c>
      <c r="BD1021" s="3" t="s">
        <v>12894</v>
      </c>
    </row>
    <row r="1022" spans="1:56" ht="52.5" customHeight="1" x14ac:dyDescent="0.25">
      <c r="A1022" s="7" t="s">
        <v>59</v>
      </c>
      <c r="B1022" s="2" t="s">
        <v>12895</v>
      </c>
      <c r="C1022" s="2" t="s">
        <v>12896</v>
      </c>
      <c r="D1022" s="2" t="s">
        <v>12897</v>
      </c>
      <c r="F1022" s="3" t="s">
        <v>59</v>
      </c>
      <c r="G1022" s="3" t="s">
        <v>60</v>
      </c>
      <c r="H1022" s="3" t="s">
        <v>59</v>
      </c>
      <c r="I1022" s="3" t="s">
        <v>59</v>
      </c>
      <c r="J1022" s="3" t="s">
        <v>61</v>
      </c>
      <c r="K1022" s="2" t="s">
        <v>4749</v>
      </c>
      <c r="L1022" s="2" t="s">
        <v>12898</v>
      </c>
      <c r="M1022" s="3" t="s">
        <v>729</v>
      </c>
      <c r="O1022" s="3" t="s">
        <v>65</v>
      </c>
      <c r="P1022" s="3" t="s">
        <v>66</v>
      </c>
      <c r="Q1022" s="2" t="s">
        <v>255</v>
      </c>
      <c r="R1022" s="3" t="s">
        <v>68</v>
      </c>
      <c r="S1022" s="4">
        <v>5</v>
      </c>
      <c r="T1022" s="4">
        <v>5</v>
      </c>
      <c r="U1022" s="5" t="s">
        <v>12810</v>
      </c>
      <c r="V1022" s="5" t="s">
        <v>12810</v>
      </c>
      <c r="W1022" s="5" t="s">
        <v>12899</v>
      </c>
      <c r="X1022" s="5" t="s">
        <v>12899</v>
      </c>
      <c r="Y1022" s="4">
        <v>118</v>
      </c>
      <c r="Z1022" s="4">
        <v>104</v>
      </c>
      <c r="AA1022" s="4">
        <v>380</v>
      </c>
      <c r="AB1022" s="4">
        <v>3</v>
      </c>
      <c r="AC1022" s="4">
        <v>6</v>
      </c>
      <c r="AD1022" s="4">
        <v>5</v>
      </c>
      <c r="AE1022" s="4">
        <v>15</v>
      </c>
      <c r="AF1022" s="4">
        <v>2</v>
      </c>
      <c r="AG1022" s="4">
        <v>5</v>
      </c>
      <c r="AH1022" s="4">
        <v>0</v>
      </c>
      <c r="AI1022" s="4">
        <v>3</v>
      </c>
      <c r="AJ1022" s="4">
        <v>2</v>
      </c>
      <c r="AK1022" s="4">
        <v>7</v>
      </c>
      <c r="AL1022" s="4">
        <v>2</v>
      </c>
      <c r="AM1022" s="4">
        <v>5</v>
      </c>
      <c r="AN1022" s="4">
        <v>0</v>
      </c>
      <c r="AO1022" s="4">
        <v>0</v>
      </c>
      <c r="AP1022" s="3" t="s">
        <v>59</v>
      </c>
      <c r="AQ1022" s="3" t="s">
        <v>71</v>
      </c>
      <c r="AR1022" s="6" t="str">
        <f>HYPERLINK("http://catalog.hathitrust.org/Record/000429764","HathiTrust Record")</f>
        <v>HathiTrust Record</v>
      </c>
      <c r="AS1022" s="6" t="str">
        <f>HYPERLINK("https://creighton-primo.hosted.exlibrisgroup.com/primo-explore/search?tab=default_tab&amp;search_scope=EVERYTHING&amp;vid=01CRU&amp;lang=en_US&amp;offset=0&amp;query=any,contains,991004232469702656","Catalog Record")</f>
        <v>Catalog Record</v>
      </c>
      <c r="AT1022" s="6" t="str">
        <f>HYPERLINK("http://www.worldcat.org/oclc/2752288","WorldCat Record")</f>
        <v>WorldCat Record</v>
      </c>
      <c r="AU1022" s="3" t="s">
        <v>12900</v>
      </c>
      <c r="AV1022" s="3" t="s">
        <v>12901</v>
      </c>
      <c r="AW1022" s="3" t="s">
        <v>12902</v>
      </c>
      <c r="AX1022" s="3" t="s">
        <v>12902</v>
      </c>
      <c r="AY1022" s="3" t="s">
        <v>12903</v>
      </c>
      <c r="AZ1022" s="3" t="s">
        <v>76</v>
      </c>
      <c r="BC1022" s="3" t="s">
        <v>12904</v>
      </c>
      <c r="BD1022" s="3" t="s">
        <v>12905</v>
      </c>
    </row>
    <row r="1023" spans="1:56" ht="52.5" customHeight="1" x14ac:dyDescent="0.25">
      <c r="A1023" s="7" t="s">
        <v>59</v>
      </c>
      <c r="B1023" s="2" t="s">
        <v>12906</v>
      </c>
      <c r="C1023" s="2" t="s">
        <v>12907</v>
      </c>
      <c r="D1023" s="2" t="s">
        <v>12908</v>
      </c>
      <c r="F1023" s="3" t="s">
        <v>59</v>
      </c>
      <c r="G1023" s="3" t="s">
        <v>60</v>
      </c>
      <c r="H1023" s="3" t="s">
        <v>59</v>
      </c>
      <c r="I1023" s="3" t="s">
        <v>59</v>
      </c>
      <c r="J1023" s="3" t="s">
        <v>61</v>
      </c>
      <c r="K1023" s="2" t="s">
        <v>4749</v>
      </c>
      <c r="L1023" s="2" t="s">
        <v>12909</v>
      </c>
      <c r="M1023" s="3" t="s">
        <v>1467</v>
      </c>
      <c r="O1023" s="3" t="s">
        <v>65</v>
      </c>
      <c r="P1023" s="3" t="s">
        <v>66</v>
      </c>
      <c r="Q1023" s="2" t="s">
        <v>12910</v>
      </c>
      <c r="R1023" s="3" t="s">
        <v>68</v>
      </c>
      <c r="S1023" s="4">
        <v>3</v>
      </c>
      <c r="T1023" s="4">
        <v>3</v>
      </c>
      <c r="U1023" s="5" t="s">
        <v>12911</v>
      </c>
      <c r="V1023" s="5" t="s">
        <v>12911</v>
      </c>
      <c r="W1023" s="5" t="s">
        <v>2624</v>
      </c>
      <c r="X1023" s="5" t="s">
        <v>2624</v>
      </c>
      <c r="Y1023" s="4">
        <v>543</v>
      </c>
      <c r="Z1023" s="4">
        <v>491</v>
      </c>
      <c r="AA1023" s="4">
        <v>1858</v>
      </c>
      <c r="AB1023" s="4">
        <v>2</v>
      </c>
      <c r="AC1023" s="4">
        <v>12</v>
      </c>
      <c r="AD1023" s="4">
        <v>22</v>
      </c>
      <c r="AE1023" s="4">
        <v>63</v>
      </c>
      <c r="AF1023" s="4">
        <v>8</v>
      </c>
      <c r="AG1023" s="4">
        <v>29</v>
      </c>
      <c r="AH1023" s="4">
        <v>5</v>
      </c>
      <c r="AI1023" s="4">
        <v>11</v>
      </c>
      <c r="AJ1023" s="4">
        <v>13</v>
      </c>
      <c r="AK1023" s="4">
        <v>27</v>
      </c>
      <c r="AL1023" s="4">
        <v>1</v>
      </c>
      <c r="AM1023" s="4">
        <v>9</v>
      </c>
      <c r="AN1023" s="4">
        <v>0</v>
      </c>
      <c r="AO1023" s="4">
        <v>0</v>
      </c>
      <c r="AP1023" s="3" t="s">
        <v>59</v>
      </c>
      <c r="AQ1023" s="3" t="s">
        <v>71</v>
      </c>
      <c r="AR1023" s="6" t="str">
        <f>HYPERLINK("http://catalog.hathitrust.org/Record/102073788","HathiTrust Record")</f>
        <v>HathiTrust Record</v>
      </c>
      <c r="AS1023" s="6" t="str">
        <f>HYPERLINK("https://creighton-primo.hosted.exlibrisgroup.com/primo-explore/search?tab=default_tab&amp;search_scope=EVERYTHING&amp;vid=01CRU&amp;lang=en_US&amp;offset=0&amp;query=any,contains,991003933909702656","Catalog Record")</f>
        <v>Catalog Record</v>
      </c>
      <c r="AT1023" s="6" t="str">
        <f>HYPERLINK("http://www.worldcat.org/oclc/1906847","WorldCat Record")</f>
        <v>WorldCat Record</v>
      </c>
      <c r="AU1023" s="3" t="s">
        <v>12912</v>
      </c>
      <c r="AV1023" s="3" t="s">
        <v>12913</v>
      </c>
      <c r="AW1023" s="3" t="s">
        <v>12914</v>
      </c>
      <c r="AX1023" s="3" t="s">
        <v>12914</v>
      </c>
      <c r="AY1023" s="3" t="s">
        <v>12915</v>
      </c>
      <c r="AZ1023" s="3" t="s">
        <v>76</v>
      </c>
      <c r="BC1023" s="3" t="s">
        <v>12916</v>
      </c>
      <c r="BD1023" s="3" t="s">
        <v>12917</v>
      </c>
    </row>
    <row r="1024" spans="1:56" ht="52.5" customHeight="1" x14ac:dyDescent="0.25">
      <c r="A1024" s="7" t="s">
        <v>59</v>
      </c>
      <c r="B1024" s="2" t="s">
        <v>12918</v>
      </c>
      <c r="C1024" s="2" t="s">
        <v>12919</v>
      </c>
      <c r="D1024" s="2" t="s">
        <v>12920</v>
      </c>
      <c r="F1024" s="3" t="s">
        <v>59</v>
      </c>
      <c r="G1024" s="3" t="s">
        <v>60</v>
      </c>
      <c r="H1024" s="3" t="s">
        <v>59</v>
      </c>
      <c r="I1024" s="3" t="s">
        <v>59</v>
      </c>
      <c r="J1024" s="3" t="s">
        <v>61</v>
      </c>
      <c r="K1024" s="2" t="s">
        <v>4749</v>
      </c>
      <c r="L1024" s="2" t="s">
        <v>12921</v>
      </c>
      <c r="M1024" s="3" t="s">
        <v>254</v>
      </c>
      <c r="O1024" s="3" t="s">
        <v>65</v>
      </c>
      <c r="P1024" s="3" t="s">
        <v>66</v>
      </c>
      <c r="R1024" s="3" t="s">
        <v>68</v>
      </c>
      <c r="S1024" s="4">
        <v>2</v>
      </c>
      <c r="T1024" s="4">
        <v>2</v>
      </c>
      <c r="U1024" s="5" t="s">
        <v>8578</v>
      </c>
      <c r="V1024" s="5" t="s">
        <v>8578</v>
      </c>
      <c r="W1024" s="5" t="s">
        <v>12015</v>
      </c>
      <c r="X1024" s="5" t="s">
        <v>12015</v>
      </c>
      <c r="Y1024" s="4">
        <v>2016</v>
      </c>
      <c r="Z1024" s="4">
        <v>1830</v>
      </c>
      <c r="AA1024" s="4">
        <v>2055</v>
      </c>
      <c r="AB1024" s="4">
        <v>15</v>
      </c>
      <c r="AC1024" s="4">
        <v>16</v>
      </c>
      <c r="AD1024" s="4">
        <v>60</v>
      </c>
      <c r="AE1024" s="4">
        <v>60</v>
      </c>
      <c r="AF1024" s="4">
        <v>24</v>
      </c>
      <c r="AG1024" s="4">
        <v>24</v>
      </c>
      <c r="AH1024" s="4">
        <v>11</v>
      </c>
      <c r="AI1024" s="4">
        <v>11</v>
      </c>
      <c r="AJ1024" s="4">
        <v>25</v>
      </c>
      <c r="AK1024" s="4">
        <v>25</v>
      </c>
      <c r="AL1024" s="4">
        <v>12</v>
      </c>
      <c r="AM1024" s="4">
        <v>12</v>
      </c>
      <c r="AN1024" s="4">
        <v>0</v>
      </c>
      <c r="AO1024" s="4">
        <v>0</v>
      </c>
      <c r="AP1024" s="3" t="s">
        <v>59</v>
      </c>
      <c r="AQ1024" s="3" t="s">
        <v>71</v>
      </c>
      <c r="AR1024" s="6" t="str">
        <f>HYPERLINK("http://catalog.hathitrust.org/Record/000429168","HathiTrust Record")</f>
        <v>HathiTrust Record</v>
      </c>
      <c r="AS1024" s="6" t="str">
        <f>HYPERLINK("https://creighton-primo.hosted.exlibrisgroup.com/primo-explore/search?tab=default_tab&amp;search_scope=EVERYTHING&amp;vid=01CRU&amp;lang=en_US&amp;offset=0&amp;query=any,contains,991000013859702656","Catalog Record")</f>
        <v>Catalog Record</v>
      </c>
      <c r="AT1024" s="6" t="str">
        <f>HYPERLINK("http://www.worldcat.org/oclc/16142","WorldCat Record")</f>
        <v>WorldCat Record</v>
      </c>
      <c r="AU1024" s="3" t="s">
        <v>12922</v>
      </c>
      <c r="AV1024" s="3" t="s">
        <v>12923</v>
      </c>
      <c r="AW1024" s="3" t="s">
        <v>12924</v>
      </c>
      <c r="AX1024" s="3" t="s">
        <v>12924</v>
      </c>
      <c r="AY1024" s="3" t="s">
        <v>12925</v>
      </c>
      <c r="AZ1024" s="3" t="s">
        <v>76</v>
      </c>
      <c r="BC1024" s="3" t="s">
        <v>12926</v>
      </c>
      <c r="BD1024" s="3" t="s">
        <v>12927</v>
      </c>
    </row>
    <row r="1025" spans="1:56" ht="52.5" customHeight="1" x14ac:dyDescent="0.25">
      <c r="A1025" s="7" t="s">
        <v>59</v>
      </c>
      <c r="B1025" s="2" t="s">
        <v>12928</v>
      </c>
      <c r="C1025" s="2" t="s">
        <v>12929</v>
      </c>
      <c r="D1025" s="2" t="s">
        <v>12930</v>
      </c>
      <c r="F1025" s="3" t="s">
        <v>59</v>
      </c>
      <c r="G1025" s="3" t="s">
        <v>60</v>
      </c>
      <c r="H1025" s="3" t="s">
        <v>59</v>
      </c>
      <c r="I1025" s="3" t="s">
        <v>71</v>
      </c>
      <c r="J1025" s="3" t="s">
        <v>61</v>
      </c>
      <c r="K1025" s="2" t="s">
        <v>4749</v>
      </c>
      <c r="L1025" s="2" t="s">
        <v>12931</v>
      </c>
      <c r="M1025" s="3" t="s">
        <v>756</v>
      </c>
      <c r="O1025" s="3" t="s">
        <v>65</v>
      </c>
      <c r="P1025" s="3" t="s">
        <v>1262</v>
      </c>
      <c r="Q1025" s="2" t="s">
        <v>255</v>
      </c>
      <c r="R1025" s="3" t="s">
        <v>68</v>
      </c>
      <c r="S1025" s="4">
        <v>3</v>
      </c>
      <c r="T1025" s="4">
        <v>3</v>
      </c>
      <c r="U1025" s="5" t="s">
        <v>12932</v>
      </c>
      <c r="V1025" s="5" t="s">
        <v>12932</v>
      </c>
      <c r="W1025" s="5" t="s">
        <v>7421</v>
      </c>
      <c r="X1025" s="5" t="s">
        <v>7421</v>
      </c>
      <c r="Y1025" s="4">
        <v>136</v>
      </c>
      <c r="Z1025" s="4">
        <v>120</v>
      </c>
      <c r="AA1025" s="4">
        <v>1593</v>
      </c>
      <c r="AB1025" s="4">
        <v>1</v>
      </c>
      <c r="AC1025" s="4">
        <v>12</v>
      </c>
      <c r="AD1025" s="4">
        <v>2</v>
      </c>
      <c r="AE1025" s="4">
        <v>56</v>
      </c>
      <c r="AF1025" s="4">
        <v>1</v>
      </c>
      <c r="AG1025" s="4">
        <v>22</v>
      </c>
      <c r="AH1025" s="4">
        <v>0</v>
      </c>
      <c r="AI1025" s="4">
        <v>10</v>
      </c>
      <c r="AJ1025" s="4">
        <v>1</v>
      </c>
      <c r="AK1025" s="4">
        <v>27</v>
      </c>
      <c r="AL1025" s="4">
        <v>0</v>
      </c>
      <c r="AM1025" s="4">
        <v>10</v>
      </c>
      <c r="AN1025" s="4">
        <v>0</v>
      </c>
      <c r="AO1025" s="4">
        <v>0</v>
      </c>
      <c r="AP1025" s="3" t="s">
        <v>59</v>
      </c>
      <c r="AQ1025" s="3" t="s">
        <v>59</v>
      </c>
      <c r="AS1025" s="6" t="str">
        <f>HYPERLINK("https://creighton-primo.hosted.exlibrisgroup.com/primo-explore/search?tab=default_tab&amp;search_scope=EVERYTHING&amp;vid=01CRU&amp;lang=en_US&amp;offset=0&amp;query=any,contains,991004428059702656","Catalog Record")</f>
        <v>Catalog Record</v>
      </c>
      <c r="AT1025" s="6" t="str">
        <f>HYPERLINK("http://www.worldcat.org/oclc/3411822","WorldCat Record")</f>
        <v>WorldCat Record</v>
      </c>
      <c r="AU1025" s="3" t="s">
        <v>12933</v>
      </c>
      <c r="AV1025" s="3" t="s">
        <v>12934</v>
      </c>
      <c r="AW1025" s="3" t="s">
        <v>12935</v>
      </c>
      <c r="AX1025" s="3" t="s">
        <v>12935</v>
      </c>
      <c r="AY1025" s="3" t="s">
        <v>12936</v>
      </c>
      <c r="AZ1025" s="3" t="s">
        <v>76</v>
      </c>
      <c r="BC1025" s="3" t="s">
        <v>12937</v>
      </c>
      <c r="BD1025" s="3" t="s">
        <v>12938</v>
      </c>
    </row>
    <row r="1026" spans="1:56" ht="52.5" customHeight="1" x14ac:dyDescent="0.25">
      <c r="A1026" s="7" t="s">
        <v>59</v>
      </c>
      <c r="B1026" s="2" t="s">
        <v>12939</v>
      </c>
      <c r="C1026" s="2" t="s">
        <v>12940</v>
      </c>
      <c r="D1026" s="2" t="s">
        <v>12941</v>
      </c>
      <c r="F1026" s="3" t="s">
        <v>59</v>
      </c>
      <c r="G1026" s="3" t="s">
        <v>60</v>
      </c>
      <c r="H1026" s="3" t="s">
        <v>59</v>
      </c>
      <c r="I1026" s="3" t="s">
        <v>59</v>
      </c>
      <c r="J1026" s="3" t="s">
        <v>61</v>
      </c>
      <c r="K1026" s="2" t="s">
        <v>12942</v>
      </c>
      <c r="L1026" s="2" t="s">
        <v>12943</v>
      </c>
      <c r="M1026" s="3" t="s">
        <v>254</v>
      </c>
      <c r="O1026" s="3" t="s">
        <v>65</v>
      </c>
      <c r="P1026" s="3" t="s">
        <v>1530</v>
      </c>
      <c r="R1026" s="3" t="s">
        <v>68</v>
      </c>
      <c r="S1026" s="4">
        <v>1</v>
      </c>
      <c r="T1026" s="4">
        <v>1</v>
      </c>
      <c r="U1026" s="5" t="s">
        <v>12944</v>
      </c>
      <c r="V1026" s="5" t="s">
        <v>12944</v>
      </c>
      <c r="W1026" s="5" t="s">
        <v>12015</v>
      </c>
      <c r="X1026" s="5" t="s">
        <v>12015</v>
      </c>
      <c r="Y1026" s="4">
        <v>183</v>
      </c>
      <c r="Z1026" s="4">
        <v>157</v>
      </c>
      <c r="AA1026" s="4">
        <v>159</v>
      </c>
      <c r="AB1026" s="4">
        <v>2</v>
      </c>
      <c r="AC1026" s="4">
        <v>2</v>
      </c>
      <c r="AD1026" s="4">
        <v>6</v>
      </c>
      <c r="AE1026" s="4">
        <v>6</v>
      </c>
      <c r="AF1026" s="4">
        <v>2</v>
      </c>
      <c r="AG1026" s="4">
        <v>2</v>
      </c>
      <c r="AH1026" s="4">
        <v>1</v>
      </c>
      <c r="AI1026" s="4">
        <v>1</v>
      </c>
      <c r="AJ1026" s="4">
        <v>3</v>
      </c>
      <c r="AK1026" s="4">
        <v>3</v>
      </c>
      <c r="AL1026" s="4">
        <v>1</v>
      </c>
      <c r="AM1026" s="4">
        <v>1</v>
      </c>
      <c r="AN1026" s="4">
        <v>0</v>
      </c>
      <c r="AO1026" s="4">
        <v>0</v>
      </c>
      <c r="AP1026" s="3" t="s">
        <v>59</v>
      </c>
      <c r="AQ1026" s="3" t="s">
        <v>71</v>
      </c>
      <c r="AR1026" s="6" t="str">
        <f>HYPERLINK("http://catalog.hathitrust.org/Record/000429877","HathiTrust Record")</f>
        <v>HathiTrust Record</v>
      </c>
      <c r="AS1026" s="6" t="str">
        <f>HYPERLINK("https://creighton-primo.hosted.exlibrisgroup.com/primo-explore/search?tab=default_tab&amp;search_scope=EVERYTHING&amp;vid=01CRU&amp;lang=en_US&amp;offset=0&amp;query=any,contains,991002239039702656","Catalog Record")</f>
        <v>Catalog Record</v>
      </c>
      <c r="AT1026" s="6" t="str">
        <f>HYPERLINK("http://www.worldcat.org/oclc/296807","WorldCat Record")</f>
        <v>WorldCat Record</v>
      </c>
      <c r="AU1026" s="3" t="s">
        <v>12945</v>
      </c>
      <c r="AV1026" s="3" t="s">
        <v>12946</v>
      </c>
      <c r="AW1026" s="3" t="s">
        <v>12947</v>
      </c>
      <c r="AX1026" s="3" t="s">
        <v>12947</v>
      </c>
      <c r="AY1026" s="3" t="s">
        <v>12948</v>
      </c>
      <c r="AZ1026" s="3" t="s">
        <v>76</v>
      </c>
      <c r="BC1026" s="3" t="s">
        <v>12949</v>
      </c>
      <c r="BD1026" s="3" t="s">
        <v>12950</v>
      </c>
    </row>
    <row r="1027" spans="1:56" ht="52.5" customHeight="1" x14ac:dyDescent="0.25">
      <c r="A1027" s="7" t="s">
        <v>59</v>
      </c>
      <c r="B1027" s="2" t="s">
        <v>12951</v>
      </c>
      <c r="C1027" s="2" t="s">
        <v>12952</v>
      </c>
      <c r="D1027" s="2" t="s">
        <v>12953</v>
      </c>
      <c r="F1027" s="3" t="s">
        <v>59</v>
      </c>
      <c r="G1027" s="3" t="s">
        <v>60</v>
      </c>
      <c r="H1027" s="3" t="s">
        <v>59</v>
      </c>
      <c r="I1027" s="3" t="s">
        <v>59</v>
      </c>
      <c r="J1027" s="3" t="s">
        <v>61</v>
      </c>
      <c r="K1027" s="2" t="s">
        <v>12954</v>
      </c>
      <c r="L1027" s="2" t="s">
        <v>12955</v>
      </c>
      <c r="M1027" s="3" t="s">
        <v>987</v>
      </c>
      <c r="O1027" s="3" t="s">
        <v>65</v>
      </c>
      <c r="P1027" s="3" t="s">
        <v>66</v>
      </c>
      <c r="R1027" s="3" t="s">
        <v>68</v>
      </c>
      <c r="S1027" s="4">
        <v>7</v>
      </c>
      <c r="T1027" s="4">
        <v>7</v>
      </c>
      <c r="U1027" s="5" t="s">
        <v>12956</v>
      </c>
      <c r="V1027" s="5" t="s">
        <v>12956</v>
      </c>
      <c r="W1027" s="5" t="s">
        <v>4686</v>
      </c>
      <c r="X1027" s="5" t="s">
        <v>4686</v>
      </c>
      <c r="Y1027" s="4">
        <v>449</v>
      </c>
      <c r="Z1027" s="4">
        <v>367</v>
      </c>
      <c r="AA1027" s="4">
        <v>570</v>
      </c>
      <c r="AB1027" s="4">
        <v>4</v>
      </c>
      <c r="AC1027" s="4">
        <v>4</v>
      </c>
      <c r="AD1027" s="4">
        <v>19</v>
      </c>
      <c r="AE1027" s="4">
        <v>25</v>
      </c>
      <c r="AF1027" s="4">
        <v>7</v>
      </c>
      <c r="AG1027" s="4">
        <v>10</v>
      </c>
      <c r="AH1027" s="4">
        <v>4</v>
      </c>
      <c r="AI1027" s="4">
        <v>7</v>
      </c>
      <c r="AJ1027" s="4">
        <v>9</v>
      </c>
      <c r="AK1027" s="4">
        <v>11</v>
      </c>
      <c r="AL1027" s="4">
        <v>3</v>
      </c>
      <c r="AM1027" s="4">
        <v>3</v>
      </c>
      <c r="AN1027" s="4">
        <v>0</v>
      </c>
      <c r="AO1027" s="4">
        <v>0</v>
      </c>
      <c r="AP1027" s="3" t="s">
        <v>59</v>
      </c>
      <c r="AQ1027" s="3" t="s">
        <v>71</v>
      </c>
      <c r="AR1027" s="6" t="str">
        <f>HYPERLINK("http://catalog.hathitrust.org/Record/000429892","HathiTrust Record")</f>
        <v>HathiTrust Record</v>
      </c>
      <c r="AS1027" s="6" t="str">
        <f>HYPERLINK("https://creighton-primo.hosted.exlibrisgroup.com/primo-explore/search?tab=default_tab&amp;search_scope=EVERYTHING&amp;vid=01CRU&amp;lang=en_US&amp;offset=0&amp;query=any,contains,991000550579702656","Catalog Record")</f>
        <v>Catalog Record</v>
      </c>
      <c r="AT1027" s="6" t="str">
        <f>HYPERLINK("http://www.worldcat.org/oclc/92562","WorldCat Record")</f>
        <v>WorldCat Record</v>
      </c>
      <c r="AU1027" s="3" t="s">
        <v>12957</v>
      </c>
      <c r="AV1027" s="3" t="s">
        <v>12958</v>
      </c>
      <c r="AW1027" s="3" t="s">
        <v>12959</v>
      </c>
      <c r="AX1027" s="3" t="s">
        <v>12959</v>
      </c>
      <c r="AY1027" s="3" t="s">
        <v>12960</v>
      </c>
      <c r="AZ1027" s="3" t="s">
        <v>76</v>
      </c>
      <c r="BC1027" s="3" t="s">
        <v>12961</v>
      </c>
      <c r="BD1027" s="3" t="s">
        <v>12962</v>
      </c>
    </row>
    <row r="1028" spans="1:56" ht="52.5" customHeight="1" x14ac:dyDescent="0.25">
      <c r="A1028" s="7" t="s">
        <v>59</v>
      </c>
      <c r="B1028" s="2" t="s">
        <v>12963</v>
      </c>
      <c r="C1028" s="2" t="s">
        <v>12964</v>
      </c>
      <c r="D1028" s="2" t="s">
        <v>12965</v>
      </c>
      <c r="F1028" s="3" t="s">
        <v>59</v>
      </c>
      <c r="G1028" s="3" t="s">
        <v>60</v>
      </c>
      <c r="H1028" s="3" t="s">
        <v>59</v>
      </c>
      <c r="I1028" s="3" t="s">
        <v>59</v>
      </c>
      <c r="J1028" s="3" t="s">
        <v>61</v>
      </c>
      <c r="K1028" s="2" t="s">
        <v>12966</v>
      </c>
      <c r="L1028" s="2" t="s">
        <v>3937</v>
      </c>
      <c r="M1028" s="3" t="s">
        <v>195</v>
      </c>
      <c r="O1028" s="3" t="s">
        <v>65</v>
      </c>
      <c r="P1028" s="3" t="s">
        <v>1262</v>
      </c>
      <c r="Q1028" s="2" t="s">
        <v>12967</v>
      </c>
      <c r="R1028" s="3" t="s">
        <v>68</v>
      </c>
      <c r="S1028" s="4">
        <v>2</v>
      </c>
      <c r="T1028" s="4">
        <v>2</v>
      </c>
      <c r="U1028" s="5" t="s">
        <v>6092</v>
      </c>
      <c r="V1028" s="5" t="s">
        <v>6092</v>
      </c>
      <c r="W1028" s="5" t="s">
        <v>12257</v>
      </c>
      <c r="X1028" s="5" t="s">
        <v>12257</v>
      </c>
      <c r="Y1028" s="4">
        <v>368</v>
      </c>
      <c r="Z1028" s="4">
        <v>235</v>
      </c>
      <c r="AA1028" s="4">
        <v>237</v>
      </c>
      <c r="AB1028" s="4">
        <v>3</v>
      </c>
      <c r="AC1028" s="4">
        <v>3</v>
      </c>
      <c r="AD1028" s="4">
        <v>10</v>
      </c>
      <c r="AE1028" s="4">
        <v>10</v>
      </c>
      <c r="AF1028" s="4">
        <v>1</v>
      </c>
      <c r="AG1028" s="4">
        <v>1</v>
      </c>
      <c r="AH1028" s="4">
        <v>4</v>
      </c>
      <c r="AI1028" s="4">
        <v>4</v>
      </c>
      <c r="AJ1028" s="4">
        <v>5</v>
      </c>
      <c r="AK1028" s="4">
        <v>5</v>
      </c>
      <c r="AL1028" s="4">
        <v>2</v>
      </c>
      <c r="AM1028" s="4">
        <v>2</v>
      </c>
      <c r="AN1028" s="4">
        <v>0</v>
      </c>
      <c r="AO1028" s="4">
        <v>0</v>
      </c>
      <c r="AP1028" s="3" t="s">
        <v>59</v>
      </c>
      <c r="AQ1028" s="3" t="s">
        <v>71</v>
      </c>
      <c r="AR1028" s="6" t="str">
        <f>HYPERLINK("http://catalog.hathitrust.org/Record/000193252","HathiTrust Record")</f>
        <v>HathiTrust Record</v>
      </c>
      <c r="AS1028" s="6" t="str">
        <f>HYPERLINK("https://creighton-primo.hosted.exlibrisgroup.com/primo-explore/search?tab=default_tab&amp;search_scope=EVERYTHING&amp;vid=01CRU&amp;lang=en_US&amp;offset=0&amp;query=any,contains,991000114999702656","Catalog Record")</f>
        <v>Catalog Record</v>
      </c>
      <c r="AT1028" s="6" t="str">
        <f>HYPERLINK("http://www.worldcat.org/oclc/9031991","WorldCat Record")</f>
        <v>WorldCat Record</v>
      </c>
      <c r="AU1028" s="3" t="s">
        <v>12968</v>
      </c>
      <c r="AV1028" s="3" t="s">
        <v>12969</v>
      </c>
      <c r="AW1028" s="3" t="s">
        <v>12970</v>
      </c>
      <c r="AX1028" s="3" t="s">
        <v>12970</v>
      </c>
      <c r="AY1028" s="3" t="s">
        <v>12971</v>
      </c>
      <c r="AZ1028" s="3" t="s">
        <v>76</v>
      </c>
      <c r="BB1028" s="3" t="s">
        <v>12972</v>
      </c>
      <c r="BC1028" s="3" t="s">
        <v>12973</v>
      </c>
      <c r="BD1028" s="3" t="s">
        <v>12974</v>
      </c>
    </row>
    <row r="1029" spans="1:56" ht="52.5" customHeight="1" x14ac:dyDescent="0.25">
      <c r="A1029" s="7" t="s">
        <v>59</v>
      </c>
      <c r="B1029" s="2" t="s">
        <v>12975</v>
      </c>
      <c r="C1029" s="2" t="s">
        <v>12976</v>
      </c>
      <c r="D1029" s="2" t="s">
        <v>12977</v>
      </c>
      <c r="F1029" s="3" t="s">
        <v>59</v>
      </c>
      <c r="G1029" s="3" t="s">
        <v>60</v>
      </c>
      <c r="H1029" s="3" t="s">
        <v>59</v>
      </c>
      <c r="I1029" s="3" t="s">
        <v>59</v>
      </c>
      <c r="J1029" s="3" t="s">
        <v>61</v>
      </c>
      <c r="K1029" s="2" t="s">
        <v>12978</v>
      </c>
      <c r="L1029" s="2" t="s">
        <v>8475</v>
      </c>
      <c r="M1029" s="3" t="s">
        <v>309</v>
      </c>
      <c r="O1029" s="3" t="s">
        <v>65</v>
      </c>
      <c r="P1029" s="3" t="s">
        <v>66</v>
      </c>
      <c r="R1029" s="3" t="s">
        <v>68</v>
      </c>
      <c r="S1029" s="4">
        <v>5</v>
      </c>
      <c r="T1029" s="4">
        <v>5</v>
      </c>
      <c r="U1029" s="5" t="s">
        <v>9647</v>
      </c>
      <c r="V1029" s="5" t="s">
        <v>9647</v>
      </c>
      <c r="W1029" s="5" t="s">
        <v>12015</v>
      </c>
      <c r="X1029" s="5" t="s">
        <v>12015</v>
      </c>
      <c r="Y1029" s="4">
        <v>358</v>
      </c>
      <c r="Z1029" s="4">
        <v>271</v>
      </c>
      <c r="AA1029" s="4">
        <v>277</v>
      </c>
      <c r="AB1029" s="4">
        <v>3</v>
      </c>
      <c r="AC1029" s="4">
        <v>3</v>
      </c>
      <c r="AD1029" s="4">
        <v>11</v>
      </c>
      <c r="AE1029" s="4">
        <v>11</v>
      </c>
      <c r="AF1029" s="4">
        <v>4</v>
      </c>
      <c r="AG1029" s="4">
        <v>4</v>
      </c>
      <c r="AH1029" s="4">
        <v>0</v>
      </c>
      <c r="AI1029" s="4">
        <v>0</v>
      </c>
      <c r="AJ1029" s="4">
        <v>7</v>
      </c>
      <c r="AK1029" s="4">
        <v>7</v>
      </c>
      <c r="AL1029" s="4">
        <v>2</v>
      </c>
      <c r="AM1029" s="4">
        <v>2</v>
      </c>
      <c r="AN1029" s="4">
        <v>0</v>
      </c>
      <c r="AO1029" s="4">
        <v>0</v>
      </c>
      <c r="AP1029" s="3" t="s">
        <v>59</v>
      </c>
      <c r="AQ1029" s="3" t="s">
        <v>59</v>
      </c>
      <c r="AS1029" s="6" t="str">
        <f>HYPERLINK("https://creighton-primo.hosted.exlibrisgroup.com/primo-explore/search?tab=default_tab&amp;search_scope=EVERYTHING&amp;vid=01CRU&amp;lang=en_US&amp;offset=0&amp;query=any,contains,991004451919702656","Catalog Record")</f>
        <v>Catalog Record</v>
      </c>
      <c r="AT1029" s="6" t="str">
        <f>HYPERLINK("http://www.worldcat.org/oclc/3516364","WorldCat Record")</f>
        <v>WorldCat Record</v>
      </c>
      <c r="AU1029" s="3" t="s">
        <v>12979</v>
      </c>
      <c r="AV1029" s="3" t="s">
        <v>12980</v>
      </c>
      <c r="AW1029" s="3" t="s">
        <v>12981</v>
      </c>
      <c r="AX1029" s="3" t="s">
        <v>12981</v>
      </c>
      <c r="AY1029" s="3" t="s">
        <v>12982</v>
      </c>
      <c r="AZ1029" s="3" t="s">
        <v>76</v>
      </c>
      <c r="BB1029" s="3" t="s">
        <v>12983</v>
      </c>
      <c r="BC1029" s="3" t="s">
        <v>12984</v>
      </c>
      <c r="BD1029" s="3" t="s">
        <v>12985</v>
      </c>
    </row>
    <row r="1030" spans="1:56" ht="52.5" customHeight="1" x14ac:dyDescent="0.25">
      <c r="A1030" s="7" t="s">
        <v>59</v>
      </c>
      <c r="B1030" s="2" t="s">
        <v>12986</v>
      </c>
      <c r="C1030" s="2" t="s">
        <v>12987</v>
      </c>
      <c r="D1030" s="2" t="s">
        <v>12988</v>
      </c>
      <c r="F1030" s="3" t="s">
        <v>59</v>
      </c>
      <c r="G1030" s="3" t="s">
        <v>60</v>
      </c>
      <c r="H1030" s="3" t="s">
        <v>59</v>
      </c>
      <c r="I1030" s="3" t="s">
        <v>59</v>
      </c>
      <c r="J1030" s="3" t="s">
        <v>61</v>
      </c>
      <c r="K1030" s="2" t="s">
        <v>12989</v>
      </c>
      <c r="L1030" s="2" t="s">
        <v>1355</v>
      </c>
      <c r="M1030" s="3" t="s">
        <v>1233</v>
      </c>
      <c r="O1030" s="3" t="s">
        <v>65</v>
      </c>
      <c r="P1030" s="3" t="s">
        <v>66</v>
      </c>
      <c r="R1030" s="3" t="s">
        <v>68</v>
      </c>
      <c r="S1030" s="4">
        <v>1</v>
      </c>
      <c r="T1030" s="4">
        <v>1</v>
      </c>
      <c r="U1030" s="5" t="s">
        <v>12990</v>
      </c>
      <c r="V1030" s="5" t="s">
        <v>12990</v>
      </c>
      <c r="W1030" s="5" t="s">
        <v>12015</v>
      </c>
      <c r="X1030" s="5" t="s">
        <v>12015</v>
      </c>
      <c r="Y1030" s="4">
        <v>474</v>
      </c>
      <c r="Z1030" s="4">
        <v>376</v>
      </c>
      <c r="AA1030" s="4">
        <v>382</v>
      </c>
      <c r="AB1030" s="4">
        <v>5</v>
      </c>
      <c r="AC1030" s="4">
        <v>5</v>
      </c>
      <c r="AD1030" s="4">
        <v>17</v>
      </c>
      <c r="AE1030" s="4">
        <v>17</v>
      </c>
      <c r="AF1030" s="4">
        <v>4</v>
      </c>
      <c r="AG1030" s="4">
        <v>4</v>
      </c>
      <c r="AH1030" s="4">
        <v>3</v>
      </c>
      <c r="AI1030" s="4">
        <v>3</v>
      </c>
      <c r="AJ1030" s="4">
        <v>8</v>
      </c>
      <c r="AK1030" s="4">
        <v>8</v>
      </c>
      <c r="AL1030" s="4">
        <v>4</v>
      </c>
      <c r="AM1030" s="4">
        <v>4</v>
      </c>
      <c r="AN1030" s="4">
        <v>0</v>
      </c>
      <c r="AO1030" s="4">
        <v>0</v>
      </c>
      <c r="AP1030" s="3" t="s">
        <v>59</v>
      </c>
      <c r="AQ1030" s="3" t="s">
        <v>59</v>
      </c>
      <c r="AS1030" s="6" t="str">
        <f>HYPERLINK("https://creighton-primo.hosted.exlibrisgroup.com/primo-explore/search?tab=default_tab&amp;search_scope=EVERYTHING&amp;vid=01CRU&amp;lang=en_US&amp;offset=0&amp;query=any,contains,991003089839702656","Catalog Record")</f>
        <v>Catalog Record</v>
      </c>
      <c r="AT1030" s="6" t="str">
        <f>HYPERLINK("http://www.worldcat.org/oclc/640236","WorldCat Record")</f>
        <v>WorldCat Record</v>
      </c>
      <c r="AU1030" s="3" t="s">
        <v>12991</v>
      </c>
      <c r="AV1030" s="3" t="s">
        <v>12992</v>
      </c>
      <c r="AW1030" s="3" t="s">
        <v>12993</v>
      </c>
      <c r="AX1030" s="3" t="s">
        <v>12993</v>
      </c>
      <c r="AY1030" s="3" t="s">
        <v>12994</v>
      </c>
      <c r="AZ1030" s="3" t="s">
        <v>76</v>
      </c>
      <c r="BB1030" s="3" t="s">
        <v>12995</v>
      </c>
      <c r="BC1030" s="3" t="s">
        <v>12996</v>
      </c>
      <c r="BD1030" s="3" t="s">
        <v>12997</v>
      </c>
    </row>
    <row r="1031" spans="1:56" ht="52.5" customHeight="1" x14ac:dyDescent="0.25">
      <c r="A1031" s="7" t="s">
        <v>59</v>
      </c>
      <c r="B1031" s="2" t="s">
        <v>12998</v>
      </c>
      <c r="C1031" s="2" t="s">
        <v>12999</v>
      </c>
      <c r="D1031" s="2" t="s">
        <v>13000</v>
      </c>
      <c r="F1031" s="3" t="s">
        <v>59</v>
      </c>
      <c r="G1031" s="3" t="s">
        <v>60</v>
      </c>
      <c r="H1031" s="3" t="s">
        <v>59</v>
      </c>
      <c r="I1031" s="3" t="s">
        <v>59</v>
      </c>
      <c r="J1031" s="3" t="s">
        <v>61</v>
      </c>
      <c r="K1031" s="2" t="s">
        <v>13001</v>
      </c>
      <c r="L1031" s="2" t="s">
        <v>13002</v>
      </c>
      <c r="M1031" s="3" t="s">
        <v>1868</v>
      </c>
      <c r="O1031" s="3" t="s">
        <v>65</v>
      </c>
      <c r="P1031" s="3" t="s">
        <v>283</v>
      </c>
      <c r="R1031" s="3" t="s">
        <v>68</v>
      </c>
      <c r="S1031" s="4">
        <v>1</v>
      </c>
      <c r="T1031" s="4">
        <v>1</v>
      </c>
      <c r="U1031" s="5" t="s">
        <v>13003</v>
      </c>
      <c r="V1031" s="5" t="s">
        <v>13003</v>
      </c>
      <c r="W1031" s="5" t="s">
        <v>12015</v>
      </c>
      <c r="X1031" s="5" t="s">
        <v>12015</v>
      </c>
      <c r="Y1031" s="4">
        <v>646</v>
      </c>
      <c r="Z1031" s="4">
        <v>559</v>
      </c>
      <c r="AA1031" s="4">
        <v>619</v>
      </c>
      <c r="AB1031" s="4">
        <v>5</v>
      </c>
      <c r="AC1031" s="4">
        <v>5</v>
      </c>
      <c r="AD1031" s="4">
        <v>22</v>
      </c>
      <c r="AE1031" s="4">
        <v>26</v>
      </c>
      <c r="AF1031" s="4">
        <v>8</v>
      </c>
      <c r="AG1031" s="4">
        <v>10</v>
      </c>
      <c r="AH1031" s="4">
        <v>6</v>
      </c>
      <c r="AI1031" s="4">
        <v>7</v>
      </c>
      <c r="AJ1031" s="4">
        <v>10</v>
      </c>
      <c r="AK1031" s="4">
        <v>11</v>
      </c>
      <c r="AL1031" s="4">
        <v>3</v>
      </c>
      <c r="AM1031" s="4">
        <v>3</v>
      </c>
      <c r="AN1031" s="4">
        <v>0</v>
      </c>
      <c r="AO1031" s="4">
        <v>0</v>
      </c>
      <c r="AP1031" s="3" t="s">
        <v>59</v>
      </c>
      <c r="AQ1031" s="3" t="s">
        <v>71</v>
      </c>
      <c r="AR1031" s="6" t="str">
        <f>HYPERLINK("http://catalog.hathitrust.org/Record/000430141","HathiTrust Record")</f>
        <v>HathiTrust Record</v>
      </c>
      <c r="AS1031" s="6" t="str">
        <f>HYPERLINK("https://creighton-primo.hosted.exlibrisgroup.com/primo-explore/search?tab=default_tab&amp;search_scope=EVERYTHING&amp;vid=01CRU&amp;lang=en_US&amp;offset=0&amp;query=any,contains,991003749629702656","Catalog Record")</f>
        <v>Catalog Record</v>
      </c>
      <c r="AT1031" s="6" t="str">
        <f>HYPERLINK("http://www.worldcat.org/oclc/1424034","WorldCat Record")</f>
        <v>WorldCat Record</v>
      </c>
      <c r="AU1031" s="3" t="s">
        <v>13004</v>
      </c>
      <c r="AV1031" s="3" t="s">
        <v>13005</v>
      </c>
      <c r="AW1031" s="3" t="s">
        <v>13006</v>
      </c>
      <c r="AX1031" s="3" t="s">
        <v>13006</v>
      </c>
      <c r="AY1031" s="3" t="s">
        <v>13007</v>
      </c>
      <c r="AZ1031" s="3" t="s">
        <v>76</v>
      </c>
      <c r="BC1031" s="3" t="s">
        <v>13008</v>
      </c>
      <c r="BD1031" s="3" t="s">
        <v>13009</v>
      </c>
    </row>
    <row r="1032" spans="1:56" ht="52.5" customHeight="1" x14ac:dyDescent="0.25">
      <c r="A1032" s="7" t="s">
        <v>59</v>
      </c>
      <c r="B1032" s="2" t="s">
        <v>13010</v>
      </c>
      <c r="C1032" s="2" t="s">
        <v>13011</v>
      </c>
      <c r="D1032" s="2" t="s">
        <v>13012</v>
      </c>
      <c r="F1032" s="3" t="s">
        <v>59</v>
      </c>
      <c r="G1032" s="3" t="s">
        <v>60</v>
      </c>
      <c r="H1032" s="3" t="s">
        <v>59</v>
      </c>
      <c r="I1032" s="3" t="s">
        <v>59</v>
      </c>
      <c r="J1032" s="3" t="s">
        <v>61</v>
      </c>
      <c r="K1032" s="2" t="s">
        <v>13013</v>
      </c>
      <c r="L1032" s="2" t="s">
        <v>13014</v>
      </c>
      <c r="M1032" s="3" t="s">
        <v>1233</v>
      </c>
      <c r="O1032" s="3" t="s">
        <v>65</v>
      </c>
      <c r="P1032" s="3" t="s">
        <v>66</v>
      </c>
      <c r="R1032" s="3" t="s">
        <v>68</v>
      </c>
      <c r="S1032" s="4">
        <v>2</v>
      </c>
      <c r="T1032" s="4">
        <v>2</v>
      </c>
      <c r="U1032" s="5" t="s">
        <v>13015</v>
      </c>
      <c r="V1032" s="5" t="s">
        <v>13015</v>
      </c>
      <c r="W1032" s="5" t="s">
        <v>12015</v>
      </c>
      <c r="X1032" s="5" t="s">
        <v>12015</v>
      </c>
      <c r="Y1032" s="4">
        <v>367</v>
      </c>
      <c r="Z1032" s="4">
        <v>223</v>
      </c>
      <c r="AA1032" s="4">
        <v>225</v>
      </c>
      <c r="AB1032" s="4">
        <v>2</v>
      </c>
      <c r="AC1032" s="4">
        <v>2</v>
      </c>
      <c r="AD1032" s="4">
        <v>6</v>
      </c>
      <c r="AE1032" s="4">
        <v>6</v>
      </c>
      <c r="AF1032" s="4">
        <v>2</v>
      </c>
      <c r="AG1032" s="4">
        <v>2</v>
      </c>
      <c r="AH1032" s="4">
        <v>2</v>
      </c>
      <c r="AI1032" s="4">
        <v>2</v>
      </c>
      <c r="AJ1032" s="4">
        <v>2</v>
      </c>
      <c r="AK1032" s="4">
        <v>2</v>
      </c>
      <c r="AL1032" s="4">
        <v>1</v>
      </c>
      <c r="AM1032" s="4">
        <v>1</v>
      </c>
      <c r="AN1032" s="4">
        <v>0</v>
      </c>
      <c r="AO1032" s="4">
        <v>0</v>
      </c>
      <c r="AP1032" s="3" t="s">
        <v>59</v>
      </c>
      <c r="AQ1032" s="3" t="s">
        <v>71</v>
      </c>
      <c r="AR1032" s="6" t="str">
        <f>HYPERLINK("http://catalog.hathitrust.org/Record/000761281","HathiTrust Record")</f>
        <v>HathiTrust Record</v>
      </c>
      <c r="AS1032" s="6" t="str">
        <f>HYPERLINK("https://creighton-primo.hosted.exlibrisgroup.com/primo-explore/search?tab=default_tab&amp;search_scope=EVERYTHING&amp;vid=01CRU&amp;lang=en_US&amp;offset=0&amp;query=any,contains,991003075349702656","Catalog Record")</f>
        <v>Catalog Record</v>
      </c>
      <c r="AT1032" s="6" t="str">
        <f>HYPERLINK("http://www.worldcat.org/oclc/628297","WorldCat Record")</f>
        <v>WorldCat Record</v>
      </c>
      <c r="AU1032" s="3" t="s">
        <v>13016</v>
      </c>
      <c r="AV1032" s="3" t="s">
        <v>13017</v>
      </c>
      <c r="AW1032" s="3" t="s">
        <v>13018</v>
      </c>
      <c r="AX1032" s="3" t="s">
        <v>13018</v>
      </c>
      <c r="AY1032" s="3" t="s">
        <v>13019</v>
      </c>
      <c r="AZ1032" s="3" t="s">
        <v>76</v>
      </c>
      <c r="BB1032" s="3" t="s">
        <v>13020</v>
      </c>
      <c r="BC1032" s="3" t="s">
        <v>13021</v>
      </c>
      <c r="BD1032" s="3" t="s">
        <v>13022</v>
      </c>
    </row>
    <row r="1033" spans="1:56" ht="52.5" customHeight="1" x14ac:dyDescent="0.25">
      <c r="A1033" s="7" t="s">
        <v>59</v>
      </c>
      <c r="B1033" s="2" t="s">
        <v>13023</v>
      </c>
      <c r="C1033" s="2" t="s">
        <v>13024</v>
      </c>
      <c r="D1033" s="2" t="s">
        <v>13025</v>
      </c>
      <c r="F1033" s="3" t="s">
        <v>59</v>
      </c>
      <c r="G1033" s="3" t="s">
        <v>60</v>
      </c>
      <c r="H1033" s="3" t="s">
        <v>59</v>
      </c>
      <c r="I1033" s="3" t="s">
        <v>59</v>
      </c>
      <c r="J1033" s="3" t="s">
        <v>61</v>
      </c>
      <c r="K1033" s="2" t="s">
        <v>13026</v>
      </c>
      <c r="L1033" s="2" t="s">
        <v>13027</v>
      </c>
      <c r="M1033" s="3" t="s">
        <v>224</v>
      </c>
      <c r="O1033" s="3" t="s">
        <v>65</v>
      </c>
      <c r="P1033" s="3" t="s">
        <v>296</v>
      </c>
      <c r="R1033" s="3" t="s">
        <v>68</v>
      </c>
      <c r="S1033" s="4">
        <v>8</v>
      </c>
      <c r="T1033" s="4">
        <v>8</v>
      </c>
      <c r="U1033" s="5" t="s">
        <v>13028</v>
      </c>
      <c r="V1033" s="5" t="s">
        <v>13028</v>
      </c>
      <c r="W1033" s="5" t="s">
        <v>2545</v>
      </c>
      <c r="X1033" s="5" t="s">
        <v>2545</v>
      </c>
      <c r="Y1033" s="4">
        <v>298</v>
      </c>
      <c r="Z1033" s="4">
        <v>213</v>
      </c>
      <c r="AA1033" s="4">
        <v>216</v>
      </c>
      <c r="AB1033" s="4">
        <v>1</v>
      </c>
      <c r="AC1033" s="4">
        <v>1</v>
      </c>
      <c r="AD1033" s="4">
        <v>8</v>
      </c>
      <c r="AE1033" s="4">
        <v>8</v>
      </c>
      <c r="AF1033" s="4">
        <v>2</v>
      </c>
      <c r="AG1033" s="4">
        <v>2</v>
      </c>
      <c r="AH1033" s="4">
        <v>3</v>
      </c>
      <c r="AI1033" s="4">
        <v>3</v>
      </c>
      <c r="AJ1033" s="4">
        <v>4</v>
      </c>
      <c r="AK1033" s="4">
        <v>4</v>
      </c>
      <c r="AL1033" s="4">
        <v>0</v>
      </c>
      <c r="AM1033" s="4">
        <v>0</v>
      </c>
      <c r="AN1033" s="4">
        <v>0</v>
      </c>
      <c r="AO1033" s="4">
        <v>0</v>
      </c>
      <c r="AP1033" s="3" t="s">
        <v>59</v>
      </c>
      <c r="AQ1033" s="3" t="s">
        <v>71</v>
      </c>
      <c r="AR1033" s="6" t="str">
        <f>HYPERLINK("http://catalog.hathitrust.org/Record/000044727","HathiTrust Record")</f>
        <v>HathiTrust Record</v>
      </c>
      <c r="AS1033" s="6" t="str">
        <f>HYPERLINK("https://creighton-primo.hosted.exlibrisgroup.com/primo-explore/search?tab=default_tab&amp;search_scope=EVERYTHING&amp;vid=01CRU&amp;lang=en_US&amp;offset=0&amp;query=any,contains,991003800489702656","Catalog Record")</f>
        <v>Catalog Record</v>
      </c>
      <c r="AT1033" s="6" t="str">
        <f>HYPERLINK("http://www.worldcat.org/oclc/1527251","WorldCat Record")</f>
        <v>WorldCat Record</v>
      </c>
      <c r="AU1033" s="3" t="s">
        <v>13029</v>
      </c>
      <c r="AV1033" s="3" t="s">
        <v>13030</v>
      </c>
      <c r="AW1033" s="3" t="s">
        <v>13031</v>
      </c>
      <c r="AX1033" s="3" t="s">
        <v>13031</v>
      </c>
      <c r="AY1033" s="3" t="s">
        <v>13032</v>
      </c>
      <c r="AZ1033" s="3" t="s">
        <v>76</v>
      </c>
      <c r="BB1033" s="3" t="s">
        <v>13033</v>
      </c>
      <c r="BC1033" s="3" t="s">
        <v>13034</v>
      </c>
      <c r="BD1033" s="3" t="s">
        <v>13035</v>
      </c>
    </row>
    <row r="1034" spans="1:56" ht="52.5" customHeight="1" x14ac:dyDescent="0.25">
      <c r="A1034" s="7" t="s">
        <v>59</v>
      </c>
      <c r="B1034" s="2" t="s">
        <v>13036</v>
      </c>
      <c r="C1034" s="2" t="s">
        <v>13037</v>
      </c>
      <c r="D1034" s="2" t="s">
        <v>13038</v>
      </c>
      <c r="F1034" s="3" t="s">
        <v>59</v>
      </c>
      <c r="G1034" s="3" t="s">
        <v>60</v>
      </c>
      <c r="H1034" s="3" t="s">
        <v>59</v>
      </c>
      <c r="I1034" s="3" t="s">
        <v>59</v>
      </c>
      <c r="J1034" s="3" t="s">
        <v>61</v>
      </c>
      <c r="K1034" s="2" t="s">
        <v>13039</v>
      </c>
      <c r="L1034" s="2" t="s">
        <v>13040</v>
      </c>
      <c r="M1034" s="3" t="s">
        <v>1233</v>
      </c>
      <c r="O1034" s="3" t="s">
        <v>65</v>
      </c>
      <c r="P1034" s="3" t="s">
        <v>66</v>
      </c>
      <c r="R1034" s="3" t="s">
        <v>68</v>
      </c>
      <c r="S1034" s="4">
        <v>5</v>
      </c>
      <c r="T1034" s="4">
        <v>5</v>
      </c>
      <c r="U1034" s="5" t="s">
        <v>13041</v>
      </c>
      <c r="V1034" s="5" t="s">
        <v>13041</v>
      </c>
      <c r="W1034" s="5" t="s">
        <v>9979</v>
      </c>
      <c r="X1034" s="5" t="s">
        <v>9979</v>
      </c>
      <c r="Y1034" s="4">
        <v>353</v>
      </c>
      <c r="Z1034" s="4">
        <v>279</v>
      </c>
      <c r="AA1034" s="4">
        <v>450</v>
      </c>
      <c r="AB1034" s="4">
        <v>3</v>
      </c>
      <c r="AC1034" s="4">
        <v>6</v>
      </c>
      <c r="AD1034" s="4">
        <v>9</v>
      </c>
      <c r="AE1034" s="4">
        <v>16</v>
      </c>
      <c r="AF1034" s="4">
        <v>3</v>
      </c>
      <c r="AG1034" s="4">
        <v>5</v>
      </c>
      <c r="AH1034" s="4">
        <v>3</v>
      </c>
      <c r="AI1034" s="4">
        <v>3</v>
      </c>
      <c r="AJ1034" s="4">
        <v>3</v>
      </c>
      <c r="AK1034" s="4">
        <v>5</v>
      </c>
      <c r="AL1034" s="4">
        <v>2</v>
      </c>
      <c r="AM1034" s="4">
        <v>5</v>
      </c>
      <c r="AN1034" s="4">
        <v>0</v>
      </c>
      <c r="AO1034" s="4">
        <v>0</v>
      </c>
      <c r="AP1034" s="3" t="s">
        <v>59</v>
      </c>
      <c r="AQ1034" s="3" t="s">
        <v>71</v>
      </c>
      <c r="AR1034" s="6" t="str">
        <f>HYPERLINK("http://catalog.hathitrust.org/Record/000430201","HathiTrust Record")</f>
        <v>HathiTrust Record</v>
      </c>
      <c r="AS1034" s="6" t="str">
        <f>HYPERLINK("https://creighton-primo.hosted.exlibrisgroup.com/primo-explore/search?tab=default_tab&amp;search_scope=EVERYTHING&amp;vid=01CRU&amp;lang=en_US&amp;offset=0&amp;query=any,contains,991003027049702656","Catalog Record")</f>
        <v>Catalog Record</v>
      </c>
      <c r="AT1034" s="6" t="str">
        <f>HYPERLINK("http://www.worldcat.org/oclc/590756","WorldCat Record")</f>
        <v>WorldCat Record</v>
      </c>
      <c r="AU1034" s="3" t="s">
        <v>13042</v>
      </c>
      <c r="AV1034" s="3" t="s">
        <v>13043</v>
      </c>
      <c r="AW1034" s="3" t="s">
        <v>13044</v>
      </c>
      <c r="AX1034" s="3" t="s">
        <v>13044</v>
      </c>
      <c r="AY1034" s="3" t="s">
        <v>13045</v>
      </c>
      <c r="AZ1034" s="3" t="s">
        <v>76</v>
      </c>
      <c r="BC1034" s="3" t="s">
        <v>13046</v>
      </c>
      <c r="BD1034" s="3" t="s">
        <v>13047</v>
      </c>
    </row>
    <row r="1035" spans="1:56" ht="52.5" customHeight="1" x14ac:dyDescent="0.25">
      <c r="A1035" s="7" t="s">
        <v>59</v>
      </c>
      <c r="B1035" s="2" t="s">
        <v>13048</v>
      </c>
      <c r="C1035" s="2" t="s">
        <v>13049</v>
      </c>
      <c r="D1035" s="2" t="s">
        <v>13050</v>
      </c>
      <c r="F1035" s="3" t="s">
        <v>59</v>
      </c>
      <c r="G1035" s="3" t="s">
        <v>60</v>
      </c>
      <c r="H1035" s="3" t="s">
        <v>59</v>
      </c>
      <c r="I1035" s="3" t="s">
        <v>59</v>
      </c>
      <c r="J1035" s="3" t="s">
        <v>61</v>
      </c>
      <c r="K1035" s="2" t="s">
        <v>13051</v>
      </c>
      <c r="L1035" s="2" t="s">
        <v>13052</v>
      </c>
      <c r="M1035" s="3" t="s">
        <v>115</v>
      </c>
      <c r="O1035" s="3" t="s">
        <v>65</v>
      </c>
      <c r="P1035" s="3" t="s">
        <v>66</v>
      </c>
      <c r="R1035" s="3" t="s">
        <v>68</v>
      </c>
      <c r="S1035" s="4">
        <v>2</v>
      </c>
      <c r="T1035" s="4">
        <v>2</v>
      </c>
      <c r="U1035" s="5" t="s">
        <v>3402</v>
      </c>
      <c r="V1035" s="5" t="s">
        <v>3402</v>
      </c>
      <c r="W1035" s="5" t="s">
        <v>12015</v>
      </c>
      <c r="X1035" s="5" t="s">
        <v>12015</v>
      </c>
      <c r="Y1035" s="4">
        <v>454</v>
      </c>
      <c r="Z1035" s="4">
        <v>374</v>
      </c>
      <c r="AA1035" s="4">
        <v>542</v>
      </c>
      <c r="AB1035" s="4">
        <v>2</v>
      </c>
      <c r="AC1035" s="4">
        <v>5</v>
      </c>
      <c r="AD1035" s="4">
        <v>9</v>
      </c>
      <c r="AE1035" s="4">
        <v>16</v>
      </c>
      <c r="AF1035" s="4">
        <v>4</v>
      </c>
      <c r="AG1035" s="4">
        <v>5</v>
      </c>
      <c r="AH1035" s="4">
        <v>2</v>
      </c>
      <c r="AI1035" s="4">
        <v>3</v>
      </c>
      <c r="AJ1035" s="4">
        <v>4</v>
      </c>
      <c r="AK1035" s="4">
        <v>8</v>
      </c>
      <c r="AL1035" s="4">
        <v>1</v>
      </c>
      <c r="AM1035" s="4">
        <v>4</v>
      </c>
      <c r="AN1035" s="4">
        <v>0</v>
      </c>
      <c r="AO1035" s="4">
        <v>0</v>
      </c>
      <c r="AP1035" s="3" t="s">
        <v>59</v>
      </c>
      <c r="AQ1035" s="3" t="s">
        <v>71</v>
      </c>
      <c r="AR1035" s="6" t="str">
        <f>HYPERLINK("http://catalog.hathitrust.org/Record/000430207","HathiTrust Record")</f>
        <v>HathiTrust Record</v>
      </c>
      <c r="AS1035" s="6" t="str">
        <f>HYPERLINK("https://creighton-primo.hosted.exlibrisgroup.com/primo-explore/search?tab=default_tab&amp;search_scope=EVERYTHING&amp;vid=01CRU&amp;lang=en_US&amp;offset=0&amp;query=any,contains,991001904739702656","Catalog Record")</f>
        <v>Catalog Record</v>
      </c>
      <c r="AT1035" s="6" t="str">
        <f>HYPERLINK("http://www.worldcat.org/oclc/239889","WorldCat Record")</f>
        <v>WorldCat Record</v>
      </c>
      <c r="AU1035" s="3" t="s">
        <v>13053</v>
      </c>
      <c r="AV1035" s="3" t="s">
        <v>13054</v>
      </c>
      <c r="AW1035" s="3" t="s">
        <v>13055</v>
      </c>
      <c r="AX1035" s="3" t="s">
        <v>13055</v>
      </c>
      <c r="AY1035" s="3" t="s">
        <v>13056</v>
      </c>
      <c r="AZ1035" s="3" t="s">
        <v>76</v>
      </c>
      <c r="BC1035" s="3" t="s">
        <v>13057</v>
      </c>
      <c r="BD1035" s="3" t="s">
        <v>13058</v>
      </c>
    </row>
    <row r="1036" spans="1:56" ht="52.5" customHeight="1" x14ac:dyDescent="0.25">
      <c r="A1036" s="7" t="s">
        <v>59</v>
      </c>
      <c r="B1036" s="2" t="s">
        <v>13059</v>
      </c>
      <c r="C1036" s="2" t="s">
        <v>13060</v>
      </c>
      <c r="D1036" s="2" t="s">
        <v>13061</v>
      </c>
      <c r="F1036" s="3" t="s">
        <v>59</v>
      </c>
      <c r="G1036" s="3" t="s">
        <v>60</v>
      </c>
      <c r="H1036" s="3" t="s">
        <v>59</v>
      </c>
      <c r="I1036" s="3" t="s">
        <v>59</v>
      </c>
      <c r="J1036" s="3" t="s">
        <v>61</v>
      </c>
      <c r="K1036" s="2" t="s">
        <v>13062</v>
      </c>
      <c r="L1036" s="2" t="s">
        <v>13063</v>
      </c>
      <c r="M1036" s="3" t="s">
        <v>987</v>
      </c>
      <c r="O1036" s="3" t="s">
        <v>65</v>
      </c>
      <c r="P1036" s="3" t="s">
        <v>66</v>
      </c>
      <c r="R1036" s="3" t="s">
        <v>68</v>
      </c>
      <c r="S1036" s="4">
        <v>1</v>
      </c>
      <c r="T1036" s="4">
        <v>1</v>
      </c>
      <c r="U1036" s="5" t="s">
        <v>13064</v>
      </c>
      <c r="V1036" s="5" t="s">
        <v>13064</v>
      </c>
      <c r="W1036" s="5" t="s">
        <v>12015</v>
      </c>
      <c r="X1036" s="5" t="s">
        <v>12015</v>
      </c>
      <c r="Y1036" s="4">
        <v>504</v>
      </c>
      <c r="Z1036" s="4">
        <v>378</v>
      </c>
      <c r="AA1036" s="4">
        <v>384</v>
      </c>
      <c r="AB1036" s="4">
        <v>1</v>
      </c>
      <c r="AC1036" s="4">
        <v>1</v>
      </c>
      <c r="AD1036" s="4">
        <v>11</v>
      </c>
      <c r="AE1036" s="4">
        <v>11</v>
      </c>
      <c r="AF1036" s="4">
        <v>5</v>
      </c>
      <c r="AG1036" s="4">
        <v>5</v>
      </c>
      <c r="AH1036" s="4">
        <v>2</v>
      </c>
      <c r="AI1036" s="4">
        <v>2</v>
      </c>
      <c r="AJ1036" s="4">
        <v>7</v>
      </c>
      <c r="AK1036" s="4">
        <v>7</v>
      </c>
      <c r="AL1036" s="4">
        <v>0</v>
      </c>
      <c r="AM1036" s="4">
        <v>0</v>
      </c>
      <c r="AN1036" s="4">
        <v>0</v>
      </c>
      <c r="AO1036" s="4">
        <v>0</v>
      </c>
      <c r="AP1036" s="3" t="s">
        <v>59</v>
      </c>
      <c r="AQ1036" s="3" t="s">
        <v>71</v>
      </c>
      <c r="AR1036" s="6" t="str">
        <f>HYPERLINK("http://catalog.hathitrust.org/Record/000430929","HathiTrust Record")</f>
        <v>HathiTrust Record</v>
      </c>
      <c r="AS1036" s="6" t="str">
        <f>HYPERLINK("https://creighton-primo.hosted.exlibrisgroup.com/primo-explore/search?tab=default_tab&amp;search_scope=EVERYTHING&amp;vid=01CRU&amp;lang=en_US&amp;offset=0&amp;query=any,contains,991000328809702656","Catalog Record")</f>
        <v>Catalog Record</v>
      </c>
      <c r="AT1036" s="6" t="str">
        <f>HYPERLINK("http://www.worldcat.org/oclc/69958","WorldCat Record")</f>
        <v>WorldCat Record</v>
      </c>
      <c r="AU1036" s="3" t="s">
        <v>13065</v>
      </c>
      <c r="AV1036" s="3" t="s">
        <v>13066</v>
      </c>
      <c r="AW1036" s="3" t="s">
        <v>13067</v>
      </c>
      <c r="AX1036" s="3" t="s">
        <v>13067</v>
      </c>
      <c r="AY1036" s="3" t="s">
        <v>13068</v>
      </c>
      <c r="AZ1036" s="3" t="s">
        <v>76</v>
      </c>
      <c r="BC1036" s="3" t="s">
        <v>13069</v>
      </c>
      <c r="BD1036" s="3" t="s">
        <v>13070</v>
      </c>
    </row>
    <row r="1037" spans="1:56" ht="52.5" customHeight="1" x14ac:dyDescent="0.25">
      <c r="A1037" s="7" t="s">
        <v>59</v>
      </c>
      <c r="B1037" s="2" t="s">
        <v>13071</v>
      </c>
      <c r="C1037" s="2" t="s">
        <v>13072</v>
      </c>
      <c r="D1037" s="2" t="s">
        <v>13073</v>
      </c>
      <c r="F1037" s="3" t="s">
        <v>59</v>
      </c>
      <c r="G1037" s="3" t="s">
        <v>60</v>
      </c>
      <c r="H1037" s="3" t="s">
        <v>59</v>
      </c>
      <c r="I1037" s="3" t="s">
        <v>59</v>
      </c>
      <c r="J1037" s="3" t="s">
        <v>61</v>
      </c>
      <c r="K1037" s="2" t="s">
        <v>13074</v>
      </c>
      <c r="L1037" s="2" t="s">
        <v>13075</v>
      </c>
      <c r="M1037" s="3" t="s">
        <v>350</v>
      </c>
      <c r="O1037" s="3" t="s">
        <v>65</v>
      </c>
      <c r="P1037" s="3" t="s">
        <v>296</v>
      </c>
      <c r="Q1037" s="2" t="s">
        <v>4524</v>
      </c>
      <c r="R1037" s="3" t="s">
        <v>68</v>
      </c>
      <c r="S1037" s="4">
        <v>3</v>
      </c>
      <c r="T1037" s="4">
        <v>3</v>
      </c>
      <c r="U1037" s="5" t="s">
        <v>10838</v>
      </c>
      <c r="V1037" s="5" t="s">
        <v>10838</v>
      </c>
      <c r="W1037" s="5" t="s">
        <v>5107</v>
      </c>
      <c r="X1037" s="5" t="s">
        <v>5107</v>
      </c>
      <c r="Y1037" s="4">
        <v>210</v>
      </c>
      <c r="Z1037" s="4">
        <v>162</v>
      </c>
      <c r="AA1037" s="4">
        <v>274</v>
      </c>
      <c r="AB1037" s="4">
        <v>2</v>
      </c>
      <c r="AC1037" s="4">
        <v>2</v>
      </c>
      <c r="AD1037" s="4">
        <v>6</v>
      </c>
      <c r="AE1037" s="4">
        <v>9</v>
      </c>
      <c r="AF1037" s="4">
        <v>1</v>
      </c>
      <c r="AG1037" s="4">
        <v>1</v>
      </c>
      <c r="AH1037" s="4">
        <v>2</v>
      </c>
      <c r="AI1037" s="4">
        <v>4</v>
      </c>
      <c r="AJ1037" s="4">
        <v>3</v>
      </c>
      <c r="AK1037" s="4">
        <v>5</v>
      </c>
      <c r="AL1037" s="4">
        <v>1</v>
      </c>
      <c r="AM1037" s="4">
        <v>1</v>
      </c>
      <c r="AN1037" s="4">
        <v>0</v>
      </c>
      <c r="AO1037" s="4">
        <v>0</v>
      </c>
      <c r="AP1037" s="3" t="s">
        <v>59</v>
      </c>
      <c r="AQ1037" s="3" t="s">
        <v>59</v>
      </c>
      <c r="AS1037" s="6" t="str">
        <f>HYPERLINK("https://creighton-primo.hosted.exlibrisgroup.com/primo-explore/search?tab=default_tab&amp;search_scope=EVERYTHING&amp;vid=01CRU&amp;lang=en_US&amp;offset=0&amp;query=any,contains,991004284249702656","Catalog Record")</f>
        <v>Catalog Record</v>
      </c>
      <c r="AT1037" s="6" t="str">
        <f>HYPERLINK("http://www.worldcat.org/oclc/2918977","WorldCat Record")</f>
        <v>WorldCat Record</v>
      </c>
      <c r="AU1037" s="3" t="s">
        <v>13076</v>
      </c>
      <c r="AV1037" s="3" t="s">
        <v>13077</v>
      </c>
      <c r="AW1037" s="3" t="s">
        <v>13078</v>
      </c>
      <c r="AX1037" s="3" t="s">
        <v>13078</v>
      </c>
      <c r="AY1037" s="3" t="s">
        <v>13079</v>
      </c>
      <c r="AZ1037" s="3" t="s">
        <v>76</v>
      </c>
      <c r="BB1037" s="3" t="s">
        <v>13080</v>
      </c>
      <c r="BC1037" s="3" t="s">
        <v>13081</v>
      </c>
      <c r="BD1037" s="3" t="s">
        <v>13082</v>
      </c>
    </row>
    <row r="1038" spans="1:56" ht="52.5" customHeight="1" x14ac:dyDescent="0.25">
      <c r="A1038" s="7" t="s">
        <v>59</v>
      </c>
      <c r="B1038" s="2" t="s">
        <v>13083</v>
      </c>
      <c r="C1038" s="2" t="s">
        <v>13084</v>
      </c>
      <c r="D1038" s="2" t="s">
        <v>13085</v>
      </c>
      <c r="F1038" s="3" t="s">
        <v>59</v>
      </c>
      <c r="G1038" s="3" t="s">
        <v>60</v>
      </c>
      <c r="H1038" s="3" t="s">
        <v>59</v>
      </c>
      <c r="I1038" s="3" t="s">
        <v>59</v>
      </c>
      <c r="J1038" s="3" t="s">
        <v>61</v>
      </c>
      <c r="K1038" s="2" t="s">
        <v>13086</v>
      </c>
      <c r="L1038" s="2" t="s">
        <v>13087</v>
      </c>
      <c r="M1038" s="3" t="s">
        <v>1000</v>
      </c>
      <c r="O1038" s="3" t="s">
        <v>65</v>
      </c>
      <c r="P1038" s="3" t="s">
        <v>420</v>
      </c>
      <c r="R1038" s="3" t="s">
        <v>68</v>
      </c>
      <c r="S1038" s="4">
        <v>5</v>
      </c>
      <c r="T1038" s="4">
        <v>5</v>
      </c>
      <c r="U1038" s="5" t="s">
        <v>6967</v>
      </c>
      <c r="V1038" s="5" t="s">
        <v>6967</v>
      </c>
      <c r="W1038" s="5" t="s">
        <v>13088</v>
      </c>
      <c r="X1038" s="5" t="s">
        <v>13088</v>
      </c>
      <c r="Y1038" s="4">
        <v>573</v>
      </c>
      <c r="Z1038" s="4">
        <v>459</v>
      </c>
      <c r="AA1038" s="4">
        <v>881</v>
      </c>
      <c r="AB1038" s="4">
        <v>5</v>
      </c>
      <c r="AC1038" s="4">
        <v>8</v>
      </c>
      <c r="AD1038" s="4">
        <v>18</v>
      </c>
      <c r="AE1038" s="4">
        <v>35</v>
      </c>
      <c r="AF1038" s="4">
        <v>8</v>
      </c>
      <c r="AG1038" s="4">
        <v>15</v>
      </c>
      <c r="AH1038" s="4">
        <v>3</v>
      </c>
      <c r="AI1038" s="4">
        <v>5</v>
      </c>
      <c r="AJ1038" s="4">
        <v>6</v>
      </c>
      <c r="AK1038" s="4">
        <v>16</v>
      </c>
      <c r="AL1038" s="4">
        <v>4</v>
      </c>
      <c r="AM1038" s="4">
        <v>7</v>
      </c>
      <c r="AN1038" s="4">
        <v>0</v>
      </c>
      <c r="AO1038" s="4">
        <v>0</v>
      </c>
      <c r="AP1038" s="3" t="s">
        <v>59</v>
      </c>
      <c r="AQ1038" s="3" t="s">
        <v>59</v>
      </c>
      <c r="AS1038" s="6" t="str">
        <f>HYPERLINK("https://creighton-primo.hosted.exlibrisgroup.com/primo-explore/search?tab=default_tab&amp;search_scope=EVERYTHING&amp;vid=01CRU&amp;lang=en_US&amp;offset=0&amp;query=any,contains,991004539879702656","Catalog Record")</f>
        <v>Catalog Record</v>
      </c>
      <c r="AT1038" s="6" t="str">
        <f>HYPERLINK("http://www.worldcat.org/oclc/3892618","WorldCat Record")</f>
        <v>WorldCat Record</v>
      </c>
      <c r="AU1038" s="3" t="s">
        <v>13089</v>
      </c>
      <c r="AV1038" s="3" t="s">
        <v>13090</v>
      </c>
      <c r="AW1038" s="3" t="s">
        <v>13091</v>
      </c>
      <c r="AX1038" s="3" t="s">
        <v>13091</v>
      </c>
      <c r="AY1038" s="3" t="s">
        <v>13092</v>
      </c>
      <c r="AZ1038" s="3" t="s">
        <v>76</v>
      </c>
      <c r="BB1038" s="3" t="s">
        <v>13093</v>
      </c>
      <c r="BC1038" s="3" t="s">
        <v>13094</v>
      </c>
      <c r="BD1038" s="3" t="s">
        <v>13095</v>
      </c>
    </row>
    <row r="1039" spans="1:56" ht="52.5" customHeight="1" x14ac:dyDescent="0.25">
      <c r="A1039" s="7" t="s">
        <v>59</v>
      </c>
      <c r="B1039" s="2" t="s">
        <v>13096</v>
      </c>
      <c r="C1039" s="2" t="s">
        <v>13097</v>
      </c>
      <c r="D1039" s="2" t="s">
        <v>13098</v>
      </c>
      <c r="F1039" s="3" t="s">
        <v>59</v>
      </c>
      <c r="G1039" s="3" t="s">
        <v>60</v>
      </c>
      <c r="H1039" s="3" t="s">
        <v>59</v>
      </c>
      <c r="I1039" s="3" t="s">
        <v>59</v>
      </c>
      <c r="J1039" s="3" t="s">
        <v>61</v>
      </c>
      <c r="K1039" s="2" t="s">
        <v>13099</v>
      </c>
      <c r="L1039" s="2" t="s">
        <v>13100</v>
      </c>
      <c r="M1039" s="3" t="s">
        <v>350</v>
      </c>
      <c r="O1039" s="3" t="s">
        <v>65</v>
      </c>
      <c r="P1039" s="3" t="s">
        <v>66</v>
      </c>
      <c r="R1039" s="3" t="s">
        <v>68</v>
      </c>
      <c r="S1039" s="4">
        <v>3</v>
      </c>
      <c r="T1039" s="4">
        <v>3</v>
      </c>
      <c r="U1039" s="5" t="s">
        <v>3055</v>
      </c>
      <c r="V1039" s="5" t="s">
        <v>3055</v>
      </c>
      <c r="W1039" s="5" t="s">
        <v>13101</v>
      </c>
      <c r="X1039" s="5" t="s">
        <v>13101</v>
      </c>
      <c r="Y1039" s="4">
        <v>235</v>
      </c>
      <c r="Z1039" s="4">
        <v>153</v>
      </c>
      <c r="AA1039" s="4">
        <v>218</v>
      </c>
      <c r="AB1039" s="4">
        <v>2</v>
      </c>
      <c r="AC1039" s="4">
        <v>2</v>
      </c>
      <c r="AD1039" s="4">
        <v>3</v>
      </c>
      <c r="AE1039" s="4">
        <v>3</v>
      </c>
      <c r="AF1039" s="4">
        <v>0</v>
      </c>
      <c r="AG1039" s="4">
        <v>0</v>
      </c>
      <c r="AH1039" s="4">
        <v>0</v>
      </c>
      <c r="AI1039" s="4">
        <v>0</v>
      </c>
      <c r="AJ1039" s="4">
        <v>2</v>
      </c>
      <c r="AK1039" s="4">
        <v>2</v>
      </c>
      <c r="AL1039" s="4">
        <v>1</v>
      </c>
      <c r="AM1039" s="4">
        <v>1</v>
      </c>
      <c r="AN1039" s="4">
        <v>0</v>
      </c>
      <c r="AO1039" s="4">
        <v>0</v>
      </c>
      <c r="AP1039" s="3" t="s">
        <v>59</v>
      </c>
      <c r="AQ1039" s="3" t="s">
        <v>59</v>
      </c>
      <c r="AS1039" s="6" t="str">
        <f>HYPERLINK("https://creighton-primo.hosted.exlibrisgroup.com/primo-explore/search?tab=default_tab&amp;search_scope=EVERYTHING&amp;vid=01CRU&amp;lang=en_US&amp;offset=0&amp;query=any,contains,991004076679702656","Catalog Record")</f>
        <v>Catalog Record</v>
      </c>
      <c r="AT1039" s="6" t="str">
        <f>HYPERLINK("http://www.worldcat.org/oclc/2318214","WorldCat Record")</f>
        <v>WorldCat Record</v>
      </c>
      <c r="AU1039" s="3" t="s">
        <v>13102</v>
      </c>
      <c r="AV1039" s="3" t="s">
        <v>13103</v>
      </c>
      <c r="AW1039" s="3" t="s">
        <v>13104</v>
      </c>
      <c r="AX1039" s="3" t="s">
        <v>13104</v>
      </c>
      <c r="AY1039" s="3" t="s">
        <v>13105</v>
      </c>
      <c r="AZ1039" s="3" t="s">
        <v>76</v>
      </c>
      <c r="BB1039" s="3" t="s">
        <v>13106</v>
      </c>
      <c r="BC1039" s="3" t="s">
        <v>13107</v>
      </c>
      <c r="BD1039" s="3" t="s">
        <v>13108</v>
      </c>
    </row>
    <row r="1040" spans="1:56" ht="52.5" customHeight="1" x14ac:dyDescent="0.25">
      <c r="A1040" s="7" t="s">
        <v>59</v>
      </c>
      <c r="B1040" s="2" t="s">
        <v>13109</v>
      </c>
      <c r="C1040" s="2" t="s">
        <v>13110</v>
      </c>
      <c r="D1040" s="2" t="s">
        <v>13111</v>
      </c>
      <c r="F1040" s="3" t="s">
        <v>59</v>
      </c>
      <c r="G1040" s="3" t="s">
        <v>60</v>
      </c>
      <c r="H1040" s="3" t="s">
        <v>59</v>
      </c>
      <c r="I1040" s="3" t="s">
        <v>59</v>
      </c>
      <c r="J1040" s="3" t="s">
        <v>61</v>
      </c>
      <c r="K1040" s="2" t="s">
        <v>13112</v>
      </c>
      <c r="L1040" s="2" t="s">
        <v>13113</v>
      </c>
      <c r="M1040" s="3" t="s">
        <v>684</v>
      </c>
      <c r="O1040" s="3" t="s">
        <v>65</v>
      </c>
      <c r="P1040" s="3" t="s">
        <v>3610</v>
      </c>
      <c r="Q1040" s="2" t="s">
        <v>13114</v>
      </c>
      <c r="R1040" s="3" t="s">
        <v>68</v>
      </c>
      <c r="S1040" s="4">
        <v>4</v>
      </c>
      <c r="T1040" s="4">
        <v>4</v>
      </c>
      <c r="U1040" s="5" t="s">
        <v>13115</v>
      </c>
      <c r="V1040" s="5" t="s">
        <v>13115</v>
      </c>
      <c r="W1040" s="5" t="s">
        <v>407</v>
      </c>
      <c r="X1040" s="5" t="s">
        <v>407</v>
      </c>
      <c r="Y1040" s="4">
        <v>172</v>
      </c>
      <c r="Z1040" s="4">
        <v>118</v>
      </c>
      <c r="AA1040" s="4">
        <v>224</v>
      </c>
      <c r="AB1040" s="4">
        <v>2</v>
      </c>
      <c r="AC1040" s="4">
        <v>2</v>
      </c>
      <c r="AD1040" s="4">
        <v>10</v>
      </c>
      <c r="AE1040" s="4">
        <v>15</v>
      </c>
      <c r="AF1040" s="4">
        <v>1</v>
      </c>
      <c r="AG1040" s="4">
        <v>2</v>
      </c>
      <c r="AH1040" s="4">
        <v>4</v>
      </c>
      <c r="AI1040" s="4">
        <v>5</v>
      </c>
      <c r="AJ1040" s="4">
        <v>8</v>
      </c>
      <c r="AK1040" s="4">
        <v>12</v>
      </c>
      <c r="AL1040" s="4">
        <v>1</v>
      </c>
      <c r="AM1040" s="4">
        <v>1</v>
      </c>
      <c r="AN1040" s="4">
        <v>0</v>
      </c>
      <c r="AO1040" s="4">
        <v>0</v>
      </c>
      <c r="AP1040" s="3" t="s">
        <v>59</v>
      </c>
      <c r="AQ1040" s="3" t="s">
        <v>71</v>
      </c>
      <c r="AR1040" s="6" t="str">
        <f>HYPERLINK("http://catalog.hathitrust.org/Record/101868655","HathiTrust Record")</f>
        <v>HathiTrust Record</v>
      </c>
      <c r="AS1040" s="6" t="str">
        <f>HYPERLINK("https://creighton-primo.hosted.exlibrisgroup.com/primo-explore/search?tab=default_tab&amp;search_scope=EVERYTHING&amp;vid=01CRU&amp;lang=en_US&amp;offset=0&amp;query=any,contains,991005200679702656","Catalog Record")</f>
        <v>Catalog Record</v>
      </c>
      <c r="AT1040" s="6" t="str">
        <f>HYPERLINK("http://www.worldcat.org/oclc/8072528","WorldCat Record")</f>
        <v>WorldCat Record</v>
      </c>
      <c r="AU1040" s="3" t="s">
        <v>13116</v>
      </c>
      <c r="AV1040" s="3" t="s">
        <v>13117</v>
      </c>
      <c r="AW1040" s="3" t="s">
        <v>13118</v>
      </c>
      <c r="AX1040" s="3" t="s">
        <v>13118</v>
      </c>
      <c r="AY1040" s="3" t="s">
        <v>13119</v>
      </c>
      <c r="AZ1040" s="3" t="s">
        <v>76</v>
      </c>
      <c r="BB1040" s="3" t="s">
        <v>13120</v>
      </c>
      <c r="BC1040" s="3" t="s">
        <v>13121</v>
      </c>
      <c r="BD1040" s="3" t="s">
        <v>13122</v>
      </c>
    </row>
    <row r="1041" spans="1:56" ht="52.5" customHeight="1" x14ac:dyDescent="0.25">
      <c r="A1041" s="7" t="s">
        <v>59</v>
      </c>
      <c r="B1041" s="2" t="s">
        <v>13123</v>
      </c>
      <c r="C1041" s="2" t="s">
        <v>13124</v>
      </c>
      <c r="D1041" s="2" t="s">
        <v>13125</v>
      </c>
      <c r="F1041" s="3" t="s">
        <v>59</v>
      </c>
      <c r="G1041" s="3" t="s">
        <v>60</v>
      </c>
      <c r="H1041" s="3" t="s">
        <v>59</v>
      </c>
      <c r="I1041" s="3" t="s">
        <v>59</v>
      </c>
      <c r="J1041" s="3" t="s">
        <v>61</v>
      </c>
      <c r="K1041" s="2" t="s">
        <v>7110</v>
      </c>
      <c r="L1041" s="2" t="s">
        <v>13126</v>
      </c>
      <c r="M1041" s="3" t="s">
        <v>254</v>
      </c>
      <c r="O1041" s="3" t="s">
        <v>65</v>
      </c>
      <c r="P1041" s="3" t="s">
        <v>1262</v>
      </c>
      <c r="Q1041" s="2" t="s">
        <v>4163</v>
      </c>
      <c r="R1041" s="3" t="s">
        <v>68</v>
      </c>
      <c r="S1041" s="4">
        <v>5</v>
      </c>
      <c r="T1041" s="4">
        <v>5</v>
      </c>
      <c r="U1041" s="5" t="s">
        <v>7086</v>
      </c>
      <c r="V1041" s="5" t="s">
        <v>7086</v>
      </c>
      <c r="W1041" s="5" t="s">
        <v>1702</v>
      </c>
      <c r="X1041" s="5" t="s">
        <v>1702</v>
      </c>
      <c r="Y1041" s="4">
        <v>748</v>
      </c>
      <c r="Z1041" s="4">
        <v>508</v>
      </c>
      <c r="AA1041" s="4">
        <v>566</v>
      </c>
      <c r="AB1041" s="4">
        <v>4</v>
      </c>
      <c r="AC1041" s="4">
        <v>4</v>
      </c>
      <c r="AD1041" s="4">
        <v>22</v>
      </c>
      <c r="AE1041" s="4">
        <v>24</v>
      </c>
      <c r="AF1041" s="4">
        <v>7</v>
      </c>
      <c r="AG1041" s="4">
        <v>8</v>
      </c>
      <c r="AH1041" s="4">
        <v>6</v>
      </c>
      <c r="AI1041" s="4">
        <v>6</v>
      </c>
      <c r="AJ1041" s="4">
        <v>11</v>
      </c>
      <c r="AK1041" s="4">
        <v>12</v>
      </c>
      <c r="AL1041" s="4">
        <v>3</v>
      </c>
      <c r="AM1041" s="4">
        <v>3</v>
      </c>
      <c r="AN1041" s="4">
        <v>0</v>
      </c>
      <c r="AO1041" s="4">
        <v>0</v>
      </c>
      <c r="AP1041" s="3" t="s">
        <v>59</v>
      </c>
      <c r="AQ1041" s="3" t="s">
        <v>71</v>
      </c>
      <c r="AR1041" s="6" t="str">
        <f>HYPERLINK("http://catalog.hathitrust.org/Record/000430301","HathiTrust Record")</f>
        <v>HathiTrust Record</v>
      </c>
      <c r="AS1041" s="6" t="str">
        <f>HYPERLINK("https://creighton-primo.hosted.exlibrisgroup.com/primo-explore/search?tab=default_tab&amp;search_scope=EVERYTHING&amp;vid=01CRU&amp;lang=en_US&amp;offset=0&amp;query=any,contains,991000029079702656","Catalog Record")</f>
        <v>Catalog Record</v>
      </c>
      <c r="AT1041" s="6" t="str">
        <f>HYPERLINK("http://www.worldcat.org/oclc/18822","WorldCat Record")</f>
        <v>WorldCat Record</v>
      </c>
      <c r="AU1041" s="3" t="s">
        <v>13127</v>
      </c>
      <c r="AV1041" s="3" t="s">
        <v>13128</v>
      </c>
      <c r="AW1041" s="3" t="s">
        <v>13129</v>
      </c>
      <c r="AX1041" s="3" t="s">
        <v>13129</v>
      </c>
      <c r="AY1041" s="3" t="s">
        <v>13130</v>
      </c>
      <c r="AZ1041" s="3" t="s">
        <v>76</v>
      </c>
      <c r="BB1041" s="3" t="s">
        <v>13131</v>
      </c>
      <c r="BC1041" s="3" t="s">
        <v>13132</v>
      </c>
      <c r="BD1041" s="3" t="s">
        <v>13133</v>
      </c>
    </row>
    <row r="1042" spans="1:56" ht="52.5" customHeight="1" x14ac:dyDescent="0.25">
      <c r="A1042" s="7" t="s">
        <v>59</v>
      </c>
      <c r="B1042" s="2" t="s">
        <v>13134</v>
      </c>
      <c r="C1042" s="2" t="s">
        <v>13135</v>
      </c>
      <c r="D1042" s="2" t="s">
        <v>13136</v>
      </c>
      <c r="F1042" s="3" t="s">
        <v>59</v>
      </c>
      <c r="G1042" s="3" t="s">
        <v>60</v>
      </c>
      <c r="H1042" s="3" t="s">
        <v>59</v>
      </c>
      <c r="I1042" s="3" t="s">
        <v>59</v>
      </c>
      <c r="J1042" s="3" t="s">
        <v>61</v>
      </c>
      <c r="K1042" s="2" t="s">
        <v>13137</v>
      </c>
      <c r="L1042" s="2" t="s">
        <v>13138</v>
      </c>
      <c r="M1042" s="3" t="s">
        <v>1233</v>
      </c>
      <c r="N1042" s="2" t="s">
        <v>671</v>
      </c>
      <c r="O1042" s="3" t="s">
        <v>65</v>
      </c>
      <c r="P1042" s="3" t="s">
        <v>66</v>
      </c>
      <c r="Q1042" s="2" t="s">
        <v>5519</v>
      </c>
      <c r="R1042" s="3" t="s">
        <v>68</v>
      </c>
      <c r="S1042" s="4">
        <v>8</v>
      </c>
      <c r="T1042" s="4">
        <v>8</v>
      </c>
      <c r="U1042" s="5" t="s">
        <v>13139</v>
      </c>
      <c r="V1042" s="5" t="s">
        <v>13139</v>
      </c>
      <c r="W1042" s="5" t="s">
        <v>13140</v>
      </c>
      <c r="X1042" s="5" t="s">
        <v>13140</v>
      </c>
      <c r="Y1042" s="4">
        <v>394</v>
      </c>
      <c r="Z1042" s="4">
        <v>275</v>
      </c>
      <c r="AA1042" s="4">
        <v>615</v>
      </c>
      <c r="AB1042" s="4">
        <v>2</v>
      </c>
      <c r="AC1042" s="4">
        <v>2</v>
      </c>
      <c r="AD1042" s="4">
        <v>5</v>
      </c>
      <c r="AE1042" s="4">
        <v>22</v>
      </c>
      <c r="AF1042" s="4">
        <v>2</v>
      </c>
      <c r="AG1042" s="4">
        <v>9</v>
      </c>
      <c r="AH1042" s="4">
        <v>1</v>
      </c>
      <c r="AI1042" s="4">
        <v>4</v>
      </c>
      <c r="AJ1042" s="4">
        <v>2</v>
      </c>
      <c r="AK1042" s="4">
        <v>12</v>
      </c>
      <c r="AL1042" s="4">
        <v>1</v>
      </c>
      <c r="AM1042" s="4">
        <v>1</v>
      </c>
      <c r="AN1042" s="4">
        <v>0</v>
      </c>
      <c r="AO1042" s="4">
        <v>0</v>
      </c>
      <c r="AP1042" s="3" t="s">
        <v>59</v>
      </c>
      <c r="AQ1042" s="3" t="s">
        <v>71</v>
      </c>
      <c r="AR1042" s="6" t="str">
        <f>HYPERLINK("http://catalog.hathitrust.org/Record/000430315","HathiTrust Record")</f>
        <v>HathiTrust Record</v>
      </c>
      <c r="AS1042" s="6" t="str">
        <f>HYPERLINK("https://creighton-primo.hosted.exlibrisgroup.com/primo-explore/search?tab=default_tab&amp;search_scope=EVERYTHING&amp;vid=01CRU&amp;lang=en_US&amp;offset=0&amp;query=any,contains,991002394309702656","Catalog Record")</f>
        <v>Catalog Record</v>
      </c>
      <c r="AT1042" s="6" t="str">
        <f>HYPERLINK("http://www.worldcat.org/oclc/333650","WorldCat Record")</f>
        <v>WorldCat Record</v>
      </c>
      <c r="AU1042" s="3" t="s">
        <v>13141</v>
      </c>
      <c r="AV1042" s="3" t="s">
        <v>13142</v>
      </c>
      <c r="AW1042" s="3" t="s">
        <v>13143</v>
      </c>
      <c r="AX1042" s="3" t="s">
        <v>13143</v>
      </c>
      <c r="AY1042" s="3" t="s">
        <v>13144</v>
      </c>
      <c r="AZ1042" s="3" t="s">
        <v>76</v>
      </c>
      <c r="BB1042" s="3" t="s">
        <v>13145</v>
      </c>
      <c r="BC1042" s="3" t="s">
        <v>13146</v>
      </c>
      <c r="BD1042" s="3" t="s">
        <v>13147</v>
      </c>
    </row>
    <row r="1043" spans="1:56" ht="52.5" customHeight="1" x14ac:dyDescent="0.25">
      <c r="A1043" s="7" t="s">
        <v>59</v>
      </c>
      <c r="B1043" s="2" t="s">
        <v>13148</v>
      </c>
      <c r="C1043" s="2" t="s">
        <v>13149</v>
      </c>
      <c r="D1043" s="2" t="s">
        <v>13150</v>
      </c>
      <c r="F1043" s="3" t="s">
        <v>59</v>
      </c>
      <c r="G1043" s="3" t="s">
        <v>60</v>
      </c>
      <c r="H1043" s="3" t="s">
        <v>59</v>
      </c>
      <c r="I1043" s="3" t="s">
        <v>59</v>
      </c>
      <c r="J1043" s="3" t="s">
        <v>61</v>
      </c>
      <c r="K1043" s="2" t="s">
        <v>13151</v>
      </c>
      <c r="L1043" s="2" t="s">
        <v>13152</v>
      </c>
      <c r="M1043" s="3" t="s">
        <v>549</v>
      </c>
      <c r="N1043" s="2" t="s">
        <v>3938</v>
      </c>
      <c r="O1043" s="3" t="s">
        <v>65</v>
      </c>
      <c r="P1043" s="3" t="s">
        <v>66</v>
      </c>
      <c r="R1043" s="3" t="s">
        <v>68</v>
      </c>
      <c r="S1043" s="4">
        <v>8</v>
      </c>
      <c r="T1043" s="4">
        <v>8</v>
      </c>
      <c r="U1043" s="5" t="s">
        <v>10838</v>
      </c>
      <c r="V1043" s="5" t="s">
        <v>10838</v>
      </c>
      <c r="W1043" s="5" t="s">
        <v>12651</v>
      </c>
      <c r="X1043" s="5" t="s">
        <v>12651</v>
      </c>
      <c r="Y1043" s="4">
        <v>199</v>
      </c>
      <c r="Z1043" s="4">
        <v>169</v>
      </c>
      <c r="AA1043" s="4">
        <v>348</v>
      </c>
      <c r="AB1043" s="4">
        <v>3</v>
      </c>
      <c r="AC1043" s="4">
        <v>3</v>
      </c>
      <c r="AD1043" s="4">
        <v>4</v>
      </c>
      <c r="AE1043" s="4">
        <v>6</v>
      </c>
      <c r="AF1043" s="4">
        <v>1</v>
      </c>
      <c r="AG1043" s="4">
        <v>1</v>
      </c>
      <c r="AH1043" s="4">
        <v>0</v>
      </c>
      <c r="AI1043" s="4">
        <v>1</v>
      </c>
      <c r="AJ1043" s="4">
        <v>1</v>
      </c>
      <c r="AK1043" s="4">
        <v>2</v>
      </c>
      <c r="AL1043" s="4">
        <v>2</v>
      </c>
      <c r="AM1043" s="4">
        <v>2</v>
      </c>
      <c r="AN1043" s="4">
        <v>0</v>
      </c>
      <c r="AO1043" s="4">
        <v>0</v>
      </c>
      <c r="AP1043" s="3" t="s">
        <v>59</v>
      </c>
      <c r="AQ1043" s="3" t="s">
        <v>71</v>
      </c>
      <c r="AR1043" s="6" t="str">
        <f>HYPERLINK("http://catalog.hathitrust.org/Record/000804867","HathiTrust Record")</f>
        <v>HathiTrust Record</v>
      </c>
      <c r="AS1043" s="6" t="str">
        <f>HYPERLINK("https://creighton-primo.hosted.exlibrisgroup.com/primo-explore/search?tab=default_tab&amp;search_scope=EVERYTHING&amp;vid=01CRU&amp;lang=en_US&amp;offset=0&amp;query=any,contains,991000857009702656","Catalog Record")</f>
        <v>Catalog Record</v>
      </c>
      <c r="AT1043" s="6" t="str">
        <f>HYPERLINK("http://www.worldcat.org/oclc/13665527","WorldCat Record")</f>
        <v>WorldCat Record</v>
      </c>
      <c r="AU1043" s="3" t="s">
        <v>13153</v>
      </c>
      <c r="AV1043" s="3" t="s">
        <v>13154</v>
      </c>
      <c r="AW1043" s="3" t="s">
        <v>13155</v>
      </c>
      <c r="AX1043" s="3" t="s">
        <v>13155</v>
      </c>
      <c r="AY1043" s="3" t="s">
        <v>13156</v>
      </c>
      <c r="AZ1043" s="3" t="s">
        <v>76</v>
      </c>
      <c r="BB1043" s="3" t="s">
        <v>13157</v>
      </c>
      <c r="BC1043" s="3" t="s">
        <v>13158</v>
      </c>
      <c r="BD1043" s="3" t="s">
        <v>13159</v>
      </c>
    </row>
    <row r="1044" spans="1:56" ht="52.5" customHeight="1" x14ac:dyDescent="0.25">
      <c r="A1044" s="7" t="s">
        <v>59</v>
      </c>
      <c r="B1044" s="2" t="s">
        <v>13160</v>
      </c>
      <c r="C1044" s="2" t="s">
        <v>13161</v>
      </c>
      <c r="D1044" s="2" t="s">
        <v>13162</v>
      </c>
      <c r="F1044" s="3" t="s">
        <v>59</v>
      </c>
      <c r="G1044" s="3" t="s">
        <v>60</v>
      </c>
      <c r="H1044" s="3" t="s">
        <v>59</v>
      </c>
      <c r="I1044" s="3" t="s">
        <v>59</v>
      </c>
      <c r="J1044" s="3" t="s">
        <v>61</v>
      </c>
      <c r="K1044" s="2" t="s">
        <v>13163</v>
      </c>
      <c r="L1044" s="2" t="s">
        <v>13164</v>
      </c>
      <c r="M1044" s="3" t="s">
        <v>3743</v>
      </c>
      <c r="N1044" s="2" t="s">
        <v>13165</v>
      </c>
      <c r="O1044" s="3" t="s">
        <v>65</v>
      </c>
      <c r="P1044" s="3" t="s">
        <v>66</v>
      </c>
      <c r="R1044" s="3" t="s">
        <v>68</v>
      </c>
      <c r="S1044" s="4">
        <v>1</v>
      </c>
      <c r="T1044" s="4">
        <v>1</v>
      </c>
      <c r="U1044" s="5" t="s">
        <v>13166</v>
      </c>
      <c r="V1044" s="5" t="s">
        <v>13166</v>
      </c>
      <c r="W1044" s="5" t="s">
        <v>12015</v>
      </c>
      <c r="X1044" s="5" t="s">
        <v>12015</v>
      </c>
      <c r="Y1044" s="4">
        <v>95</v>
      </c>
      <c r="Z1044" s="4">
        <v>90</v>
      </c>
      <c r="AA1044" s="4">
        <v>1361</v>
      </c>
      <c r="AB1044" s="4">
        <v>2</v>
      </c>
      <c r="AC1044" s="4">
        <v>9</v>
      </c>
      <c r="AD1044" s="4">
        <v>0</v>
      </c>
      <c r="AE1044" s="4">
        <v>40</v>
      </c>
      <c r="AF1044" s="4">
        <v>0</v>
      </c>
      <c r="AG1044" s="4">
        <v>16</v>
      </c>
      <c r="AH1044" s="4">
        <v>0</v>
      </c>
      <c r="AI1044" s="4">
        <v>7</v>
      </c>
      <c r="AJ1044" s="4">
        <v>0</v>
      </c>
      <c r="AK1044" s="4">
        <v>18</v>
      </c>
      <c r="AL1044" s="4">
        <v>0</v>
      </c>
      <c r="AM1044" s="4">
        <v>6</v>
      </c>
      <c r="AN1044" s="4">
        <v>0</v>
      </c>
      <c r="AO1044" s="4">
        <v>0</v>
      </c>
      <c r="AP1044" s="3" t="s">
        <v>59</v>
      </c>
      <c r="AQ1044" s="3" t="s">
        <v>59</v>
      </c>
      <c r="AS1044" s="6" t="str">
        <f>HYPERLINK("https://creighton-primo.hosted.exlibrisgroup.com/primo-explore/search?tab=default_tab&amp;search_scope=EVERYTHING&amp;vid=01CRU&amp;lang=en_US&amp;offset=0&amp;query=any,contains,991001290629702656","Catalog Record")</f>
        <v>Catalog Record</v>
      </c>
      <c r="AT1044" s="6" t="str">
        <f>HYPERLINK("http://www.worldcat.org/oclc/217949","WorldCat Record")</f>
        <v>WorldCat Record</v>
      </c>
      <c r="AU1044" s="3" t="s">
        <v>13167</v>
      </c>
      <c r="AV1044" s="3" t="s">
        <v>13168</v>
      </c>
      <c r="AW1044" s="3" t="s">
        <v>13169</v>
      </c>
      <c r="AX1044" s="3" t="s">
        <v>13169</v>
      </c>
      <c r="AY1044" s="3" t="s">
        <v>13170</v>
      </c>
      <c r="AZ1044" s="3" t="s">
        <v>76</v>
      </c>
      <c r="BC1044" s="3" t="s">
        <v>13171</v>
      </c>
      <c r="BD1044" s="3" t="s">
        <v>13172</v>
      </c>
    </row>
    <row r="1045" spans="1:56" ht="52.5" customHeight="1" x14ac:dyDescent="0.25">
      <c r="A1045" s="7" t="s">
        <v>59</v>
      </c>
      <c r="B1045" s="2" t="s">
        <v>13173</v>
      </c>
      <c r="C1045" s="2" t="s">
        <v>13174</v>
      </c>
      <c r="D1045" s="2" t="s">
        <v>13175</v>
      </c>
      <c r="F1045" s="3" t="s">
        <v>59</v>
      </c>
      <c r="G1045" s="3" t="s">
        <v>60</v>
      </c>
      <c r="H1045" s="3" t="s">
        <v>59</v>
      </c>
      <c r="I1045" s="3" t="s">
        <v>59</v>
      </c>
      <c r="J1045" s="3" t="s">
        <v>61</v>
      </c>
      <c r="K1045" s="2" t="s">
        <v>13176</v>
      </c>
      <c r="L1045" s="2" t="s">
        <v>13177</v>
      </c>
      <c r="M1045" s="3" t="s">
        <v>1233</v>
      </c>
      <c r="N1045" s="2" t="s">
        <v>1289</v>
      </c>
      <c r="O1045" s="3" t="s">
        <v>65</v>
      </c>
      <c r="P1045" s="3" t="s">
        <v>283</v>
      </c>
      <c r="R1045" s="3" t="s">
        <v>68</v>
      </c>
      <c r="S1045" s="4">
        <v>9</v>
      </c>
      <c r="T1045" s="4">
        <v>9</v>
      </c>
      <c r="U1045" s="5" t="s">
        <v>12932</v>
      </c>
      <c r="V1045" s="5" t="s">
        <v>12932</v>
      </c>
      <c r="W1045" s="5" t="s">
        <v>13178</v>
      </c>
      <c r="X1045" s="5" t="s">
        <v>13178</v>
      </c>
      <c r="Y1045" s="4">
        <v>289</v>
      </c>
      <c r="Z1045" s="4">
        <v>260</v>
      </c>
      <c r="AA1045" s="4">
        <v>494</v>
      </c>
      <c r="AB1045" s="4">
        <v>2</v>
      </c>
      <c r="AC1045" s="4">
        <v>3</v>
      </c>
      <c r="AD1045" s="4">
        <v>6</v>
      </c>
      <c r="AE1045" s="4">
        <v>13</v>
      </c>
      <c r="AF1045" s="4">
        <v>3</v>
      </c>
      <c r="AG1045" s="4">
        <v>6</v>
      </c>
      <c r="AH1045" s="4">
        <v>0</v>
      </c>
      <c r="AI1045" s="4">
        <v>2</v>
      </c>
      <c r="AJ1045" s="4">
        <v>3</v>
      </c>
      <c r="AK1045" s="4">
        <v>7</v>
      </c>
      <c r="AL1045" s="4">
        <v>0</v>
      </c>
      <c r="AM1045" s="4">
        <v>1</v>
      </c>
      <c r="AN1045" s="4">
        <v>0</v>
      </c>
      <c r="AO1045" s="4">
        <v>0</v>
      </c>
      <c r="AP1045" s="3" t="s">
        <v>59</v>
      </c>
      <c r="AQ1045" s="3" t="s">
        <v>71</v>
      </c>
      <c r="AR1045" s="6" t="str">
        <f>HYPERLINK("http://catalog.hathitrust.org/Record/004427450","HathiTrust Record")</f>
        <v>HathiTrust Record</v>
      </c>
      <c r="AS1045" s="6" t="str">
        <f>HYPERLINK("https://creighton-primo.hosted.exlibrisgroup.com/primo-explore/search?tab=default_tab&amp;search_scope=EVERYTHING&amp;vid=01CRU&amp;lang=en_US&amp;offset=0&amp;query=any,contains,991001743039702656","Catalog Record")</f>
        <v>Catalog Record</v>
      </c>
      <c r="AT1045" s="6" t="str">
        <f>HYPERLINK("http://www.worldcat.org/oclc/22015754","WorldCat Record")</f>
        <v>WorldCat Record</v>
      </c>
      <c r="AU1045" s="3" t="s">
        <v>13179</v>
      </c>
      <c r="AV1045" s="3" t="s">
        <v>13180</v>
      </c>
      <c r="AW1045" s="3" t="s">
        <v>13181</v>
      </c>
      <c r="AX1045" s="3" t="s">
        <v>13181</v>
      </c>
      <c r="AY1045" s="3" t="s">
        <v>13182</v>
      </c>
      <c r="AZ1045" s="3" t="s">
        <v>76</v>
      </c>
      <c r="BC1045" s="3" t="s">
        <v>13183</v>
      </c>
      <c r="BD1045" s="3" t="s">
        <v>13184</v>
      </c>
    </row>
    <row r="1046" spans="1:56" ht="52.5" customHeight="1" x14ac:dyDescent="0.25">
      <c r="A1046" s="7" t="s">
        <v>59</v>
      </c>
      <c r="B1046" s="2" t="s">
        <v>13185</v>
      </c>
      <c r="C1046" s="2" t="s">
        <v>13186</v>
      </c>
      <c r="D1046" s="2" t="s">
        <v>13187</v>
      </c>
      <c r="F1046" s="3" t="s">
        <v>59</v>
      </c>
      <c r="G1046" s="3" t="s">
        <v>60</v>
      </c>
      <c r="H1046" s="3" t="s">
        <v>59</v>
      </c>
      <c r="I1046" s="3" t="s">
        <v>59</v>
      </c>
      <c r="J1046" s="3" t="s">
        <v>61</v>
      </c>
      <c r="L1046" s="2" t="s">
        <v>13188</v>
      </c>
      <c r="M1046" s="3" t="s">
        <v>224</v>
      </c>
      <c r="O1046" s="3" t="s">
        <v>65</v>
      </c>
      <c r="P1046" s="3" t="s">
        <v>5660</v>
      </c>
      <c r="R1046" s="3" t="s">
        <v>68</v>
      </c>
      <c r="S1046" s="4">
        <v>6</v>
      </c>
      <c r="T1046" s="4">
        <v>6</v>
      </c>
      <c r="U1046" s="5" t="s">
        <v>9014</v>
      </c>
      <c r="V1046" s="5" t="s">
        <v>9014</v>
      </c>
      <c r="W1046" s="5" t="s">
        <v>13189</v>
      </c>
      <c r="X1046" s="5" t="s">
        <v>13189</v>
      </c>
      <c r="Y1046" s="4">
        <v>359</v>
      </c>
      <c r="Z1046" s="4">
        <v>310</v>
      </c>
      <c r="AA1046" s="4">
        <v>314</v>
      </c>
      <c r="AB1046" s="4">
        <v>5</v>
      </c>
      <c r="AC1046" s="4">
        <v>5</v>
      </c>
      <c r="AD1046" s="4">
        <v>16</v>
      </c>
      <c r="AE1046" s="4">
        <v>16</v>
      </c>
      <c r="AF1046" s="4">
        <v>6</v>
      </c>
      <c r="AG1046" s="4">
        <v>6</v>
      </c>
      <c r="AH1046" s="4">
        <v>4</v>
      </c>
      <c r="AI1046" s="4">
        <v>4</v>
      </c>
      <c r="AJ1046" s="4">
        <v>8</v>
      </c>
      <c r="AK1046" s="4">
        <v>8</v>
      </c>
      <c r="AL1046" s="4">
        <v>3</v>
      </c>
      <c r="AM1046" s="4">
        <v>3</v>
      </c>
      <c r="AN1046" s="4">
        <v>0</v>
      </c>
      <c r="AO1046" s="4">
        <v>0</v>
      </c>
      <c r="AP1046" s="3" t="s">
        <v>59</v>
      </c>
      <c r="AQ1046" s="3" t="s">
        <v>71</v>
      </c>
      <c r="AR1046" s="6" t="str">
        <f>HYPERLINK("http://catalog.hathitrust.org/Record/000715437","HathiTrust Record")</f>
        <v>HathiTrust Record</v>
      </c>
      <c r="AS1046" s="6" t="str">
        <f>HYPERLINK("https://creighton-primo.hosted.exlibrisgroup.com/primo-explore/search?tab=default_tab&amp;search_scope=EVERYTHING&amp;vid=01CRU&amp;lang=en_US&amp;offset=0&amp;query=any,contains,991004408149702656","Catalog Record")</f>
        <v>Catalog Record</v>
      </c>
      <c r="AT1046" s="6" t="str">
        <f>HYPERLINK("http://www.worldcat.org/oclc/3328941","WorldCat Record")</f>
        <v>WorldCat Record</v>
      </c>
      <c r="AU1046" s="3" t="s">
        <v>13190</v>
      </c>
      <c r="AV1046" s="3" t="s">
        <v>13191</v>
      </c>
      <c r="AW1046" s="3" t="s">
        <v>13192</v>
      </c>
      <c r="AX1046" s="3" t="s">
        <v>13192</v>
      </c>
      <c r="AY1046" s="3" t="s">
        <v>13193</v>
      </c>
      <c r="AZ1046" s="3" t="s">
        <v>76</v>
      </c>
      <c r="BC1046" s="3" t="s">
        <v>13194</v>
      </c>
      <c r="BD1046" s="3" t="s">
        <v>13195</v>
      </c>
    </row>
    <row r="1047" spans="1:56" ht="52.5" customHeight="1" x14ac:dyDescent="0.25">
      <c r="A1047" s="7" t="s">
        <v>59</v>
      </c>
      <c r="B1047" s="2" t="s">
        <v>13196</v>
      </c>
      <c r="C1047" s="2" t="s">
        <v>13197</v>
      </c>
      <c r="D1047" s="2" t="s">
        <v>13198</v>
      </c>
      <c r="F1047" s="3" t="s">
        <v>59</v>
      </c>
      <c r="G1047" s="3" t="s">
        <v>60</v>
      </c>
      <c r="H1047" s="3" t="s">
        <v>59</v>
      </c>
      <c r="I1047" s="3" t="s">
        <v>59</v>
      </c>
      <c r="J1047" s="3" t="s">
        <v>61</v>
      </c>
      <c r="L1047" s="2" t="s">
        <v>13199</v>
      </c>
      <c r="M1047" s="3" t="s">
        <v>1163</v>
      </c>
      <c r="O1047" s="3" t="s">
        <v>65</v>
      </c>
      <c r="P1047" s="3" t="s">
        <v>66</v>
      </c>
      <c r="R1047" s="3" t="s">
        <v>68</v>
      </c>
      <c r="S1047" s="4">
        <v>5</v>
      </c>
      <c r="T1047" s="4">
        <v>5</v>
      </c>
      <c r="U1047" s="5" t="s">
        <v>6068</v>
      </c>
      <c r="V1047" s="5" t="s">
        <v>6068</v>
      </c>
      <c r="W1047" s="5" t="s">
        <v>12723</v>
      </c>
      <c r="X1047" s="5" t="s">
        <v>12723</v>
      </c>
      <c r="Y1047" s="4">
        <v>547</v>
      </c>
      <c r="Z1047" s="4">
        <v>403</v>
      </c>
      <c r="AA1047" s="4">
        <v>422</v>
      </c>
      <c r="AB1047" s="4">
        <v>4</v>
      </c>
      <c r="AC1047" s="4">
        <v>4</v>
      </c>
      <c r="AD1047" s="4">
        <v>21</v>
      </c>
      <c r="AE1047" s="4">
        <v>23</v>
      </c>
      <c r="AF1047" s="4">
        <v>4</v>
      </c>
      <c r="AG1047" s="4">
        <v>6</v>
      </c>
      <c r="AH1047" s="4">
        <v>7</v>
      </c>
      <c r="AI1047" s="4">
        <v>7</v>
      </c>
      <c r="AJ1047" s="4">
        <v>11</v>
      </c>
      <c r="AK1047" s="4">
        <v>12</v>
      </c>
      <c r="AL1047" s="4">
        <v>3</v>
      </c>
      <c r="AM1047" s="4">
        <v>3</v>
      </c>
      <c r="AN1047" s="4">
        <v>0</v>
      </c>
      <c r="AO1047" s="4">
        <v>0</v>
      </c>
      <c r="AP1047" s="3" t="s">
        <v>59</v>
      </c>
      <c r="AQ1047" s="3" t="s">
        <v>71</v>
      </c>
      <c r="AR1047" s="6" t="str">
        <f>HYPERLINK("http://catalog.hathitrust.org/Record/000572416","HathiTrust Record")</f>
        <v>HathiTrust Record</v>
      </c>
      <c r="AS1047" s="6" t="str">
        <f>HYPERLINK("https://creighton-primo.hosted.exlibrisgroup.com/primo-explore/search?tab=default_tab&amp;search_scope=EVERYTHING&amp;vid=01CRU&amp;lang=en_US&amp;offset=0&amp;query=any,contains,991000622359702656","Catalog Record")</f>
        <v>Catalog Record</v>
      </c>
      <c r="AT1047" s="6" t="str">
        <f>HYPERLINK("http://www.worldcat.org/oclc/11972529","WorldCat Record")</f>
        <v>WorldCat Record</v>
      </c>
      <c r="AU1047" s="3" t="s">
        <v>13200</v>
      </c>
      <c r="AV1047" s="3" t="s">
        <v>13201</v>
      </c>
      <c r="AW1047" s="3" t="s">
        <v>13202</v>
      </c>
      <c r="AX1047" s="3" t="s">
        <v>13202</v>
      </c>
      <c r="AY1047" s="3" t="s">
        <v>13203</v>
      </c>
      <c r="AZ1047" s="3" t="s">
        <v>76</v>
      </c>
      <c r="BB1047" s="3" t="s">
        <v>13204</v>
      </c>
      <c r="BC1047" s="3" t="s">
        <v>13205</v>
      </c>
      <c r="BD1047" s="3" t="s">
        <v>13206</v>
      </c>
    </row>
    <row r="1048" spans="1:56" ht="52.5" customHeight="1" x14ac:dyDescent="0.25">
      <c r="A1048" s="7" t="s">
        <v>59</v>
      </c>
      <c r="B1048" s="2" t="s">
        <v>13207</v>
      </c>
      <c r="C1048" s="2" t="s">
        <v>13208</v>
      </c>
      <c r="D1048" s="2" t="s">
        <v>13209</v>
      </c>
      <c r="F1048" s="3" t="s">
        <v>59</v>
      </c>
      <c r="G1048" s="3" t="s">
        <v>60</v>
      </c>
      <c r="H1048" s="3" t="s">
        <v>59</v>
      </c>
      <c r="I1048" s="3" t="s">
        <v>59</v>
      </c>
      <c r="J1048" s="3" t="s">
        <v>61</v>
      </c>
      <c r="K1048" s="2" t="s">
        <v>13210</v>
      </c>
      <c r="L1048" s="2" t="s">
        <v>13211</v>
      </c>
      <c r="M1048" s="3" t="s">
        <v>475</v>
      </c>
      <c r="O1048" s="3" t="s">
        <v>65</v>
      </c>
      <c r="P1048" s="3" t="s">
        <v>66</v>
      </c>
      <c r="R1048" s="3" t="s">
        <v>68</v>
      </c>
      <c r="S1048" s="4">
        <v>7</v>
      </c>
      <c r="T1048" s="4">
        <v>7</v>
      </c>
      <c r="U1048" s="5" t="s">
        <v>13212</v>
      </c>
      <c r="V1048" s="5" t="s">
        <v>13212</v>
      </c>
      <c r="W1048" s="5" t="s">
        <v>12723</v>
      </c>
      <c r="X1048" s="5" t="s">
        <v>12723</v>
      </c>
      <c r="Y1048" s="4">
        <v>579</v>
      </c>
      <c r="Z1048" s="4">
        <v>495</v>
      </c>
      <c r="AA1048" s="4">
        <v>508</v>
      </c>
      <c r="AB1048" s="4">
        <v>5</v>
      </c>
      <c r="AC1048" s="4">
        <v>5</v>
      </c>
      <c r="AD1048" s="4">
        <v>21</v>
      </c>
      <c r="AE1048" s="4">
        <v>21</v>
      </c>
      <c r="AF1048" s="4">
        <v>7</v>
      </c>
      <c r="AG1048" s="4">
        <v>7</v>
      </c>
      <c r="AH1048" s="4">
        <v>6</v>
      </c>
      <c r="AI1048" s="4">
        <v>6</v>
      </c>
      <c r="AJ1048" s="4">
        <v>9</v>
      </c>
      <c r="AK1048" s="4">
        <v>9</v>
      </c>
      <c r="AL1048" s="4">
        <v>4</v>
      </c>
      <c r="AM1048" s="4">
        <v>4</v>
      </c>
      <c r="AN1048" s="4">
        <v>0</v>
      </c>
      <c r="AO1048" s="4">
        <v>0</v>
      </c>
      <c r="AP1048" s="3" t="s">
        <v>59</v>
      </c>
      <c r="AQ1048" s="3" t="s">
        <v>59</v>
      </c>
      <c r="AS1048" s="6" t="str">
        <f>HYPERLINK("https://creighton-primo.hosted.exlibrisgroup.com/primo-explore/search?tab=default_tab&amp;search_scope=EVERYTHING&amp;vid=01CRU&amp;lang=en_US&amp;offset=0&amp;query=any,contains,991000301549702656","Catalog Record")</f>
        <v>Catalog Record</v>
      </c>
      <c r="AT1048" s="6" t="str">
        <f>HYPERLINK("http://www.worldcat.org/oclc/10022799","WorldCat Record")</f>
        <v>WorldCat Record</v>
      </c>
      <c r="AU1048" s="3" t="s">
        <v>13213</v>
      </c>
      <c r="AV1048" s="3" t="s">
        <v>13214</v>
      </c>
      <c r="AW1048" s="3" t="s">
        <v>13215</v>
      </c>
      <c r="AX1048" s="3" t="s">
        <v>13215</v>
      </c>
      <c r="AY1048" s="3" t="s">
        <v>13216</v>
      </c>
      <c r="AZ1048" s="3" t="s">
        <v>76</v>
      </c>
      <c r="BB1048" s="3" t="s">
        <v>13217</v>
      </c>
      <c r="BC1048" s="3" t="s">
        <v>13218</v>
      </c>
      <c r="BD1048" s="3" t="s">
        <v>13219</v>
      </c>
    </row>
    <row r="1049" spans="1:56" ht="52.5" customHeight="1" x14ac:dyDescent="0.25">
      <c r="A1049" s="7" t="s">
        <v>59</v>
      </c>
      <c r="B1049" s="2" t="s">
        <v>13220</v>
      </c>
      <c r="C1049" s="2" t="s">
        <v>13221</v>
      </c>
      <c r="D1049" s="2" t="s">
        <v>13222</v>
      </c>
      <c r="F1049" s="3" t="s">
        <v>59</v>
      </c>
      <c r="G1049" s="3" t="s">
        <v>60</v>
      </c>
      <c r="H1049" s="3" t="s">
        <v>59</v>
      </c>
      <c r="I1049" s="3" t="s">
        <v>59</v>
      </c>
      <c r="J1049" s="3" t="s">
        <v>61</v>
      </c>
      <c r="K1049" s="2" t="s">
        <v>13223</v>
      </c>
      <c r="L1049" s="2" t="s">
        <v>1572</v>
      </c>
      <c r="M1049" s="3" t="s">
        <v>224</v>
      </c>
      <c r="O1049" s="3" t="s">
        <v>65</v>
      </c>
      <c r="P1049" s="3" t="s">
        <v>66</v>
      </c>
      <c r="R1049" s="3" t="s">
        <v>68</v>
      </c>
      <c r="S1049" s="4">
        <v>3</v>
      </c>
      <c r="T1049" s="4">
        <v>3</v>
      </c>
      <c r="U1049" s="5" t="s">
        <v>13224</v>
      </c>
      <c r="V1049" s="5" t="s">
        <v>13224</v>
      </c>
      <c r="W1049" s="5" t="s">
        <v>12723</v>
      </c>
      <c r="X1049" s="5" t="s">
        <v>12723</v>
      </c>
      <c r="Y1049" s="4">
        <v>379</v>
      </c>
      <c r="Z1049" s="4">
        <v>260</v>
      </c>
      <c r="AA1049" s="4">
        <v>279</v>
      </c>
      <c r="AB1049" s="4">
        <v>4</v>
      </c>
      <c r="AC1049" s="4">
        <v>4</v>
      </c>
      <c r="AD1049" s="4">
        <v>10</v>
      </c>
      <c r="AE1049" s="4">
        <v>11</v>
      </c>
      <c r="AF1049" s="4">
        <v>4</v>
      </c>
      <c r="AG1049" s="4">
        <v>4</v>
      </c>
      <c r="AH1049" s="4">
        <v>1</v>
      </c>
      <c r="AI1049" s="4">
        <v>1</v>
      </c>
      <c r="AJ1049" s="4">
        <v>4</v>
      </c>
      <c r="AK1049" s="4">
        <v>5</v>
      </c>
      <c r="AL1049" s="4">
        <v>3</v>
      </c>
      <c r="AM1049" s="4">
        <v>3</v>
      </c>
      <c r="AN1049" s="4">
        <v>0</v>
      </c>
      <c r="AO1049" s="4">
        <v>0</v>
      </c>
      <c r="AP1049" s="3" t="s">
        <v>59</v>
      </c>
      <c r="AQ1049" s="3" t="s">
        <v>71</v>
      </c>
      <c r="AR1049" s="6" t="str">
        <f>HYPERLINK("http://catalog.hathitrust.org/Record/000018808","HathiTrust Record")</f>
        <v>HathiTrust Record</v>
      </c>
      <c r="AS1049" s="6" t="str">
        <f>HYPERLINK("https://creighton-primo.hosted.exlibrisgroup.com/primo-explore/search?tab=default_tab&amp;search_scope=EVERYTHING&amp;vid=01CRU&amp;lang=en_US&amp;offset=0&amp;query=any,contains,991003721679702656","Catalog Record")</f>
        <v>Catalog Record</v>
      </c>
      <c r="AT1049" s="6" t="str">
        <f>HYPERLINK("http://www.worldcat.org/oclc/1366298","WorldCat Record")</f>
        <v>WorldCat Record</v>
      </c>
      <c r="AU1049" s="3" t="s">
        <v>13225</v>
      </c>
      <c r="AV1049" s="3" t="s">
        <v>13226</v>
      </c>
      <c r="AW1049" s="3" t="s">
        <v>13227</v>
      </c>
      <c r="AX1049" s="3" t="s">
        <v>13227</v>
      </c>
      <c r="AY1049" s="3" t="s">
        <v>13228</v>
      </c>
      <c r="AZ1049" s="3" t="s">
        <v>76</v>
      </c>
      <c r="BB1049" s="3" t="s">
        <v>13229</v>
      </c>
      <c r="BC1049" s="3" t="s">
        <v>13230</v>
      </c>
      <c r="BD1049" s="3" t="s">
        <v>13231</v>
      </c>
    </row>
    <row r="1050" spans="1:56" ht="52.5" customHeight="1" x14ac:dyDescent="0.25">
      <c r="A1050" s="7" t="s">
        <v>59</v>
      </c>
      <c r="B1050" s="2" t="s">
        <v>13232</v>
      </c>
      <c r="C1050" s="2" t="s">
        <v>13233</v>
      </c>
      <c r="D1050" s="2" t="s">
        <v>13234</v>
      </c>
      <c r="F1050" s="3" t="s">
        <v>59</v>
      </c>
      <c r="G1050" s="3" t="s">
        <v>60</v>
      </c>
      <c r="H1050" s="3" t="s">
        <v>71</v>
      </c>
      <c r="I1050" s="3" t="s">
        <v>59</v>
      </c>
      <c r="J1050" s="3" t="s">
        <v>61</v>
      </c>
      <c r="L1050" s="2" t="s">
        <v>13235</v>
      </c>
      <c r="M1050" s="3" t="s">
        <v>1217</v>
      </c>
      <c r="O1050" s="3" t="s">
        <v>65</v>
      </c>
      <c r="P1050" s="3" t="s">
        <v>603</v>
      </c>
      <c r="R1050" s="3" t="s">
        <v>68</v>
      </c>
      <c r="S1050" s="4">
        <v>2</v>
      </c>
      <c r="T1050" s="4">
        <v>4</v>
      </c>
      <c r="U1050" s="5" t="s">
        <v>13236</v>
      </c>
      <c r="V1050" s="5" t="s">
        <v>13237</v>
      </c>
      <c r="W1050" s="5" t="s">
        <v>12723</v>
      </c>
      <c r="X1050" s="5" t="s">
        <v>12723</v>
      </c>
      <c r="Y1050" s="4">
        <v>687</v>
      </c>
      <c r="Z1050" s="4">
        <v>609</v>
      </c>
      <c r="AA1050" s="4">
        <v>614</v>
      </c>
      <c r="AB1050" s="4">
        <v>6</v>
      </c>
      <c r="AC1050" s="4">
        <v>6</v>
      </c>
      <c r="AD1050" s="4">
        <v>29</v>
      </c>
      <c r="AE1050" s="4">
        <v>29</v>
      </c>
      <c r="AF1050" s="4">
        <v>14</v>
      </c>
      <c r="AG1050" s="4">
        <v>14</v>
      </c>
      <c r="AH1050" s="4">
        <v>6</v>
      </c>
      <c r="AI1050" s="4">
        <v>6</v>
      </c>
      <c r="AJ1050" s="4">
        <v>14</v>
      </c>
      <c r="AK1050" s="4">
        <v>14</v>
      </c>
      <c r="AL1050" s="4">
        <v>4</v>
      </c>
      <c r="AM1050" s="4">
        <v>4</v>
      </c>
      <c r="AN1050" s="4">
        <v>0</v>
      </c>
      <c r="AO1050" s="4">
        <v>0</v>
      </c>
      <c r="AP1050" s="3" t="s">
        <v>59</v>
      </c>
      <c r="AQ1050" s="3" t="s">
        <v>71</v>
      </c>
      <c r="AR1050" s="6" t="str">
        <f>HYPERLINK("http://catalog.hathitrust.org/Record/000608436","HathiTrust Record")</f>
        <v>HathiTrust Record</v>
      </c>
      <c r="AS1050" s="6" t="str">
        <f>HYPERLINK("https://creighton-primo.hosted.exlibrisgroup.com/primo-explore/search?tab=default_tab&amp;search_scope=EVERYTHING&amp;vid=01CRU&amp;lang=en_US&amp;offset=0&amp;query=any,contains,991001762769702656","Catalog Record")</f>
        <v>Catalog Record</v>
      </c>
      <c r="AT1050" s="6" t="str">
        <f>HYPERLINK("http://www.worldcat.org/oclc/10925015","WorldCat Record")</f>
        <v>WorldCat Record</v>
      </c>
      <c r="AU1050" s="3" t="s">
        <v>13238</v>
      </c>
      <c r="AV1050" s="3" t="s">
        <v>13239</v>
      </c>
      <c r="AW1050" s="3" t="s">
        <v>13240</v>
      </c>
      <c r="AX1050" s="3" t="s">
        <v>13240</v>
      </c>
      <c r="AY1050" s="3" t="s">
        <v>13241</v>
      </c>
      <c r="AZ1050" s="3" t="s">
        <v>76</v>
      </c>
      <c r="BB1050" s="3" t="s">
        <v>13242</v>
      </c>
      <c r="BC1050" s="3" t="s">
        <v>13243</v>
      </c>
      <c r="BD1050" s="3" t="s">
        <v>13244</v>
      </c>
    </row>
    <row r="1051" spans="1:56" ht="52.5" customHeight="1" x14ac:dyDescent="0.25">
      <c r="A1051" s="7" t="s">
        <v>59</v>
      </c>
      <c r="B1051" s="2" t="s">
        <v>13245</v>
      </c>
      <c r="C1051" s="2" t="s">
        <v>13246</v>
      </c>
      <c r="D1051" s="2" t="s">
        <v>13247</v>
      </c>
      <c r="F1051" s="3" t="s">
        <v>59</v>
      </c>
      <c r="G1051" s="3" t="s">
        <v>60</v>
      </c>
      <c r="H1051" s="3" t="s">
        <v>59</v>
      </c>
      <c r="I1051" s="3" t="s">
        <v>59</v>
      </c>
      <c r="J1051" s="3" t="s">
        <v>61</v>
      </c>
      <c r="K1051" s="2" t="s">
        <v>13248</v>
      </c>
      <c r="L1051" s="2" t="s">
        <v>13249</v>
      </c>
      <c r="M1051" s="3" t="s">
        <v>1000</v>
      </c>
      <c r="O1051" s="3" t="s">
        <v>65</v>
      </c>
      <c r="P1051" s="3" t="s">
        <v>420</v>
      </c>
      <c r="Q1051" s="2" t="s">
        <v>4107</v>
      </c>
      <c r="R1051" s="3" t="s">
        <v>68</v>
      </c>
      <c r="S1051" s="4">
        <v>3</v>
      </c>
      <c r="T1051" s="4">
        <v>3</v>
      </c>
      <c r="U1051" s="5" t="s">
        <v>13250</v>
      </c>
      <c r="V1051" s="5" t="s">
        <v>13250</v>
      </c>
      <c r="W1051" s="5" t="s">
        <v>12723</v>
      </c>
      <c r="X1051" s="5" t="s">
        <v>12723</v>
      </c>
      <c r="Y1051" s="4">
        <v>441</v>
      </c>
      <c r="Z1051" s="4">
        <v>312</v>
      </c>
      <c r="AA1051" s="4">
        <v>317</v>
      </c>
      <c r="AB1051" s="4">
        <v>2</v>
      </c>
      <c r="AC1051" s="4">
        <v>2</v>
      </c>
      <c r="AD1051" s="4">
        <v>12</v>
      </c>
      <c r="AE1051" s="4">
        <v>12</v>
      </c>
      <c r="AF1051" s="4">
        <v>8</v>
      </c>
      <c r="AG1051" s="4">
        <v>8</v>
      </c>
      <c r="AH1051" s="4">
        <v>2</v>
      </c>
      <c r="AI1051" s="4">
        <v>2</v>
      </c>
      <c r="AJ1051" s="4">
        <v>7</v>
      </c>
      <c r="AK1051" s="4">
        <v>7</v>
      </c>
      <c r="AL1051" s="4">
        <v>0</v>
      </c>
      <c r="AM1051" s="4">
        <v>0</v>
      </c>
      <c r="AN1051" s="4">
        <v>0</v>
      </c>
      <c r="AO1051" s="4">
        <v>0</v>
      </c>
      <c r="AP1051" s="3" t="s">
        <v>59</v>
      </c>
      <c r="AQ1051" s="3" t="s">
        <v>59</v>
      </c>
      <c r="AS1051" s="6" t="str">
        <f>HYPERLINK("https://creighton-primo.hosted.exlibrisgroup.com/primo-explore/search?tab=default_tab&amp;search_scope=EVERYTHING&amp;vid=01CRU&amp;lang=en_US&amp;offset=0&amp;query=any,contains,991004647869702656","Catalog Record")</f>
        <v>Catalog Record</v>
      </c>
      <c r="AT1051" s="6" t="str">
        <f>HYPERLINK("http://www.worldcat.org/oclc/4492727","WorldCat Record")</f>
        <v>WorldCat Record</v>
      </c>
      <c r="AU1051" s="3" t="s">
        <v>13251</v>
      </c>
      <c r="AV1051" s="3" t="s">
        <v>13252</v>
      </c>
      <c r="AW1051" s="3" t="s">
        <v>13253</v>
      </c>
      <c r="AX1051" s="3" t="s">
        <v>13253</v>
      </c>
      <c r="AY1051" s="3" t="s">
        <v>13254</v>
      </c>
      <c r="AZ1051" s="3" t="s">
        <v>76</v>
      </c>
      <c r="BB1051" s="3" t="s">
        <v>13255</v>
      </c>
      <c r="BC1051" s="3" t="s">
        <v>13256</v>
      </c>
      <c r="BD1051" s="3" t="s">
        <v>13257</v>
      </c>
    </row>
    <row r="1052" spans="1:56" ht="52.5" customHeight="1" x14ac:dyDescent="0.25">
      <c r="A1052" s="7" t="s">
        <v>59</v>
      </c>
      <c r="B1052" s="2" t="s">
        <v>13258</v>
      </c>
      <c r="C1052" s="2" t="s">
        <v>13259</v>
      </c>
      <c r="D1052" s="2" t="s">
        <v>13260</v>
      </c>
      <c r="F1052" s="3" t="s">
        <v>59</v>
      </c>
      <c r="G1052" s="3" t="s">
        <v>60</v>
      </c>
      <c r="H1052" s="3" t="s">
        <v>59</v>
      </c>
      <c r="I1052" s="3" t="s">
        <v>59</v>
      </c>
      <c r="J1052" s="3" t="s">
        <v>61</v>
      </c>
      <c r="K1052" s="2" t="s">
        <v>13261</v>
      </c>
      <c r="L1052" s="2" t="s">
        <v>13262</v>
      </c>
      <c r="M1052" s="3" t="s">
        <v>1000</v>
      </c>
      <c r="O1052" s="3" t="s">
        <v>65</v>
      </c>
      <c r="P1052" s="3" t="s">
        <v>283</v>
      </c>
      <c r="R1052" s="3" t="s">
        <v>68</v>
      </c>
      <c r="S1052" s="4">
        <v>20</v>
      </c>
      <c r="T1052" s="4">
        <v>20</v>
      </c>
      <c r="U1052" s="5" t="s">
        <v>13263</v>
      </c>
      <c r="V1052" s="5" t="s">
        <v>13263</v>
      </c>
      <c r="W1052" s="5" t="s">
        <v>13264</v>
      </c>
      <c r="X1052" s="5" t="s">
        <v>13264</v>
      </c>
      <c r="Y1052" s="4">
        <v>860</v>
      </c>
      <c r="Z1052" s="4">
        <v>708</v>
      </c>
      <c r="AA1052" s="4">
        <v>715</v>
      </c>
      <c r="AB1052" s="4">
        <v>5</v>
      </c>
      <c r="AC1052" s="4">
        <v>5</v>
      </c>
      <c r="AD1052" s="4">
        <v>21</v>
      </c>
      <c r="AE1052" s="4">
        <v>21</v>
      </c>
      <c r="AF1052" s="4">
        <v>9</v>
      </c>
      <c r="AG1052" s="4">
        <v>9</v>
      </c>
      <c r="AH1052" s="4">
        <v>4</v>
      </c>
      <c r="AI1052" s="4">
        <v>4</v>
      </c>
      <c r="AJ1052" s="4">
        <v>11</v>
      </c>
      <c r="AK1052" s="4">
        <v>11</v>
      </c>
      <c r="AL1052" s="4">
        <v>3</v>
      </c>
      <c r="AM1052" s="4">
        <v>3</v>
      </c>
      <c r="AN1052" s="4">
        <v>0</v>
      </c>
      <c r="AO1052" s="4">
        <v>0</v>
      </c>
      <c r="AP1052" s="3" t="s">
        <v>59</v>
      </c>
      <c r="AQ1052" s="3" t="s">
        <v>71</v>
      </c>
      <c r="AR1052" s="6" t="str">
        <f>HYPERLINK("http://catalog.hathitrust.org/Record/000260210","HathiTrust Record")</f>
        <v>HathiTrust Record</v>
      </c>
      <c r="AS1052" s="6" t="str">
        <f>HYPERLINK("https://creighton-primo.hosted.exlibrisgroup.com/primo-explore/search?tab=default_tab&amp;search_scope=EVERYTHING&amp;vid=01CRU&amp;lang=en_US&amp;offset=0&amp;query=any,contains,991004697049702656","Catalog Record")</f>
        <v>Catalog Record</v>
      </c>
      <c r="AT1052" s="6" t="str">
        <f>HYPERLINK("http://www.worldcat.org/oclc/4642273","WorldCat Record")</f>
        <v>WorldCat Record</v>
      </c>
      <c r="AU1052" s="3" t="s">
        <v>13265</v>
      </c>
      <c r="AV1052" s="3" t="s">
        <v>13266</v>
      </c>
      <c r="AW1052" s="3" t="s">
        <v>13267</v>
      </c>
      <c r="AX1052" s="3" t="s">
        <v>13267</v>
      </c>
      <c r="AY1052" s="3" t="s">
        <v>13268</v>
      </c>
      <c r="AZ1052" s="3" t="s">
        <v>76</v>
      </c>
      <c r="BB1052" s="3" t="s">
        <v>13269</v>
      </c>
      <c r="BC1052" s="3" t="s">
        <v>13270</v>
      </c>
      <c r="BD1052" s="3" t="s">
        <v>13271</v>
      </c>
    </row>
    <row r="1053" spans="1:56" ht="52.5" customHeight="1" x14ac:dyDescent="0.25">
      <c r="A1053" s="7" t="s">
        <v>59</v>
      </c>
      <c r="B1053" s="2" t="s">
        <v>13272</v>
      </c>
      <c r="C1053" s="2" t="s">
        <v>13273</v>
      </c>
      <c r="D1053" s="2" t="s">
        <v>13274</v>
      </c>
      <c r="F1053" s="3" t="s">
        <v>59</v>
      </c>
      <c r="G1053" s="3" t="s">
        <v>60</v>
      </c>
      <c r="H1053" s="3" t="s">
        <v>59</v>
      </c>
      <c r="I1053" s="3" t="s">
        <v>59</v>
      </c>
      <c r="J1053" s="3" t="s">
        <v>61</v>
      </c>
      <c r="L1053" s="2" t="s">
        <v>13275</v>
      </c>
      <c r="M1053" s="3" t="s">
        <v>405</v>
      </c>
      <c r="O1053" s="3" t="s">
        <v>65</v>
      </c>
      <c r="P1053" s="3" t="s">
        <v>829</v>
      </c>
      <c r="R1053" s="3" t="s">
        <v>68</v>
      </c>
      <c r="S1053" s="4">
        <v>3</v>
      </c>
      <c r="T1053" s="4">
        <v>3</v>
      </c>
      <c r="U1053" s="5" t="s">
        <v>1701</v>
      </c>
      <c r="V1053" s="5" t="s">
        <v>1701</v>
      </c>
      <c r="W1053" s="5" t="s">
        <v>930</v>
      </c>
      <c r="X1053" s="5" t="s">
        <v>930</v>
      </c>
      <c r="Y1053" s="4">
        <v>313</v>
      </c>
      <c r="Z1053" s="4">
        <v>259</v>
      </c>
      <c r="AA1053" s="4">
        <v>259</v>
      </c>
      <c r="AB1053" s="4">
        <v>3</v>
      </c>
      <c r="AC1053" s="4">
        <v>3</v>
      </c>
      <c r="AD1053" s="4">
        <v>13</v>
      </c>
      <c r="AE1053" s="4">
        <v>13</v>
      </c>
      <c r="AF1053" s="4">
        <v>5</v>
      </c>
      <c r="AG1053" s="4">
        <v>5</v>
      </c>
      <c r="AH1053" s="4">
        <v>4</v>
      </c>
      <c r="AI1053" s="4">
        <v>4</v>
      </c>
      <c r="AJ1053" s="4">
        <v>5</v>
      </c>
      <c r="AK1053" s="4">
        <v>5</v>
      </c>
      <c r="AL1053" s="4">
        <v>2</v>
      </c>
      <c r="AM1053" s="4">
        <v>2</v>
      </c>
      <c r="AN1053" s="4">
        <v>0</v>
      </c>
      <c r="AO1053" s="4">
        <v>0</v>
      </c>
      <c r="AP1053" s="3" t="s">
        <v>59</v>
      </c>
      <c r="AQ1053" s="3" t="s">
        <v>59</v>
      </c>
      <c r="AS1053" s="6" t="str">
        <f>HYPERLINK("https://creighton-primo.hosted.exlibrisgroup.com/primo-explore/search?tab=default_tab&amp;search_scope=EVERYTHING&amp;vid=01CRU&amp;lang=en_US&amp;offset=0&amp;query=any,contains,991000975139702656","Catalog Record")</f>
        <v>Catalog Record</v>
      </c>
      <c r="AT1053" s="6" t="str">
        <f>HYPERLINK("http://www.worldcat.org/oclc/15014891","WorldCat Record")</f>
        <v>WorldCat Record</v>
      </c>
      <c r="AU1053" s="3" t="s">
        <v>13276</v>
      </c>
      <c r="AV1053" s="3" t="s">
        <v>13277</v>
      </c>
      <c r="AW1053" s="3" t="s">
        <v>13278</v>
      </c>
      <c r="AX1053" s="3" t="s">
        <v>13278</v>
      </c>
      <c r="AY1053" s="3" t="s">
        <v>13279</v>
      </c>
      <c r="AZ1053" s="3" t="s">
        <v>76</v>
      </c>
      <c r="BB1053" s="3" t="s">
        <v>13280</v>
      </c>
      <c r="BC1053" s="3" t="s">
        <v>13281</v>
      </c>
      <c r="BD1053" s="3" t="s">
        <v>13282</v>
      </c>
    </row>
    <row r="1054" spans="1:56" ht="52.5" customHeight="1" x14ac:dyDescent="0.25">
      <c r="A1054" s="7" t="s">
        <v>59</v>
      </c>
      <c r="B1054" s="2" t="s">
        <v>13283</v>
      </c>
      <c r="C1054" s="2" t="s">
        <v>13284</v>
      </c>
      <c r="D1054" s="2" t="s">
        <v>13285</v>
      </c>
      <c r="F1054" s="3" t="s">
        <v>59</v>
      </c>
      <c r="G1054" s="3" t="s">
        <v>60</v>
      </c>
      <c r="H1054" s="3" t="s">
        <v>59</v>
      </c>
      <c r="I1054" s="3" t="s">
        <v>59</v>
      </c>
      <c r="J1054" s="3" t="s">
        <v>61</v>
      </c>
      <c r="K1054" s="2" t="s">
        <v>13286</v>
      </c>
      <c r="L1054" s="2" t="s">
        <v>13287</v>
      </c>
      <c r="M1054" s="3" t="s">
        <v>100</v>
      </c>
      <c r="O1054" s="3" t="s">
        <v>65</v>
      </c>
      <c r="P1054" s="3" t="s">
        <v>283</v>
      </c>
      <c r="R1054" s="3" t="s">
        <v>68</v>
      </c>
      <c r="S1054" s="4">
        <v>16</v>
      </c>
      <c r="T1054" s="4">
        <v>16</v>
      </c>
      <c r="U1054" s="5" t="s">
        <v>13288</v>
      </c>
      <c r="V1054" s="5" t="s">
        <v>13288</v>
      </c>
      <c r="W1054" s="5" t="s">
        <v>1056</v>
      </c>
      <c r="X1054" s="5" t="s">
        <v>1056</v>
      </c>
      <c r="Y1054" s="4">
        <v>548</v>
      </c>
      <c r="Z1054" s="4">
        <v>443</v>
      </c>
      <c r="AA1054" s="4">
        <v>452</v>
      </c>
      <c r="AB1054" s="4">
        <v>5</v>
      </c>
      <c r="AC1054" s="4">
        <v>5</v>
      </c>
      <c r="AD1054" s="4">
        <v>14</v>
      </c>
      <c r="AE1054" s="4">
        <v>14</v>
      </c>
      <c r="AF1054" s="4">
        <v>4</v>
      </c>
      <c r="AG1054" s="4">
        <v>4</v>
      </c>
      <c r="AH1054" s="4">
        <v>4</v>
      </c>
      <c r="AI1054" s="4">
        <v>4</v>
      </c>
      <c r="AJ1054" s="4">
        <v>6</v>
      </c>
      <c r="AK1054" s="4">
        <v>6</v>
      </c>
      <c r="AL1054" s="4">
        <v>2</v>
      </c>
      <c r="AM1054" s="4">
        <v>2</v>
      </c>
      <c r="AN1054" s="4">
        <v>0</v>
      </c>
      <c r="AO1054" s="4">
        <v>0</v>
      </c>
      <c r="AP1054" s="3" t="s">
        <v>59</v>
      </c>
      <c r="AQ1054" s="3" t="s">
        <v>71</v>
      </c>
      <c r="AR1054" s="6" t="str">
        <f>HYPERLINK("http://catalog.hathitrust.org/Record/000429444","HathiTrust Record")</f>
        <v>HathiTrust Record</v>
      </c>
      <c r="AS1054" s="6" t="str">
        <f>HYPERLINK("https://creighton-primo.hosted.exlibrisgroup.com/primo-explore/search?tab=default_tab&amp;search_scope=EVERYTHING&amp;vid=01CRU&amp;lang=en_US&amp;offset=0&amp;query=any,contains,991001217189702656","Catalog Record")</f>
        <v>Catalog Record</v>
      </c>
      <c r="AT1054" s="6" t="str">
        <f>HYPERLINK("http://www.worldcat.org/oclc/194850","WorldCat Record")</f>
        <v>WorldCat Record</v>
      </c>
      <c r="AU1054" s="3" t="s">
        <v>13289</v>
      </c>
      <c r="AV1054" s="3" t="s">
        <v>13290</v>
      </c>
      <c r="AW1054" s="3" t="s">
        <v>13291</v>
      </c>
      <c r="AX1054" s="3" t="s">
        <v>13291</v>
      </c>
      <c r="AY1054" s="3" t="s">
        <v>13292</v>
      </c>
      <c r="AZ1054" s="3" t="s">
        <v>76</v>
      </c>
      <c r="BC1054" s="3" t="s">
        <v>13293</v>
      </c>
      <c r="BD1054" s="3" t="s">
        <v>13294</v>
      </c>
    </row>
    <row r="1055" spans="1:56" ht="52.5" customHeight="1" x14ac:dyDescent="0.25">
      <c r="A1055" s="7" t="s">
        <v>59</v>
      </c>
      <c r="B1055" s="2" t="s">
        <v>13295</v>
      </c>
      <c r="C1055" s="2" t="s">
        <v>13296</v>
      </c>
      <c r="D1055" s="2" t="s">
        <v>13297</v>
      </c>
      <c r="F1055" s="3" t="s">
        <v>59</v>
      </c>
      <c r="G1055" s="3" t="s">
        <v>60</v>
      </c>
      <c r="H1055" s="3" t="s">
        <v>59</v>
      </c>
      <c r="I1055" s="3" t="s">
        <v>59</v>
      </c>
      <c r="J1055" s="3" t="s">
        <v>61</v>
      </c>
      <c r="K1055" s="2" t="s">
        <v>13298</v>
      </c>
      <c r="L1055" s="2" t="s">
        <v>13299</v>
      </c>
      <c r="M1055" s="3" t="s">
        <v>1000</v>
      </c>
      <c r="O1055" s="3" t="s">
        <v>65</v>
      </c>
      <c r="P1055" s="3" t="s">
        <v>491</v>
      </c>
      <c r="R1055" s="3" t="s">
        <v>68</v>
      </c>
      <c r="S1055" s="4">
        <v>11</v>
      </c>
      <c r="T1055" s="4">
        <v>11</v>
      </c>
      <c r="U1055" s="5" t="s">
        <v>13300</v>
      </c>
      <c r="V1055" s="5" t="s">
        <v>13300</v>
      </c>
      <c r="W1055" s="5" t="s">
        <v>12723</v>
      </c>
      <c r="X1055" s="5" t="s">
        <v>12723</v>
      </c>
      <c r="Y1055" s="4">
        <v>335</v>
      </c>
      <c r="Z1055" s="4">
        <v>272</v>
      </c>
      <c r="AA1055" s="4">
        <v>398</v>
      </c>
      <c r="AB1055" s="4">
        <v>3</v>
      </c>
      <c r="AC1055" s="4">
        <v>3</v>
      </c>
      <c r="AD1055" s="4">
        <v>6</v>
      </c>
      <c r="AE1055" s="4">
        <v>10</v>
      </c>
      <c r="AF1055" s="4">
        <v>1</v>
      </c>
      <c r="AG1055" s="4">
        <v>2</v>
      </c>
      <c r="AH1055" s="4">
        <v>1</v>
      </c>
      <c r="AI1055" s="4">
        <v>3</v>
      </c>
      <c r="AJ1055" s="4">
        <v>5</v>
      </c>
      <c r="AK1055" s="4">
        <v>8</v>
      </c>
      <c r="AL1055" s="4">
        <v>1</v>
      </c>
      <c r="AM1055" s="4">
        <v>1</v>
      </c>
      <c r="AN1055" s="4">
        <v>0</v>
      </c>
      <c r="AO1055" s="4">
        <v>0</v>
      </c>
      <c r="AP1055" s="3" t="s">
        <v>59</v>
      </c>
      <c r="AQ1055" s="3" t="s">
        <v>71</v>
      </c>
      <c r="AR1055" s="6" t="str">
        <f>HYPERLINK("http://catalog.hathitrust.org/Record/000754263","HathiTrust Record")</f>
        <v>HathiTrust Record</v>
      </c>
      <c r="AS1055" s="6" t="str">
        <f>HYPERLINK("https://creighton-primo.hosted.exlibrisgroup.com/primo-explore/search?tab=default_tab&amp;search_scope=EVERYTHING&amp;vid=01CRU&amp;lang=en_US&amp;offset=0&amp;query=any,contains,991004786199702656","Catalog Record")</f>
        <v>Catalog Record</v>
      </c>
      <c r="AT1055" s="6" t="str">
        <f>HYPERLINK("http://www.worldcat.org/oclc/6813127","WorldCat Record")</f>
        <v>WorldCat Record</v>
      </c>
      <c r="AU1055" s="3" t="s">
        <v>13301</v>
      </c>
      <c r="AV1055" s="3" t="s">
        <v>13302</v>
      </c>
      <c r="AW1055" s="3" t="s">
        <v>13303</v>
      </c>
      <c r="AX1055" s="3" t="s">
        <v>13303</v>
      </c>
      <c r="AY1055" s="3" t="s">
        <v>13304</v>
      </c>
      <c r="AZ1055" s="3" t="s">
        <v>76</v>
      </c>
      <c r="BB1055" s="3" t="s">
        <v>13305</v>
      </c>
      <c r="BC1055" s="3" t="s">
        <v>13306</v>
      </c>
      <c r="BD1055" s="3" t="s">
        <v>13307</v>
      </c>
    </row>
    <row r="1056" spans="1:56" ht="52.5" customHeight="1" x14ac:dyDescent="0.25">
      <c r="A1056" s="7" t="s">
        <v>59</v>
      </c>
      <c r="B1056" s="2" t="s">
        <v>13308</v>
      </c>
      <c r="C1056" s="2" t="s">
        <v>13309</v>
      </c>
      <c r="D1056" s="2" t="s">
        <v>13310</v>
      </c>
      <c r="F1056" s="3" t="s">
        <v>59</v>
      </c>
      <c r="G1056" s="3" t="s">
        <v>60</v>
      </c>
      <c r="H1056" s="3" t="s">
        <v>59</v>
      </c>
      <c r="I1056" s="3" t="s">
        <v>59</v>
      </c>
      <c r="J1056" s="3" t="s">
        <v>61</v>
      </c>
      <c r="K1056" s="2" t="s">
        <v>13311</v>
      </c>
      <c r="L1056" s="2" t="s">
        <v>13312</v>
      </c>
      <c r="M1056" s="3" t="s">
        <v>180</v>
      </c>
      <c r="O1056" s="3" t="s">
        <v>65</v>
      </c>
      <c r="P1056" s="3" t="s">
        <v>66</v>
      </c>
      <c r="R1056" s="3" t="s">
        <v>68</v>
      </c>
      <c r="S1056" s="4">
        <v>12</v>
      </c>
      <c r="T1056" s="4">
        <v>12</v>
      </c>
      <c r="U1056" s="5" t="s">
        <v>13313</v>
      </c>
      <c r="V1056" s="5" t="s">
        <v>13313</v>
      </c>
      <c r="W1056" s="5" t="s">
        <v>13189</v>
      </c>
      <c r="X1056" s="5" t="s">
        <v>13189</v>
      </c>
      <c r="Y1056" s="4">
        <v>917</v>
      </c>
      <c r="Z1056" s="4">
        <v>785</v>
      </c>
      <c r="AA1056" s="4">
        <v>891</v>
      </c>
      <c r="AB1056" s="4">
        <v>7</v>
      </c>
      <c r="AC1056" s="4">
        <v>8</v>
      </c>
      <c r="AD1056" s="4">
        <v>35</v>
      </c>
      <c r="AE1056" s="4">
        <v>38</v>
      </c>
      <c r="AF1056" s="4">
        <v>16</v>
      </c>
      <c r="AG1056" s="4">
        <v>16</v>
      </c>
      <c r="AH1056" s="4">
        <v>7</v>
      </c>
      <c r="AI1056" s="4">
        <v>8</v>
      </c>
      <c r="AJ1056" s="4">
        <v>14</v>
      </c>
      <c r="AK1056" s="4">
        <v>16</v>
      </c>
      <c r="AL1056" s="4">
        <v>6</v>
      </c>
      <c r="AM1056" s="4">
        <v>7</v>
      </c>
      <c r="AN1056" s="4">
        <v>0</v>
      </c>
      <c r="AO1056" s="4">
        <v>0</v>
      </c>
      <c r="AP1056" s="3" t="s">
        <v>71</v>
      </c>
      <c r="AQ1056" s="3" t="s">
        <v>59</v>
      </c>
      <c r="AR1056" s="6" t="str">
        <f>HYPERLINK("http://catalog.hathitrust.org/Record/000430332","HathiTrust Record")</f>
        <v>HathiTrust Record</v>
      </c>
      <c r="AS1056" s="6" t="str">
        <f>HYPERLINK("https://creighton-primo.hosted.exlibrisgroup.com/primo-explore/search?tab=default_tab&amp;search_scope=EVERYTHING&amp;vid=01CRU&amp;lang=en_US&amp;offset=0&amp;query=any,contains,991001289849702656","Catalog Record")</f>
        <v>Catalog Record</v>
      </c>
      <c r="AT1056" s="6" t="str">
        <f>HYPERLINK("http://www.worldcat.org/oclc/217741","WorldCat Record")</f>
        <v>WorldCat Record</v>
      </c>
      <c r="AU1056" s="3" t="s">
        <v>13314</v>
      </c>
      <c r="AV1056" s="3" t="s">
        <v>13315</v>
      </c>
      <c r="AW1056" s="3" t="s">
        <v>13316</v>
      </c>
      <c r="AX1056" s="3" t="s">
        <v>13316</v>
      </c>
      <c r="AY1056" s="3" t="s">
        <v>13317</v>
      </c>
      <c r="AZ1056" s="3" t="s">
        <v>76</v>
      </c>
      <c r="BC1056" s="3" t="s">
        <v>13318</v>
      </c>
      <c r="BD1056" s="3" t="s">
        <v>13319</v>
      </c>
    </row>
    <row r="1057" spans="1:56" ht="52.5" customHeight="1" x14ac:dyDescent="0.25">
      <c r="A1057" s="7" t="s">
        <v>59</v>
      </c>
      <c r="B1057" s="2" t="s">
        <v>13320</v>
      </c>
      <c r="C1057" s="2" t="s">
        <v>13321</v>
      </c>
      <c r="D1057" s="2" t="s">
        <v>13322</v>
      </c>
      <c r="F1057" s="3" t="s">
        <v>59</v>
      </c>
      <c r="G1057" s="3" t="s">
        <v>60</v>
      </c>
      <c r="H1057" s="3" t="s">
        <v>59</v>
      </c>
      <c r="I1057" s="3" t="s">
        <v>59</v>
      </c>
      <c r="J1057" s="3" t="s">
        <v>61</v>
      </c>
      <c r="K1057" s="2" t="s">
        <v>13323</v>
      </c>
      <c r="L1057" s="2" t="s">
        <v>13312</v>
      </c>
      <c r="M1057" s="3" t="s">
        <v>180</v>
      </c>
      <c r="O1057" s="3" t="s">
        <v>65</v>
      </c>
      <c r="P1057" s="3" t="s">
        <v>66</v>
      </c>
      <c r="R1057" s="3" t="s">
        <v>68</v>
      </c>
      <c r="S1057" s="4">
        <v>8</v>
      </c>
      <c r="T1057" s="4">
        <v>8</v>
      </c>
      <c r="U1057" s="5" t="s">
        <v>13324</v>
      </c>
      <c r="V1057" s="5" t="s">
        <v>13324</v>
      </c>
      <c r="W1057" s="5" t="s">
        <v>13189</v>
      </c>
      <c r="X1057" s="5" t="s">
        <v>13189</v>
      </c>
      <c r="Y1057" s="4">
        <v>762</v>
      </c>
      <c r="Z1057" s="4">
        <v>651</v>
      </c>
      <c r="AA1057" s="4">
        <v>716</v>
      </c>
      <c r="AB1057" s="4">
        <v>8</v>
      </c>
      <c r="AC1057" s="4">
        <v>9</v>
      </c>
      <c r="AD1057" s="4">
        <v>32</v>
      </c>
      <c r="AE1057" s="4">
        <v>38</v>
      </c>
      <c r="AF1057" s="4">
        <v>14</v>
      </c>
      <c r="AG1057" s="4">
        <v>16</v>
      </c>
      <c r="AH1057" s="4">
        <v>7</v>
      </c>
      <c r="AI1057" s="4">
        <v>7</v>
      </c>
      <c r="AJ1057" s="4">
        <v>15</v>
      </c>
      <c r="AK1057" s="4">
        <v>19</v>
      </c>
      <c r="AL1057" s="4">
        <v>6</v>
      </c>
      <c r="AM1057" s="4">
        <v>7</v>
      </c>
      <c r="AN1057" s="4">
        <v>0</v>
      </c>
      <c r="AO1057" s="4">
        <v>0</v>
      </c>
      <c r="AP1057" s="3" t="s">
        <v>71</v>
      </c>
      <c r="AQ1057" s="3" t="s">
        <v>59</v>
      </c>
      <c r="AR1057" s="6" t="str">
        <f>HYPERLINK("http://catalog.hathitrust.org/Record/001465618","HathiTrust Record")</f>
        <v>HathiTrust Record</v>
      </c>
      <c r="AS1057" s="6" t="str">
        <f>HYPERLINK("https://creighton-primo.hosted.exlibrisgroup.com/primo-explore/search?tab=default_tab&amp;search_scope=EVERYTHING&amp;vid=01CRU&amp;lang=en_US&amp;offset=0&amp;query=any,contains,991001289709702656","Catalog Record")</f>
        <v>Catalog Record</v>
      </c>
      <c r="AT1057" s="6" t="str">
        <f>HYPERLINK("http://www.worldcat.org/oclc/217730","WorldCat Record")</f>
        <v>WorldCat Record</v>
      </c>
      <c r="AU1057" s="3" t="s">
        <v>13325</v>
      </c>
      <c r="AV1057" s="3" t="s">
        <v>13326</v>
      </c>
      <c r="AW1057" s="3" t="s">
        <v>13327</v>
      </c>
      <c r="AX1057" s="3" t="s">
        <v>13327</v>
      </c>
      <c r="AY1057" s="3" t="s">
        <v>13328</v>
      </c>
      <c r="AZ1057" s="3" t="s">
        <v>76</v>
      </c>
      <c r="BC1057" s="3" t="s">
        <v>13329</v>
      </c>
      <c r="BD1057" s="3" t="s">
        <v>13330</v>
      </c>
    </row>
    <row r="1058" spans="1:56" ht="52.5" customHeight="1" x14ac:dyDescent="0.25">
      <c r="A1058" s="7" t="s">
        <v>59</v>
      </c>
      <c r="B1058" s="2" t="s">
        <v>13331</v>
      </c>
      <c r="C1058" s="2" t="s">
        <v>13332</v>
      </c>
      <c r="D1058" s="2" t="s">
        <v>13333</v>
      </c>
      <c r="F1058" s="3" t="s">
        <v>59</v>
      </c>
      <c r="G1058" s="3" t="s">
        <v>60</v>
      </c>
      <c r="H1058" s="3" t="s">
        <v>59</v>
      </c>
      <c r="I1058" s="3" t="s">
        <v>59</v>
      </c>
      <c r="J1058" s="3" t="s">
        <v>61</v>
      </c>
      <c r="L1058" s="2" t="s">
        <v>7111</v>
      </c>
      <c r="M1058" s="3" t="s">
        <v>195</v>
      </c>
      <c r="O1058" s="3" t="s">
        <v>65</v>
      </c>
      <c r="P1058" s="3" t="s">
        <v>66</v>
      </c>
      <c r="Q1058" s="2" t="s">
        <v>13334</v>
      </c>
      <c r="R1058" s="3" t="s">
        <v>68</v>
      </c>
      <c r="S1058" s="4">
        <v>4</v>
      </c>
      <c r="T1058" s="4">
        <v>4</v>
      </c>
      <c r="U1058" s="5" t="s">
        <v>12456</v>
      </c>
      <c r="V1058" s="5" t="s">
        <v>12456</v>
      </c>
      <c r="W1058" s="5" t="s">
        <v>12723</v>
      </c>
      <c r="X1058" s="5" t="s">
        <v>12723</v>
      </c>
      <c r="Y1058" s="4">
        <v>482</v>
      </c>
      <c r="Z1058" s="4">
        <v>363</v>
      </c>
      <c r="AA1058" s="4">
        <v>370</v>
      </c>
      <c r="AB1058" s="4">
        <v>4</v>
      </c>
      <c r="AC1058" s="4">
        <v>4</v>
      </c>
      <c r="AD1058" s="4">
        <v>10</v>
      </c>
      <c r="AE1058" s="4">
        <v>10</v>
      </c>
      <c r="AF1058" s="4">
        <v>2</v>
      </c>
      <c r="AG1058" s="4">
        <v>2</v>
      </c>
      <c r="AH1058" s="4">
        <v>2</v>
      </c>
      <c r="AI1058" s="4">
        <v>2</v>
      </c>
      <c r="AJ1058" s="4">
        <v>4</v>
      </c>
      <c r="AK1058" s="4">
        <v>4</v>
      </c>
      <c r="AL1058" s="4">
        <v>3</v>
      </c>
      <c r="AM1058" s="4">
        <v>3</v>
      </c>
      <c r="AN1058" s="4">
        <v>0</v>
      </c>
      <c r="AO1058" s="4">
        <v>0</v>
      </c>
      <c r="AP1058" s="3" t="s">
        <v>59</v>
      </c>
      <c r="AQ1058" s="3" t="s">
        <v>71</v>
      </c>
      <c r="AR1058" s="6" t="str">
        <f>HYPERLINK("http://catalog.hathitrust.org/Record/000221318","HathiTrust Record")</f>
        <v>HathiTrust Record</v>
      </c>
      <c r="AS1058" s="6" t="str">
        <f>HYPERLINK("https://creighton-primo.hosted.exlibrisgroup.com/primo-explore/search?tab=default_tab&amp;search_scope=EVERYTHING&amp;vid=01CRU&amp;lang=en_US&amp;offset=0&amp;query=any,contains,991005176519702656","Catalog Record")</f>
        <v>Catalog Record</v>
      </c>
      <c r="AT1058" s="6" t="str">
        <f>HYPERLINK("http://www.worldcat.org/oclc/7923610","WorldCat Record")</f>
        <v>WorldCat Record</v>
      </c>
      <c r="AU1058" s="3" t="s">
        <v>13335</v>
      </c>
      <c r="AV1058" s="3" t="s">
        <v>13336</v>
      </c>
      <c r="AW1058" s="3" t="s">
        <v>13337</v>
      </c>
      <c r="AX1058" s="3" t="s">
        <v>13337</v>
      </c>
      <c r="AY1058" s="3" t="s">
        <v>13338</v>
      </c>
      <c r="AZ1058" s="3" t="s">
        <v>76</v>
      </c>
      <c r="BB1058" s="3" t="s">
        <v>13339</v>
      </c>
      <c r="BC1058" s="3" t="s">
        <v>13340</v>
      </c>
      <c r="BD1058" s="3" t="s">
        <v>13341</v>
      </c>
    </row>
    <row r="1059" spans="1:56" ht="52.5" customHeight="1" x14ac:dyDescent="0.25">
      <c r="A1059" s="7" t="s">
        <v>59</v>
      </c>
      <c r="B1059" s="2" t="s">
        <v>13342</v>
      </c>
      <c r="C1059" s="2" t="s">
        <v>13343</v>
      </c>
      <c r="D1059" s="2" t="s">
        <v>13344</v>
      </c>
      <c r="F1059" s="3" t="s">
        <v>59</v>
      </c>
      <c r="G1059" s="3" t="s">
        <v>60</v>
      </c>
      <c r="H1059" s="3" t="s">
        <v>59</v>
      </c>
      <c r="I1059" s="3" t="s">
        <v>59</v>
      </c>
      <c r="J1059" s="3" t="s">
        <v>61</v>
      </c>
      <c r="L1059" s="2" t="s">
        <v>13345</v>
      </c>
      <c r="M1059" s="3" t="s">
        <v>1217</v>
      </c>
      <c r="O1059" s="3" t="s">
        <v>65</v>
      </c>
      <c r="P1059" s="3" t="s">
        <v>4685</v>
      </c>
      <c r="Q1059" s="2" t="s">
        <v>13334</v>
      </c>
      <c r="R1059" s="3" t="s">
        <v>68</v>
      </c>
      <c r="S1059" s="4">
        <v>7</v>
      </c>
      <c r="T1059" s="4">
        <v>7</v>
      </c>
      <c r="U1059" s="5" t="s">
        <v>13346</v>
      </c>
      <c r="V1059" s="5" t="s">
        <v>13346</v>
      </c>
      <c r="W1059" s="5" t="s">
        <v>4686</v>
      </c>
      <c r="X1059" s="5" t="s">
        <v>4686</v>
      </c>
      <c r="Y1059" s="4">
        <v>394</v>
      </c>
      <c r="Z1059" s="4">
        <v>291</v>
      </c>
      <c r="AA1059" s="4">
        <v>293</v>
      </c>
      <c r="AB1059" s="4">
        <v>4</v>
      </c>
      <c r="AC1059" s="4">
        <v>4</v>
      </c>
      <c r="AD1059" s="4">
        <v>11</v>
      </c>
      <c r="AE1059" s="4">
        <v>11</v>
      </c>
      <c r="AF1059" s="4">
        <v>1</v>
      </c>
      <c r="AG1059" s="4">
        <v>1</v>
      </c>
      <c r="AH1059" s="4">
        <v>3</v>
      </c>
      <c r="AI1059" s="4">
        <v>3</v>
      </c>
      <c r="AJ1059" s="4">
        <v>7</v>
      </c>
      <c r="AK1059" s="4">
        <v>7</v>
      </c>
      <c r="AL1059" s="4">
        <v>3</v>
      </c>
      <c r="AM1059" s="4">
        <v>3</v>
      </c>
      <c r="AN1059" s="4">
        <v>0</v>
      </c>
      <c r="AO1059" s="4">
        <v>0</v>
      </c>
      <c r="AP1059" s="3" t="s">
        <v>59</v>
      </c>
      <c r="AQ1059" s="3" t="s">
        <v>71</v>
      </c>
      <c r="AR1059" s="6" t="str">
        <f>HYPERLINK("http://catalog.hathitrust.org/Record/000168661","HathiTrust Record")</f>
        <v>HathiTrust Record</v>
      </c>
      <c r="AS1059" s="6" t="str">
        <f>HYPERLINK("https://creighton-primo.hosted.exlibrisgroup.com/primo-explore/search?tab=default_tab&amp;search_scope=EVERYTHING&amp;vid=01CRU&amp;lang=en_US&amp;offset=0&amp;query=any,contains,991000297109702656","Catalog Record")</f>
        <v>Catalog Record</v>
      </c>
      <c r="AT1059" s="6" t="str">
        <f>HYPERLINK("http://www.worldcat.org/oclc/10018046","WorldCat Record")</f>
        <v>WorldCat Record</v>
      </c>
      <c r="AU1059" s="3" t="s">
        <v>13347</v>
      </c>
      <c r="AV1059" s="3" t="s">
        <v>13348</v>
      </c>
      <c r="AW1059" s="3" t="s">
        <v>13349</v>
      </c>
      <c r="AX1059" s="3" t="s">
        <v>13349</v>
      </c>
      <c r="AY1059" s="3" t="s">
        <v>13350</v>
      </c>
      <c r="AZ1059" s="3" t="s">
        <v>76</v>
      </c>
      <c r="BB1059" s="3" t="s">
        <v>13351</v>
      </c>
      <c r="BC1059" s="3" t="s">
        <v>13352</v>
      </c>
      <c r="BD1059" s="3" t="s">
        <v>13353</v>
      </c>
    </row>
    <row r="1060" spans="1:56" ht="52.5" customHeight="1" x14ac:dyDescent="0.25">
      <c r="A1060" s="7" t="s">
        <v>59</v>
      </c>
      <c r="B1060" s="2" t="s">
        <v>13354</v>
      </c>
      <c r="C1060" s="2" t="s">
        <v>13355</v>
      </c>
      <c r="D1060" s="2" t="s">
        <v>13356</v>
      </c>
      <c r="F1060" s="3" t="s">
        <v>59</v>
      </c>
      <c r="G1060" s="3" t="s">
        <v>60</v>
      </c>
      <c r="H1060" s="3" t="s">
        <v>59</v>
      </c>
      <c r="I1060" s="3" t="s">
        <v>59</v>
      </c>
      <c r="J1060" s="3" t="s">
        <v>61</v>
      </c>
      <c r="L1060" s="2" t="s">
        <v>13357</v>
      </c>
      <c r="M1060" s="3" t="s">
        <v>1000</v>
      </c>
      <c r="O1060" s="3" t="s">
        <v>65</v>
      </c>
      <c r="P1060" s="3" t="s">
        <v>66</v>
      </c>
      <c r="R1060" s="3" t="s">
        <v>68</v>
      </c>
      <c r="S1060" s="4">
        <v>1</v>
      </c>
      <c r="T1060" s="4">
        <v>1</v>
      </c>
      <c r="U1060" s="5" t="s">
        <v>3744</v>
      </c>
      <c r="V1060" s="5" t="s">
        <v>3744</v>
      </c>
      <c r="W1060" s="5" t="s">
        <v>4987</v>
      </c>
      <c r="X1060" s="5" t="s">
        <v>4987</v>
      </c>
      <c r="Y1060" s="4">
        <v>515</v>
      </c>
      <c r="Z1060" s="4">
        <v>361</v>
      </c>
      <c r="AA1060" s="4">
        <v>381</v>
      </c>
      <c r="AB1060" s="4">
        <v>4</v>
      </c>
      <c r="AC1060" s="4">
        <v>4</v>
      </c>
      <c r="AD1060" s="4">
        <v>14</v>
      </c>
      <c r="AE1060" s="4">
        <v>16</v>
      </c>
      <c r="AF1060" s="4">
        <v>3</v>
      </c>
      <c r="AG1060" s="4">
        <v>5</v>
      </c>
      <c r="AH1060" s="4">
        <v>4</v>
      </c>
      <c r="AI1060" s="4">
        <v>4</v>
      </c>
      <c r="AJ1060" s="4">
        <v>8</v>
      </c>
      <c r="AK1060" s="4">
        <v>9</v>
      </c>
      <c r="AL1060" s="4">
        <v>3</v>
      </c>
      <c r="AM1060" s="4">
        <v>3</v>
      </c>
      <c r="AN1060" s="4">
        <v>0</v>
      </c>
      <c r="AO1060" s="4">
        <v>0</v>
      </c>
      <c r="AP1060" s="3" t="s">
        <v>59</v>
      </c>
      <c r="AQ1060" s="3" t="s">
        <v>71</v>
      </c>
      <c r="AR1060" s="6" t="str">
        <f>HYPERLINK("http://catalog.hathitrust.org/Record/000299958","HathiTrust Record")</f>
        <v>HathiTrust Record</v>
      </c>
      <c r="AS1060" s="6" t="str">
        <f>HYPERLINK("https://creighton-primo.hosted.exlibrisgroup.com/primo-explore/search?tab=default_tab&amp;search_scope=EVERYTHING&amp;vid=01CRU&amp;lang=en_US&amp;offset=0&amp;query=any,contains,991004741189702656","Catalog Record")</f>
        <v>Catalog Record</v>
      </c>
      <c r="AT1060" s="6" t="str">
        <f>HYPERLINK("http://www.worldcat.org/oclc/4883683","WorldCat Record")</f>
        <v>WorldCat Record</v>
      </c>
      <c r="AU1060" s="3" t="s">
        <v>13358</v>
      </c>
      <c r="AV1060" s="3" t="s">
        <v>13359</v>
      </c>
      <c r="AW1060" s="3" t="s">
        <v>13360</v>
      </c>
      <c r="AX1060" s="3" t="s">
        <v>13360</v>
      </c>
      <c r="AY1060" s="3" t="s">
        <v>13361</v>
      </c>
      <c r="AZ1060" s="3" t="s">
        <v>76</v>
      </c>
      <c r="BB1060" s="3" t="s">
        <v>13362</v>
      </c>
      <c r="BC1060" s="3" t="s">
        <v>13363</v>
      </c>
      <c r="BD1060" s="3" t="s">
        <v>13364</v>
      </c>
    </row>
    <row r="1061" spans="1:56" ht="52.5" customHeight="1" x14ac:dyDescent="0.25">
      <c r="A1061" s="7" t="s">
        <v>59</v>
      </c>
      <c r="B1061" s="2" t="s">
        <v>13365</v>
      </c>
      <c r="C1061" s="2" t="s">
        <v>13366</v>
      </c>
      <c r="D1061" s="2" t="s">
        <v>13367</v>
      </c>
      <c r="F1061" s="3" t="s">
        <v>59</v>
      </c>
      <c r="G1061" s="3" t="s">
        <v>60</v>
      </c>
      <c r="H1061" s="3" t="s">
        <v>59</v>
      </c>
      <c r="I1061" s="3" t="s">
        <v>59</v>
      </c>
      <c r="J1061" s="3" t="s">
        <v>61</v>
      </c>
      <c r="K1061" s="2" t="s">
        <v>13368</v>
      </c>
      <c r="L1061" s="2" t="s">
        <v>13369</v>
      </c>
      <c r="M1061" s="3" t="s">
        <v>475</v>
      </c>
      <c r="N1061" s="2" t="s">
        <v>3938</v>
      </c>
      <c r="O1061" s="3" t="s">
        <v>65</v>
      </c>
      <c r="P1061" s="3" t="s">
        <v>66</v>
      </c>
      <c r="R1061" s="3" t="s">
        <v>68</v>
      </c>
      <c r="S1061" s="4">
        <v>19</v>
      </c>
      <c r="T1061" s="4">
        <v>19</v>
      </c>
      <c r="U1061" s="5" t="s">
        <v>13370</v>
      </c>
      <c r="V1061" s="5" t="s">
        <v>13370</v>
      </c>
      <c r="W1061" s="5" t="s">
        <v>4686</v>
      </c>
      <c r="X1061" s="5" t="s">
        <v>4686</v>
      </c>
      <c r="Y1061" s="4">
        <v>476</v>
      </c>
      <c r="Z1061" s="4">
        <v>364</v>
      </c>
      <c r="AA1061" s="4">
        <v>815</v>
      </c>
      <c r="AB1061" s="4">
        <v>2</v>
      </c>
      <c r="AC1061" s="4">
        <v>6</v>
      </c>
      <c r="AD1061" s="4">
        <v>17</v>
      </c>
      <c r="AE1061" s="4">
        <v>34</v>
      </c>
      <c r="AF1061" s="4">
        <v>7</v>
      </c>
      <c r="AG1061" s="4">
        <v>15</v>
      </c>
      <c r="AH1061" s="4">
        <v>4</v>
      </c>
      <c r="AI1061" s="4">
        <v>7</v>
      </c>
      <c r="AJ1061" s="4">
        <v>9</v>
      </c>
      <c r="AK1061" s="4">
        <v>15</v>
      </c>
      <c r="AL1061" s="4">
        <v>1</v>
      </c>
      <c r="AM1061" s="4">
        <v>5</v>
      </c>
      <c r="AN1061" s="4">
        <v>0</v>
      </c>
      <c r="AO1061" s="4">
        <v>0</v>
      </c>
      <c r="AP1061" s="3" t="s">
        <v>59</v>
      </c>
      <c r="AQ1061" s="3" t="s">
        <v>71</v>
      </c>
      <c r="AR1061" s="6" t="str">
        <f>HYPERLINK("http://catalog.hathitrust.org/Record/000312178","HathiTrust Record")</f>
        <v>HathiTrust Record</v>
      </c>
      <c r="AS1061" s="6" t="str">
        <f>HYPERLINK("https://creighton-primo.hosted.exlibrisgroup.com/primo-explore/search?tab=default_tab&amp;search_scope=EVERYTHING&amp;vid=01CRU&amp;lang=en_US&amp;offset=0&amp;query=any,contains,991005225439702656","Catalog Record")</f>
        <v>Catalog Record</v>
      </c>
      <c r="AT1061" s="6" t="str">
        <f>HYPERLINK("http://www.worldcat.org/oclc/8281516","WorldCat Record")</f>
        <v>WorldCat Record</v>
      </c>
      <c r="AU1061" s="3" t="s">
        <v>13371</v>
      </c>
      <c r="AV1061" s="3" t="s">
        <v>13372</v>
      </c>
      <c r="AW1061" s="3" t="s">
        <v>13373</v>
      </c>
      <c r="AX1061" s="3" t="s">
        <v>13373</v>
      </c>
      <c r="AY1061" s="3" t="s">
        <v>13374</v>
      </c>
      <c r="AZ1061" s="3" t="s">
        <v>76</v>
      </c>
      <c r="BB1061" s="3" t="s">
        <v>13375</v>
      </c>
      <c r="BC1061" s="3" t="s">
        <v>13376</v>
      </c>
      <c r="BD1061" s="3" t="s">
        <v>13377</v>
      </c>
    </row>
    <row r="1062" spans="1:56" ht="52.5" customHeight="1" x14ac:dyDescent="0.25">
      <c r="A1062" s="7" t="s">
        <v>59</v>
      </c>
      <c r="B1062" s="2" t="s">
        <v>13378</v>
      </c>
      <c r="C1062" s="2" t="s">
        <v>13379</v>
      </c>
      <c r="D1062" s="2" t="s">
        <v>13380</v>
      </c>
      <c r="F1062" s="3" t="s">
        <v>59</v>
      </c>
      <c r="G1062" s="3" t="s">
        <v>60</v>
      </c>
      <c r="H1062" s="3" t="s">
        <v>59</v>
      </c>
      <c r="I1062" s="3" t="s">
        <v>59</v>
      </c>
      <c r="J1062" s="3" t="s">
        <v>61</v>
      </c>
      <c r="L1062" s="2" t="s">
        <v>13381</v>
      </c>
      <c r="M1062" s="3" t="s">
        <v>943</v>
      </c>
      <c r="O1062" s="3" t="s">
        <v>65</v>
      </c>
      <c r="P1062" s="3" t="s">
        <v>66</v>
      </c>
      <c r="Q1062" s="2" t="s">
        <v>12165</v>
      </c>
      <c r="R1062" s="3" t="s">
        <v>68</v>
      </c>
      <c r="S1062" s="4">
        <v>10</v>
      </c>
      <c r="T1062" s="4">
        <v>10</v>
      </c>
      <c r="U1062" s="5" t="s">
        <v>5065</v>
      </c>
      <c r="V1062" s="5" t="s">
        <v>5065</v>
      </c>
      <c r="W1062" s="5" t="s">
        <v>13382</v>
      </c>
      <c r="X1062" s="5" t="s">
        <v>13382</v>
      </c>
      <c r="Y1062" s="4">
        <v>443</v>
      </c>
      <c r="Z1062" s="4">
        <v>356</v>
      </c>
      <c r="AA1062" s="4">
        <v>392</v>
      </c>
      <c r="AB1062" s="4">
        <v>4</v>
      </c>
      <c r="AC1062" s="4">
        <v>4</v>
      </c>
      <c r="AD1062" s="4">
        <v>17</v>
      </c>
      <c r="AE1062" s="4">
        <v>17</v>
      </c>
      <c r="AF1062" s="4">
        <v>5</v>
      </c>
      <c r="AG1062" s="4">
        <v>5</v>
      </c>
      <c r="AH1062" s="4">
        <v>5</v>
      </c>
      <c r="AI1062" s="4">
        <v>5</v>
      </c>
      <c r="AJ1062" s="4">
        <v>8</v>
      </c>
      <c r="AK1062" s="4">
        <v>8</v>
      </c>
      <c r="AL1062" s="4">
        <v>3</v>
      </c>
      <c r="AM1062" s="4">
        <v>3</v>
      </c>
      <c r="AN1062" s="4">
        <v>0</v>
      </c>
      <c r="AO1062" s="4">
        <v>0</v>
      </c>
      <c r="AP1062" s="3" t="s">
        <v>59</v>
      </c>
      <c r="AQ1062" s="3" t="s">
        <v>59</v>
      </c>
      <c r="AS1062" s="6" t="str">
        <f>HYPERLINK("https://creighton-primo.hosted.exlibrisgroup.com/primo-explore/search?tab=default_tab&amp;search_scope=EVERYTHING&amp;vid=01CRU&amp;lang=en_US&amp;offset=0&amp;query=any,contains,991001743839702656","Catalog Record")</f>
        <v>Catalog Record</v>
      </c>
      <c r="AT1062" s="6" t="str">
        <f>HYPERLINK("http://www.worldcat.org/oclc/22108867","WorldCat Record")</f>
        <v>WorldCat Record</v>
      </c>
      <c r="AU1062" s="3" t="s">
        <v>13383</v>
      </c>
      <c r="AV1062" s="3" t="s">
        <v>13384</v>
      </c>
      <c r="AW1062" s="3" t="s">
        <v>13385</v>
      </c>
      <c r="AX1062" s="3" t="s">
        <v>13385</v>
      </c>
      <c r="AY1062" s="3" t="s">
        <v>13386</v>
      </c>
      <c r="AZ1062" s="3" t="s">
        <v>76</v>
      </c>
      <c r="BB1062" s="3" t="s">
        <v>13387</v>
      </c>
      <c r="BC1062" s="3" t="s">
        <v>13388</v>
      </c>
      <c r="BD1062" s="3" t="s">
        <v>13389</v>
      </c>
    </row>
    <row r="1063" spans="1:56" ht="52.5" customHeight="1" x14ac:dyDescent="0.25">
      <c r="A1063" s="7" t="s">
        <v>59</v>
      </c>
      <c r="B1063" s="2" t="s">
        <v>13390</v>
      </c>
      <c r="C1063" s="2" t="s">
        <v>13391</v>
      </c>
      <c r="D1063" s="2" t="s">
        <v>13392</v>
      </c>
      <c r="F1063" s="3" t="s">
        <v>59</v>
      </c>
      <c r="G1063" s="3" t="s">
        <v>60</v>
      </c>
      <c r="H1063" s="3" t="s">
        <v>59</v>
      </c>
      <c r="I1063" s="3" t="s">
        <v>59</v>
      </c>
      <c r="J1063" s="3" t="s">
        <v>61</v>
      </c>
      <c r="K1063" s="2" t="s">
        <v>13393</v>
      </c>
      <c r="L1063" s="2" t="s">
        <v>4750</v>
      </c>
      <c r="M1063" s="3" t="s">
        <v>164</v>
      </c>
      <c r="O1063" s="3" t="s">
        <v>65</v>
      </c>
      <c r="P1063" s="3" t="s">
        <v>296</v>
      </c>
      <c r="R1063" s="3" t="s">
        <v>68</v>
      </c>
      <c r="S1063" s="4">
        <v>15</v>
      </c>
      <c r="T1063" s="4">
        <v>15</v>
      </c>
      <c r="U1063" s="5" t="s">
        <v>5052</v>
      </c>
      <c r="V1063" s="5" t="s">
        <v>5052</v>
      </c>
      <c r="W1063" s="5" t="s">
        <v>9383</v>
      </c>
      <c r="X1063" s="5" t="s">
        <v>9383</v>
      </c>
      <c r="Y1063" s="4">
        <v>887</v>
      </c>
      <c r="Z1063" s="4">
        <v>738</v>
      </c>
      <c r="AA1063" s="4">
        <v>770</v>
      </c>
      <c r="AB1063" s="4">
        <v>6</v>
      </c>
      <c r="AC1063" s="4">
        <v>6</v>
      </c>
      <c r="AD1063" s="4">
        <v>29</v>
      </c>
      <c r="AE1063" s="4">
        <v>30</v>
      </c>
      <c r="AF1063" s="4">
        <v>10</v>
      </c>
      <c r="AG1063" s="4">
        <v>10</v>
      </c>
      <c r="AH1063" s="4">
        <v>6</v>
      </c>
      <c r="AI1063" s="4">
        <v>6</v>
      </c>
      <c r="AJ1063" s="4">
        <v>16</v>
      </c>
      <c r="AK1063" s="4">
        <v>17</v>
      </c>
      <c r="AL1063" s="4">
        <v>5</v>
      </c>
      <c r="AM1063" s="4">
        <v>5</v>
      </c>
      <c r="AN1063" s="4">
        <v>0</v>
      </c>
      <c r="AO1063" s="4">
        <v>0</v>
      </c>
      <c r="AP1063" s="3" t="s">
        <v>59</v>
      </c>
      <c r="AQ1063" s="3" t="s">
        <v>59</v>
      </c>
      <c r="AS1063" s="6" t="str">
        <f>HYPERLINK("https://creighton-primo.hosted.exlibrisgroup.com/primo-explore/search?tab=default_tab&amp;search_scope=EVERYTHING&amp;vid=01CRU&amp;lang=en_US&amp;offset=0&amp;query=any,contains,991004776899702656","Catalog Record")</f>
        <v>Catalog Record</v>
      </c>
      <c r="AT1063" s="6" t="str">
        <f>HYPERLINK("http://www.worldcat.org/oclc/5101473","WorldCat Record")</f>
        <v>WorldCat Record</v>
      </c>
      <c r="AU1063" s="3" t="s">
        <v>13394</v>
      </c>
      <c r="AV1063" s="3" t="s">
        <v>13395</v>
      </c>
      <c r="AW1063" s="3" t="s">
        <v>13396</v>
      </c>
      <c r="AX1063" s="3" t="s">
        <v>13396</v>
      </c>
      <c r="AY1063" s="3" t="s">
        <v>13397</v>
      </c>
      <c r="AZ1063" s="3" t="s">
        <v>76</v>
      </c>
      <c r="BB1063" s="3" t="s">
        <v>13398</v>
      </c>
      <c r="BC1063" s="3" t="s">
        <v>13399</v>
      </c>
      <c r="BD1063" s="3" t="s">
        <v>13400</v>
      </c>
    </row>
    <row r="1064" spans="1:56" ht="52.5" customHeight="1" x14ac:dyDescent="0.25">
      <c r="A1064" s="7" t="s">
        <v>59</v>
      </c>
      <c r="B1064" s="2" t="s">
        <v>13401</v>
      </c>
      <c r="C1064" s="2" t="s">
        <v>13402</v>
      </c>
      <c r="D1064" s="2" t="s">
        <v>13403</v>
      </c>
      <c r="F1064" s="3" t="s">
        <v>59</v>
      </c>
      <c r="G1064" s="3" t="s">
        <v>60</v>
      </c>
      <c r="H1064" s="3" t="s">
        <v>59</v>
      </c>
      <c r="I1064" s="3" t="s">
        <v>59</v>
      </c>
      <c r="J1064" s="3" t="s">
        <v>61</v>
      </c>
      <c r="K1064" s="2" t="s">
        <v>13404</v>
      </c>
      <c r="L1064" s="2" t="s">
        <v>13405</v>
      </c>
      <c r="M1064" s="3" t="s">
        <v>1163</v>
      </c>
      <c r="O1064" s="3" t="s">
        <v>65</v>
      </c>
      <c r="P1064" s="3" t="s">
        <v>4685</v>
      </c>
      <c r="Q1064" s="2" t="s">
        <v>13334</v>
      </c>
      <c r="R1064" s="3" t="s">
        <v>68</v>
      </c>
      <c r="S1064" s="4">
        <v>11</v>
      </c>
      <c r="T1064" s="4">
        <v>11</v>
      </c>
      <c r="U1064" s="5" t="s">
        <v>13406</v>
      </c>
      <c r="V1064" s="5" t="s">
        <v>13406</v>
      </c>
      <c r="W1064" s="5" t="s">
        <v>13407</v>
      </c>
      <c r="X1064" s="5" t="s">
        <v>13407</v>
      </c>
      <c r="Y1064" s="4">
        <v>751</v>
      </c>
      <c r="Z1064" s="4">
        <v>577</v>
      </c>
      <c r="AA1064" s="4">
        <v>586</v>
      </c>
      <c r="AB1064" s="4">
        <v>6</v>
      </c>
      <c r="AC1064" s="4">
        <v>6</v>
      </c>
      <c r="AD1064" s="4">
        <v>26</v>
      </c>
      <c r="AE1064" s="4">
        <v>26</v>
      </c>
      <c r="AF1064" s="4">
        <v>10</v>
      </c>
      <c r="AG1064" s="4">
        <v>10</v>
      </c>
      <c r="AH1064" s="4">
        <v>4</v>
      </c>
      <c r="AI1064" s="4">
        <v>4</v>
      </c>
      <c r="AJ1064" s="4">
        <v>13</v>
      </c>
      <c r="AK1064" s="4">
        <v>13</v>
      </c>
      <c r="AL1064" s="4">
        <v>5</v>
      </c>
      <c r="AM1064" s="4">
        <v>5</v>
      </c>
      <c r="AN1064" s="4">
        <v>0</v>
      </c>
      <c r="AO1064" s="4">
        <v>0</v>
      </c>
      <c r="AP1064" s="3" t="s">
        <v>59</v>
      </c>
      <c r="AQ1064" s="3" t="s">
        <v>71</v>
      </c>
      <c r="AR1064" s="6" t="str">
        <f>HYPERLINK("http://catalog.hathitrust.org/Record/000413173","HathiTrust Record")</f>
        <v>HathiTrust Record</v>
      </c>
      <c r="AS1064" s="6" t="str">
        <f>HYPERLINK("https://creighton-primo.hosted.exlibrisgroup.com/primo-explore/search?tab=default_tab&amp;search_scope=EVERYTHING&amp;vid=01CRU&amp;lang=en_US&amp;offset=0&amp;query=any,contains,991000456249702656","Catalog Record")</f>
        <v>Catalog Record</v>
      </c>
      <c r="AT1064" s="6" t="str">
        <f>HYPERLINK("http://www.worldcat.org/oclc/10913916","WorldCat Record")</f>
        <v>WorldCat Record</v>
      </c>
      <c r="AU1064" s="3" t="s">
        <v>13408</v>
      </c>
      <c r="AV1064" s="3" t="s">
        <v>13409</v>
      </c>
      <c r="AW1064" s="3" t="s">
        <v>13410</v>
      </c>
      <c r="AX1064" s="3" t="s">
        <v>13410</v>
      </c>
      <c r="AY1064" s="3" t="s">
        <v>13411</v>
      </c>
      <c r="AZ1064" s="3" t="s">
        <v>76</v>
      </c>
      <c r="BB1064" s="3" t="s">
        <v>13412</v>
      </c>
      <c r="BC1064" s="3" t="s">
        <v>13413</v>
      </c>
      <c r="BD1064" s="3" t="s">
        <v>13414</v>
      </c>
    </row>
    <row r="1065" spans="1:56" ht="52.5" customHeight="1" x14ac:dyDescent="0.25">
      <c r="A1065" s="7" t="s">
        <v>59</v>
      </c>
      <c r="B1065" s="2" t="s">
        <v>13415</v>
      </c>
      <c r="C1065" s="2" t="s">
        <v>13416</v>
      </c>
      <c r="D1065" s="2" t="s">
        <v>13417</v>
      </c>
      <c r="F1065" s="3" t="s">
        <v>59</v>
      </c>
      <c r="G1065" s="3" t="s">
        <v>60</v>
      </c>
      <c r="H1065" s="3" t="s">
        <v>59</v>
      </c>
      <c r="I1065" s="3" t="s">
        <v>59</v>
      </c>
      <c r="J1065" s="3" t="s">
        <v>61</v>
      </c>
      <c r="L1065" s="2" t="s">
        <v>13418</v>
      </c>
      <c r="M1065" s="3" t="s">
        <v>684</v>
      </c>
      <c r="O1065" s="3" t="s">
        <v>65</v>
      </c>
      <c r="P1065" s="3" t="s">
        <v>420</v>
      </c>
      <c r="Q1065" s="2" t="s">
        <v>13419</v>
      </c>
      <c r="R1065" s="3" t="s">
        <v>68</v>
      </c>
      <c r="S1065" s="4">
        <v>2</v>
      </c>
      <c r="T1065" s="4">
        <v>2</v>
      </c>
      <c r="U1065" s="5" t="s">
        <v>13420</v>
      </c>
      <c r="V1065" s="5" t="s">
        <v>13420</v>
      </c>
      <c r="W1065" s="5" t="s">
        <v>12723</v>
      </c>
      <c r="X1065" s="5" t="s">
        <v>12723</v>
      </c>
      <c r="Y1065" s="4">
        <v>302</v>
      </c>
      <c r="Z1065" s="4">
        <v>254</v>
      </c>
      <c r="AA1065" s="4">
        <v>257</v>
      </c>
      <c r="AB1065" s="4">
        <v>2</v>
      </c>
      <c r="AC1065" s="4">
        <v>2</v>
      </c>
      <c r="AD1065" s="4">
        <v>13</v>
      </c>
      <c r="AE1065" s="4">
        <v>13</v>
      </c>
      <c r="AF1065" s="4">
        <v>4</v>
      </c>
      <c r="AG1065" s="4">
        <v>4</v>
      </c>
      <c r="AH1065" s="4">
        <v>3</v>
      </c>
      <c r="AI1065" s="4">
        <v>3</v>
      </c>
      <c r="AJ1065" s="4">
        <v>9</v>
      </c>
      <c r="AK1065" s="4">
        <v>9</v>
      </c>
      <c r="AL1065" s="4">
        <v>1</v>
      </c>
      <c r="AM1065" s="4">
        <v>1</v>
      </c>
      <c r="AN1065" s="4">
        <v>0</v>
      </c>
      <c r="AO1065" s="4">
        <v>0</v>
      </c>
      <c r="AP1065" s="3" t="s">
        <v>59</v>
      </c>
      <c r="AQ1065" s="3" t="s">
        <v>59</v>
      </c>
      <c r="AS1065" s="6" t="str">
        <f>HYPERLINK("https://creighton-primo.hosted.exlibrisgroup.com/primo-explore/search?tab=default_tab&amp;search_scope=EVERYTHING&amp;vid=01CRU&amp;lang=en_US&amp;offset=0&amp;query=any,contains,991005230869702656","Catalog Record")</f>
        <v>Catalog Record</v>
      </c>
      <c r="AT1065" s="6" t="str">
        <f>HYPERLINK("http://www.worldcat.org/oclc/8324446","WorldCat Record")</f>
        <v>WorldCat Record</v>
      </c>
      <c r="AU1065" s="3" t="s">
        <v>13421</v>
      </c>
      <c r="AV1065" s="3" t="s">
        <v>13422</v>
      </c>
      <c r="AW1065" s="3" t="s">
        <v>13423</v>
      </c>
      <c r="AX1065" s="3" t="s">
        <v>13423</v>
      </c>
      <c r="AY1065" s="3" t="s">
        <v>13424</v>
      </c>
      <c r="AZ1065" s="3" t="s">
        <v>76</v>
      </c>
      <c r="BB1065" s="3" t="s">
        <v>13425</v>
      </c>
      <c r="BC1065" s="3" t="s">
        <v>13426</v>
      </c>
      <c r="BD1065" s="3" t="s">
        <v>13427</v>
      </c>
    </row>
    <row r="1066" spans="1:56" ht="52.5" customHeight="1" x14ac:dyDescent="0.25">
      <c r="A1066" s="7" t="s">
        <v>59</v>
      </c>
      <c r="B1066" s="2" t="s">
        <v>13428</v>
      </c>
      <c r="C1066" s="2" t="s">
        <v>13429</v>
      </c>
      <c r="D1066" s="2" t="s">
        <v>13430</v>
      </c>
      <c r="F1066" s="3" t="s">
        <v>59</v>
      </c>
      <c r="G1066" s="3" t="s">
        <v>60</v>
      </c>
      <c r="H1066" s="3" t="s">
        <v>59</v>
      </c>
      <c r="I1066" s="3" t="s">
        <v>59</v>
      </c>
      <c r="J1066" s="3" t="s">
        <v>61</v>
      </c>
      <c r="L1066" s="2" t="s">
        <v>13431</v>
      </c>
      <c r="M1066" s="3" t="s">
        <v>1217</v>
      </c>
      <c r="O1066" s="3" t="s">
        <v>65</v>
      </c>
      <c r="P1066" s="3" t="s">
        <v>66</v>
      </c>
      <c r="Q1066" s="2" t="s">
        <v>13432</v>
      </c>
      <c r="R1066" s="3" t="s">
        <v>68</v>
      </c>
      <c r="S1066" s="4">
        <v>11</v>
      </c>
      <c r="T1066" s="4">
        <v>11</v>
      </c>
      <c r="U1066" s="5" t="s">
        <v>13433</v>
      </c>
      <c r="V1066" s="5" t="s">
        <v>13433</v>
      </c>
      <c r="W1066" s="5" t="s">
        <v>12723</v>
      </c>
      <c r="X1066" s="5" t="s">
        <v>12723</v>
      </c>
      <c r="Y1066" s="4">
        <v>219</v>
      </c>
      <c r="Z1066" s="4">
        <v>184</v>
      </c>
      <c r="AA1066" s="4">
        <v>184</v>
      </c>
      <c r="AB1066" s="4">
        <v>2</v>
      </c>
      <c r="AC1066" s="4">
        <v>2</v>
      </c>
      <c r="AD1066" s="4">
        <v>6</v>
      </c>
      <c r="AE1066" s="4">
        <v>6</v>
      </c>
      <c r="AF1066" s="4">
        <v>2</v>
      </c>
      <c r="AG1066" s="4">
        <v>2</v>
      </c>
      <c r="AH1066" s="4">
        <v>1</v>
      </c>
      <c r="AI1066" s="4">
        <v>1</v>
      </c>
      <c r="AJ1066" s="4">
        <v>3</v>
      </c>
      <c r="AK1066" s="4">
        <v>3</v>
      </c>
      <c r="AL1066" s="4">
        <v>1</v>
      </c>
      <c r="AM1066" s="4">
        <v>1</v>
      </c>
      <c r="AN1066" s="4">
        <v>0</v>
      </c>
      <c r="AO1066" s="4">
        <v>0</v>
      </c>
      <c r="AP1066" s="3" t="s">
        <v>59</v>
      </c>
      <c r="AQ1066" s="3" t="s">
        <v>59</v>
      </c>
      <c r="AS1066" s="6" t="str">
        <f>HYPERLINK("https://creighton-primo.hosted.exlibrisgroup.com/primo-explore/search?tab=default_tab&amp;search_scope=EVERYTHING&amp;vid=01CRU&amp;lang=en_US&amp;offset=0&amp;query=any,contains,991000369889702656","Catalog Record")</f>
        <v>Catalog Record</v>
      </c>
      <c r="AT1066" s="6" t="str">
        <f>HYPERLINK("http://www.worldcat.org/oclc/10429694","WorldCat Record")</f>
        <v>WorldCat Record</v>
      </c>
      <c r="AU1066" s="3" t="s">
        <v>13434</v>
      </c>
      <c r="AV1066" s="3" t="s">
        <v>13435</v>
      </c>
      <c r="AW1066" s="3" t="s">
        <v>13436</v>
      </c>
      <c r="AX1066" s="3" t="s">
        <v>13436</v>
      </c>
      <c r="AY1066" s="3" t="s">
        <v>13437</v>
      </c>
      <c r="AZ1066" s="3" t="s">
        <v>76</v>
      </c>
      <c r="BB1066" s="3" t="s">
        <v>13438</v>
      </c>
      <c r="BC1066" s="3" t="s">
        <v>13439</v>
      </c>
      <c r="BD1066" s="3" t="s">
        <v>13440</v>
      </c>
    </row>
    <row r="1067" spans="1:56" ht="52.5" customHeight="1" x14ac:dyDescent="0.25">
      <c r="A1067" s="7" t="s">
        <v>59</v>
      </c>
      <c r="B1067" s="2" t="s">
        <v>13441</v>
      </c>
      <c r="C1067" s="2" t="s">
        <v>13442</v>
      </c>
      <c r="D1067" s="2" t="s">
        <v>13443</v>
      </c>
      <c r="F1067" s="3" t="s">
        <v>59</v>
      </c>
      <c r="G1067" s="3" t="s">
        <v>60</v>
      </c>
      <c r="H1067" s="3" t="s">
        <v>59</v>
      </c>
      <c r="I1067" s="3" t="s">
        <v>59</v>
      </c>
      <c r="J1067" s="3" t="s">
        <v>61</v>
      </c>
      <c r="L1067" s="2" t="s">
        <v>13444</v>
      </c>
      <c r="M1067" s="3" t="s">
        <v>405</v>
      </c>
      <c r="O1067" s="3" t="s">
        <v>65</v>
      </c>
      <c r="P1067" s="3" t="s">
        <v>699</v>
      </c>
      <c r="R1067" s="3" t="s">
        <v>68</v>
      </c>
      <c r="S1067" s="4">
        <v>6</v>
      </c>
      <c r="T1067" s="4">
        <v>6</v>
      </c>
      <c r="U1067" s="5" t="s">
        <v>13445</v>
      </c>
      <c r="V1067" s="5" t="s">
        <v>13445</v>
      </c>
      <c r="W1067" s="5" t="s">
        <v>12723</v>
      </c>
      <c r="X1067" s="5" t="s">
        <v>12723</v>
      </c>
      <c r="Y1067" s="4">
        <v>312</v>
      </c>
      <c r="Z1067" s="4">
        <v>228</v>
      </c>
      <c r="AA1067" s="4">
        <v>229</v>
      </c>
      <c r="AB1067" s="4">
        <v>3</v>
      </c>
      <c r="AC1067" s="4">
        <v>3</v>
      </c>
      <c r="AD1067" s="4">
        <v>11</v>
      </c>
      <c r="AE1067" s="4">
        <v>11</v>
      </c>
      <c r="AF1067" s="4">
        <v>3</v>
      </c>
      <c r="AG1067" s="4">
        <v>3</v>
      </c>
      <c r="AH1067" s="4">
        <v>3</v>
      </c>
      <c r="AI1067" s="4">
        <v>3</v>
      </c>
      <c r="AJ1067" s="4">
        <v>7</v>
      </c>
      <c r="AK1067" s="4">
        <v>7</v>
      </c>
      <c r="AL1067" s="4">
        <v>2</v>
      </c>
      <c r="AM1067" s="4">
        <v>2</v>
      </c>
      <c r="AN1067" s="4">
        <v>0</v>
      </c>
      <c r="AO1067" s="4">
        <v>0</v>
      </c>
      <c r="AP1067" s="3" t="s">
        <v>59</v>
      </c>
      <c r="AQ1067" s="3" t="s">
        <v>71</v>
      </c>
      <c r="AR1067" s="6" t="str">
        <f>HYPERLINK("http://catalog.hathitrust.org/Record/000860375","HathiTrust Record")</f>
        <v>HathiTrust Record</v>
      </c>
      <c r="AS1067" s="6" t="str">
        <f>HYPERLINK("https://creighton-primo.hosted.exlibrisgroup.com/primo-explore/search?tab=default_tab&amp;search_scope=EVERYTHING&amp;vid=01CRU&amp;lang=en_US&amp;offset=0&amp;query=any,contains,991001042319702656","Catalog Record")</f>
        <v>Catalog Record</v>
      </c>
      <c r="AT1067" s="6" t="str">
        <f>HYPERLINK("http://www.worldcat.org/oclc/15590966","WorldCat Record")</f>
        <v>WorldCat Record</v>
      </c>
      <c r="AU1067" s="3" t="s">
        <v>13446</v>
      </c>
      <c r="AV1067" s="3" t="s">
        <v>13447</v>
      </c>
      <c r="AW1067" s="3" t="s">
        <v>13448</v>
      </c>
      <c r="AX1067" s="3" t="s">
        <v>13448</v>
      </c>
      <c r="AY1067" s="3" t="s">
        <v>13449</v>
      </c>
      <c r="AZ1067" s="3" t="s">
        <v>76</v>
      </c>
      <c r="BB1067" s="3" t="s">
        <v>13450</v>
      </c>
      <c r="BC1067" s="3" t="s">
        <v>13451</v>
      </c>
      <c r="BD1067" s="3" t="s">
        <v>13452</v>
      </c>
    </row>
    <row r="1068" spans="1:56" ht="52.5" customHeight="1" x14ac:dyDescent="0.25">
      <c r="A1068" s="7" t="s">
        <v>59</v>
      </c>
      <c r="B1068" s="2" t="s">
        <v>13453</v>
      </c>
      <c r="C1068" s="2" t="s">
        <v>13454</v>
      </c>
      <c r="D1068" s="2" t="s">
        <v>13455</v>
      </c>
      <c r="F1068" s="3" t="s">
        <v>59</v>
      </c>
      <c r="G1068" s="3" t="s">
        <v>60</v>
      </c>
      <c r="H1068" s="3" t="s">
        <v>59</v>
      </c>
      <c r="I1068" s="3" t="s">
        <v>59</v>
      </c>
      <c r="J1068" s="3" t="s">
        <v>61</v>
      </c>
      <c r="L1068" s="2" t="s">
        <v>698</v>
      </c>
      <c r="M1068" s="3" t="s">
        <v>684</v>
      </c>
      <c r="O1068" s="3" t="s">
        <v>65</v>
      </c>
      <c r="P1068" s="3" t="s">
        <v>699</v>
      </c>
      <c r="R1068" s="3" t="s">
        <v>68</v>
      </c>
      <c r="S1068" s="4">
        <v>3</v>
      </c>
      <c r="T1068" s="4">
        <v>3</v>
      </c>
      <c r="U1068" s="5" t="s">
        <v>13456</v>
      </c>
      <c r="V1068" s="5" t="s">
        <v>13456</v>
      </c>
      <c r="W1068" s="5" t="s">
        <v>13457</v>
      </c>
      <c r="X1068" s="5" t="s">
        <v>13457</v>
      </c>
      <c r="Y1068" s="4">
        <v>376</v>
      </c>
      <c r="Z1068" s="4">
        <v>289</v>
      </c>
      <c r="AA1068" s="4">
        <v>320</v>
      </c>
      <c r="AB1068" s="4">
        <v>2</v>
      </c>
      <c r="AC1068" s="4">
        <v>2</v>
      </c>
      <c r="AD1068" s="4">
        <v>11</v>
      </c>
      <c r="AE1068" s="4">
        <v>11</v>
      </c>
      <c r="AF1068" s="4">
        <v>2</v>
      </c>
      <c r="AG1068" s="4">
        <v>2</v>
      </c>
      <c r="AH1068" s="4">
        <v>3</v>
      </c>
      <c r="AI1068" s="4">
        <v>3</v>
      </c>
      <c r="AJ1068" s="4">
        <v>8</v>
      </c>
      <c r="AK1068" s="4">
        <v>8</v>
      </c>
      <c r="AL1068" s="4">
        <v>1</v>
      </c>
      <c r="AM1068" s="4">
        <v>1</v>
      </c>
      <c r="AN1068" s="4">
        <v>0</v>
      </c>
      <c r="AO1068" s="4">
        <v>0</v>
      </c>
      <c r="AP1068" s="3" t="s">
        <v>59</v>
      </c>
      <c r="AQ1068" s="3" t="s">
        <v>71</v>
      </c>
      <c r="AR1068" s="6" t="str">
        <f>HYPERLINK("http://catalog.hathitrust.org/Record/000227394","HathiTrust Record")</f>
        <v>HathiTrust Record</v>
      </c>
      <c r="AS1068" s="6" t="str">
        <f>HYPERLINK("https://creighton-primo.hosted.exlibrisgroup.com/primo-explore/search?tab=default_tab&amp;search_scope=EVERYTHING&amp;vid=01CRU&amp;lang=en_US&amp;offset=0&amp;query=any,contains,991005086729702656","Catalog Record")</f>
        <v>Catalog Record</v>
      </c>
      <c r="AT1068" s="6" t="str">
        <f>HYPERLINK("http://www.worldcat.org/oclc/7197083","WorldCat Record")</f>
        <v>WorldCat Record</v>
      </c>
      <c r="AU1068" s="3" t="s">
        <v>13458</v>
      </c>
      <c r="AV1068" s="3" t="s">
        <v>13459</v>
      </c>
      <c r="AW1068" s="3" t="s">
        <v>13460</v>
      </c>
      <c r="AX1068" s="3" t="s">
        <v>13460</v>
      </c>
      <c r="AY1068" s="3" t="s">
        <v>13461</v>
      </c>
      <c r="AZ1068" s="3" t="s">
        <v>76</v>
      </c>
      <c r="BB1068" s="3" t="s">
        <v>13462</v>
      </c>
      <c r="BC1068" s="3" t="s">
        <v>13463</v>
      </c>
      <c r="BD1068" s="3" t="s">
        <v>13464</v>
      </c>
    </row>
    <row r="1069" spans="1:56" ht="52.5" customHeight="1" x14ac:dyDescent="0.25">
      <c r="A1069" s="7" t="s">
        <v>59</v>
      </c>
      <c r="B1069" s="2" t="s">
        <v>13465</v>
      </c>
      <c r="C1069" s="2" t="s">
        <v>13466</v>
      </c>
      <c r="D1069" s="2" t="s">
        <v>13467</v>
      </c>
      <c r="F1069" s="3" t="s">
        <v>59</v>
      </c>
      <c r="G1069" s="3" t="s">
        <v>60</v>
      </c>
      <c r="H1069" s="3" t="s">
        <v>59</v>
      </c>
      <c r="I1069" s="3" t="s">
        <v>59</v>
      </c>
      <c r="J1069" s="3" t="s">
        <v>61</v>
      </c>
      <c r="L1069" s="2" t="s">
        <v>13468</v>
      </c>
      <c r="M1069" s="3" t="s">
        <v>1000</v>
      </c>
      <c r="O1069" s="3" t="s">
        <v>65</v>
      </c>
      <c r="P1069" s="3" t="s">
        <v>66</v>
      </c>
      <c r="R1069" s="3" t="s">
        <v>68</v>
      </c>
      <c r="S1069" s="4">
        <v>8</v>
      </c>
      <c r="T1069" s="4">
        <v>8</v>
      </c>
      <c r="U1069" s="5" t="s">
        <v>2429</v>
      </c>
      <c r="V1069" s="5" t="s">
        <v>2429</v>
      </c>
      <c r="W1069" s="5" t="s">
        <v>13469</v>
      </c>
      <c r="X1069" s="5" t="s">
        <v>13469</v>
      </c>
      <c r="Y1069" s="4">
        <v>282</v>
      </c>
      <c r="Z1069" s="4">
        <v>254</v>
      </c>
      <c r="AA1069" s="4">
        <v>288</v>
      </c>
      <c r="AB1069" s="4">
        <v>4</v>
      </c>
      <c r="AC1069" s="4">
        <v>4</v>
      </c>
      <c r="AD1069" s="4">
        <v>10</v>
      </c>
      <c r="AE1069" s="4">
        <v>10</v>
      </c>
      <c r="AF1069" s="4">
        <v>2</v>
      </c>
      <c r="AG1069" s="4">
        <v>2</v>
      </c>
      <c r="AH1069" s="4">
        <v>2</v>
      </c>
      <c r="AI1069" s="4">
        <v>2</v>
      </c>
      <c r="AJ1069" s="4">
        <v>5</v>
      </c>
      <c r="AK1069" s="4">
        <v>5</v>
      </c>
      <c r="AL1069" s="4">
        <v>2</v>
      </c>
      <c r="AM1069" s="4">
        <v>2</v>
      </c>
      <c r="AN1069" s="4">
        <v>0</v>
      </c>
      <c r="AO1069" s="4">
        <v>0</v>
      </c>
      <c r="AP1069" s="3" t="s">
        <v>59</v>
      </c>
      <c r="AQ1069" s="3" t="s">
        <v>71</v>
      </c>
      <c r="AR1069" s="6" t="str">
        <f>HYPERLINK("http://catalog.hathitrust.org/Record/000174060","HathiTrust Record")</f>
        <v>HathiTrust Record</v>
      </c>
      <c r="AS1069" s="6" t="str">
        <f>HYPERLINK("https://creighton-primo.hosted.exlibrisgroup.com/primo-explore/search?tab=default_tab&amp;search_scope=EVERYTHING&amp;vid=01CRU&amp;lang=en_US&amp;offset=0&amp;query=any,contains,991004545549702656","Catalog Record")</f>
        <v>Catalog Record</v>
      </c>
      <c r="AT1069" s="6" t="str">
        <f>HYPERLINK("http://www.worldcat.org/oclc/3913319","WorldCat Record")</f>
        <v>WorldCat Record</v>
      </c>
      <c r="AU1069" s="3" t="s">
        <v>13470</v>
      </c>
      <c r="AV1069" s="3" t="s">
        <v>13471</v>
      </c>
      <c r="AW1069" s="3" t="s">
        <v>13472</v>
      </c>
      <c r="AX1069" s="3" t="s">
        <v>13472</v>
      </c>
      <c r="AY1069" s="3" t="s">
        <v>13473</v>
      </c>
      <c r="AZ1069" s="3" t="s">
        <v>76</v>
      </c>
      <c r="BB1069" s="3" t="s">
        <v>13474</v>
      </c>
      <c r="BC1069" s="3" t="s">
        <v>13475</v>
      </c>
      <c r="BD1069" s="3" t="s">
        <v>13476</v>
      </c>
    </row>
    <row r="1070" spans="1:56" ht="52.5" customHeight="1" x14ac:dyDescent="0.25">
      <c r="A1070" s="7" t="s">
        <v>59</v>
      </c>
      <c r="B1070" s="2" t="s">
        <v>13477</v>
      </c>
      <c r="C1070" s="2" t="s">
        <v>13478</v>
      </c>
      <c r="D1070" s="2" t="s">
        <v>13479</v>
      </c>
      <c r="F1070" s="3" t="s">
        <v>59</v>
      </c>
      <c r="G1070" s="3" t="s">
        <v>60</v>
      </c>
      <c r="H1070" s="3" t="s">
        <v>59</v>
      </c>
      <c r="I1070" s="3" t="s">
        <v>59</v>
      </c>
      <c r="J1070" s="3" t="s">
        <v>61</v>
      </c>
      <c r="K1070" s="2" t="s">
        <v>13480</v>
      </c>
      <c r="L1070" s="2" t="s">
        <v>13481</v>
      </c>
      <c r="M1070" s="3" t="s">
        <v>1163</v>
      </c>
      <c r="N1070" s="2" t="s">
        <v>887</v>
      </c>
      <c r="O1070" s="3" t="s">
        <v>65</v>
      </c>
      <c r="P1070" s="3" t="s">
        <v>66</v>
      </c>
      <c r="R1070" s="3" t="s">
        <v>68</v>
      </c>
      <c r="S1070" s="4">
        <v>3</v>
      </c>
      <c r="T1070" s="4">
        <v>3</v>
      </c>
      <c r="U1070" s="5" t="s">
        <v>3744</v>
      </c>
      <c r="V1070" s="5" t="s">
        <v>3744</v>
      </c>
      <c r="W1070" s="5" t="s">
        <v>12723</v>
      </c>
      <c r="X1070" s="5" t="s">
        <v>12723</v>
      </c>
      <c r="Y1070" s="4">
        <v>207</v>
      </c>
      <c r="Z1070" s="4">
        <v>144</v>
      </c>
      <c r="AA1070" s="4">
        <v>145</v>
      </c>
      <c r="AB1070" s="4">
        <v>3</v>
      </c>
      <c r="AC1070" s="4">
        <v>3</v>
      </c>
      <c r="AD1070" s="4">
        <v>7</v>
      </c>
      <c r="AE1070" s="4">
        <v>7</v>
      </c>
      <c r="AF1070" s="4">
        <v>2</v>
      </c>
      <c r="AG1070" s="4">
        <v>2</v>
      </c>
      <c r="AH1070" s="4">
        <v>0</v>
      </c>
      <c r="AI1070" s="4">
        <v>0</v>
      </c>
      <c r="AJ1070" s="4">
        <v>5</v>
      </c>
      <c r="AK1070" s="4">
        <v>5</v>
      </c>
      <c r="AL1070" s="4">
        <v>2</v>
      </c>
      <c r="AM1070" s="4">
        <v>2</v>
      </c>
      <c r="AN1070" s="4">
        <v>0</v>
      </c>
      <c r="AO1070" s="4">
        <v>0</v>
      </c>
      <c r="AP1070" s="3" t="s">
        <v>59</v>
      </c>
      <c r="AQ1070" s="3" t="s">
        <v>59</v>
      </c>
      <c r="AS1070" s="6" t="str">
        <f>HYPERLINK("https://creighton-primo.hosted.exlibrisgroup.com/primo-explore/search?tab=default_tab&amp;search_scope=EVERYTHING&amp;vid=01CRU&amp;lang=en_US&amp;offset=0&amp;query=any,contains,991000529939702656","Catalog Record")</f>
        <v>Catalog Record</v>
      </c>
      <c r="AT1070" s="6" t="str">
        <f>HYPERLINK("http://www.worldcat.org/oclc/11397870","WorldCat Record")</f>
        <v>WorldCat Record</v>
      </c>
      <c r="AU1070" s="3" t="s">
        <v>13482</v>
      </c>
      <c r="AV1070" s="3" t="s">
        <v>13483</v>
      </c>
      <c r="AW1070" s="3" t="s">
        <v>13484</v>
      </c>
      <c r="AX1070" s="3" t="s">
        <v>13484</v>
      </c>
      <c r="AY1070" s="3" t="s">
        <v>13485</v>
      </c>
      <c r="AZ1070" s="3" t="s">
        <v>76</v>
      </c>
      <c r="BB1070" s="3" t="s">
        <v>13486</v>
      </c>
      <c r="BC1070" s="3" t="s">
        <v>13487</v>
      </c>
      <c r="BD1070" s="3" t="s">
        <v>13488</v>
      </c>
    </row>
    <row r="1071" spans="1:56" ht="52.5" customHeight="1" x14ac:dyDescent="0.25">
      <c r="A1071" s="7" t="s">
        <v>59</v>
      </c>
      <c r="B1071" s="2" t="s">
        <v>13489</v>
      </c>
      <c r="C1071" s="2" t="s">
        <v>13490</v>
      </c>
      <c r="D1071" s="2" t="s">
        <v>13491</v>
      </c>
      <c r="F1071" s="3" t="s">
        <v>59</v>
      </c>
      <c r="G1071" s="3" t="s">
        <v>60</v>
      </c>
      <c r="H1071" s="3" t="s">
        <v>59</v>
      </c>
      <c r="I1071" s="3" t="s">
        <v>59</v>
      </c>
      <c r="J1071" s="3" t="s">
        <v>61</v>
      </c>
      <c r="L1071" s="2" t="s">
        <v>13492</v>
      </c>
      <c r="M1071" s="3" t="s">
        <v>616</v>
      </c>
      <c r="O1071" s="3" t="s">
        <v>65</v>
      </c>
      <c r="P1071" s="3" t="s">
        <v>1262</v>
      </c>
      <c r="R1071" s="3" t="s">
        <v>68</v>
      </c>
      <c r="S1071" s="4">
        <v>2</v>
      </c>
      <c r="T1071" s="4">
        <v>2</v>
      </c>
      <c r="U1071" s="5" t="s">
        <v>12456</v>
      </c>
      <c r="V1071" s="5" t="s">
        <v>12456</v>
      </c>
      <c r="W1071" s="5" t="s">
        <v>13493</v>
      </c>
      <c r="X1071" s="5" t="s">
        <v>13493</v>
      </c>
      <c r="Y1071" s="4">
        <v>723</v>
      </c>
      <c r="Z1071" s="4">
        <v>530</v>
      </c>
      <c r="AA1071" s="4">
        <v>546</v>
      </c>
      <c r="AB1071" s="4">
        <v>6</v>
      </c>
      <c r="AC1071" s="4">
        <v>6</v>
      </c>
      <c r="AD1071" s="4">
        <v>28</v>
      </c>
      <c r="AE1071" s="4">
        <v>28</v>
      </c>
      <c r="AF1071" s="4">
        <v>7</v>
      </c>
      <c r="AG1071" s="4">
        <v>7</v>
      </c>
      <c r="AH1071" s="4">
        <v>6</v>
      </c>
      <c r="AI1071" s="4">
        <v>6</v>
      </c>
      <c r="AJ1071" s="4">
        <v>17</v>
      </c>
      <c r="AK1071" s="4">
        <v>17</v>
      </c>
      <c r="AL1071" s="4">
        <v>5</v>
      </c>
      <c r="AM1071" s="4">
        <v>5</v>
      </c>
      <c r="AN1071" s="4">
        <v>0</v>
      </c>
      <c r="AO1071" s="4">
        <v>0</v>
      </c>
      <c r="AP1071" s="3" t="s">
        <v>59</v>
      </c>
      <c r="AQ1071" s="3" t="s">
        <v>59</v>
      </c>
      <c r="AS1071" s="6" t="str">
        <f>HYPERLINK("https://creighton-primo.hosted.exlibrisgroup.com/primo-explore/search?tab=default_tab&amp;search_scope=EVERYTHING&amp;vid=01CRU&amp;lang=en_US&amp;offset=0&amp;query=any,contains,991001188869702656","Catalog Record")</f>
        <v>Catalog Record</v>
      </c>
      <c r="AT1071" s="6" t="str">
        <f>HYPERLINK("http://www.worldcat.org/oclc/17234097","WorldCat Record")</f>
        <v>WorldCat Record</v>
      </c>
      <c r="AU1071" s="3" t="s">
        <v>13494</v>
      </c>
      <c r="AV1071" s="3" t="s">
        <v>13495</v>
      </c>
      <c r="AW1071" s="3" t="s">
        <v>13496</v>
      </c>
      <c r="AX1071" s="3" t="s">
        <v>13496</v>
      </c>
      <c r="AY1071" s="3" t="s">
        <v>13497</v>
      </c>
      <c r="AZ1071" s="3" t="s">
        <v>76</v>
      </c>
      <c r="BB1071" s="3" t="s">
        <v>13498</v>
      </c>
      <c r="BC1071" s="3" t="s">
        <v>13499</v>
      </c>
      <c r="BD1071" s="3" t="s">
        <v>13500</v>
      </c>
    </row>
    <row r="1072" spans="1:56" ht="52.5" customHeight="1" x14ac:dyDescent="0.25">
      <c r="A1072" s="7" t="s">
        <v>59</v>
      </c>
      <c r="B1072" s="2" t="s">
        <v>13501</v>
      </c>
      <c r="C1072" s="2" t="s">
        <v>13502</v>
      </c>
      <c r="D1072" s="2" t="s">
        <v>13503</v>
      </c>
      <c r="F1072" s="3" t="s">
        <v>59</v>
      </c>
      <c r="G1072" s="3" t="s">
        <v>60</v>
      </c>
      <c r="H1072" s="3" t="s">
        <v>59</v>
      </c>
      <c r="I1072" s="3" t="s">
        <v>59</v>
      </c>
      <c r="J1072" s="3" t="s">
        <v>61</v>
      </c>
      <c r="L1072" s="2" t="s">
        <v>13504</v>
      </c>
      <c r="M1072" s="3" t="s">
        <v>131</v>
      </c>
      <c r="N1072" s="2" t="s">
        <v>13505</v>
      </c>
      <c r="O1072" s="3" t="s">
        <v>65</v>
      </c>
      <c r="P1072" s="3" t="s">
        <v>420</v>
      </c>
      <c r="Q1072" s="2" t="s">
        <v>7816</v>
      </c>
      <c r="R1072" s="3" t="s">
        <v>68</v>
      </c>
      <c r="S1072" s="4">
        <v>1</v>
      </c>
      <c r="T1072" s="4">
        <v>1</v>
      </c>
      <c r="U1072" s="5" t="s">
        <v>13506</v>
      </c>
      <c r="V1072" s="5" t="s">
        <v>13506</v>
      </c>
      <c r="W1072" s="5" t="s">
        <v>13189</v>
      </c>
      <c r="X1072" s="5" t="s">
        <v>13189</v>
      </c>
      <c r="Y1072" s="4">
        <v>468</v>
      </c>
      <c r="Z1072" s="4">
        <v>405</v>
      </c>
      <c r="AA1072" s="4">
        <v>458</v>
      </c>
      <c r="AB1072" s="4">
        <v>3</v>
      </c>
      <c r="AC1072" s="4">
        <v>3</v>
      </c>
      <c r="AD1072" s="4">
        <v>18</v>
      </c>
      <c r="AE1072" s="4">
        <v>19</v>
      </c>
      <c r="AF1072" s="4">
        <v>5</v>
      </c>
      <c r="AG1072" s="4">
        <v>5</v>
      </c>
      <c r="AH1072" s="4">
        <v>4</v>
      </c>
      <c r="AI1072" s="4">
        <v>5</v>
      </c>
      <c r="AJ1072" s="4">
        <v>10</v>
      </c>
      <c r="AK1072" s="4">
        <v>11</v>
      </c>
      <c r="AL1072" s="4">
        <v>2</v>
      </c>
      <c r="AM1072" s="4">
        <v>2</v>
      </c>
      <c r="AN1072" s="4">
        <v>0</v>
      </c>
      <c r="AO1072" s="4">
        <v>0</v>
      </c>
      <c r="AP1072" s="3" t="s">
        <v>59</v>
      </c>
      <c r="AQ1072" s="3" t="s">
        <v>71</v>
      </c>
      <c r="AR1072" s="6" t="str">
        <f>HYPERLINK("http://catalog.hathitrust.org/Record/000472265","HathiTrust Record")</f>
        <v>HathiTrust Record</v>
      </c>
      <c r="AS1072" s="6" t="str">
        <f>HYPERLINK("https://creighton-primo.hosted.exlibrisgroup.com/primo-explore/search?tab=default_tab&amp;search_scope=EVERYTHING&amp;vid=01CRU&amp;lang=en_US&amp;offset=0&amp;query=any,contains,991003404139702656","Catalog Record")</f>
        <v>Catalog Record</v>
      </c>
      <c r="AT1072" s="6" t="str">
        <f>HYPERLINK("http://www.worldcat.org/oclc/943856","WorldCat Record")</f>
        <v>WorldCat Record</v>
      </c>
      <c r="AU1072" s="3" t="s">
        <v>13507</v>
      </c>
      <c r="AV1072" s="3" t="s">
        <v>13508</v>
      </c>
      <c r="AW1072" s="3" t="s">
        <v>13509</v>
      </c>
      <c r="AX1072" s="3" t="s">
        <v>13509</v>
      </c>
      <c r="AY1072" s="3" t="s">
        <v>13510</v>
      </c>
      <c r="AZ1072" s="3" t="s">
        <v>76</v>
      </c>
      <c r="BB1072" s="3" t="s">
        <v>13511</v>
      </c>
      <c r="BC1072" s="3" t="s">
        <v>13512</v>
      </c>
      <c r="BD1072" s="3" t="s">
        <v>13513</v>
      </c>
    </row>
    <row r="1073" spans="1:56" ht="52.5" customHeight="1" x14ac:dyDescent="0.25">
      <c r="A1073" s="7" t="s">
        <v>59</v>
      </c>
      <c r="B1073" s="2" t="s">
        <v>13514</v>
      </c>
      <c r="C1073" s="2" t="s">
        <v>13515</v>
      </c>
      <c r="D1073" s="2" t="s">
        <v>13516</v>
      </c>
      <c r="F1073" s="3" t="s">
        <v>59</v>
      </c>
      <c r="G1073" s="3" t="s">
        <v>60</v>
      </c>
      <c r="H1073" s="3" t="s">
        <v>59</v>
      </c>
      <c r="I1073" s="3" t="s">
        <v>59</v>
      </c>
      <c r="J1073" s="3" t="s">
        <v>61</v>
      </c>
      <c r="K1073" s="2" t="s">
        <v>13517</v>
      </c>
      <c r="L1073" s="2" t="s">
        <v>13518</v>
      </c>
      <c r="M1073" s="3" t="s">
        <v>309</v>
      </c>
      <c r="O1073" s="3" t="s">
        <v>65</v>
      </c>
      <c r="P1073" s="3" t="s">
        <v>699</v>
      </c>
      <c r="Q1073" s="2" t="s">
        <v>13519</v>
      </c>
      <c r="R1073" s="3" t="s">
        <v>68</v>
      </c>
      <c r="S1073" s="4">
        <v>8</v>
      </c>
      <c r="T1073" s="4">
        <v>8</v>
      </c>
      <c r="U1073" s="5" t="s">
        <v>13520</v>
      </c>
      <c r="V1073" s="5" t="s">
        <v>13520</v>
      </c>
      <c r="W1073" s="5" t="s">
        <v>12723</v>
      </c>
      <c r="X1073" s="5" t="s">
        <v>12723</v>
      </c>
      <c r="Y1073" s="4">
        <v>898</v>
      </c>
      <c r="Z1073" s="4">
        <v>771</v>
      </c>
      <c r="AA1073" s="4">
        <v>802</v>
      </c>
      <c r="AB1073" s="4">
        <v>6</v>
      </c>
      <c r="AC1073" s="4">
        <v>6</v>
      </c>
      <c r="AD1073" s="4">
        <v>34</v>
      </c>
      <c r="AE1073" s="4">
        <v>34</v>
      </c>
      <c r="AF1073" s="4">
        <v>16</v>
      </c>
      <c r="AG1073" s="4">
        <v>16</v>
      </c>
      <c r="AH1073" s="4">
        <v>7</v>
      </c>
      <c r="AI1073" s="4">
        <v>7</v>
      </c>
      <c r="AJ1073" s="4">
        <v>17</v>
      </c>
      <c r="AK1073" s="4">
        <v>17</v>
      </c>
      <c r="AL1073" s="4">
        <v>3</v>
      </c>
      <c r="AM1073" s="4">
        <v>3</v>
      </c>
      <c r="AN1073" s="4">
        <v>0</v>
      </c>
      <c r="AO1073" s="4">
        <v>0</v>
      </c>
      <c r="AP1073" s="3" t="s">
        <v>59</v>
      </c>
      <c r="AQ1073" s="3" t="s">
        <v>71</v>
      </c>
      <c r="AR1073" s="6" t="str">
        <f>HYPERLINK("http://catalog.hathitrust.org/Record/000135140","HathiTrust Record")</f>
        <v>HathiTrust Record</v>
      </c>
      <c r="AS1073" s="6" t="str">
        <f>HYPERLINK("https://creighton-primo.hosted.exlibrisgroup.com/primo-explore/search?tab=default_tab&amp;search_scope=EVERYTHING&amp;vid=01CRU&amp;lang=en_US&amp;offset=0&amp;query=any,contains,991004524939702656","Catalog Record")</f>
        <v>Catalog Record</v>
      </c>
      <c r="AT1073" s="6" t="str">
        <f>HYPERLINK("http://www.worldcat.org/oclc/3843000","WorldCat Record")</f>
        <v>WorldCat Record</v>
      </c>
      <c r="AU1073" s="3" t="s">
        <v>13521</v>
      </c>
      <c r="AV1073" s="3" t="s">
        <v>13522</v>
      </c>
      <c r="AW1073" s="3" t="s">
        <v>13523</v>
      </c>
      <c r="AX1073" s="3" t="s">
        <v>13523</v>
      </c>
      <c r="AY1073" s="3" t="s">
        <v>13524</v>
      </c>
      <c r="AZ1073" s="3" t="s">
        <v>76</v>
      </c>
      <c r="BB1073" s="3" t="s">
        <v>13525</v>
      </c>
      <c r="BC1073" s="3" t="s">
        <v>13526</v>
      </c>
      <c r="BD1073" s="3" t="s">
        <v>13527</v>
      </c>
    </row>
    <row r="1074" spans="1:56" ht="52.5" customHeight="1" x14ac:dyDescent="0.25">
      <c r="A1074" s="7" t="s">
        <v>59</v>
      </c>
      <c r="B1074" s="2" t="s">
        <v>13528</v>
      </c>
      <c r="C1074" s="2" t="s">
        <v>13529</v>
      </c>
      <c r="D1074" s="2" t="s">
        <v>13530</v>
      </c>
      <c r="F1074" s="3" t="s">
        <v>59</v>
      </c>
      <c r="G1074" s="3" t="s">
        <v>60</v>
      </c>
      <c r="H1074" s="3" t="s">
        <v>59</v>
      </c>
      <c r="I1074" s="3" t="s">
        <v>59</v>
      </c>
      <c r="J1074" s="3" t="s">
        <v>61</v>
      </c>
      <c r="L1074" s="2" t="s">
        <v>9368</v>
      </c>
      <c r="M1074" s="3" t="s">
        <v>350</v>
      </c>
      <c r="O1074" s="3" t="s">
        <v>65</v>
      </c>
      <c r="P1074" s="3" t="s">
        <v>66</v>
      </c>
      <c r="Q1074" s="2" t="s">
        <v>13531</v>
      </c>
      <c r="R1074" s="3" t="s">
        <v>68</v>
      </c>
      <c r="S1074" s="4">
        <v>4</v>
      </c>
      <c r="T1074" s="4">
        <v>4</v>
      </c>
      <c r="U1074" s="5" t="s">
        <v>7511</v>
      </c>
      <c r="V1074" s="5" t="s">
        <v>7511</v>
      </c>
      <c r="W1074" s="5" t="s">
        <v>13532</v>
      </c>
      <c r="X1074" s="5" t="s">
        <v>13532</v>
      </c>
      <c r="Y1074" s="4">
        <v>475</v>
      </c>
      <c r="Z1074" s="4">
        <v>361</v>
      </c>
      <c r="AA1074" s="4">
        <v>367</v>
      </c>
      <c r="AB1074" s="4">
        <v>3</v>
      </c>
      <c r="AC1074" s="4">
        <v>3</v>
      </c>
      <c r="AD1074" s="4">
        <v>17</v>
      </c>
      <c r="AE1074" s="4">
        <v>17</v>
      </c>
      <c r="AF1074" s="4">
        <v>4</v>
      </c>
      <c r="AG1074" s="4">
        <v>4</v>
      </c>
      <c r="AH1074" s="4">
        <v>4</v>
      </c>
      <c r="AI1074" s="4">
        <v>4</v>
      </c>
      <c r="AJ1074" s="4">
        <v>10</v>
      </c>
      <c r="AK1074" s="4">
        <v>10</v>
      </c>
      <c r="AL1074" s="4">
        <v>2</v>
      </c>
      <c r="AM1074" s="4">
        <v>2</v>
      </c>
      <c r="AN1074" s="4">
        <v>0</v>
      </c>
      <c r="AO1074" s="4">
        <v>0</v>
      </c>
      <c r="AP1074" s="3" t="s">
        <v>59</v>
      </c>
      <c r="AQ1074" s="3" t="s">
        <v>71</v>
      </c>
      <c r="AR1074" s="6" t="str">
        <f>HYPERLINK("http://catalog.hathitrust.org/Record/000725026","HathiTrust Record")</f>
        <v>HathiTrust Record</v>
      </c>
      <c r="AS1074" s="6" t="str">
        <f>HYPERLINK("https://creighton-primo.hosted.exlibrisgroup.com/primo-explore/search?tab=default_tab&amp;search_scope=EVERYTHING&amp;vid=01CRU&amp;lang=en_US&amp;offset=0&amp;query=any,contains,991004268419702656","Catalog Record")</f>
        <v>Catalog Record</v>
      </c>
      <c r="AT1074" s="6" t="str">
        <f>HYPERLINK("http://www.worldcat.org/oclc/2873814","WorldCat Record")</f>
        <v>WorldCat Record</v>
      </c>
      <c r="AU1074" s="3" t="s">
        <v>13533</v>
      </c>
      <c r="AV1074" s="3" t="s">
        <v>13534</v>
      </c>
      <c r="AW1074" s="3" t="s">
        <v>13535</v>
      </c>
      <c r="AX1074" s="3" t="s">
        <v>13535</v>
      </c>
      <c r="AY1074" s="3" t="s">
        <v>13536</v>
      </c>
      <c r="AZ1074" s="3" t="s">
        <v>76</v>
      </c>
      <c r="BB1074" s="3" t="s">
        <v>13537</v>
      </c>
      <c r="BC1074" s="3" t="s">
        <v>13538</v>
      </c>
      <c r="BD1074" s="3" t="s">
        <v>13539</v>
      </c>
    </row>
    <row r="1075" spans="1:56" ht="52.5" customHeight="1" x14ac:dyDescent="0.25">
      <c r="A1075" s="7" t="s">
        <v>59</v>
      </c>
      <c r="B1075" s="2" t="s">
        <v>13540</v>
      </c>
      <c r="C1075" s="2" t="s">
        <v>13541</v>
      </c>
      <c r="D1075" s="2" t="s">
        <v>13542</v>
      </c>
      <c r="F1075" s="3" t="s">
        <v>59</v>
      </c>
      <c r="G1075" s="3" t="s">
        <v>60</v>
      </c>
      <c r="H1075" s="3" t="s">
        <v>59</v>
      </c>
      <c r="I1075" s="3" t="s">
        <v>71</v>
      </c>
      <c r="J1075" s="3" t="s">
        <v>61</v>
      </c>
      <c r="K1075" s="2" t="s">
        <v>6751</v>
      </c>
      <c r="L1075" s="2" t="s">
        <v>13543</v>
      </c>
      <c r="M1075" s="3" t="s">
        <v>1163</v>
      </c>
      <c r="N1075" s="2" t="s">
        <v>3938</v>
      </c>
      <c r="O1075" s="3" t="s">
        <v>65</v>
      </c>
      <c r="P1075" s="3" t="s">
        <v>699</v>
      </c>
      <c r="R1075" s="3" t="s">
        <v>68</v>
      </c>
      <c r="S1075" s="4">
        <v>12</v>
      </c>
      <c r="T1075" s="4">
        <v>12</v>
      </c>
      <c r="U1075" s="5" t="s">
        <v>13544</v>
      </c>
      <c r="V1075" s="5" t="s">
        <v>13544</v>
      </c>
      <c r="W1075" s="5" t="s">
        <v>13545</v>
      </c>
      <c r="X1075" s="5" t="s">
        <v>13545</v>
      </c>
      <c r="Y1075" s="4">
        <v>550</v>
      </c>
      <c r="Z1075" s="4">
        <v>365</v>
      </c>
      <c r="AA1075" s="4">
        <v>1138</v>
      </c>
      <c r="AB1075" s="4">
        <v>1</v>
      </c>
      <c r="AC1075" s="4">
        <v>9</v>
      </c>
      <c r="AD1075" s="4">
        <v>12</v>
      </c>
      <c r="AE1075" s="4">
        <v>43</v>
      </c>
      <c r="AF1075" s="4">
        <v>6</v>
      </c>
      <c r="AG1075" s="4">
        <v>20</v>
      </c>
      <c r="AH1075" s="4">
        <v>3</v>
      </c>
      <c r="AI1075" s="4">
        <v>8</v>
      </c>
      <c r="AJ1075" s="4">
        <v>7</v>
      </c>
      <c r="AK1075" s="4">
        <v>22</v>
      </c>
      <c r="AL1075" s="4">
        <v>0</v>
      </c>
      <c r="AM1075" s="4">
        <v>6</v>
      </c>
      <c r="AN1075" s="4">
        <v>0</v>
      </c>
      <c r="AO1075" s="4">
        <v>0</v>
      </c>
      <c r="AP1075" s="3" t="s">
        <v>59</v>
      </c>
      <c r="AQ1075" s="3" t="s">
        <v>71</v>
      </c>
      <c r="AR1075" s="6" t="str">
        <f>HYPERLINK("http://catalog.hathitrust.org/Record/000568411","HathiTrust Record")</f>
        <v>HathiTrust Record</v>
      </c>
      <c r="AS1075" s="6" t="str">
        <f>HYPERLINK("https://creighton-primo.hosted.exlibrisgroup.com/primo-explore/search?tab=default_tab&amp;search_scope=EVERYTHING&amp;vid=01CRU&amp;lang=en_US&amp;offset=0&amp;query=any,contains,991000464899702656","Catalog Record")</f>
        <v>Catalog Record</v>
      </c>
      <c r="AT1075" s="6" t="str">
        <f>HYPERLINK("http://www.worldcat.org/oclc/10949982","WorldCat Record")</f>
        <v>WorldCat Record</v>
      </c>
      <c r="AU1075" s="3" t="s">
        <v>12687</v>
      </c>
      <c r="AV1075" s="3" t="s">
        <v>13546</v>
      </c>
      <c r="AW1075" s="3" t="s">
        <v>13547</v>
      </c>
      <c r="AX1075" s="3" t="s">
        <v>13547</v>
      </c>
      <c r="AY1075" s="3" t="s">
        <v>13548</v>
      </c>
      <c r="AZ1075" s="3" t="s">
        <v>76</v>
      </c>
      <c r="BB1075" s="3" t="s">
        <v>13549</v>
      </c>
      <c r="BC1075" s="3" t="s">
        <v>13550</v>
      </c>
      <c r="BD1075" s="3" t="s">
        <v>13551</v>
      </c>
    </row>
    <row r="1076" spans="1:56" ht="52.5" customHeight="1" x14ac:dyDescent="0.25">
      <c r="A1076" s="7" t="s">
        <v>59</v>
      </c>
      <c r="B1076" s="2" t="s">
        <v>13552</v>
      </c>
      <c r="C1076" s="2" t="s">
        <v>13553</v>
      </c>
      <c r="D1076" s="2" t="s">
        <v>13554</v>
      </c>
      <c r="F1076" s="3" t="s">
        <v>59</v>
      </c>
      <c r="G1076" s="3" t="s">
        <v>60</v>
      </c>
      <c r="H1076" s="3" t="s">
        <v>59</v>
      </c>
      <c r="I1076" s="3" t="s">
        <v>59</v>
      </c>
      <c r="J1076" s="3" t="s">
        <v>61</v>
      </c>
      <c r="K1076" s="2" t="s">
        <v>13555</v>
      </c>
      <c r="L1076" s="2" t="s">
        <v>13556</v>
      </c>
      <c r="M1076" s="3" t="s">
        <v>549</v>
      </c>
      <c r="O1076" s="3" t="s">
        <v>65</v>
      </c>
      <c r="P1076" s="3" t="s">
        <v>296</v>
      </c>
      <c r="R1076" s="3" t="s">
        <v>68</v>
      </c>
      <c r="S1076" s="4">
        <v>1</v>
      </c>
      <c r="T1076" s="4">
        <v>1</v>
      </c>
      <c r="U1076" s="5" t="s">
        <v>13003</v>
      </c>
      <c r="V1076" s="5" t="s">
        <v>13003</v>
      </c>
      <c r="W1076" s="5" t="s">
        <v>8643</v>
      </c>
      <c r="X1076" s="5" t="s">
        <v>8643</v>
      </c>
      <c r="Y1076" s="4">
        <v>523</v>
      </c>
      <c r="Z1076" s="4">
        <v>474</v>
      </c>
      <c r="AA1076" s="4">
        <v>482</v>
      </c>
      <c r="AB1076" s="4">
        <v>6</v>
      </c>
      <c r="AC1076" s="4">
        <v>6</v>
      </c>
      <c r="AD1076" s="4">
        <v>23</v>
      </c>
      <c r="AE1076" s="4">
        <v>23</v>
      </c>
      <c r="AF1076" s="4">
        <v>9</v>
      </c>
      <c r="AG1076" s="4">
        <v>9</v>
      </c>
      <c r="AH1076" s="4">
        <v>3</v>
      </c>
      <c r="AI1076" s="4">
        <v>3</v>
      </c>
      <c r="AJ1076" s="4">
        <v>10</v>
      </c>
      <c r="AK1076" s="4">
        <v>10</v>
      </c>
      <c r="AL1076" s="4">
        <v>5</v>
      </c>
      <c r="AM1076" s="4">
        <v>5</v>
      </c>
      <c r="AN1076" s="4">
        <v>0</v>
      </c>
      <c r="AO1076" s="4">
        <v>0</v>
      </c>
      <c r="AP1076" s="3" t="s">
        <v>59</v>
      </c>
      <c r="AQ1076" s="3" t="s">
        <v>71</v>
      </c>
      <c r="AR1076" s="6" t="str">
        <f>HYPERLINK("http://catalog.hathitrust.org/Record/000829675","HathiTrust Record")</f>
        <v>HathiTrust Record</v>
      </c>
      <c r="AS1076" s="6" t="str">
        <f>HYPERLINK("https://creighton-primo.hosted.exlibrisgroup.com/primo-explore/search?tab=default_tab&amp;search_scope=EVERYTHING&amp;vid=01CRU&amp;lang=en_US&amp;offset=0&amp;query=any,contains,991000873449702656","Catalog Record")</f>
        <v>Catalog Record</v>
      </c>
      <c r="AT1076" s="6" t="str">
        <f>HYPERLINK("http://www.worldcat.org/oclc/13794738","WorldCat Record")</f>
        <v>WorldCat Record</v>
      </c>
      <c r="AU1076" s="3" t="s">
        <v>13557</v>
      </c>
      <c r="AV1076" s="3" t="s">
        <v>13558</v>
      </c>
      <c r="AW1076" s="3" t="s">
        <v>13559</v>
      </c>
      <c r="AX1076" s="3" t="s">
        <v>13559</v>
      </c>
      <c r="AY1076" s="3" t="s">
        <v>13560</v>
      </c>
      <c r="AZ1076" s="3" t="s">
        <v>76</v>
      </c>
      <c r="BB1076" s="3" t="s">
        <v>13561</v>
      </c>
      <c r="BC1076" s="3" t="s">
        <v>13562</v>
      </c>
      <c r="BD1076" s="3" t="s">
        <v>13563</v>
      </c>
    </row>
    <row r="1077" spans="1:56" ht="52.5" customHeight="1" x14ac:dyDescent="0.25">
      <c r="A1077" s="7" t="s">
        <v>59</v>
      </c>
      <c r="B1077" s="2" t="s">
        <v>13564</v>
      </c>
      <c r="C1077" s="2" t="s">
        <v>13565</v>
      </c>
      <c r="D1077" s="2" t="s">
        <v>13566</v>
      </c>
      <c r="F1077" s="3" t="s">
        <v>59</v>
      </c>
      <c r="G1077" s="3" t="s">
        <v>60</v>
      </c>
      <c r="H1077" s="3" t="s">
        <v>59</v>
      </c>
      <c r="I1077" s="3" t="s">
        <v>59</v>
      </c>
      <c r="J1077" s="3" t="s">
        <v>61</v>
      </c>
      <c r="K1077" s="2" t="s">
        <v>13567</v>
      </c>
      <c r="L1077" s="2" t="s">
        <v>13568</v>
      </c>
      <c r="M1077" s="3" t="s">
        <v>987</v>
      </c>
      <c r="O1077" s="3" t="s">
        <v>65</v>
      </c>
      <c r="P1077" s="3" t="s">
        <v>1262</v>
      </c>
      <c r="R1077" s="3" t="s">
        <v>68</v>
      </c>
      <c r="S1077" s="4">
        <v>5</v>
      </c>
      <c r="T1077" s="4">
        <v>5</v>
      </c>
      <c r="U1077" s="5" t="s">
        <v>5052</v>
      </c>
      <c r="V1077" s="5" t="s">
        <v>5052</v>
      </c>
      <c r="W1077" s="5" t="s">
        <v>1098</v>
      </c>
      <c r="X1077" s="5" t="s">
        <v>1098</v>
      </c>
      <c r="Y1077" s="4">
        <v>263</v>
      </c>
      <c r="Z1077" s="4">
        <v>101</v>
      </c>
      <c r="AA1077" s="4">
        <v>103</v>
      </c>
      <c r="AB1077" s="4">
        <v>1</v>
      </c>
      <c r="AC1077" s="4">
        <v>1</v>
      </c>
      <c r="AD1077" s="4">
        <v>6</v>
      </c>
      <c r="AE1077" s="4">
        <v>6</v>
      </c>
      <c r="AF1077" s="4">
        <v>3</v>
      </c>
      <c r="AG1077" s="4">
        <v>3</v>
      </c>
      <c r="AH1077" s="4">
        <v>1</v>
      </c>
      <c r="AI1077" s="4">
        <v>1</v>
      </c>
      <c r="AJ1077" s="4">
        <v>6</v>
      </c>
      <c r="AK1077" s="4">
        <v>6</v>
      </c>
      <c r="AL1077" s="4">
        <v>0</v>
      </c>
      <c r="AM1077" s="4">
        <v>0</v>
      </c>
      <c r="AN1077" s="4">
        <v>0</v>
      </c>
      <c r="AO1077" s="4">
        <v>0</v>
      </c>
      <c r="AP1077" s="3" t="s">
        <v>59</v>
      </c>
      <c r="AQ1077" s="3" t="s">
        <v>71</v>
      </c>
      <c r="AR1077" s="6" t="str">
        <f>HYPERLINK("http://catalog.hathitrust.org/Record/000431458","HathiTrust Record")</f>
        <v>HathiTrust Record</v>
      </c>
      <c r="AS1077" s="6" t="str">
        <f>HYPERLINK("https://creighton-primo.hosted.exlibrisgroup.com/primo-explore/search?tab=default_tab&amp;search_scope=EVERYTHING&amp;vid=01CRU&amp;lang=en_US&amp;offset=0&amp;query=any,contains,991001229309702656","Catalog Record")</f>
        <v>Catalog Record</v>
      </c>
      <c r="AT1077" s="6" t="str">
        <f>HYPERLINK("http://www.worldcat.org/oclc/202045","WorldCat Record")</f>
        <v>WorldCat Record</v>
      </c>
      <c r="AU1077" s="3" t="s">
        <v>13569</v>
      </c>
      <c r="AV1077" s="3" t="s">
        <v>13570</v>
      </c>
      <c r="AW1077" s="3" t="s">
        <v>13571</v>
      </c>
      <c r="AX1077" s="3" t="s">
        <v>13571</v>
      </c>
      <c r="AY1077" s="3" t="s">
        <v>13572</v>
      </c>
      <c r="AZ1077" s="3" t="s">
        <v>76</v>
      </c>
      <c r="BB1077" s="3" t="s">
        <v>13573</v>
      </c>
      <c r="BC1077" s="3" t="s">
        <v>13574</v>
      </c>
      <c r="BD1077" s="3" t="s">
        <v>13575</v>
      </c>
    </row>
    <row r="1078" spans="1:56" ht="52.5" customHeight="1" x14ac:dyDescent="0.25">
      <c r="A1078" s="7" t="s">
        <v>59</v>
      </c>
      <c r="B1078" s="2" t="s">
        <v>13576</v>
      </c>
      <c r="C1078" s="2" t="s">
        <v>13577</v>
      </c>
      <c r="D1078" s="2" t="s">
        <v>13578</v>
      </c>
      <c r="F1078" s="3" t="s">
        <v>59</v>
      </c>
      <c r="G1078" s="3" t="s">
        <v>60</v>
      </c>
      <c r="H1078" s="3" t="s">
        <v>59</v>
      </c>
      <c r="I1078" s="3" t="s">
        <v>59</v>
      </c>
      <c r="J1078" s="3" t="s">
        <v>61</v>
      </c>
      <c r="L1078" s="2" t="s">
        <v>5698</v>
      </c>
      <c r="M1078" s="3" t="s">
        <v>1000</v>
      </c>
      <c r="O1078" s="3" t="s">
        <v>65</v>
      </c>
      <c r="P1078" s="3" t="s">
        <v>829</v>
      </c>
      <c r="Q1078" s="2" t="s">
        <v>13579</v>
      </c>
      <c r="R1078" s="3" t="s">
        <v>68</v>
      </c>
      <c r="S1078" s="4">
        <v>7</v>
      </c>
      <c r="T1078" s="4">
        <v>7</v>
      </c>
      <c r="U1078" s="5" t="s">
        <v>13580</v>
      </c>
      <c r="V1078" s="5" t="s">
        <v>13580</v>
      </c>
      <c r="W1078" s="5" t="s">
        <v>618</v>
      </c>
      <c r="X1078" s="5" t="s">
        <v>618</v>
      </c>
      <c r="Y1078" s="4">
        <v>948</v>
      </c>
      <c r="Z1078" s="4">
        <v>792</v>
      </c>
      <c r="AA1078" s="4">
        <v>799</v>
      </c>
      <c r="AB1078" s="4">
        <v>4</v>
      </c>
      <c r="AC1078" s="4">
        <v>4</v>
      </c>
      <c r="AD1078" s="4">
        <v>27</v>
      </c>
      <c r="AE1078" s="4">
        <v>27</v>
      </c>
      <c r="AF1078" s="4">
        <v>11</v>
      </c>
      <c r="AG1078" s="4">
        <v>11</v>
      </c>
      <c r="AH1078" s="4">
        <v>6</v>
      </c>
      <c r="AI1078" s="4">
        <v>6</v>
      </c>
      <c r="AJ1078" s="4">
        <v>11</v>
      </c>
      <c r="AK1078" s="4">
        <v>11</v>
      </c>
      <c r="AL1078" s="4">
        <v>3</v>
      </c>
      <c r="AM1078" s="4">
        <v>3</v>
      </c>
      <c r="AN1078" s="4">
        <v>0</v>
      </c>
      <c r="AO1078" s="4">
        <v>0</v>
      </c>
      <c r="AP1078" s="3" t="s">
        <v>59</v>
      </c>
      <c r="AQ1078" s="3" t="s">
        <v>71</v>
      </c>
      <c r="AR1078" s="6" t="str">
        <f>HYPERLINK("http://catalog.hathitrust.org/Record/000215942","HathiTrust Record")</f>
        <v>HathiTrust Record</v>
      </c>
      <c r="AS1078" s="6" t="str">
        <f>HYPERLINK("https://creighton-primo.hosted.exlibrisgroup.com/primo-explore/search?tab=default_tab&amp;search_scope=EVERYTHING&amp;vid=01CRU&amp;lang=en_US&amp;offset=0&amp;query=any,contains,991004604859702656","Catalog Record")</f>
        <v>Catalog Record</v>
      </c>
      <c r="AT1078" s="6" t="str">
        <f>HYPERLINK("http://www.worldcat.org/oclc/4193895","WorldCat Record")</f>
        <v>WorldCat Record</v>
      </c>
      <c r="AU1078" s="3" t="s">
        <v>13581</v>
      </c>
      <c r="AV1078" s="3" t="s">
        <v>13582</v>
      </c>
      <c r="AW1078" s="3" t="s">
        <v>13583</v>
      </c>
      <c r="AX1078" s="3" t="s">
        <v>13583</v>
      </c>
      <c r="AY1078" s="3" t="s">
        <v>13584</v>
      </c>
      <c r="AZ1078" s="3" t="s">
        <v>76</v>
      </c>
      <c r="BB1078" s="3" t="s">
        <v>13585</v>
      </c>
      <c r="BC1078" s="3" t="s">
        <v>13586</v>
      </c>
      <c r="BD1078" s="3" t="s">
        <v>13587</v>
      </c>
    </row>
    <row r="1079" spans="1:56" ht="52.5" customHeight="1" x14ac:dyDescent="0.25">
      <c r="A1079" s="7" t="s">
        <v>59</v>
      </c>
      <c r="B1079" s="2" t="s">
        <v>13588</v>
      </c>
      <c r="C1079" s="2" t="s">
        <v>13589</v>
      </c>
      <c r="D1079" s="2" t="s">
        <v>13590</v>
      </c>
      <c r="F1079" s="3" t="s">
        <v>59</v>
      </c>
      <c r="G1079" s="3" t="s">
        <v>60</v>
      </c>
      <c r="H1079" s="3" t="s">
        <v>59</v>
      </c>
      <c r="I1079" s="3" t="s">
        <v>59</v>
      </c>
      <c r="J1079" s="3" t="s">
        <v>61</v>
      </c>
      <c r="L1079" s="2" t="s">
        <v>13591</v>
      </c>
      <c r="M1079" s="3" t="s">
        <v>195</v>
      </c>
      <c r="O1079" s="3" t="s">
        <v>65</v>
      </c>
      <c r="P1079" s="3" t="s">
        <v>66</v>
      </c>
      <c r="Q1079" s="2" t="s">
        <v>13592</v>
      </c>
      <c r="R1079" s="3" t="s">
        <v>68</v>
      </c>
      <c r="S1079" s="4">
        <v>3</v>
      </c>
      <c r="T1079" s="4">
        <v>3</v>
      </c>
      <c r="U1079" s="5" t="s">
        <v>13593</v>
      </c>
      <c r="V1079" s="5" t="s">
        <v>13593</v>
      </c>
      <c r="W1079" s="5" t="s">
        <v>9383</v>
      </c>
      <c r="X1079" s="5" t="s">
        <v>9383</v>
      </c>
      <c r="Y1079" s="4">
        <v>504</v>
      </c>
      <c r="Z1079" s="4">
        <v>433</v>
      </c>
      <c r="AA1079" s="4">
        <v>459</v>
      </c>
      <c r="AB1079" s="4">
        <v>1</v>
      </c>
      <c r="AC1079" s="4">
        <v>2</v>
      </c>
      <c r="AD1079" s="4">
        <v>15</v>
      </c>
      <c r="AE1079" s="4">
        <v>16</v>
      </c>
      <c r="AF1079" s="4">
        <v>5</v>
      </c>
      <c r="AG1079" s="4">
        <v>5</v>
      </c>
      <c r="AH1079" s="4">
        <v>5</v>
      </c>
      <c r="AI1079" s="4">
        <v>5</v>
      </c>
      <c r="AJ1079" s="4">
        <v>9</v>
      </c>
      <c r="AK1079" s="4">
        <v>9</v>
      </c>
      <c r="AL1079" s="4">
        <v>0</v>
      </c>
      <c r="AM1079" s="4">
        <v>1</v>
      </c>
      <c r="AN1079" s="4">
        <v>0</v>
      </c>
      <c r="AO1079" s="4">
        <v>0</v>
      </c>
      <c r="AP1079" s="3" t="s">
        <v>59</v>
      </c>
      <c r="AQ1079" s="3" t="s">
        <v>59</v>
      </c>
      <c r="AS1079" s="6" t="str">
        <f>HYPERLINK("https://creighton-primo.hosted.exlibrisgroup.com/primo-explore/search?tab=default_tab&amp;search_scope=EVERYTHING&amp;vid=01CRU&amp;lang=en_US&amp;offset=0&amp;query=any,contains,991000019909702656","Catalog Record")</f>
        <v>Catalog Record</v>
      </c>
      <c r="AT1079" s="6" t="str">
        <f>HYPERLINK("http://www.worldcat.org/oclc/10298841","WorldCat Record")</f>
        <v>WorldCat Record</v>
      </c>
      <c r="AU1079" s="3" t="s">
        <v>13594</v>
      </c>
      <c r="AV1079" s="3" t="s">
        <v>13595</v>
      </c>
      <c r="AW1079" s="3" t="s">
        <v>13596</v>
      </c>
      <c r="AX1079" s="3" t="s">
        <v>13596</v>
      </c>
      <c r="AY1079" s="3" t="s">
        <v>13597</v>
      </c>
      <c r="AZ1079" s="3" t="s">
        <v>76</v>
      </c>
      <c r="BB1079" s="3" t="s">
        <v>13598</v>
      </c>
      <c r="BC1079" s="3" t="s">
        <v>13599</v>
      </c>
      <c r="BD1079" s="3" t="s">
        <v>13600</v>
      </c>
    </row>
    <row r="1080" spans="1:56" ht="52.5" customHeight="1" x14ac:dyDescent="0.25">
      <c r="A1080" s="7" t="s">
        <v>59</v>
      </c>
      <c r="B1080" s="2" t="s">
        <v>13601</v>
      </c>
      <c r="C1080" s="2" t="s">
        <v>13602</v>
      </c>
      <c r="D1080" s="2" t="s">
        <v>13603</v>
      </c>
      <c r="F1080" s="3" t="s">
        <v>59</v>
      </c>
      <c r="G1080" s="3" t="s">
        <v>60</v>
      </c>
      <c r="H1080" s="3" t="s">
        <v>59</v>
      </c>
      <c r="I1080" s="3" t="s">
        <v>59</v>
      </c>
      <c r="J1080" s="3" t="s">
        <v>61</v>
      </c>
      <c r="K1080" s="2" t="s">
        <v>13604</v>
      </c>
      <c r="L1080" s="2" t="s">
        <v>5119</v>
      </c>
      <c r="M1080" s="3" t="s">
        <v>309</v>
      </c>
      <c r="O1080" s="3" t="s">
        <v>65</v>
      </c>
      <c r="P1080" s="3" t="s">
        <v>66</v>
      </c>
      <c r="Q1080" s="2" t="s">
        <v>13605</v>
      </c>
      <c r="R1080" s="3" t="s">
        <v>68</v>
      </c>
      <c r="S1080" s="4">
        <v>7</v>
      </c>
      <c r="T1080" s="4">
        <v>7</v>
      </c>
      <c r="U1080" s="5" t="s">
        <v>13606</v>
      </c>
      <c r="V1080" s="5" t="s">
        <v>13606</v>
      </c>
      <c r="W1080" s="5" t="s">
        <v>1702</v>
      </c>
      <c r="X1080" s="5" t="s">
        <v>1702</v>
      </c>
      <c r="Y1080" s="4">
        <v>521</v>
      </c>
      <c r="Z1080" s="4">
        <v>345</v>
      </c>
      <c r="AA1080" s="4">
        <v>378</v>
      </c>
      <c r="AB1080" s="4">
        <v>5</v>
      </c>
      <c r="AC1080" s="4">
        <v>5</v>
      </c>
      <c r="AD1080" s="4">
        <v>14</v>
      </c>
      <c r="AE1080" s="4">
        <v>16</v>
      </c>
      <c r="AF1080" s="4">
        <v>4</v>
      </c>
      <c r="AG1080" s="4">
        <v>5</v>
      </c>
      <c r="AH1080" s="4">
        <v>2</v>
      </c>
      <c r="AI1080" s="4">
        <v>3</v>
      </c>
      <c r="AJ1080" s="4">
        <v>7</v>
      </c>
      <c r="AK1080" s="4">
        <v>7</v>
      </c>
      <c r="AL1080" s="4">
        <v>3</v>
      </c>
      <c r="AM1080" s="4">
        <v>3</v>
      </c>
      <c r="AN1080" s="4">
        <v>0</v>
      </c>
      <c r="AO1080" s="4">
        <v>0</v>
      </c>
      <c r="AP1080" s="3" t="s">
        <v>59</v>
      </c>
      <c r="AQ1080" s="3" t="s">
        <v>71</v>
      </c>
      <c r="AR1080" s="6" t="str">
        <f>HYPERLINK("http://catalog.hathitrust.org/Record/000762289","HathiTrust Record")</f>
        <v>HathiTrust Record</v>
      </c>
      <c r="AS1080" s="6" t="str">
        <f>HYPERLINK("https://creighton-primo.hosted.exlibrisgroup.com/primo-explore/search?tab=default_tab&amp;search_scope=EVERYTHING&amp;vid=01CRU&amp;lang=en_US&amp;offset=0&amp;query=any,contains,991004595339702656","Catalog Record")</f>
        <v>Catalog Record</v>
      </c>
      <c r="AT1080" s="6" t="str">
        <f>HYPERLINK("http://www.worldcat.org/oclc/4136484","WorldCat Record")</f>
        <v>WorldCat Record</v>
      </c>
      <c r="AU1080" s="3" t="s">
        <v>13607</v>
      </c>
      <c r="AV1080" s="3" t="s">
        <v>13608</v>
      </c>
      <c r="AW1080" s="3" t="s">
        <v>13609</v>
      </c>
      <c r="AX1080" s="3" t="s">
        <v>13609</v>
      </c>
      <c r="AY1080" s="3" t="s">
        <v>13610</v>
      </c>
      <c r="AZ1080" s="3" t="s">
        <v>76</v>
      </c>
      <c r="BB1080" s="3" t="s">
        <v>13611</v>
      </c>
      <c r="BC1080" s="3" t="s">
        <v>13612</v>
      </c>
      <c r="BD1080" s="3" t="s">
        <v>13613</v>
      </c>
    </row>
    <row r="1081" spans="1:56" ht="52.5" customHeight="1" x14ac:dyDescent="0.25">
      <c r="A1081" s="7" t="s">
        <v>59</v>
      </c>
      <c r="B1081" s="2" t="s">
        <v>13614</v>
      </c>
      <c r="C1081" s="2" t="s">
        <v>13615</v>
      </c>
      <c r="D1081" s="2" t="s">
        <v>13616</v>
      </c>
      <c r="F1081" s="3" t="s">
        <v>59</v>
      </c>
      <c r="G1081" s="3" t="s">
        <v>60</v>
      </c>
      <c r="H1081" s="3" t="s">
        <v>59</v>
      </c>
      <c r="I1081" s="3" t="s">
        <v>59</v>
      </c>
      <c r="J1081" s="3" t="s">
        <v>61</v>
      </c>
      <c r="K1081" s="2" t="s">
        <v>13604</v>
      </c>
      <c r="L1081" s="2" t="s">
        <v>13617</v>
      </c>
      <c r="M1081" s="3" t="s">
        <v>1000</v>
      </c>
      <c r="O1081" s="3" t="s">
        <v>65</v>
      </c>
      <c r="P1081" s="3" t="s">
        <v>283</v>
      </c>
      <c r="R1081" s="3" t="s">
        <v>68</v>
      </c>
      <c r="S1081" s="4">
        <v>4</v>
      </c>
      <c r="T1081" s="4">
        <v>4</v>
      </c>
      <c r="U1081" s="5" t="s">
        <v>2585</v>
      </c>
      <c r="V1081" s="5" t="s">
        <v>2585</v>
      </c>
      <c r="W1081" s="5" t="s">
        <v>12723</v>
      </c>
      <c r="X1081" s="5" t="s">
        <v>12723</v>
      </c>
      <c r="Y1081" s="4">
        <v>397</v>
      </c>
      <c r="Z1081" s="4">
        <v>291</v>
      </c>
      <c r="AA1081" s="4">
        <v>293</v>
      </c>
      <c r="AB1081" s="4">
        <v>2</v>
      </c>
      <c r="AC1081" s="4">
        <v>2</v>
      </c>
      <c r="AD1081" s="4">
        <v>9</v>
      </c>
      <c r="AE1081" s="4">
        <v>9</v>
      </c>
      <c r="AF1081" s="4">
        <v>3</v>
      </c>
      <c r="AG1081" s="4">
        <v>3</v>
      </c>
      <c r="AH1081" s="4">
        <v>2</v>
      </c>
      <c r="AI1081" s="4">
        <v>2</v>
      </c>
      <c r="AJ1081" s="4">
        <v>6</v>
      </c>
      <c r="AK1081" s="4">
        <v>6</v>
      </c>
      <c r="AL1081" s="4">
        <v>1</v>
      </c>
      <c r="AM1081" s="4">
        <v>1</v>
      </c>
      <c r="AN1081" s="4">
        <v>0</v>
      </c>
      <c r="AO1081" s="4">
        <v>0</v>
      </c>
      <c r="AP1081" s="3" t="s">
        <v>59</v>
      </c>
      <c r="AQ1081" s="3" t="s">
        <v>71</v>
      </c>
      <c r="AR1081" s="6" t="str">
        <f>HYPERLINK("http://catalog.hathitrust.org/Record/000683799","HathiTrust Record")</f>
        <v>HathiTrust Record</v>
      </c>
      <c r="AS1081" s="6" t="str">
        <f>HYPERLINK("https://creighton-primo.hosted.exlibrisgroup.com/primo-explore/search?tab=default_tab&amp;search_scope=EVERYTHING&amp;vid=01CRU&amp;lang=en_US&amp;offset=0&amp;query=any,contains,991004714899702656","Catalog Record")</f>
        <v>Catalog Record</v>
      </c>
      <c r="AT1081" s="6" t="str">
        <f>HYPERLINK("http://www.worldcat.org/oclc/4775662","WorldCat Record")</f>
        <v>WorldCat Record</v>
      </c>
      <c r="AU1081" s="3" t="s">
        <v>13618</v>
      </c>
      <c r="AV1081" s="3" t="s">
        <v>13619</v>
      </c>
      <c r="AW1081" s="3" t="s">
        <v>13620</v>
      </c>
      <c r="AX1081" s="3" t="s">
        <v>13620</v>
      </c>
      <c r="AY1081" s="3" t="s">
        <v>13621</v>
      </c>
      <c r="AZ1081" s="3" t="s">
        <v>76</v>
      </c>
      <c r="BB1081" s="3" t="s">
        <v>13622</v>
      </c>
      <c r="BC1081" s="3" t="s">
        <v>13623</v>
      </c>
      <c r="BD1081" s="3" t="s">
        <v>13624</v>
      </c>
    </row>
    <row r="1082" spans="1:56" ht="52.5" customHeight="1" x14ac:dyDescent="0.25">
      <c r="A1082" s="7" t="s">
        <v>59</v>
      </c>
      <c r="B1082" s="2" t="s">
        <v>13625</v>
      </c>
      <c r="C1082" s="2" t="s">
        <v>13626</v>
      </c>
      <c r="D1082" s="2" t="s">
        <v>13627</v>
      </c>
      <c r="F1082" s="3" t="s">
        <v>59</v>
      </c>
      <c r="G1082" s="3" t="s">
        <v>60</v>
      </c>
      <c r="H1082" s="3" t="s">
        <v>59</v>
      </c>
      <c r="I1082" s="3" t="s">
        <v>59</v>
      </c>
      <c r="J1082" s="3" t="s">
        <v>61</v>
      </c>
      <c r="K1082" s="2" t="s">
        <v>13628</v>
      </c>
      <c r="L1082" s="2" t="s">
        <v>13629</v>
      </c>
      <c r="M1082" s="3" t="s">
        <v>148</v>
      </c>
      <c r="O1082" s="3" t="s">
        <v>65</v>
      </c>
      <c r="P1082" s="3" t="s">
        <v>699</v>
      </c>
      <c r="R1082" s="3" t="s">
        <v>68</v>
      </c>
      <c r="S1082" s="4">
        <v>1</v>
      </c>
      <c r="T1082" s="4">
        <v>1</v>
      </c>
      <c r="U1082" s="5" t="s">
        <v>6895</v>
      </c>
      <c r="V1082" s="5" t="s">
        <v>6895</v>
      </c>
      <c r="W1082" s="5" t="s">
        <v>13189</v>
      </c>
      <c r="X1082" s="5" t="s">
        <v>13189</v>
      </c>
      <c r="Y1082" s="4">
        <v>656</v>
      </c>
      <c r="Z1082" s="4">
        <v>499</v>
      </c>
      <c r="AA1082" s="4">
        <v>532</v>
      </c>
      <c r="AB1082" s="4">
        <v>4</v>
      </c>
      <c r="AC1082" s="4">
        <v>4</v>
      </c>
      <c r="AD1082" s="4">
        <v>21</v>
      </c>
      <c r="AE1082" s="4">
        <v>21</v>
      </c>
      <c r="AF1082" s="4">
        <v>8</v>
      </c>
      <c r="AG1082" s="4">
        <v>8</v>
      </c>
      <c r="AH1082" s="4">
        <v>5</v>
      </c>
      <c r="AI1082" s="4">
        <v>5</v>
      </c>
      <c r="AJ1082" s="4">
        <v>13</v>
      </c>
      <c r="AK1082" s="4">
        <v>13</v>
      </c>
      <c r="AL1082" s="4">
        <v>3</v>
      </c>
      <c r="AM1082" s="4">
        <v>3</v>
      </c>
      <c r="AN1082" s="4">
        <v>0</v>
      </c>
      <c r="AO1082" s="4">
        <v>0</v>
      </c>
      <c r="AP1082" s="3" t="s">
        <v>59</v>
      </c>
      <c r="AQ1082" s="3" t="s">
        <v>71</v>
      </c>
      <c r="AR1082" s="6" t="str">
        <f>HYPERLINK("http://catalog.hathitrust.org/Record/000729792","HathiTrust Record")</f>
        <v>HathiTrust Record</v>
      </c>
      <c r="AS1082" s="6" t="str">
        <f>HYPERLINK("https://creighton-primo.hosted.exlibrisgroup.com/primo-explore/search?tab=default_tab&amp;search_scope=EVERYTHING&amp;vid=01CRU&amp;lang=en_US&amp;offset=0&amp;query=any,contains,991004076529702656","Catalog Record")</f>
        <v>Catalog Record</v>
      </c>
      <c r="AT1082" s="6" t="str">
        <f>HYPERLINK("http://www.worldcat.org/oclc/2318188","WorldCat Record")</f>
        <v>WorldCat Record</v>
      </c>
      <c r="AU1082" s="3" t="s">
        <v>13630</v>
      </c>
      <c r="AV1082" s="3" t="s">
        <v>13631</v>
      </c>
      <c r="AW1082" s="3" t="s">
        <v>13632</v>
      </c>
      <c r="AX1082" s="3" t="s">
        <v>13632</v>
      </c>
      <c r="AY1082" s="3" t="s">
        <v>13633</v>
      </c>
      <c r="AZ1082" s="3" t="s">
        <v>76</v>
      </c>
      <c r="BB1082" s="3" t="s">
        <v>13634</v>
      </c>
      <c r="BC1082" s="3" t="s">
        <v>13635</v>
      </c>
      <c r="BD1082" s="3" t="s">
        <v>13636</v>
      </c>
    </row>
    <row r="1083" spans="1:56" ht="52.5" customHeight="1" x14ac:dyDescent="0.25">
      <c r="A1083" s="7" t="s">
        <v>59</v>
      </c>
      <c r="B1083" s="2" t="s">
        <v>13637</v>
      </c>
      <c r="C1083" s="2" t="s">
        <v>13638</v>
      </c>
      <c r="D1083" s="2" t="s">
        <v>13639</v>
      </c>
      <c r="F1083" s="3" t="s">
        <v>59</v>
      </c>
      <c r="G1083" s="3" t="s">
        <v>60</v>
      </c>
      <c r="H1083" s="3" t="s">
        <v>59</v>
      </c>
      <c r="I1083" s="3" t="s">
        <v>59</v>
      </c>
      <c r="J1083" s="3" t="s">
        <v>61</v>
      </c>
      <c r="K1083" s="2" t="s">
        <v>13640</v>
      </c>
      <c r="L1083" s="2" t="s">
        <v>3207</v>
      </c>
      <c r="M1083" s="3" t="s">
        <v>915</v>
      </c>
      <c r="O1083" s="3" t="s">
        <v>65</v>
      </c>
      <c r="P1083" s="3" t="s">
        <v>1262</v>
      </c>
      <c r="R1083" s="3" t="s">
        <v>68</v>
      </c>
      <c r="S1083" s="4">
        <v>7</v>
      </c>
      <c r="T1083" s="4">
        <v>7</v>
      </c>
      <c r="U1083" s="5" t="s">
        <v>13641</v>
      </c>
      <c r="V1083" s="5" t="s">
        <v>13641</v>
      </c>
      <c r="W1083" s="5" t="s">
        <v>13642</v>
      </c>
      <c r="X1083" s="5" t="s">
        <v>13642</v>
      </c>
      <c r="Y1083" s="4">
        <v>490</v>
      </c>
      <c r="Z1083" s="4">
        <v>244</v>
      </c>
      <c r="AA1083" s="4">
        <v>694</v>
      </c>
      <c r="AB1083" s="4">
        <v>3</v>
      </c>
      <c r="AC1083" s="4">
        <v>5</v>
      </c>
      <c r="AD1083" s="4">
        <v>12</v>
      </c>
      <c r="AE1083" s="4">
        <v>20</v>
      </c>
      <c r="AF1083" s="4">
        <v>6</v>
      </c>
      <c r="AG1083" s="4">
        <v>10</v>
      </c>
      <c r="AH1083" s="4">
        <v>1</v>
      </c>
      <c r="AI1083" s="4">
        <v>2</v>
      </c>
      <c r="AJ1083" s="4">
        <v>7</v>
      </c>
      <c r="AK1083" s="4">
        <v>9</v>
      </c>
      <c r="AL1083" s="4">
        <v>2</v>
      </c>
      <c r="AM1083" s="4">
        <v>4</v>
      </c>
      <c r="AN1083" s="4">
        <v>0</v>
      </c>
      <c r="AO1083" s="4">
        <v>0</v>
      </c>
      <c r="AP1083" s="3" t="s">
        <v>59</v>
      </c>
      <c r="AQ1083" s="3" t="s">
        <v>59</v>
      </c>
      <c r="AS1083" s="6" t="str">
        <f>HYPERLINK("https://creighton-primo.hosted.exlibrisgroup.com/primo-explore/search?tab=default_tab&amp;search_scope=EVERYTHING&amp;vid=01CRU&amp;lang=en_US&amp;offset=0&amp;query=any,contains,991002108019702656","Catalog Record")</f>
        <v>Catalog Record</v>
      </c>
      <c r="AT1083" s="6" t="str">
        <f>HYPERLINK("http://www.worldcat.org/oclc/27034439","WorldCat Record")</f>
        <v>WorldCat Record</v>
      </c>
      <c r="AU1083" s="3" t="s">
        <v>13643</v>
      </c>
      <c r="AV1083" s="3" t="s">
        <v>13644</v>
      </c>
      <c r="AW1083" s="3" t="s">
        <v>13645</v>
      </c>
      <c r="AX1083" s="3" t="s">
        <v>13645</v>
      </c>
      <c r="AY1083" s="3" t="s">
        <v>13646</v>
      </c>
      <c r="AZ1083" s="3" t="s">
        <v>76</v>
      </c>
      <c r="BB1083" s="3" t="s">
        <v>13647</v>
      </c>
      <c r="BC1083" s="3" t="s">
        <v>13648</v>
      </c>
      <c r="BD1083" s="3" t="s">
        <v>13649</v>
      </c>
    </row>
    <row r="1084" spans="1:56" ht="52.5" customHeight="1" x14ac:dyDescent="0.25">
      <c r="A1084" s="7" t="s">
        <v>59</v>
      </c>
      <c r="B1084" s="2" t="s">
        <v>13650</v>
      </c>
      <c r="C1084" s="2" t="s">
        <v>13651</v>
      </c>
      <c r="D1084" s="2" t="s">
        <v>13652</v>
      </c>
      <c r="F1084" s="3" t="s">
        <v>59</v>
      </c>
      <c r="G1084" s="3" t="s">
        <v>60</v>
      </c>
      <c r="H1084" s="3" t="s">
        <v>59</v>
      </c>
      <c r="I1084" s="3" t="s">
        <v>59</v>
      </c>
      <c r="J1084" s="3" t="s">
        <v>61</v>
      </c>
      <c r="L1084" s="2" t="s">
        <v>7404</v>
      </c>
      <c r="M1084" s="3" t="s">
        <v>1217</v>
      </c>
      <c r="O1084" s="3" t="s">
        <v>65</v>
      </c>
      <c r="P1084" s="3" t="s">
        <v>699</v>
      </c>
      <c r="R1084" s="3" t="s">
        <v>68</v>
      </c>
      <c r="S1084" s="4">
        <v>2</v>
      </c>
      <c r="T1084" s="4">
        <v>2</v>
      </c>
      <c r="U1084" s="5" t="s">
        <v>13653</v>
      </c>
      <c r="V1084" s="5" t="s">
        <v>13653</v>
      </c>
      <c r="W1084" s="5" t="s">
        <v>12723</v>
      </c>
      <c r="X1084" s="5" t="s">
        <v>12723</v>
      </c>
      <c r="Y1084" s="4">
        <v>457</v>
      </c>
      <c r="Z1084" s="4">
        <v>373</v>
      </c>
      <c r="AA1084" s="4">
        <v>390</v>
      </c>
      <c r="AB1084" s="4">
        <v>4</v>
      </c>
      <c r="AC1084" s="4">
        <v>4</v>
      </c>
      <c r="AD1084" s="4">
        <v>17</v>
      </c>
      <c r="AE1084" s="4">
        <v>17</v>
      </c>
      <c r="AF1084" s="4">
        <v>6</v>
      </c>
      <c r="AG1084" s="4">
        <v>6</v>
      </c>
      <c r="AH1084" s="4">
        <v>4</v>
      </c>
      <c r="AI1084" s="4">
        <v>4</v>
      </c>
      <c r="AJ1084" s="4">
        <v>8</v>
      </c>
      <c r="AK1084" s="4">
        <v>8</v>
      </c>
      <c r="AL1084" s="4">
        <v>3</v>
      </c>
      <c r="AM1084" s="4">
        <v>3</v>
      </c>
      <c r="AN1084" s="4">
        <v>0</v>
      </c>
      <c r="AO1084" s="4">
        <v>0</v>
      </c>
      <c r="AP1084" s="3" t="s">
        <v>59</v>
      </c>
      <c r="AQ1084" s="3" t="s">
        <v>71</v>
      </c>
      <c r="AR1084" s="6" t="str">
        <f>HYPERLINK("http://catalog.hathitrust.org/Record/000340475","HathiTrust Record")</f>
        <v>HathiTrust Record</v>
      </c>
      <c r="AS1084" s="6" t="str">
        <f>HYPERLINK("https://creighton-primo.hosted.exlibrisgroup.com/primo-explore/search?tab=default_tab&amp;search_scope=EVERYTHING&amp;vid=01CRU&amp;lang=en_US&amp;offset=0&amp;query=any,contains,991000488489702656","Catalog Record")</f>
        <v>Catalog Record</v>
      </c>
      <c r="AT1084" s="6" t="str">
        <f>HYPERLINK("http://www.worldcat.org/oclc/11090671","WorldCat Record")</f>
        <v>WorldCat Record</v>
      </c>
      <c r="AU1084" s="3" t="s">
        <v>13654</v>
      </c>
      <c r="AV1084" s="3" t="s">
        <v>13655</v>
      </c>
      <c r="AW1084" s="3" t="s">
        <v>13656</v>
      </c>
      <c r="AX1084" s="3" t="s">
        <v>13656</v>
      </c>
      <c r="AY1084" s="3" t="s">
        <v>13657</v>
      </c>
      <c r="AZ1084" s="3" t="s">
        <v>76</v>
      </c>
      <c r="BB1084" s="3" t="s">
        <v>13658</v>
      </c>
      <c r="BC1084" s="3" t="s">
        <v>13659</v>
      </c>
      <c r="BD1084" s="3" t="s">
        <v>13660</v>
      </c>
    </row>
    <row r="1085" spans="1:56" ht="52.5" customHeight="1" x14ac:dyDescent="0.25">
      <c r="A1085" s="7" t="s">
        <v>59</v>
      </c>
      <c r="B1085" s="2" t="s">
        <v>13661</v>
      </c>
      <c r="C1085" s="2" t="s">
        <v>13662</v>
      </c>
      <c r="D1085" s="2" t="s">
        <v>13663</v>
      </c>
      <c r="F1085" s="3" t="s">
        <v>59</v>
      </c>
      <c r="G1085" s="3" t="s">
        <v>60</v>
      </c>
      <c r="H1085" s="3" t="s">
        <v>59</v>
      </c>
      <c r="I1085" s="3" t="s">
        <v>59</v>
      </c>
      <c r="J1085" s="3" t="s">
        <v>61</v>
      </c>
      <c r="L1085" s="2" t="s">
        <v>4631</v>
      </c>
      <c r="M1085" s="3" t="s">
        <v>475</v>
      </c>
      <c r="O1085" s="3" t="s">
        <v>65</v>
      </c>
      <c r="P1085" s="3" t="s">
        <v>699</v>
      </c>
      <c r="Q1085" s="2" t="s">
        <v>13664</v>
      </c>
      <c r="R1085" s="3" t="s">
        <v>68</v>
      </c>
      <c r="S1085" s="4">
        <v>2</v>
      </c>
      <c r="T1085" s="4">
        <v>2</v>
      </c>
      <c r="U1085" s="5" t="s">
        <v>9292</v>
      </c>
      <c r="V1085" s="5" t="s">
        <v>9292</v>
      </c>
      <c r="W1085" s="5" t="s">
        <v>12723</v>
      </c>
      <c r="X1085" s="5" t="s">
        <v>12723</v>
      </c>
      <c r="Y1085" s="4">
        <v>546</v>
      </c>
      <c r="Z1085" s="4">
        <v>453</v>
      </c>
      <c r="AA1085" s="4">
        <v>481</v>
      </c>
      <c r="AB1085" s="4">
        <v>5</v>
      </c>
      <c r="AC1085" s="4">
        <v>5</v>
      </c>
      <c r="AD1085" s="4">
        <v>23</v>
      </c>
      <c r="AE1085" s="4">
        <v>23</v>
      </c>
      <c r="AF1085" s="4">
        <v>9</v>
      </c>
      <c r="AG1085" s="4">
        <v>9</v>
      </c>
      <c r="AH1085" s="4">
        <v>4</v>
      </c>
      <c r="AI1085" s="4">
        <v>4</v>
      </c>
      <c r="AJ1085" s="4">
        <v>11</v>
      </c>
      <c r="AK1085" s="4">
        <v>11</v>
      </c>
      <c r="AL1085" s="4">
        <v>4</v>
      </c>
      <c r="AM1085" s="4">
        <v>4</v>
      </c>
      <c r="AN1085" s="4">
        <v>0</v>
      </c>
      <c r="AO1085" s="4">
        <v>0</v>
      </c>
      <c r="AP1085" s="3" t="s">
        <v>59</v>
      </c>
      <c r="AQ1085" s="3" t="s">
        <v>59</v>
      </c>
      <c r="AS1085" s="6" t="str">
        <f>HYPERLINK("https://creighton-primo.hosted.exlibrisgroup.com/primo-explore/search?tab=default_tab&amp;search_scope=EVERYTHING&amp;vid=01CRU&amp;lang=en_US&amp;offset=0&amp;query=any,contains,991000147989702656","Catalog Record")</f>
        <v>Catalog Record</v>
      </c>
      <c r="AT1085" s="6" t="str">
        <f>HYPERLINK("http://www.worldcat.org/oclc/9196971","WorldCat Record")</f>
        <v>WorldCat Record</v>
      </c>
      <c r="AU1085" s="3" t="s">
        <v>13665</v>
      </c>
      <c r="AV1085" s="3" t="s">
        <v>13666</v>
      </c>
      <c r="AW1085" s="3" t="s">
        <v>13667</v>
      </c>
      <c r="AX1085" s="3" t="s">
        <v>13667</v>
      </c>
      <c r="AY1085" s="3" t="s">
        <v>13668</v>
      </c>
      <c r="AZ1085" s="3" t="s">
        <v>76</v>
      </c>
      <c r="BB1085" s="3" t="s">
        <v>13669</v>
      </c>
      <c r="BC1085" s="3" t="s">
        <v>13670</v>
      </c>
      <c r="BD1085" s="3" t="s">
        <v>13671</v>
      </c>
    </row>
    <row r="1086" spans="1:56" ht="52.5" customHeight="1" x14ac:dyDescent="0.25">
      <c r="A1086" s="7" t="s">
        <v>59</v>
      </c>
      <c r="B1086" s="2" t="s">
        <v>13672</v>
      </c>
      <c r="C1086" s="2" t="s">
        <v>13673</v>
      </c>
      <c r="D1086" s="2" t="s">
        <v>13674</v>
      </c>
      <c r="F1086" s="3" t="s">
        <v>59</v>
      </c>
      <c r="G1086" s="3" t="s">
        <v>60</v>
      </c>
      <c r="H1086" s="3" t="s">
        <v>59</v>
      </c>
      <c r="I1086" s="3" t="s">
        <v>59</v>
      </c>
      <c r="J1086" s="3" t="s">
        <v>61</v>
      </c>
      <c r="K1086" s="2" t="s">
        <v>4749</v>
      </c>
      <c r="L1086" s="2" t="s">
        <v>13675</v>
      </c>
      <c r="M1086" s="3" t="s">
        <v>148</v>
      </c>
      <c r="O1086" s="3" t="s">
        <v>65</v>
      </c>
      <c r="P1086" s="3" t="s">
        <v>283</v>
      </c>
      <c r="R1086" s="3" t="s">
        <v>68</v>
      </c>
      <c r="S1086" s="4">
        <v>1</v>
      </c>
      <c r="T1086" s="4">
        <v>1</v>
      </c>
      <c r="U1086" s="5" t="s">
        <v>6895</v>
      </c>
      <c r="V1086" s="5" t="s">
        <v>6895</v>
      </c>
      <c r="W1086" s="5" t="s">
        <v>13189</v>
      </c>
      <c r="X1086" s="5" t="s">
        <v>13189</v>
      </c>
      <c r="Y1086" s="4">
        <v>1583</v>
      </c>
      <c r="Z1086" s="4">
        <v>1435</v>
      </c>
      <c r="AA1086" s="4">
        <v>1471</v>
      </c>
      <c r="AB1086" s="4">
        <v>12</v>
      </c>
      <c r="AC1086" s="4">
        <v>12</v>
      </c>
      <c r="AD1086" s="4">
        <v>51</v>
      </c>
      <c r="AE1086" s="4">
        <v>51</v>
      </c>
      <c r="AF1086" s="4">
        <v>21</v>
      </c>
      <c r="AG1086" s="4">
        <v>21</v>
      </c>
      <c r="AH1086" s="4">
        <v>10</v>
      </c>
      <c r="AI1086" s="4">
        <v>10</v>
      </c>
      <c r="AJ1086" s="4">
        <v>21</v>
      </c>
      <c r="AK1086" s="4">
        <v>21</v>
      </c>
      <c r="AL1086" s="4">
        <v>10</v>
      </c>
      <c r="AM1086" s="4">
        <v>10</v>
      </c>
      <c r="AN1086" s="4">
        <v>0</v>
      </c>
      <c r="AO1086" s="4">
        <v>0</v>
      </c>
      <c r="AP1086" s="3" t="s">
        <v>59</v>
      </c>
      <c r="AQ1086" s="3" t="s">
        <v>71</v>
      </c>
      <c r="AR1086" s="6" t="str">
        <f>HYPERLINK("http://catalog.hathitrust.org/Record/000716337","HathiTrust Record")</f>
        <v>HathiTrust Record</v>
      </c>
      <c r="AS1086" s="6" t="str">
        <f>HYPERLINK("https://creighton-primo.hosted.exlibrisgroup.com/primo-explore/search?tab=default_tab&amp;search_scope=EVERYTHING&amp;vid=01CRU&amp;lang=en_US&amp;offset=0&amp;query=any,contains,991003959919702656","Catalog Record")</f>
        <v>Catalog Record</v>
      </c>
      <c r="AT1086" s="6" t="str">
        <f>HYPERLINK("http://www.worldcat.org/oclc/1974250","WorldCat Record")</f>
        <v>WorldCat Record</v>
      </c>
      <c r="AU1086" s="3" t="s">
        <v>13676</v>
      </c>
      <c r="AV1086" s="3" t="s">
        <v>13677</v>
      </c>
      <c r="AW1086" s="3" t="s">
        <v>13678</v>
      </c>
      <c r="AX1086" s="3" t="s">
        <v>13678</v>
      </c>
      <c r="AY1086" s="3" t="s">
        <v>13679</v>
      </c>
      <c r="AZ1086" s="3" t="s">
        <v>76</v>
      </c>
      <c r="BB1086" s="3" t="s">
        <v>13680</v>
      </c>
      <c r="BC1086" s="3" t="s">
        <v>13681</v>
      </c>
      <c r="BD1086" s="3" t="s">
        <v>13682</v>
      </c>
    </row>
    <row r="1087" spans="1:56" ht="52.5" customHeight="1" x14ac:dyDescent="0.25">
      <c r="A1087" s="7" t="s">
        <v>59</v>
      </c>
      <c r="B1087" s="2" t="s">
        <v>13683</v>
      </c>
      <c r="C1087" s="2" t="s">
        <v>13684</v>
      </c>
      <c r="D1087" s="2" t="s">
        <v>13685</v>
      </c>
      <c r="F1087" s="3" t="s">
        <v>59</v>
      </c>
      <c r="G1087" s="3" t="s">
        <v>60</v>
      </c>
      <c r="H1087" s="3" t="s">
        <v>59</v>
      </c>
      <c r="I1087" s="3" t="s">
        <v>59</v>
      </c>
      <c r="J1087" s="3" t="s">
        <v>61</v>
      </c>
      <c r="K1087" s="2" t="s">
        <v>13686</v>
      </c>
      <c r="L1087" s="2" t="s">
        <v>13687</v>
      </c>
      <c r="M1087" s="3" t="s">
        <v>100</v>
      </c>
      <c r="N1087" s="2" t="s">
        <v>435</v>
      </c>
      <c r="O1087" s="3" t="s">
        <v>65</v>
      </c>
      <c r="P1087" s="3" t="s">
        <v>66</v>
      </c>
      <c r="R1087" s="3" t="s">
        <v>68</v>
      </c>
      <c r="S1087" s="4">
        <v>7</v>
      </c>
      <c r="T1087" s="4">
        <v>7</v>
      </c>
      <c r="U1087" s="5" t="s">
        <v>13580</v>
      </c>
      <c r="V1087" s="5" t="s">
        <v>13580</v>
      </c>
      <c r="W1087" s="5" t="s">
        <v>13688</v>
      </c>
      <c r="X1087" s="5" t="s">
        <v>13688</v>
      </c>
      <c r="Y1087" s="4">
        <v>1175</v>
      </c>
      <c r="Z1087" s="4">
        <v>1045</v>
      </c>
      <c r="AA1087" s="4">
        <v>1702</v>
      </c>
      <c r="AB1087" s="4">
        <v>10</v>
      </c>
      <c r="AC1087" s="4">
        <v>15</v>
      </c>
      <c r="AD1087" s="4">
        <v>30</v>
      </c>
      <c r="AE1087" s="4">
        <v>47</v>
      </c>
      <c r="AF1087" s="4">
        <v>15</v>
      </c>
      <c r="AG1087" s="4">
        <v>22</v>
      </c>
      <c r="AH1087" s="4">
        <v>5</v>
      </c>
      <c r="AI1087" s="4">
        <v>8</v>
      </c>
      <c r="AJ1087" s="4">
        <v>9</v>
      </c>
      <c r="AK1087" s="4">
        <v>17</v>
      </c>
      <c r="AL1087" s="4">
        <v>6</v>
      </c>
      <c r="AM1087" s="4">
        <v>9</v>
      </c>
      <c r="AN1087" s="4">
        <v>0</v>
      </c>
      <c r="AO1087" s="4">
        <v>0</v>
      </c>
      <c r="AP1087" s="3" t="s">
        <v>59</v>
      </c>
      <c r="AQ1087" s="3" t="s">
        <v>71</v>
      </c>
      <c r="AR1087" s="6" t="str">
        <f>HYPERLINK("http://catalog.hathitrust.org/Record/000431461","HathiTrust Record")</f>
        <v>HathiTrust Record</v>
      </c>
      <c r="AS1087" s="6" t="str">
        <f>HYPERLINK("https://creighton-primo.hosted.exlibrisgroup.com/primo-explore/search?tab=default_tab&amp;search_scope=EVERYTHING&amp;vid=01CRU&amp;lang=en_US&amp;offset=0&amp;query=any,contains,991001161299702656","Catalog Record")</f>
        <v>Catalog Record</v>
      </c>
      <c r="AT1087" s="6" t="str">
        <f>HYPERLINK("http://www.worldcat.org/oclc/186417","WorldCat Record")</f>
        <v>WorldCat Record</v>
      </c>
      <c r="AU1087" s="3" t="s">
        <v>13689</v>
      </c>
      <c r="AV1087" s="3" t="s">
        <v>13690</v>
      </c>
      <c r="AW1087" s="3" t="s">
        <v>13691</v>
      </c>
      <c r="AX1087" s="3" t="s">
        <v>13691</v>
      </c>
      <c r="AY1087" s="3" t="s">
        <v>13692</v>
      </c>
      <c r="AZ1087" s="3" t="s">
        <v>76</v>
      </c>
      <c r="BB1087" s="3" t="s">
        <v>13693</v>
      </c>
      <c r="BC1087" s="3" t="s">
        <v>13694</v>
      </c>
      <c r="BD1087" s="3" t="s">
        <v>13695</v>
      </c>
    </row>
    <row r="1088" spans="1:56" ht="52.5" customHeight="1" x14ac:dyDescent="0.25">
      <c r="A1088" s="7" t="s">
        <v>59</v>
      </c>
      <c r="B1088" s="2" t="s">
        <v>13696</v>
      </c>
      <c r="C1088" s="2" t="s">
        <v>13697</v>
      </c>
      <c r="D1088" s="2" t="s">
        <v>13698</v>
      </c>
      <c r="F1088" s="3" t="s">
        <v>59</v>
      </c>
      <c r="G1088" s="3" t="s">
        <v>60</v>
      </c>
      <c r="H1088" s="3" t="s">
        <v>59</v>
      </c>
      <c r="I1088" s="3" t="s">
        <v>59</v>
      </c>
      <c r="J1088" s="3" t="s">
        <v>61</v>
      </c>
      <c r="K1088" s="2" t="s">
        <v>13699</v>
      </c>
      <c r="L1088" s="2" t="s">
        <v>13700</v>
      </c>
      <c r="M1088" s="3" t="s">
        <v>549</v>
      </c>
      <c r="O1088" s="3" t="s">
        <v>65</v>
      </c>
      <c r="P1088" s="3" t="s">
        <v>699</v>
      </c>
      <c r="R1088" s="3" t="s">
        <v>68</v>
      </c>
      <c r="S1088" s="4">
        <v>14</v>
      </c>
      <c r="T1088" s="4">
        <v>14</v>
      </c>
      <c r="U1088" s="5" t="s">
        <v>2429</v>
      </c>
      <c r="V1088" s="5" t="s">
        <v>2429</v>
      </c>
      <c r="W1088" s="5" t="s">
        <v>12723</v>
      </c>
      <c r="X1088" s="5" t="s">
        <v>12723</v>
      </c>
      <c r="Y1088" s="4">
        <v>708</v>
      </c>
      <c r="Z1088" s="4">
        <v>596</v>
      </c>
      <c r="AA1088" s="4">
        <v>1055</v>
      </c>
      <c r="AB1088" s="4">
        <v>5</v>
      </c>
      <c r="AC1088" s="4">
        <v>8</v>
      </c>
      <c r="AD1088" s="4">
        <v>24</v>
      </c>
      <c r="AE1088" s="4">
        <v>46</v>
      </c>
      <c r="AF1088" s="4">
        <v>10</v>
      </c>
      <c r="AG1088" s="4">
        <v>23</v>
      </c>
      <c r="AH1088" s="4">
        <v>6</v>
      </c>
      <c r="AI1088" s="4">
        <v>10</v>
      </c>
      <c r="AJ1088" s="4">
        <v>9</v>
      </c>
      <c r="AK1088" s="4">
        <v>18</v>
      </c>
      <c r="AL1088" s="4">
        <v>4</v>
      </c>
      <c r="AM1088" s="4">
        <v>6</v>
      </c>
      <c r="AN1088" s="4">
        <v>0</v>
      </c>
      <c r="AO1088" s="4">
        <v>0</v>
      </c>
      <c r="AP1088" s="3" t="s">
        <v>59</v>
      </c>
      <c r="AQ1088" s="3" t="s">
        <v>71</v>
      </c>
      <c r="AR1088" s="6" t="str">
        <f>HYPERLINK("http://catalog.hathitrust.org/Record/000478820","HathiTrust Record")</f>
        <v>HathiTrust Record</v>
      </c>
      <c r="AS1088" s="6" t="str">
        <f>HYPERLINK("https://creighton-primo.hosted.exlibrisgroup.com/primo-explore/search?tab=default_tab&amp;search_scope=EVERYTHING&amp;vid=01CRU&amp;lang=en_US&amp;offset=0&amp;query=any,contains,991000703749702656","Catalog Record")</f>
        <v>Catalog Record</v>
      </c>
      <c r="AT1088" s="6" t="str">
        <f>HYPERLINK("http://www.worldcat.org/oclc/12554344","WorldCat Record")</f>
        <v>WorldCat Record</v>
      </c>
      <c r="AU1088" s="3" t="s">
        <v>13701</v>
      </c>
      <c r="AV1088" s="3" t="s">
        <v>13702</v>
      </c>
      <c r="AW1088" s="3" t="s">
        <v>13703</v>
      </c>
      <c r="AX1088" s="3" t="s">
        <v>13703</v>
      </c>
      <c r="AY1088" s="3" t="s">
        <v>13704</v>
      </c>
      <c r="AZ1088" s="3" t="s">
        <v>76</v>
      </c>
      <c r="BB1088" s="3" t="s">
        <v>13705</v>
      </c>
      <c r="BC1088" s="3" t="s">
        <v>13706</v>
      </c>
      <c r="BD1088" s="3" t="s">
        <v>13707</v>
      </c>
    </row>
    <row r="1089" spans="1:56" ht="52.5" customHeight="1" x14ac:dyDescent="0.25">
      <c r="A1089" s="7" t="s">
        <v>59</v>
      </c>
      <c r="B1089" s="2" t="s">
        <v>13708</v>
      </c>
      <c r="C1089" s="2" t="s">
        <v>13709</v>
      </c>
      <c r="D1089" s="2" t="s">
        <v>13710</v>
      </c>
      <c r="F1089" s="3" t="s">
        <v>59</v>
      </c>
      <c r="G1089" s="3" t="s">
        <v>60</v>
      </c>
      <c r="H1089" s="3" t="s">
        <v>59</v>
      </c>
      <c r="I1089" s="3" t="s">
        <v>59</v>
      </c>
      <c r="J1089" s="3" t="s">
        <v>61</v>
      </c>
      <c r="K1089" s="2" t="s">
        <v>13711</v>
      </c>
      <c r="L1089" s="2" t="s">
        <v>13712</v>
      </c>
      <c r="M1089" s="3" t="s">
        <v>350</v>
      </c>
      <c r="O1089" s="3" t="s">
        <v>65</v>
      </c>
      <c r="P1089" s="3" t="s">
        <v>66</v>
      </c>
      <c r="Q1089" s="2" t="s">
        <v>13713</v>
      </c>
      <c r="R1089" s="3" t="s">
        <v>68</v>
      </c>
      <c r="S1089" s="4">
        <v>8</v>
      </c>
      <c r="T1089" s="4">
        <v>8</v>
      </c>
      <c r="U1089" s="5" t="s">
        <v>2429</v>
      </c>
      <c r="V1089" s="5" t="s">
        <v>2429</v>
      </c>
      <c r="W1089" s="5" t="s">
        <v>13189</v>
      </c>
      <c r="X1089" s="5" t="s">
        <v>13189</v>
      </c>
      <c r="Y1089" s="4">
        <v>418</v>
      </c>
      <c r="Z1089" s="4">
        <v>281</v>
      </c>
      <c r="AA1089" s="4">
        <v>283</v>
      </c>
      <c r="AB1089" s="4">
        <v>4</v>
      </c>
      <c r="AC1089" s="4">
        <v>4</v>
      </c>
      <c r="AD1089" s="4">
        <v>12</v>
      </c>
      <c r="AE1089" s="4">
        <v>12</v>
      </c>
      <c r="AF1089" s="4">
        <v>5</v>
      </c>
      <c r="AG1089" s="4">
        <v>5</v>
      </c>
      <c r="AH1089" s="4">
        <v>1</v>
      </c>
      <c r="AI1089" s="4">
        <v>1</v>
      </c>
      <c r="AJ1089" s="4">
        <v>8</v>
      </c>
      <c r="AK1089" s="4">
        <v>8</v>
      </c>
      <c r="AL1089" s="4">
        <v>2</v>
      </c>
      <c r="AM1089" s="4">
        <v>2</v>
      </c>
      <c r="AN1089" s="4">
        <v>0</v>
      </c>
      <c r="AO1089" s="4">
        <v>0</v>
      </c>
      <c r="AP1089" s="3" t="s">
        <v>59</v>
      </c>
      <c r="AQ1089" s="3" t="s">
        <v>59</v>
      </c>
      <c r="AS1089" s="6" t="str">
        <f>HYPERLINK("https://creighton-primo.hosted.exlibrisgroup.com/primo-explore/search?tab=default_tab&amp;search_scope=EVERYTHING&amp;vid=01CRU&amp;lang=en_US&amp;offset=0&amp;query=any,contains,991004191099702656","Catalog Record")</f>
        <v>Catalog Record</v>
      </c>
      <c r="AT1089" s="6" t="str">
        <f>HYPERLINK("http://www.worldcat.org/oclc/2632920","WorldCat Record")</f>
        <v>WorldCat Record</v>
      </c>
      <c r="AU1089" s="3" t="s">
        <v>13714</v>
      </c>
      <c r="AV1089" s="3" t="s">
        <v>13715</v>
      </c>
      <c r="AW1089" s="3" t="s">
        <v>13716</v>
      </c>
      <c r="AX1089" s="3" t="s">
        <v>13716</v>
      </c>
      <c r="AY1089" s="3" t="s">
        <v>13717</v>
      </c>
      <c r="AZ1089" s="3" t="s">
        <v>76</v>
      </c>
      <c r="BB1089" s="3" t="s">
        <v>13718</v>
      </c>
      <c r="BC1089" s="3" t="s">
        <v>13719</v>
      </c>
      <c r="BD1089" s="3" t="s">
        <v>13720</v>
      </c>
    </row>
    <row r="1090" spans="1:56" ht="52.5" customHeight="1" x14ac:dyDescent="0.25">
      <c r="A1090" s="7" t="s">
        <v>59</v>
      </c>
      <c r="B1090" s="2" t="s">
        <v>13721</v>
      </c>
      <c r="C1090" s="2" t="s">
        <v>13722</v>
      </c>
      <c r="D1090" s="2" t="s">
        <v>13723</v>
      </c>
      <c r="F1090" s="3" t="s">
        <v>59</v>
      </c>
      <c r="G1090" s="3" t="s">
        <v>60</v>
      </c>
      <c r="H1090" s="3" t="s">
        <v>59</v>
      </c>
      <c r="I1090" s="3" t="s">
        <v>59</v>
      </c>
      <c r="J1090" s="3" t="s">
        <v>61</v>
      </c>
      <c r="L1090" s="2" t="s">
        <v>801</v>
      </c>
      <c r="M1090" s="3" t="s">
        <v>549</v>
      </c>
      <c r="O1090" s="3" t="s">
        <v>65</v>
      </c>
      <c r="P1090" s="3" t="s">
        <v>699</v>
      </c>
      <c r="Q1090" s="2" t="s">
        <v>13724</v>
      </c>
      <c r="R1090" s="3" t="s">
        <v>68</v>
      </c>
      <c r="S1090" s="4">
        <v>3</v>
      </c>
      <c r="T1090" s="4">
        <v>3</v>
      </c>
      <c r="U1090" s="5" t="s">
        <v>7881</v>
      </c>
      <c r="V1090" s="5" t="s">
        <v>7881</v>
      </c>
      <c r="W1090" s="5" t="s">
        <v>12723</v>
      </c>
      <c r="X1090" s="5" t="s">
        <v>12723</v>
      </c>
      <c r="Y1090" s="4">
        <v>379</v>
      </c>
      <c r="Z1090" s="4">
        <v>298</v>
      </c>
      <c r="AA1090" s="4">
        <v>326</v>
      </c>
      <c r="AB1090" s="4">
        <v>3</v>
      </c>
      <c r="AC1090" s="4">
        <v>3</v>
      </c>
      <c r="AD1090" s="4">
        <v>13</v>
      </c>
      <c r="AE1090" s="4">
        <v>13</v>
      </c>
      <c r="AF1090" s="4">
        <v>1</v>
      </c>
      <c r="AG1090" s="4">
        <v>1</v>
      </c>
      <c r="AH1090" s="4">
        <v>4</v>
      </c>
      <c r="AI1090" s="4">
        <v>4</v>
      </c>
      <c r="AJ1090" s="4">
        <v>8</v>
      </c>
      <c r="AK1090" s="4">
        <v>8</v>
      </c>
      <c r="AL1090" s="4">
        <v>2</v>
      </c>
      <c r="AM1090" s="4">
        <v>2</v>
      </c>
      <c r="AN1090" s="4">
        <v>0</v>
      </c>
      <c r="AO1090" s="4">
        <v>0</v>
      </c>
      <c r="AP1090" s="3" t="s">
        <v>59</v>
      </c>
      <c r="AQ1090" s="3" t="s">
        <v>71</v>
      </c>
      <c r="AR1090" s="6" t="str">
        <f>HYPERLINK("http://catalog.hathitrust.org/Record/000425651","HathiTrust Record")</f>
        <v>HathiTrust Record</v>
      </c>
      <c r="AS1090" s="6" t="str">
        <f>HYPERLINK("https://creighton-primo.hosted.exlibrisgroup.com/primo-explore/search?tab=default_tab&amp;search_scope=EVERYTHING&amp;vid=01CRU&amp;lang=en_US&amp;offset=0&amp;query=any,contains,991000613419702656","Catalog Record")</f>
        <v>Catalog Record</v>
      </c>
      <c r="AT1090" s="6" t="str">
        <f>HYPERLINK("http://www.worldcat.org/oclc/11917852","WorldCat Record")</f>
        <v>WorldCat Record</v>
      </c>
      <c r="AU1090" s="3" t="s">
        <v>13725</v>
      </c>
      <c r="AV1090" s="3" t="s">
        <v>13726</v>
      </c>
      <c r="AW1090" s="3" t="s">
        <v>13727</v>
      </c>
      <c r="AX1090" s="3" t="s">
        <v>13727</v>
      </c>
      <c r="AY1090" s="3" t="s">
        <v>13728</v>
      </c>
      <c r="AZ1090" s="3" t="s">
        <v>76</v>
      </c>
      <c r="BB1090" s="3" t="s">
        <v>13729</v>
      </c>
      <c r="BC1090" s="3" t="s">
        <v>13730</v>
      </c>
      <c r="BD1090" s="3" t="s">
        <v>13731</v>
      </c>
    </row>
    <row r="1091" spans="1:56" ht="52.5" customHeight="1" x14ac:dyDescent="0.25">
      <c r="A1091" s="7" t="s">
        <v>59</v>
      </c>
      <c r="B1091" s="2" t="s">
        <v>13732</v>
      </c>
      <c r="C1091" s="2" t="s">
        <v>13733</v>
      </c>
      <c r="D1091" s="2" t="s">
        <v>13734</v>
      </c>
      <c r="F1091" s="3" t="s">
        <v>59</v>
      </c>
      <c r="G1091" s="3" t="s">
        <v>60</v>
      </c>
      <c r="H1091" s="3" t="s">
        <v>59</v>
      </c>
      <c r="I1091" s="3" t="s">
        <v>59</v>
      </c>
      <c r="J1091" s="3" t="s">
        <v>61</v>
      </c>
      <c r="L1091" s="2" t="s">
        <v>13735</v>
      </c>
      <c r="M1091" s="3" t="s">
        <v>195</v>
      </c>
      <c r="O1091" s="3" t="s">
        <v>65</v>
      </c>
      <c r="P1091" s="3" t="s">
        <v>66</v>
      </c>
      <c r="Q1091" s="2" t="s">
        <v>13736</v>
      </c>
      <c r="R1091" s="3" t="s">
        <v>68</v>
      </c>
      <c r="S1091" s="4">
        <v>5</v>
      </c>
      <c r="T1091" s="4">
        <v>5</v>
      </c>
      <c r="U1091" s="5" t="s">
        <v>13737</v>
      </c>
      <c r="V1091" s="5" t="s">
        <v>13737</v>
      </c>
      <c r="W1091" s="5" t="s">
        <v>12723</v>
      </c>
      <c r="X1091" s="5" t="s">
        <v>12723</v>
      </c>
      <c r="Y1091" s="4">
        <v>477</v>
      </c>
      <c r="Z1091" s="4">
        <v>333</v>
      </c>
      <c r="AA1091" s="4">
        <v>356</v>
      </c>
      <c r="AB1091" s="4">
        <v>3</v>
      </c>
      <c r="AC1091" s="4">
        <v>3</v>
      </c>
      <c r="AD1091" s="4">
        <v>10</v>
      </c>
      <c r="AE1091" s="4">
        <v>12</v>
      </c>
      <c r="AF1091" s="4">
        <v>0</v>
      </c>
      <c r="AG1091" s="4">
        <v>2</v>
      </c>
      <c r="AH1091" s="4">
        <v>3</v>
      </c>
      <c r="AI1091" s="4">
        <v>3</v>
      </c>
      <c r="AJ1091" s="4">
        <v>7</v>
      </c>
      <c r="AK1091" s="4">
        <v>8</v>
      </c>
      <c r="AL1091" s="4">
        <v>2</v>
      </c>
      <c r="AM1091" s="4">
        <v>2</v>
      </c>
      <c r="AN1091" s="4">
        <v>0</v>
      </c>
      <c r="AO1091" s="4">
        <v>0</v>
      </c>
      <c r="AP1091" s="3" t="s">
        <v>59</v>
      </c>
      <c r="AQ1091" s="3" t="s">
        <v>71</v>
      </c>
      <c r="AR1091" s="6" t="str">
        <f>HYPERLINK("http://catalog.hathitrust.org/Record/000229083","HathiTrust Record")</f>
        <v>HathiTrust Record</v>
      </c>
      <c r="AS1091" s="6" t="str">
        <f>HYPERLINK("https://creighton-primo.hosted.exlibrisgroup.com/primo-explore/search?tab=default_tab&amp;search_scope=EVERYTHING&amp;vid=01CRU&amp;lang=en_US&amp;offset=0&amp;query=any,contains,991005175679702656","Catalog Record")</f>
        <v>Catalog Record</v>
      </c>
      <c r="AT1091" s="6" t="str">
        <f>HYPERLINK("http://www.worldcat.org/oclc/7922850","WorldCat Record")</f>
        <v>WorldCat Record</v>
      </c>
      <c r="AU1091" s="3" t="s">
        <v>13738</v>
      </c>
      <c r="AV1091" s="3" t="s">
        <v>13739</v>
      </c>
      <c r="AW1091" s="3" t="s">
        <v>13740</v>
      </c>
      <c r="AX1091" s="3" t="s">
        <v>13740</v>
      </c>
      <c r="AY1091" s="3" t="s">
        <v>13741</v>
      </c>
      <c r="AZ1091" s="3" t="s">
        <v>76</v>
      </c>
      <c r="BB1091" s="3" t="s">
        <v>13742</v>
      </c>
      <c r="BC1091" s="3" t="s">
        <v>13743</v>
      </c>
      <c r="BD1091" s="3" t="s">
        <v>13744</v>
      </c>
    </row>
    <row r="1092" spans="1:56" ht="52.5" customHeight="1" x14ac:dyDescent="0.25">
      <c r="A1092" s="7" t="s">
        <v>59</v>
      </c>
      <c r="B1092" s="2" t="s">
        <v>13745</v>
      </c>
      <c r="C1092" s="2" t="s">
        <v>13746</v>
      </c>
      <c r="D1092" s="2" t="s">
        <v>13747</v>
      </c>
      <c r="F1092" s="3" t="s">
        <v>59</v>
      </c>
      <c r="G1092" s="3" t="s">
        <v>60</v>
      </c>
      <c r="H1092" s="3" t="s">
        <v>59</v>
      </c>
      <c r="I1092" s="3" t="s">
        <v>59</v>
      </c>
      <c r="J1092" s="3" t="s">
        <v>61</v>
      </c>
      <c r="L1092" s="2" t="s">
        <v>7669</v>
      </c>
      <c r="M1092" s="3" t="s">
        <v>684</v>
      </c>
      <c r="O1092" s="3" t="s">
        <v>65</v>
      </c>
      <c r="P1092" s="3" t="s">
        <v>66</v>
      </c>
      <c r="Q1092" s="2" t="s">
        <v>13334</v>
      </c>
      <c r="R1092" s="3" t="s">
        <v>68</v>
      </c>
      <c r="S1092" s="4">
        <v>2</v>
      </c>
      <c r="T1092" s="4">
        <v>2</v>
      </c>
      <c r="U1092" s="5" t="s">
        <v>13748</v>
      </c>
      <c r="V1092" s="5" t="s">
        <v>13748</v>
      </c>
      <c r="W1092" s="5" t="s">
        <v>3874</v>
      </c>
      <c r="X1092" s="5" t="s">
        <v>3874</v>
      </c>
      <c r="Y1092" s="4">
        <v>563</v>
      </c>
      <c r="Z1092" s="4">
        <v>405</v>
      </c>
      <c r="AA1092" s="4">
        <v>411</v>
      </c>
      <c r="AB1092" s="4">
        <v>4</v>
      </c>
      <c r="AC1092" s="4">
        <v>4</v>
      </c>
      <c r="AD1092" s="4">
        <v>21</v>
      </c>
      <c r="AE1092" s="4">
        <v>21</v>
      </c>
      <c r="AF1092" s="4">
        <v>7</v>
      </c>
      <c r="AG1092" s="4">
        <v>7</v>
      </c>
      <c r="AH1092" s="4">
        <v>5</v>
      </c>
      <c r="AI1092" s="4">
        <v>5</v>
      </c>
      <c r="AJ1092" s="4">
        <v>11</v>
      </c>
      <c r="AK1092" s="4">
        <v>11</v>
      </c>
      <c r="AL1092" s="4">
        <v>3</v>
      </c>
      <c r="AM1092" s="4">
        <v>3</v>
      </c>
      <c r="AN1092" s="4">
        <v>0</v>
      </c>
      <c r="AO1092" s="4">
        <v>0</v>
      </c>
      <c r="AP1092" s="3" t="s">
        <v>59</v>
      </c>
      <c r="AQ1092" s="3" t="s">
        <v>71</v>
      </c>
      <c r="AR1092" s="6" t="str">
        <f>HYPERLINK("http://catalog.hathitrust.org/Record/000221404","HathiTrust Record")</f>
        <v>HathiTrust Record</v>
      </c>
      <c r="AS1092" s="6" t="str">
        <f>HYPERLINK("https://creighton-primo.hosted.exlibrisgroup.com/primo-explore/search?tab=default_tab&amp;search_scope=EVERYTHING&amp;vid=01CRU&amp;lang=en_US&amp;offset=0&amp;query=any,contains,991005082659702656","Catalog Record")</f>
        <v>Catalog Record</v>
      </c>
      <c r="AT1092" s="6" t="str">
        <f>HYPERLINK("http://www.worldcat.org/oclc/7174853","WorldCat Record")</f>
        <v>WorldCat Record</v>
      </c>
      <c r="AU1092" s="3" t="s">
        <v>13749</v>
      </c>
      <c r="AV1092" s="3" t="s">
        <v>13750</v>
      </c>
      <c r="AW1092" s="3" t="s">
        <v>13751</v>
      </c>
      <c r="AX1092" s="3" t="s">
        <v>13751</v>
      </c>
      <c r="AY1092" s="3" t="s">
        <v>13752</v>
      </c>
      <c r="AZ1092" s="3" t="s">
        <v>76</v>
      </c>
      <c r="BB1092" s="3" t="s">
        <v>13753</v>
      </c>
      <c r="BC1092" s="3" t="s">
        <v>13754</v>
      </c>
      <c r="BD1092" s="3" t="s">
        <v>13755</v>
      </c>
    </row>
    <row r="1093" spans="1:56" ht="52.5" customHeight="1" x14ac:dyDescent="0.25">
      <c r="A1093" s="7" t="s">
        <v>59</v>
      </c>
      <c r="B1093" s="2" t="s">
        <v>13756</v>
      </c>
      <c r="C1093" s="2" t="s">
        <v>13757</v>
      </c>
      <c r="D1093" s="2" t="s">
        <v>13758</v>
      </c>
      <c r="F1093" s="3" t="s">
        <v>59</v>
      </c>
      <c r="G1093" s="3" t="s">
        <v>60</v>
      </c>
      <c r="H1093" s="3" t="s">
        <v>59</v>
      </c>
      <c r="I1093" s="3" t="s">
        <v>59</v>
      </c>
      <c r="J1093" s="3" t="s">
        <v>61</v>
      </c>
      <c r="K1093" s="2" t="s">
        <v>13759</v>
      </c>
      <c r="L1093" s="2" t="s">
        <v>13760</v>
      </c>
      <c r="M1093" s="3" t="s">
        <v>756</v>
      </c>
      <c r="O1093" s="3" t="s">
        <v>65</v>
      </c>
      <c r="P1093" s="3" t="s">
        <v>283</v>
      </c>
      <c r="R1093" s="3" t="s">
        <v>68</v>
      </c>
      <c r="S1093" s="4">
        <v>12</v>
      </c>
      <c r="T1093" s="4">
        <v>12</v>
      </c>
      <c r="U1093" s="5" t="s">
        <v>13761</v>
      </c>
      <c r="V1093" s="5" t="s">
        <v>13761</v>
      </c>
      <c r="W1093" s="5" t="s">
        <v>8771</v>
      </c>
      <c r="X1093" s="5" t="s">
        <v>8771</v>
      </c>
      <c r="Y1093" s="4">
        <v>1206</v>
      </c>
      <c r="Z1093" s="4">
        <v>1096</v>
      </c>
      <c r="AA1093" s="4">
        <v>1314</v>
      </c>
      <c r="AB1093" s="4">
        <v>12</v>
      </c>
      <c r="AC1093" s="4">
        <v>13</v>
      </c>
      <c r="AD1093" s="4">
        <v>35</v>
      </c>
      <c r="AE1093" s="4">
        <v>41</v>
      </c>
      <c r="AF1093" s="4">
        <v>13</v>
      </c>
      <c r="AG1093" s="4">
        <v>18</v>
      </c>
      <c r="AH1093" s="4">
        <v>5</v>
      </c>
      <c r="AI1093" s="4">
        <v>7</v>
      </c>
      <c r="AJ1093" s="4">
        <v>18</v>
      </c>
      <c r="AK1093" s="4">
        <v>19</v>
      </c>
      <c r="AL1093" s="4">
        <v>7</v>
      </c>
      <c r="AM1093" s="4">
        <v>7</v>
      </c>
      <c r="AN1093" s="4">
        <v>0</v>
      </c>
      <c r="AO1093" s="4">
        <v>0</v>
      </c>
      <c r="AP1093" s="3" t="s">
        <v>59</v>
      </c>
      <c r="AQ1093" s="3" t="s">
        <v>71</v>
      </c>
      <c r="AR1093" s="6" t="str">
        <f>HYPERLINK("http://catalog.hathitrust.org/Record/000006680","HathiTrust Record")</f>
        <v>HathiTrust Record</v>
      </c>
      <c r="AS1093" s="6" t="str">
        <f>HYPERLINK("https://creighton-primo.hosted.exlibrisgroup.com/primo-explore/search?tab=default_tab&amp;search_scope=EVERYTHING&amp;vid=01CRU&amp;lang=en_US&amp;offset=0&amp;query=any,contains,991002873269702656","Catalog Record")</f>
        <v>Catalog Record</v>
      </c>
      <c r="AT1093" s="6" t="str">
        <f>HYPERLINK("http://www.worldcat.org/oclc/501090","WorldCat Record")</f>
        <v>WorldCat Record</v>
      </c>
      <c r="AU1093" s="3" t="s">
        <v>13762</v>
      </c>
      <c r="AV1093" s="3" t="s">
        <v>13763</v>
      </c>
      <c r="AW1093" s="3" t="s">
        <v>13764</v>
      </c>
      <c r="AX1093" s="3" t="s">
        <v>13764</v>
      </c>
      <c r="AY1093" s="3" t="s">
        <v>13765</v>
      </c>
      <c r="AZ1093" s="3" t="s">
        <v>76</v>
      </c>
      <c r="BC1093" s="3" t="s">
        <v>13766</v>
      </c>
      <c r="BD1093" s="3" t="s">
        <v>13767</v>
      </c>
    </row>
    <row r="1094" spans="1:56" ht="52.5" customHeight="1" x14ac:dyDescent="0.25">
      <c r="A1094" s="7" t="s">
        <v>59</v>
      </c>
      <c r="B1094" s="2" t="s">
        <v>13768</v>
      </c>
      <c r="C1094" s="2" t="s">
        <v>13769</v>
      </c>
      <c r="D1094" s="2" t="s">
        <v>13770</v>
      </c>
      <c r="F1094" s="3" t="s">
        <v>59</v>
      </c>
      <c r="G1094" s="3" t="s">
        <v>60</v>
      </c>
      <c r="H1094" s="3" t="s">
        <v>59</v>
      </c>
      <c r="I1094" s="3" t="s">
        <v>59</v>
      </c>
      <c r="J1094" s="3" t="s">
        <v>61</v>
      </c>
      <c r="K1094" s="2" t="s">
        <v>13771</v>
      </c>
      <c r="L1094" s="2" t="s">
        <v>5347</v>
      </c>
      <c r="M1094" s="3" t="s">
        <v>148</v>
      </c>
      <c r="N1094" s="2" t="s">
        <v>13772</v>
      </c>
      <c r="O1094" s="3" t="s">
        <v>65</v>
      </c>
      <c r="P1094" s="3" t="s">
        <v>283</v>
      </c>
      <c r="R1094" s="3" t="s">
        <v>68</v>
      </c>
      <c r="S1094" s="4">
        <v>13</v>
      </c>
      <c r="T1094" s="4">
        <v>13</v>
      </c>
      <c r="U1094" s="5" t="s">
        <v>13773</v>
      </c>
      <c r="V1094" s="5" t="s">
        <v>13773</v>
      </c>
      <c r="W1094" s="5" t="s">
        <v>1653</v>
      </c>
      <c r="X1094" s="5" t="s">
        <v>1653</v>
      </c>
      <c r="Y1094" s="4">
        <v>767</v>
      </c>
      <c r="Z1094" s="4">
        <v>709</v>
      </c>
      <c r="AA1094" s="4">
        <v>1553</v>
      </c>
      <c r="AB1094" s="4">
        <v>7</v>
      </c>
      <c r="AC1094" s="4">
        <v>16</v>
      </c>
      <c r="AD1094" s="4">
        <v>20</v>
      </c>
      <c r="AE1094" s="4">
        <v>36</v>
      </c>
      <c r="AF1094" s="4">
        <v>10</v>
      </c>
      <c r="AG1094" s="4">
        <v>18</v>
      </c>
      <c r="AH1094" s="4">
        <v>3</v>
      </c>
      <c r="AI1094" s="4">
        <v>4</v>
      </c>
      <c r="AJ1094" s="4">
        <v>10</v>
      </c>
      <c r="AK1094" s="4">
        <v>17</v>
      </c>
      <c r="AL1094" s="4">
        <v>3</v>
      </c>
      <c r="AM1094" s="4">
        <v>5</v>
      </c>
      <c r="AN1094" s="4">
        <v>0</v>
      </c>
      <c r="AO1094" s="4">
        <v>0</v>
      </c>
      <c r="AP1094" s="3" t="s">
        <v>59</v>
      </c>
      <c r="AQ1094" s="3" t="s">
        <v>71</v>
      </c>
      <c r="AR1094" s="6" t="str">
        <f>HYPERLINK("http://catalog.hathitrust.org/Record/000700044","HathiTrust Record")</f>
        <v>HathiTrust Record</v>
      </c>
      <c r="AS1094" s="6" t="str">
        <f>HYPERLINK("https://creighton-primo.hosted.exlibrisgroup.com/primo-explore/search?tab=default_tab&amp;search_scope=EVERYTHING&amp;vid=01CRU&amp;lang=en_US&amp;offset=0&amp;query=any,contains,991003946199702656","Catalog Record")</f>
        <v>Catalog Record</v>
      </c>
      <c r="AT1094" s="6" t="str">
        <f>HYPERLINK("http://www.worldcat.org/oclc/1945437","WorldCat Record")</f>
        <v>WorldCat Record</v>
      </c>
      <c r="AU1094" s="3" t="s">
        <v>13774</v>
      </c>
      <c r="AV1094" s="3" t="s">
        <v>13775</v>
      </c>
      <c r="AW1094" s="3" t="s">
        <v>13776</v>
      </c>
      <c r="AX1094" s="3" t="s">
        <v>13776</v>
      </c>
      <c r="AY1094" s="3" t="s">
        <v>13777</v>
      </c>
      <c r="AZ1094" s="3" t="s">
        <v>76</v>
      </c>
      <c r="BB1094" s="3" t="s">
        <v>13778</v>
      </c>
      <c r="BC1094" s="3" t="s">
        <v>13779</v>
      </c>
      <c r="BD1094" s="3" t="s">
        <v>13780</v>
      </c>
    </row>
    <row r="1095" spans="1:56" ht="52.5" customHeight="1" x14ac:dyDescent="0.25">
      <c r="A1095" s="7" t="s">
        <v>59</v>
      </c>
      <c r="B1095" s="2" t="s">
        <v>13781</v>
      </c>
      <c r="C1095" s="2" t="s">
        <v>13782</v>
      </c>
      <c r="D1095" s="2" t="s">
        <v>13783</v>
      </c>
      <c r="F1095" s="3" t="s">
        <v>59</v>
      </c>
      <c r="G1095" s="3" t="s">
        <v>60</v>
      </c>
      <c r="H1095" s="3" t="s">
        <v>59</v>
      </c>
      <c r="I1095" s="3" t="s">
        <v>59</v>
      </c>
      <c r="J1095" s="3" t="s">
        <v>61</v>
      </c>
      <c r="L1095" s="2" t="s">
        <v>13784</v>
      </c>
      <c r="M1095" s="3" t="s">
        <v>1217</v>
      </c>
      <c r="N1095" s="2" t="s">
        <v>3938</v>
      </c>
      <c r="O1095" s="3" t="s">
        <v>65</v>
      </c>
      <c r="P1095" s="3" t="s">
        <v>1218</v>
      </c>
      <c r="Q1095" s="2" t="s">
        <v>13785</v>
      </c>
      <c r="R1095" s="3" t="s">
        <v>68</v>
      </c>
      <c r="S1095" s="4">
        <v>16</v>
      </c>
      <c r="T1095" s="4">
        <v>16</v>
      </c>
      <c r="U1095" s="5" t="s">
        <v>13773</v>
      </c>
      <c r="V1095" s="5" t="s">
        <v>13773</v>
      </c>
      <c r="W1095" s="5" t="s">
        <v>8366</v>
      </c>
      <c r="X1095" s="5" t="s">
        <v>8366</v>
      </c>
      <c r="Y1095" s="4">
        <v>550</v>
      </c>
      <c r="Z1095" s="4">
        <v>492</v>
      </c>
      <c r="AA1095" s="4">
        <v>710</v>
      </c>
      <c r="AB1095" s="4">
        <v>6</v>
      </c>
      <c r="AC1095" s="4">
        <v>7</v>
      </c>
      <c r="AD1095" s="4">
        <v>20</v>
      </c>
      <c r="AE1095" s="4">
        <v>28</v>
      </c>
      <c r="AF1095" s="4">
        <v>8</v>
      </c>
      <c r="AG1095" s="4">
        <v>12</v>
      </c>
      <c r="AH1095" s="4">
        <v>4</v>
      </c>
      <c r="AI1095" s="4">
        <v>5</v>
      </c>
      <c r="AJ1095" s="4">
        <v>7</v>
      </c>
      <c r="AK1095" s="4">
        <v>10</v>
      </c>
      <c r="AL1095" s="4">
        <v>5</v>
      </c>
      <c r="AM1095" s="4">
        <v>6</v>
      </c>
      <c r="AN1095" s="4">
        <v>0</v>
      </c>
      <c r="AO1095" s="4">
        <v>0</v>
      </c>
      <c r="AP1095" s="3" t="s">
        <v>59</v>
      </c>
      <c r="AQ1095" s="3" t="s">
        <v>71</v>
      </c>
      <c r="AR1095" s="6" t="str">
        <f>HYPERLINK("http://catalog.hathitrust.org/Record/000122390","HathiTrust Record")</f>
        <v>HathiTrust Record</v>
      </c>
      <c r="AS1095" s="6" t="str">
        <f>HYPERLINK("https://creighton-primo.hosted.exlibrisgroup.com/primo-explore/search?tab=default_tab&amp;search_scope=EVERYTHING&amp;vid=01CRU&amp;lang=en_US&amp;offset=0&amp;query=any,contains,991000311219702656","Catalog Record")</f>
        <v>Catalog Record</v>
      </c>
      <c r="AT1095" s="6" t="str">
        <f>HYPERLINK("http://www.worldcat.org/oclc/10099093","WorldCat Record")</f>
        <v>WorldCat Record</v>
      </c>
      <c r="AU1095" s="3" t="s">
        <v>13786</v>
      </c>
      <c r="AV1095" s="3" t="s">
        <v>13787</v>
      </c>
      <c r="AW1095" s="3" t="s">
        <v>13788</v>
      </c>
      <c r="AX1095" s="3" t="s">
        <v>13788</v>
      </c>
      <c r="AY1095" s="3" t="s">
        <v>13789</v>
      </c>
      <c r="AZ1095" s="3" t="s">
        <v>76</v>
      </c>
      <c r="BB1095" s="3" t="s">
        <v>13790</v>
      </c>
      <c r="BC1095" s="3" t="s">
        <v>13791</v>
      </c>
      <c r="BD1095" s="3" t="s">
        <v>13792</v>
      </c>
    </row>
    <row r="1096" spans="1:56" ht="52.5" customHeight="1" x14ac:dyDescent="0.25">
      <c r="A1096" s="7" t="s">
        <v>59</v>
      </c>
      <c r="B1096" s="2" t="s">
        <v>13793</v>
      </c>
      <c r="C1096" s="2" t="s">
        <v>13794</v>
      </c>
      <c r="D1096" s="2" t="s">
        <v>13795</v>
      </c>
      <c r="F1096" s="3" t="s">
        <v>59</v>
      </c>
      <c r="G1096" s="3" t="s">
        <v>60</v>
      </c>
      <c r="H1096" s="3" t="s">
        <v>59</v>
      </c>
      <c r="I1096" s="3" t="s">
        <v>59</v>
      </c>
      <c r="J1096" s="3" t="s">
        <v>61</v>
      </c>
      <c r="K1096" s="2" t="s">
        <v>13796</v>
      </c>
      <c r="L1096" s="2" t="s">
        <v>13797</v>
      </c>
      <c r="M1096" s="3" t="s">
        <v>549</v>
      </c>
      <c r="O1096" s="3" t="s">
        <v>65</v>
      </c>
      <c r="P1096" s="3" t="s">
        <v>296</v>
      </c>
      <c r="R1096" s="3" t="s">
        <v>68</v>
      </c>
      <c r="S1096" s="4">
        <v>19</v>
      </c>
      <c r="T1096" s="4">
        <v>19</v>
      </c>
      <c r="U1096" s="5" t="s">
        <v>13773</v>
      </c>
      <c r="V1096" s="5" t="s">
        <v>13773</v>
      </c>
      <c r="W1096" s="5" t="s">
        <v>13798</v>
      </c>
      <c r="X1096" s="5" t="s">
        <v>13798</v>
      </c>
      <c r="Y1096" s="4">
        <v>119</v>
      </c>
      <c r="Z1096" s="4">
        <v>99</v>
      </c>
      <c r="AA1096" s="4">
        <v>100</v>
      </c>
      <c r="AB1096" s="4">
        <v>2</v>
      </c>
      <c r="AC1096" s="4">
        <v>2</v>
      </c>
      <c r="AD1096" s="4">
        <v>4</v>
      </c>
      <c r="AE1096" s="4">
        <v>4</v>
      </c>
      <c r="AF1096" s="4">
        <v>1</v>
      </c>
      <c r="AG1096" s="4">
        <v>1</v>
      </c>
      <c r="AH1096" s="4">
        <v>1</v>
      </c>
      <c r="AI1096" s="4">
        <v>1</v>
      </c>
      <c r="AJ1096" s="4">
        <v>3</v>
      </c>
      <c r="AK1096" s="4">
        <v>3</v>
      </c>
      <c r="AL1096" s="4">
        <v>1</v>
      </c>
      <c r="AM1096" s="4">
        <v>1</v>
      </c>
      <c r="AN1096" s="4">
        <v>0</v>
      </c>
      <c r="AO1096" s="4">
        <v>0</v>
      </c>
      <c r="AP1096" s="3" t="s">
        <v>59</v>
      </c>
      <c r="AQ1096" s="3" t="s">
        <v>71</v>
      </c>
      <c r="AR1096" s="6" t="str">
        <f>HYPERLINK("http://catalog.hathitrust.org/Record/007104758","HathiTrust Record")</f>
        <v>HathiTrust Record</v>
      </c>
      <c r="AS1096" s="6" t="str">
        <f>HYPERLINK("https://creighton-primo.hosted.exlibrisgroup.com/primo-explore/search?tab=default_tab&amp;search_scope=EVERYTHING&amp;vid=01CRU&amp;lang=en_US&amp;offset=0&amp;query=any,contains,991000884369702656","Catalog Record")</f>
        <v>Catalog Record</v>
      </c>
      <c r="AT1096" s="6" t="str">
        <f>HYPERLINK("http://www.worldcat.org/oclc/13860247","WorldCat Record")</f>
        <v>WorldCat Record</v>
      </c>
      <c r="AU1096" s="3" t="s">
        <v>13799</v>
      </c>
      <c r="AV1096" s="3" t="s">
        <v>13800</v>
      </c>
      <c r="AW1096" s="3" t="s">
        <v>13801</v>
      </c>
      <c r="AX1096" s="3" t="s">
        <v>13801</v>
      </c>
      <c r="AY1096" s="3" t="s">
        <v>13802</v>
      </c>
      <c r="AZ1096" s="3" t="s">
        <v>76</v>
      </c>
      <c r="BB1096" s="3" t="s">
        <v>13803</v>
      </c>
      <c r="BC1096" s="3" t="s">
        <v>13804</v>
      </c>
      <c r="BD1096" s="3" t="s">
        <v>13805</v>
      </c>
    </row>
    <row r="1097" spans="1:56" ht="52.5" customHeight="1" x14ac:dyDescent="0.25">
      <c r="A1097" s="7" t="s">
        <v>59</v>
      </c>
      <c r="B1097" s="2" t="s">
        <v>13806</v>
      </c>
      <c r="C1097" s="2" t="s">
        <v>13807</v>
      </c>
      <c r="D1097" s="2" t="s">
        <v>13808</v>
      </c>
      <c r="F1097" s="3" t="s">
        <v>59</v>
      </c>
      <c r="G1097" s="3" t="s">
        <v>60</v>
      </c>
      <c r="H1097" s="3" t="s">
        <v>59</v>
      </c>
      <c r="I1097" s="3" t="s">
        <v>59</v>
      </c>
      <c r="J1097" s="3" t="s">
        <v>61</v>
      </c>
      <c r="K1097" s="2" t="s">
        <v>13809</v>
      </c>
      <c r="L1097" s="2" t="s">
        <v>13810</v>
      </c>
      <c r="M1097" s="3" t="s">
        <v>164</v>
      </c>
      <c r="O1097" s="3" t="s">
        <v>65</v>
      </c>
      <c r="P1097" s="3" t="s">
        <v>66</v>
      </c>
      <c r="Q1097" s="2" t="s">
        <v>13811</v>
      </c>
      <c r="R1097" s="3" t="s">
        <v>68</v>
      </c>
      <c r="S1097" s="4">
        <v>16</v>
      </c>
      <c r="T1097" s="4">
        <v>16</v>
      </c>
      <c r="U1097" s="5" t="s">
        <v>7570</v>
      </c>
      <c r="V1097" s="5" t="s">
        <v>7570</v>
      </c>
      <c r="W1097" s="5" t="s">
        <v>5662</v>
      </c>
      <c r="X1097" s="5" t="s">
        <v>5662</v>
      </c>
      <c r="Y1097" s="4">
        <v>580</v>
      </c>
      <c r="Z1097" s="4">
        <v>484</v>
      </c>
      <c r="AA1097" s="4">
        <v>491</v>
      </c>
      <c r="AB1097" s="4">
        <v>4</v>
      </c>
      <c r="AC1097" s="4">
        <v>4</v>
      </c>
      <c r="AD1097" s="4">
        <v>16</v>
      </c>
      <c r="AE1097" s="4">
        <v>16</v>
      </c>
      <c r="AF1097" s="4">
        <v>7</v>
      </c>
      <c r="AG1097" s="4">
        <v>7</v>
      </c>
      <c r="AH1097" s="4">
        <v>3</v>
      </c>
      <c r="AI1097" s="4">
        <v>3</v>
      </c>
      <c r="AJ1097" s="4">
        <v>5</v>
      </c>
      <c r="AK1097" s="4">
        <v>5</v>
      </c>
      <c r="AL1097" s="4">
        <v>3</v>
      </c>
      <c r="AM1097" s="4">
        <v>3</v>
      </c>
      <c r="AN1097" s="4">
        <v>0</v>
      </c>
      <c r="AO1097" s="4">
        <v>0</v>
      </c>
      <c r="AP1097" s="3" t="s">
        <v>59</v>
      </c>
      <c r="AQ1097" s="3" t="s">
        <v>71</v>
      </c>
      <c r="AR1097" s="6" t="str">
        <f>HYPERLINK("http://catalog.hathitrust.org/Record/000181340","HathiTrust Record")</f>
        <v>HathiTrust Record</v>
      </c>
      <c r="AS1097" s="6" t="str">
        <f>HYPERLINK("https://creighton-primo.hosted.exlibrisgroup.com/primo-explore/search?tab=default_tab&amp;search_scope=EVERYTHING&amp;vid=01CRU&amp;lang=en_US&amp;offset=0&amp;query=any,contains,991004858029702656","Catalog Record")</f>
        <v>Catalog Record</v>
      </c>
      <c r="AT1097" s="6" t="str">
        <f>HYPERLINK("http://www.worldcat.org/oclc/5676863","WorldCat Record")</f>
        <v>WorldCat Record</v>
      </c>
      <c r="AU1097" s="3" t="s">
        <v>13812</v>
      </c>
      <c r="AV1097" s="3" t="s">
        <v>13813</v>
      </c>
      <c r="AW1097" s="3" t="s">
        <v>13814</v>
      </c>
      <c r="AX1097" s="3" t="s">
        <v>13814</v>
      </c>
      <c r="AY1097" s="3" t="s">
        <v>13815</v>
      </c>
      <c r="AZ1097" s="3" t="s">
        <v>76</v>
      </c>
      <c r="BB1097" s="3" t="s">
        <v>13816</v>
      </c>
      <c r="BC1097" s="3" t="s">
        <v>13817</v>
      </c>
      <c r="BD1097" s="3" t="s">
        <v>13818</v>
      </c>
    </row>
    <row r="1098" spans="1:56" ht="52.5" customHeight="1" x14ac:dyDescent="0.25">
      <c r="A1098" s="7" t="s">
        <v>59</v>
      </c>
      <c r="B1098" s="2" t="s">
        <v>13819</v>
      </c>
      <c r="C1098" s="2" t="s">
        <v>13820</v>
      </c>
      <c r="D1098" s="2" t="s">
        <v>13821</v>
      </c>
      <c r="F1098" s="3" t="s">
        <v>59</v>
      </c>
      <c r="G1098" s="3" t="s">
        <v>60</v>
      </c>
      <c r="H1098" s="3" t="s">
        <v>59</v>
      </c>
      <c r="I1098" s="3" t="s">
        <v>59</v>
      </c>
      <c r="J1098" s="3" t="s">
        <v>61</v>
      </c>
      <c r="K1098" s="2" t="s">
        <v>13822</v>
      </c>
      <c r="L1098" s="2" t="s">
        <v>13823</v>
      </c>
      <c r="M1098" s="3" t="s">
        <v>756</v>
      </c>
      <c r="O1098" s="3" t="s">
        <v>65</v>
      </c>
      <c r="P1098" s="3" t="s">
        <v>296</v>
      </c>
      <c r="R1098" s="3" t="s">
        <v>68</v>
      </c>
      <c r="S1098" s="4">
        <v>18</v>
      </c>
      <c r="T1098" s="4">
        <v>18</v>
      </c>
      <c r="U1098" s="5" t="s">
        <v>13824</v>
      </c>
      <c r="V1098" s="5" t="s">
        <v>13824</v>
      </c>
      <c r="W1098" s="5" t="s">
        <v>1871</v>
      </c>
      <c r="X1098" s="5" t="s">
        <v>1871</v>
      </c>
      <c r="Y1098" s="4">
        <v>389</v>
      </c>
      <c r="Z1098" s="4">
        <v>335</v>
      </c>
      <c r="AA1098" s="4">
        <v>431</v>
      </c>
      <c r="AB1098" s="4">
        <v>5</v>
      </c>
      <c r="AC1098" s="4">
        <v>5</v>
      </c>
      <c r="AD1098" s="4">
        <v>13</v>
      </c>
      <c r="AE1098" s="4">
        <v>16</v>
      </c>
      <c r="AF1098" s="4">
        <v>2</v>
      </c>
      <c r="AG1098" s="4">
        <v>3</v>
      </c>
      <c r="AH1098" s="4">
        <v>2</v>
      </c>
      <c r="AI1098" s="4">
        <v>3</v>
      </c>
      <c r="AJ1098" s="4">
        <v>6</v>
      </c>
      <c r="AK1098" s="4">
        <v>9</v>
      </c>
      <c r="AL1098" s="4">
        <v>4</v>
      </c>
      <c r="AM1098" s="4">
        <v>4</v>
      </c>
      <c r="AN1098" s="4">
        <v>0</v>
      </c>
      <c r="AO1098" s="4">
        <v>0</v>
      </c>
      <c r="AP1098" s="3" t="s">
        <v>59</v>
      </c>
      <c r="AQ1098" s="3" t="s">
        <v>59</v>
      </c>
      <c r="AS1098" s="6" t="str">
        <f>HYPERLINK("https://creighton-primo.hosted.exlibrisgroup.com/primo-explore/search?tab=default_tab&amp;search_scope=EVERYTHING&amp;vid=01CRU&amp;lang=en_US&amp;offset=0&amp;query=any,contains,991002873299702656","Catalog Record")</f>
        <v>Catalog Record</v>
      </c>
      <c r="AT1098" s="6" t="str">
        <f>HYPERLINK("http://www.worldcat.org/oclc/501102","WorldCat Record")</f>
        <v>WorldCat Record</v>
      </c>
      <c r="AU1098" s="3" t="s">
        <v>13825</v>
      </c>
      <c r="AV1098" s="3" t="s">
        <v>13826</v>
      </c>
      <c r="AW1098" s="3" t="s">
        <v>13827</v>
      </c>
      <c r="AX1098" s="3" t="s">
        <v>13827</v>
      </c>
      <c r="AY1098" s="3" t="s">
        <v>13828</v>
      </c>
      <c r="AZ1098" s="3" t="s">
        <v>76</v>
      </c>
      <c r="BC1098" s="3" t="s">
        <v>13829</v>
      </c>
      <c r="BD1098" s="3" t="s">
        <v>13830</v>
      </c>
    </row>
    <row r="1099" spans="1:56" ht="52.5" customHeight="1" x14ac:dyDescent="0.25">
      <c r="A1099" s="7" t="s">
        <v>59</v>
      </c>
      <c r="B1099" s="2" t="s">
        <v>13831</v>
      </c>
      <c r="C1099" s="2" t="s">
        <v>13832</v>
      </c>
      <c r="D1099" s="2" t="s">
        <v>13833</v>
      </c>
      <c r="F1099" s="3" t="s">
        <v>59</v>
      </c>
      <c r="G1099" s="3" t="s">
        <v>60</v>
      </c>
      <c r="H1099" s="3" t="s">
        <v>59</v>
      </c>
      <c r="I1099" s="3" t="s">
        <v>59</v>
      </c>
      <c r="J1099" s="3" t="s">
        <v>61</v>
      </c>
      <c r="K1099" s="2" t="s">
        <v>13834</v>
      </c>
      <c r="L1099" s="2" t="s">
        <v>13835</v>
      </c>
      <c r="M1099" s="3" t="s">
        <v>1000</v>
      </c>
      <c r="O1099" s="3" t="s">
        <v>65</v>
      </c>
      <c r="P1099" s="3" t="s">
        <v>1262</v>
      </c>
      <c r="R1099" s="3" t="s">
        <v>68</v>
      </c>
      <c r="S1099" s="4">
        <v>16</v>
      </c>
      <c r="T1099" s="4">
        <v>16</v>
      </c>
      <c r="U1099" s="5" t="s">
        <v>13139</v>
      </c>
      <c r="V1099" s="5" t="s">
        <v>13139</v>
      </c>
      <c r="W1099" s="5" t="s">
        <v>12723</v>
      </c>
      <c r="X1099" s="5" t="s">
        <v>12723</v>
      </c>
      <c r="Y1099" s="4">
        <v>544</v>
      </c>
      <c r="Z1099" s="4">
        <v>341</v>
      </c>
      <c r="AA1099" s="4">
        <v>502</v>
      </c>
      <c r="AB1099" s="4">
        <v>2</v>
      </c>
      <c r="AC1099" s="4">
        <v>3</v>
      </c>
      <c r="AD1099" s="4">
        <v>12</v>
      </c>
      <c r="AE1099" s="4">
        <v>23</v>
      </c>
      <c r="AF1099" s="4">
        <v>5</v>
      </c>
      <c r="AG1099" s="4">
        <v>8</v>
      </c>
      <c r="AH1099" s="4">
        <v>3</v>
      </c>
      <c r="AI1099" s="4">
        <v>6</v>
      </c>
      <c r="AJ1099" s="4">
        <v>8</v>
      </c>
      <c r="AK1099" s="4">
        <v>12</v>
      </c>
      <c r="AL1099" s="4">
        <v>1</v>
      </c>
      <c r="AM1099" s="4">
        <v>2</v>
      </c>
      <c r="AN1099" s="4">
        <v>0</v>
      </c>
      <c r="AO1099" s="4">
        <v>0</v>
      </c>
      <c r="AP1099" s="3" t="s">
        <v>59</v>
      </c>
      <c r="AQ1099" s="3" t="s">
        <v>59</v>
      </c>
      <c r="AS1099" s="6" t="str">
        <f>HYPERLINK("https://creighton-primo.hosted.exlibrisgroup.com/primo-explore/search?tab=default_tab&amp;search_scope=EVERYTHING&amp;vid=01CRU&amp;lang=en_US&amp;offset=0&amp;query=any,contains,991004892059702656","Catalog Record")</f>
        <v>Catalog Record</v>
      </c>
      <c r="AT1099" s="6" t="str">
        <f>HYPERLINK("http://www.worldcat.org/oclc/5881881","WorldCat Record")</f>
        <v>WorldCat Record</v>
      </c>
      <c r="AU1099" s="3" t="s">
        <v>13836</v>
      </c>
      <c r="AV1099" s="3" t="s">
        <v>13837</v>
      </c>
      <c r="AW1099" s="3" t="s">
        <v>13838</v>
      </c>
      <c r="AX1099" s="3" t="s">
        <v>13838</v>
      </c>
      <c r="AY1099" s="3" t="s">
        <v>13839</v>
      </c>
      <c r="AZ1099" s="3" t="s">
        <v>76</v>
      </c>
      <c r="BB1099" s="3" t="s">
        <v>13840</v>
      </c>
      <c r="BC1099" s="3" t="s">
        <v>13841</v>
      </c>
      <c r="BD1099" s="3" t="s">
        <v>13842</v>
      </c>
    </row>
    <row r="1100" spans="1:56" ht="52.5" customHeight="1" x14ac:dyDescent="0.25">
      <c r="A1100" s="7" t="s">
        <v>59</v>
      </c>
      <c r="B1100" s="2" t="s">
        <v>13843</v>
      </c>
      <c r="C1100" s="2" t="s">
        <v>13844</v>
      </c>
      <c r="D1100" s="2" t="s">
        <v>13845</v>
      </c>
      <c r="F1100" s="3" t="s">
        <v>59</v>
      </c>
      <c r="G1100" s="3" t="s">
        <v>60</v>
      </c>
      <c r="H1100" s="3" t="s">
        <v>59</v>
      </c>
      <c r="I1100" s="3" t="s">
        <v>59</v>
      </c>
      <c r="J1100" s="3" t="s">
        <v>61</v>
      </c>
      <c r="K1100" s="2" t="s">
        <v>13846</v>
      </c>
      <c r="L1100" s="2" t="s">
        <v>13847</v>
      </c>
      <c r="M1100" s="3" t="s">
        <v>195</v>
      </c>
      <c r="O1100" s="3" t="s">
        <v>65</v>
      </c>
      <c r="P1100" s="3" t="s">
        <v>66</v>
      </c>
      <c r="R1100" s="3" t="s">
        <v>68</v>
      </c>
      <c r="S1100" s="4">
        <v>17</v>
      </c>
      <c r="T1100" s="4">
        <v>17</v>
      </c>
      <c r="U1100" s="5" t="s">
        <v>13848</v>
      </c>
      <c r="V1100" s="5" t="s">
        <v>13848</v>
      </c>
      <c r="W1100" s="5" t="s">
        <v>12723</v>
      </c>
      <c r="X1100" s="5" t="s">
        <v>12723</v>
      </c>
      <c r="Y1100" s="4">
        <v>520</v>
      </c>
      <c r="Z1100" s="4">
        <v>418</v>
      </c>
      <c r="AA1100" s="4">
        <v>445</v>
      </c>
      <c r="AB1100" s="4">
        <v>2</v>
      </c>
      <c r="AC1100" s="4">
        <v>2</v>
      </c>
      <c r="AD1100" s="4">
        <v>16</v>
      </c>
      <c r="AE1100" s="4">
        <v>16</v>
      </c>
      <c r="AF1100" s="4">
        <v>9</v>
      </c>
      <c r="AG1100" s="4">
        <v>9</v>
      </c>
      <c r="AH1100" s="4">
        <v>2</v>
      </c>
      <c r="AI1100" s="4">
        <v>2</v>
      </c>
      <c r="AJ1100" s="4">
        <v>8</v>
      </c>
      <c r="AK1100" s="4">
        <v>8</v>
      </c>
      <c r="AL1100" s="4">
        <v>1</v>
      </c>
      <c r="AM1100" s="4">
        <v>1</v>
      </c>
      <c r="AN1100" s="4">
        <v>0</v>
      </c>
      <c r="AO1100" s="4">
        <v>0</v>
      </c>
      <c r="AP1100" s="3" t="s">
        <v>59</v>
      </c>
      <c r="AQ1100" s="3" t="s">
        <v>71</v>
      </c>
      <c r="AR1100" s="6" t="str">
        <f>HYPERLINK("http://catalog.hathitrust.org/Record/000189683","HathiTrust Record")</f>
        <v>HathiTrust Record</v>
      </c>
      <c r="AS1100" s="6" t="str">
        <f>HYPERLINK("https://creighton-primo.hosted.exlibrisgroup.com/primo-explore/search?tab=default_tab&amp;search_scope=EVERYTHING&amp;vid=01CRU&amp;lang=en_US&amp;offset=0&amp;query=any,contains,991005213089702656","Catalog Record")</f>
        <v>Catalog Record</v>
      </c>
      <c r="AT1100" s="6" t="str">
        <f>HYPERLINK("http://www.worldcat.org/oclc/8171062","WorldCat Record")</f>
        <v>WorldCat Record</v>
      </c>
      <c r="AU1100" s="3" t="s">
        <v>13849</v>
      </c>
      <c r="AV1100" s="3" t="s">
        <v>13850</v>
      </c>
      <c r="AW1100" s="3" t="s">
        <v>13851</v>
      </c>
      <c r="AX1100" s="3" t="s">
        <v>13851</v>
      </c>
      <c r="AY1100" s="3" t="s">
        <v>13852</v>
      </c>
      <c r="AZ1100" s="3" t="s">
        <v>76</v>
      </c>
      <c r="BB1100" s="3" t="s">
        <v>13853</v>
      </c>
      <c r="BC1100" s="3" t="s">
        <v>13854</v>
      </c>
      <c r="BD1100" s="3" t="s">
        <v>13855</v>
      </c>
    </row>
    <row r="1101" spans="1:56" ht="52.5" customHeight="1" x14ac:dyDescent="0.25">
      <c r="A1101" s="7" t="s">
        <v>59</v>
      </c>
      <c r="B1101" s="2" t="s">
        <v>13856</v>
      </c>
      <c r="C1101" s="2" t="s">
        <v>13857</v>
      </c>
      <c r="D1101" s="2" t="s">
        <v>13858</v>
      </c>
      <c r="F1101" s="3" t="s">
        <v>59</v>
      </c>
      <c r="G1101" s="3" t="s">
        <v>60</v>
      </c>
      <c r="H1101" s="3" t="s">
        <v>59</v>
      </c>
      <c r="I1101" s="3" t="s">
        <v>59</v>
      </c>
      <c r="J1101" s="3" t="s">
        <v>61</v>
      </c>
      <c r="K1101" s="2" t="s">
        <v>13859</v>
      </c>
      <c r="L1101" s="2" t="s">
        <v>13860</v>
      </c>
      <c r="M1101" s="3" t="s">
        <v>309</v>
      </c>
      <c r="O1101" s="3" t="s">
        <v>65</v>
      </c>
      <c r="P1101" s="3" t="s">
        <v>66</v>
      </c>
      <c r="R1101" s="3" t="s">
        <v>68</v>
      </c>
      <c r="S1101" s="4">
        <v>9</v>
      </c>
      <c r="T1101" s="4">
        <v>9</v>
      </c>
      <c r="U1101" s="5" t="s">
        <v>7201</v>
      </c>
      <c r="V1101" s="5" t="s">
        <v>7201</v>
      </c>
      <c r="W1101" s="5" t="s">
        <v>1638</v>
      </c>
      <c r="X1101" s="5" t="s">
        <v>1638</v>
      </c>
      <c r="Y1101" s="4">
        <v>797</v>
      </c>
      <c r="Z1101" s="4">
        <v>693</v>
      </c>
      <c r="AA1101" s="4">
        <v>706</v>
      </c>
      <c r="AB1101" s="4">
        <v>6</v>
      </c>
      <c r="AC1101" s="4">
        <v>6</v>
      </c>
      <c r="AD1101" s="4">
        <v>22</v>
      </c>
      <c r="AE1101" s="4">
        <v>22</v>
      </c>
      <c r="AF1101" s="4">
        <v>8</v>
      </c>
      <c r="AG1101" s="4">
        <v>8</v>
      </c>
      <c r="AH1101" s="4">
        <v>4</v>
      </c>
      <c r="AI1101" s="4">
        <v>4</v>
      </c>
      <c r="AJ1101" s="4">
        <v>10</v>
      </c>
      <c r="AK1101" s="4">
        <v>10</v>
      </c>
      <c r="AL1101" s="4">
        <v>4</v>
      </c>
      <c r="AM1101" s="4">
        <v>4</v>
      </c>
      <c r="AN1101" s="4">
        <v>0</v>
      </c>
      <c r="AO1101" s="4">
        <v>0</v>
      </c>
      <c r="AP1101" s="3" t="s">
        <v>59</v>
      </c>
      <c r="AQ1101" s="3" t="s">
        <v>59</v>
      </c>
      <c r="AS1101" s="6" t="str">
        <f>HYPERLINK("https://creighton-primo.hosted.exlibrisgroup.com/primo-explore/search?tab=default_tab&amp;search_scope=EVERYTHING&amp;vid=01CRU&amp;lang=en_US&amp;offset=0&amp;query=any,contains,991004513079702656","Catalog Record")</f>
        <v>Catalog Record</v>
      </c>
      <c r="AT1101" s="6" t="str">
        <f>HYPERLINK("http://www.worldcat.org/oclc/3772080","WorldCat Record")</f>
        <v>WorldCat Record</v>
      </c>
      <c r="AU1101" s="3" t="s">
        <v>13861</v>
      </c>
      <c r="AV1101" s="3" t="s">
        <v>13862</v>
      </c>
      <c r="AW1101" s="3" t="s">
        <v>13863</v>
      </c>
      <c r="AX1101" s="3" t="s">
        <v>13863</v>
      </c>
      <c r="AY1101" s="3" t="s">
        <v>13864</v>
      </c>
      <c r="AZ1101" s="3" t="s">
        <v>76</v>
      </c>
      <c r="BB1101" s="3" t="s">
        <v>13865</v>
      </c>
      <c r="BC1101" s="3" t="s">
        <v>13866</v>
      </c>
      <c r="BD1101" s="3" t="s">
        <v>13867</v>
      </c>
    </row>
    <row r="1102" spans="1:56" ht="52.5" customHeight="1" x14ac:dyDescent="0.25">
      <c r="A1102" s="7" t="s">
        <v>59</v>
      </c>
      <c r="B1102" s="2" t="s">
        <v>13868</v>
      </c>
      <c r="C1102" s="2" t="s">
        <v>13869</v>
      </c>
      <c r="D1102" s="2" t="s">
        <v>13870</v>
      </c>
      <c r="F1102" s="3" t="s">
        <v>59</v>
      </c>
      <c r="G1102" s="3" t="s">
        <v>60</v>
      </c>
      <c r="H1102" s="3" t="s">
        <v>59</v>
      </c>
      <c r="I1102" s="3" t="s">
        <v>59</v>
      </c>
      <c r="J1102" s="3" t="s">
        <v>61</v>
      </c>
      <c r="L1102" s="2" t="s">
        <v>13871</v>
      </c>
      <c r="M1102" s="3" t="s">
        <v>195</v>
      </c>
      <c r="O1102" s="3" t="s">
        <v>65</v>
      </c>
      <c r="P1102" s="3" t="s">
        <v>420</v>
      </c>
      <c r="Q1102" s="2" t="s">
        <v>13872</v>
      </c>
      <c r="R1102" s="3" t="s">
        <v>68</v>
      </c>
      <c r="S1102" s="4">
        <v>6</v>
      </c>
      <c r="T1102" s="4">
        <v>6</v>
      </c>
      <c r="U1102" s="5" t="s">
        <v>7881</v>
      </c>
      <c r="V1102" s="5" t="s">
        <v>7881</v>
      </c>
      <c r="W1102" s="5" t="s">
        <v>12723</v>
      </c>
      <c r="X1102" s="5" t="s">
        <v>12723</v>
      </c>
      <c r="Y1102" s="4">
        <v>320</v>
      </c>
      <c r="Z1102" s="4">
        <v>264</v>
      </c>
      <c r="AA1102" s="4">
        <v>268</v>
      </c>
      <c r="AB1102" s="4">
        <v>2</v>
      </c>
      <c r="AC1102" s="4">
        <v>2</v>
      </c>
      <c r="AD1102" s="4">
        <v>13</v>
      </c>
      <c r="AE1102" s="4">
        <v>13</v>
      </c>
      <c r="AF1102" s="4">
        <v>3</v>
      </c>
      <c r="AG1102" s="4">
        <v>3</v>
      </c>
      <c r="AH1102" s="4">
        <v>3</v>
      </c>
      <c r="AI1102" s="4">
        <v>3</v>
      </c>
      <c r="AJ1102" s="4">
        <v>10</v>
      </c>
      <c r="AK1102" s="4">
        <v>10</v>
      </c>
      <c r="AL1102" s="4">
        <v>1</v>
      </c>
      <c r="AM1102" s="4">
        <v>1</v>
      </c>
      <c r="AN1102" s="4">
        <v>0</v>
      </c>
      <c r="AO1102" s="4">
        <v>0</v>
      </c>
      <c r="AP1102" s="3" t="s">
        <v>59</v>
      </c>
      <c r="AQ1102" s="3" t="s">
        <v>71</v>
      </c>
      <c r="AR1102" s="6" t="str">
        <f>HYPERLINK("http://catalog.hathitrust.org/Record/000229448","HathiTrust Record")</f>
        <v>HathiTrust Record</v>
      </c>
      <c r="AS1102" s="6" t="str">
        <f>HYPERLINK("https://creighton-primo.hosted.exlibrisgroup.com/primo-explore/search?tab=default_tab&amp;search_scope=EVERYTHING&amp;vid=01CRU&amp;lang=en_US&amp;offset=0&amp;query=any,contains,991000057949702656","Catalog Record")</f>
        <v>Catalog Record</v>
      </c>
      <c r="AT1102" s="6" t="str">
        <f>HYPERLINK("http://www.worldcat.org/oclc/8712387","WorldCat Record")</f>
        <v>WorldCat Record</v>
      </c>
      <c r="AU1102" s="3" t="s">
        <v>13873</v>
      </c>
      <c r="AV1102" s="3" t="s">
        <v>13874</v>
      </c>
      <c r="AW1102" s="3" t="s">
        <v>13875</v>
      </c>
      <c r="AX1102" s="3" t="s">
        <v>13875</v>
      </c>
      <c r="AY1102" s="3" t="s">
        <v>13876</v>
      </c>
      <c r="AZ1102" s="3" t="s">
        <v>76</v>
      </c>
      <c r="BB1102" s="3" t="s">
        <v>13877</v>
      </c>
      <c r="BC1102" s="3" t="s">
        <v>13878</v>
      </c>
      <c r="BD1102" s="3" t="s">
        <v>13879</v>
      </c>
    </row>
    <row r="1103" spans="1:56" ht="52.5" customHeight="1" x14ac:dyDescent="0.25">
      <c r="A1103" s="7" t="s">
        <v>59</v>
      </c>
      <c r="B1103" s="2" t="s">
        <v>13880</v>
      </c>
      <c r="C1103" s="2" t="s">
        <v>13881</v>
      </c>
      <c r="D1103" s="2" t="s">
        <v>13882</v>
      </c>
      <c r="F1103" s="3" t="s">
        <v>59</v>
      </c>
      <c r="G1103" s="3" t="s">
        <v>60</v>
      </c>
      <c r="H1103" s="3" t="s">
        <v>59</v>
      </c>
      <c r="I1103" s="3" t="s">
        <v>59</v>
      </c>
      <c r="J1103" s="3" t="s">
        <v>61</v>
      </c>
      <c r="K1103" s="2" t="s">
        <v>13883</v>
      </c>
      <c r="L1103" s="2" t="s">
        <v>13884</v>
      </c>
      <c r="M1103" s="3" t="s">
        <v>1163</v>
      </c>
      <c r="O1103" s="3" t="s">
        <v>65</v>
      </c>
      <c r="P1103" s="3" t="s">
        <v>66</v>
      </c>
      <c r="R1103" s="3" t="s">
        <v>68</v>
      </c>
      <c r="S1103" s="4">
        <v>6</v>
      </c>
      <c r="T1103" s="4">
        <v>6</v>
      </c>
      <c r="U1103" s="5" t="s">
        <v>13885</v>
      </c>
      <c r="V1103" s="5" t="s">
        <v>13885</v>
      </c>
      <c r="W1103" s="5" t="s">
        <v>12723</v>
      </c>
      <c r="X1103" s="5" t="s">
        <v>12723</v>
      </c>
      <c r="Y1103" s="4">
        <v>815</v>
      </c>
      <c r="Z1103" s="4">
        <v>773</v>
      </c>
      <c r="AA1103" s="4">
        <v>992</v>
      </c>
      <c r="AB1103" s="4">
        <v>7</v>
      </c>
      <c r="AC1103" s="4">
        <v>8</v>
      </c>
      <c r="AD1103" s="4">
        <v>16</v>
      </c>
      <c r="AE1103" s="4">
        <v>21</v>
      </c>
      <c r="AF1103" s="4">
        <v>8</v>
      </c>
      <c r="AG1103" s="4">
        <v>9</v>
      </c>
      <c r="AH1103" s="4">
        <v>0</v>
      </c>
      <c r="AI1103" s="4">
        <v>2</v>
      </c>
      <c r="AJ1103" s="4">
        <v>6</v>
      </c>
      <c r="AK1103" s="4">
        <v>9</v>
      </c>
      <c r="AL1103" s="4">
        <v>4</v>
      </c>
      <c r="AM1103" s="4">
        <v>5</v>
      </c>
      <c r="AN1103" s="4">
        <v>0</v>
      </c>
      <c r="AO1103" s="4">
        <v>0</v>
      </c>
      <c r="AP1103" s="3" t="s">
        <v>59</v>
      </c>
      <c r="AQ1103" s="3" t="s">
        <v>71</v>
      </c>
      <c r="AR1103" s="6" t="str">
        <f>HYPERLINK("http://catalog.hathitrust.org/Record/000344960","HathiTrust Record")</f>
        <v>HathiTrust Record</v>
      </c>
      <c r="AS1103" s="6" t="str">
        <f>HYPERLINK("https://creighton-primo.hosted.exlibrisgroup.com/primo-explore/search?tab=default_tab&amp;search_scope=EVERYTHING&amp;vid=01CRU&amp;lang=en_US&amp;offset=0&amp;query=any,contains,991000525869702656","Catalog Record")</f>
        <v>Catalog Record</v>
      </c>
      <c r="AT1103" s="6" t="str">
        <f>HYPERLINK("http://www.worldcat.org/oclc/11370596","WorldCat Record")</f>
        <v>WorldCat Record</v>
      </c>
      <c r="AU1103" s="3" t="s">
        <v>13886</v>
      </c>
      <c r="AV1103" s="3" t="s">
        <v>13887</v>
      </c>
      <c r="AW1103" s="3" t="s">
        <v>13888</v>
      </c>
      <c r="AX1103" s="3" t="s">
        <v>13888</v>
      </c>
      <c r="AY1103" s="3" t="s">
        <v>13889</v>
      </c>
      <c r="AZ1103" s="3" t="s">
        <v>76</v>
      </c>
      <c r="BB1103" s="3" t="s">
        <v>13890</v>
      </c>
      <c r="BC1103" s="3" t="s">
        <v>13891</v>
      </c>
      <c r="BD1103" s="3" t="s">
        <v>13892</v>
      </c>
    </row>
    <row r="1104" spans="1:56" ht="52.5" customHeight="1" x14ac:dyDescent="0.25">
      <c r="A1104" s="7" t="s">
        <v>59</v>
      </c>
      <c r="B1104" s="2" t="s">
        <v>13893</v>
      </c>
      <c r="C1104" s="2" t="s">
        <v>13894</v>
      </c>
      <c r="D1104" s="2" t="s">
        <v>13895</v>
      </c>
      <c r="F1104" s="3" t="s">
        <v>59</v>
      </c>
      <c r="G1104" s="3" t="s">
        <v>60</v>
      </c>
      <c r="H1104" s="3" t="s">
        <v>59</v>
      </c>
      <c r="I1104" s="3" t="s">
        <v>59</v>
      </c>
      <c r="J1104" s="3" t="s">
        <v>61</v>
      </c>
      <c r="K1104" s="2" t="s">
        <v>13896</v>
      </c>
      <c r="L1104" s="2" t="s">
        <v>8063</v>
      </c>
      <c r="M1104" s="3" t="s">
        <v>475</v>
      </c>
      <c r="O1104" s="3" t="s">
        <v>65</v>
      </c>
      <c r="P1104" s="3" t="s">
        <v>66</v>
      </c>
      <c r="R1104" s="3" t="s">
        <v>68</v>
      </c>
      <c r="S1104" s="4">
        <v>5</v>
      </c>
      <c r="T1104" s="4">
        <v>5</v>
      </c>
      <c r="U1104" s="5" t="s">
        <v>6359</v>
      </c>
      <c r="V1104" s="5" t="s">
        <v>6359</v>
      </c>
      <c r="W1104" s="5" t="s">
        <v>12723</v>
      </c>
      <c r="X1104" s="5" t="s">
        <v>12723</v>
      </c>
      <c r="Y1104" s="4">
        <v>850</v>
      </c>
      <c r="Z1104" s="4">
        <v>691</v>
      </c>
      <c r="AA1104" s="4">
        <v>703</v>
      </c>
      <c r="AB1104" s="4">
        <v>6</v>
      </c>
      <c r="AC1104" s="4">
        <v>6</v>
      </c>
      <c r="AD1104" s="4">
        <v>34</v>
      </c>
      <c r="AE1104" s="4">
        <v>34</v>
      </c>
      <c r="AF1104" s="4">
        <v>16</v>
      </c>
      <c r="AG1104" s="4">
        <v>16</v>
      </c>
      <c r="AH1104" s="4">
        <v>6</v>
      </c>
      <c r="AI1104" s="4">
        <v>6</v>
      </c>
      <c r="AJ1104" s="4">
        <v>14</v>
      </c>
      <c r="AK1104" s="4">
        <v>14</v>
      </c>
      <c r="AL1104" s="4">
        <v>5</v>
      </c>
      <c r="AM1104" s="4">
        <v>5</v>
      </c>
      <c r="AN1104" s="4">
        <v>0</v>
      </c>
      <c r="AO1104" s="4">
        <v>0</v>
      </c>
      <c r="AP1104" s="3" t="s">
        <v>59</v>
      </c>
      <c r="AQ1104" s="3" t="s">
        <v>71</v>
      </c>
      <c r="AR1104" s="6" t="str">
        <f>HYPERLINK("http://catalog.hathitrust.org/Record/000278043","HathiTrust Record")</f>
        <v>HathiTrust Record</v>
      </c>
      <c r="AS1104" s="6" t="str">
        <f>HYPERLINK("https://creighton-primo.hosted.exlibrisgroup.com/primo-explore/search?tab=default_tab&amp;search_scope=EVERYTHING&amp;vid=01CRU&amp;lang=en_US&amp;offset=0&amp;query=any,contains,991000164479702656","Catalog Record")</f>
        <v>Catalog Record</v>
      </c>
      <c r="AT1104" s="6" t="str">
        <f>HYPERLINK("http://www.worldcat.org/oclc/9282399","WorldCat Record")</f>
        <v>WorldCat Record</v>
      </c>
      <c r="AU1104" s="3" t="s">
        <v>13897</v>
      </c>
      <c r="AV1104" s="3" t="s">
        <v>13898</v>
      </c>
      <c r="AW1104" s="3" t="s">
        <v>13899</v>
      </c>
      <c r="AX1104" s="3" t="s">
        <v>13899</v>
      </c>
      <c r="AY1104" s="3" t="s">
        <v>13900</v>
      </c>
      <c r="AZ1104" s="3" t="s">
        <v>76</v>
      </c>
      <c r="BB1104" s="3" t="s">
        <v>13901</v>
      </c>
      <c r="BC1104" s="3" t="s">
        <v>13902</v>
      </c>
      <c r="BD1104" s="3" t="s">
        <v>13903</v>
      </c>
    </row>
    <row r="1105" spans="1:56" ht="52.5" customHeight="1" x14ac:dyDescent="0.25">
      <c r="A1105" s="7" t="s">
        <v>59</v>
      </c>
      <c r="B1105" s="2" t="s">
        <v>13904</v>
      </c>
      <c r="C1105" s="2" t="s">
        <v>13905</v>
      </c>
      <c r="D1105" s="2" t="s">
        <v>13906</v>
      </c>
      <c r="F1105" s="3" t="s">
        <v>59</v>
      </c>
      <c r="G1105" s="3" t="s">
        <v>60</v>
      </c>
      <c r="H1105" s="3" t="s">
        <v>59</v>
      </c>
      <c r="I1105" s="3" t="s">
        <v>59</v>
      </c>
      <c r="J1105" s="3" t="s">
        <v>61</v>
      </c>
      <c r="L1105" s="2" t="s">
        <v>13907</v>
      </c>
      <c r="M1105" s="3" t="s">
        <v>549</v>
      </c>
      <c r="O1105" s="3" t="s">
        <v>65</v>
      </c>
      <c r="P1105" s="3" t="s">
        <v>66</v>
      </c>
      <c r="Q1105" s="2" t="s">
        <v>1164</v>
      </c>
      <c r="R1105" s="3" t="s">
        <v>68</v>
      </c>
      <c r="S1105" s="4">
        <v>11</v>
      </c>
      <c r="T1105" s="4">
        <v>11</v>
      </c>
      <c r="U1105" s="5" t="s">
        <v>11662</v>
      </c>
      <c r="V1105" s="5" t="s">
        <v>11662</v>
      </c>
      <c r="W1105" s="5" t="s">
        <v>12723</v>
      </c>
      <c r="X1105" s="5" t="s">
        <v>12723</v>
      </c>
      <c r="Y1105" s="4">
        <v>568</v>
      </c>
      <c r="Z1105" s="4">
        <v>460</v>
      </c>
      <c r="AA1105" s="4">
        <v>467</v>
      </c>
      <c r="AB1105" s="4">
        <v>5</v>
      </c>
      <c r="AC1105" s="4">
        <v>5</v>
      </c>
      <c r="AD1105" s="4">
        <v>24</v>
      </c>
      <c r="AE1105" s="4">
        <v>24</v>
      </c>
      <c r="AF1105" s="4">
        <v>9</v>
      </c>
      <c r="AG1105" s="4">
        <v>9</v>
      </c>
      <c r="AH1105" s="4">
        <v>5</v>
      </c>
      <c r="AI1105" s="4">
        <v>5</v>
      </c>
      <c r="AJ1105" s="4">
        <v>13</v>
      </c>
      <c r="AK1105" s="4">
        <v>13</v>
      </c>
      <c r="AL1105" s="4">
        <v>3</v>
      </c>
      <c r="AM1105" s="4">
        <v>3</v>
      </c>
      <c r="AN1105" s="4">
        <v>0</v>
      </c>
      <c r="AO1105" s="4">
        <v>0</v>
      </c>
      <c r="AP1105" s="3" t="s">
        <v>59</v>
      </c>
      <c r="AQ1105" s="3" t="s">
        <v>71</v>
      </c>
      <c r="AR1105" s="6" t="str">
        <f>HYPERLINK("http://catalog.hathitrust.org/Record/000439101","HathiTrust Record")</f>
        <v>HathiTrust Record</v>
      </c>
      <c r="AS1105" s="6" t="str">
        <f>HYPERLINK("https://creighton-primo.hosted.exlibrisgroup.com/primo-explore/search?tab=default_tab&amp;search_scope=EVERYTHING&amp;vid=01CRU&amp;lang=en_US&amp;offset=0&amp;query=any,contains,991000763589702656","Catalog Record")</f>
        <v>Catalog Record</v>
      </c>
      <c r="AT1105" s="6" t="str">
        <f>HYPERLINK("http://www.worldcat.org/oclc/12976196","WorldCat Record")</f>
        <v>WorldCat Record</v>
      </c>
      <c r="AU1105" s="3" t="s">
        <v>13908</v>
      </c>
      <c r="AV1105" s="3" t="s">
        <v>13909</v>
      </c>
      <c r="AW1105" s="3" t="s">
        <v>13910</v>
      </c>
      <c r="AX1105" s="3" t="s">
        <v>13910</v>
      </c>
      <c r="AY1105" s="3" t="s">
        <v>13911</v>
      </c>
      <c r="AZ1105" s="3" t="s">
        <v>76</v>
      </c>
      <c r="BB1105" s="3" t="s">
        <v>13912</v>
      </c>
      <c r="BC1105" s="3" t="s">
        <v>13913</v>
      </c>
      <c r="BD1105" s="3" t="s">
        <v>13914</v>
      </c>
    </row>
    <row r="1106" spans="1:56" ht="52.5" customHeight="1" x14ac:dyDescent="0.25">
      <c r="A1106" s="7" t="s">
        <v>59</v>
      </c>
      <c r="B1106" s="2" t="s">
        <v>13915</v>
      </c>
      <c r="C1106" s="2" t="s">
        <v>13916</v>
      </c>
      <c r="D1106" s="2" t="s">
        <v>13917</v>
      </c>
      <c r="F1106" s="3" t="s">
        <v>59</v>
      </c>
      <c r="G1106" s="3" t="s">
        <v>60</v>
      </c>
      <c r="H1106" s="3" t="s">
        <v>59</v>
      </c>
      <c r="I1106" s="3" t="s">
        <v>59</v>
      </c>
      <c r="J1106" s="3" t="s">
        <v>61</v>
      </c>
      <c r="L1106" s="2" t="s">
        <v>13918</v>
      </c>
      <c r="M1106" s="3" t="s">
        <v>1163</v>
      </c>
      <c r="O1106" s="3" t="s">
        <v>65</v>
      </c>
      <c r="P1106" s="3" t="s">
        <v>1262</v>
      </c>
      <c r="Q1106" s="2" t="s">
        <v>13919</v>
      </c>
      <c r="R1106" s="3" t="s">
        <v>68</v>
      </c>
      <c r="S1106" s="4">
        <v>9</v>
      </c>
      <c r="T1106" s="4">
        <v>9</v>
      </c>
      <c r="U1106" s="5" t="s">
        <v>13920</v>
      </c>
      <c r="V1106" s="5" t="s">
        <v>13920</v>
      </c>
      <c r="W1106" s="5" t="s">
        <v>5762</v>
      </c>
      <c r="X1106" s="5" t="s">
        <v>5762</v>
      </c>
      <c r="Y1106" s="4">
        <v>837</v>
      </c>
      <c r="Z1106" s="4">
        <v>659</v>
      </c>
      <c r="AA1106" s="4">
        <v>668</v>
      </c>
      <c r="AB1106" s="4">
        <v>6</v>
      </c>
      <c r="AC1106" s="4">
        <v>6</v>
      </c>
      <c r="AD1106" s="4">
        <v>30</v>
      </c>
      <c r="AE1106" s="4">
        <v>30</v>
      </c>
      <c r="AF1106" s="4">
        <v>13</v>
      </c>
      <c r="AG1106" s="4">
        <v>13</v>
      </c>
      <c r="AH1106" s="4">
        <v>7</v>
      </c>
      <c r="AI1106" s="4">
        <v>7</v>
      </c>
      <c r="AJ1106" s="4">
        <v>14</v>
      </c>
      <c r="AK1106" s="4">
        <v>14</v>
      </c>
      <c r="AL1106" s="4">
        <v>5</v>
      </c>
      <c r="AM1106" s="4">
        <v>5</v>
      </c>
      <c r="AN1106" s="4">
        <v>0</v>
      </c>
      <c r="AO1106" s="4">
        <v>0</v>
      </c>
      <c r="AP1106" s="3" t="s">
        <v>59</v>
      </c>
      <c r="AQ1106" s="3" t="s">
        <v>71</v>
      </c>
      <c r="AR1106" s="6" t="str">
        <f>HYPERLINK("http://catalog.hathitrust.org/Record/000651942","HathiTrust Record")</f>
        <v>HathiTrust Record</v>
      </c>
      <c r="AS1106" s="6" t="str">
        <f>HYPERLINK("https://creighton-primo.hosted.exlibrisgroup.com/primo-explore/search?tab=default_tab&amp;search_scope=EVERYTHING&amp;vid=01CRU&amp;lang=en_US&amp;offset=0&amp;query=any,contains,991000485409702656","Catalog Record")</f>
        <v>Catalog Record</v>
      </c>
      <c r="AT1106" s="6" t="str">
        <f>HYPERLINK("http://www.worldcat.org/oclc/11069006","WorldCat Record")</f>
        <v>WorldCat Record</v>
      </c>
      <c r="AU1106" s="3" t="s">
        <v>13921</v>
      </c>
      <c r="AV1106" s="3" t="s">
        <v>13922</v>
      </c>
      <c r="AW1106" s="3" t="s">
        <v>13923</v>
      </c>
      <c r="AX1106" s="3" t="s">
        <v>13923</v>
      </c>
      <c r="AY1106" s="3" t="s">
        <v>13924</v>
      </c>
      <c r="AZ1106" s="3" t="s">
        <v>76</v>
      </c>
      <c r="BB1106" s="3" t="s">
        <v>13925</v>
      </c>
      <c r="BC1106" s="3" t="s">
        <v>13926</v>
      </c>
      <c r="BD1106" s="3" t="s">
        <v>13927</v>
      </c>
    </row>
    <row r="1107" spans="1:56" ht="52.5" customHeight="1" x14ac:dyDescent="0.25">
      <c r="A1107" s="7" t="s">
        <v>59</v>
      </c>
      <c r="B1107" s="2" t="s">
        <v>13928</v>
      </c>
      <c r="C1107" s="2" t="s">
        <v>13929</v>
      </c>
      <c r="D1107" s="2" t="s">
        <v>13930</v>
      </c>
      <c r="F1107" s="3" t="s">
        <v>59</v>
      </c>
      <c r="G1107" s="3" t="s">
        <v>60</v>
      </c>
      <c r="H1107" s="3" t="s">
        <v>59</v>
      </c>
      <c r="I1107" s="3" t="s">
        <v>59</v>
      </c>
      <c r="J1107" s="3" t="s">
        <v>61</v>
      </c>
      <c r="K1107" s="2" t="s">
        <v>13931</v>
      </c>
      <c r="L1107" s="2" t="s">
        <v>13932</v>
      </c>
      <c r="M1107" s="3" t="s">
        <v>195</v>
      </c>
      <c r="O1107" s="3" t="s">
        <v>65</v>
      </c>
      <c r="P1107" s="3" t="s">
        <v>283</v>
      </c>
      <c r="R1107" s="3" t="s">
        <v>68</v>
      </c>
      <c r="S1107" s="4">
        <v>9</v>
      </c>
      <c r="T1107" s="4">
        <v>9</v>
      </c>
      <c r="U1107" s="5" t="s">
        <v>13933</v>
      </c>
      <c r="V1107" s="5" t="s">
        <v>13933</v>
      </c>
      <c r="W1107" s="5" t="s">
        <v>13934</v>
      </c>
      <c r="X1107" s="5" t="s">
        <v>13934</v>
      </c>
      <c r="Y1107" s="4">
        <v>1221</v>
      </c>
      <c r="Z1107" s="4">
        <v>1139</v>
      </c>
      <c r="AA1107" s="4">
        <v>1438</v>
      </c>
      <c r="AB1107" s="4">
        <v>11</v>
      </c>
      <c r="AC1107" s="4">
        <v>15</v>
      </c>
      <c r="AD1107" s="4">
        <v>18</v>
      </c>
      <c r="AE1107" s="4">
        <v>24</v>
      </c>
      <c r="AF1107" s="4">
        <v>6</v>
      </c>
      <c r="AG1107" s="4">
        <v>9</v>
      </c>
      <c r="AH1107" s="4">
        <v>3</v>
      </c>
      <c r="AI1107" s="4">
        <v>4</v>
      </c>
      <c r="AJ1107" s="4">
        <v>7</v>
      </c>
      <c r="AK1107" s="4">
        <v>8</v>
      </c>
      <c r="AL1107" s="4">
        <v>6</v>
      </c>
      <c r="AM1107" s="4">
        <v>8</v>
      </c>
      <c r="AN1107" s="4">
        <v>0</v>
      </c>
      <c r="AO1107" s="4">
        <v>0</v>
      </c>
      <c r="AP1107" s="3" t="s">
        <v>59</v>
      </c>
      <c r="AQ1107" s="3" t="s">
        <v>71</v>
      </c>
      <c r="AR1107" s="6" t="str">
        <f>HYPERLINK("http://catalog.hathitrust.org/Record/000193283","HathiTrust Record")</f>
        <v>HathiTrust Record</v>
      </c>
      <c r="AS1107" s="6" t="str">
        <f>HYPERLINK("https://creighton-primo.hosted.exlibrisgroup.com/primo-explore/search?tab=default_tab&amp;search_scope=EVERYTHING&amp;vid=01CRU&amp;lang=en_US&amp;offset=0&amp;query=any,contains,991000029249702656","Catalog Record")</f>
        <v>Catalog Record</v>
      </c>
      <c r="AT1107" s="6" t="str">
        <f>HYPERLINK("http://www.worldcat.org/oclc/8591121","WorldCat Record")</f>
        <v>WorldCat Record</v>
      </c>
      <c r="AU1107" s="3" t="s">
        <v>13935</v>
      </c>
      <c r="AV1107" s="3" t="s">
        <v>13936</v>
      </c>
      <c r="AW1107" s="3" t="s">
        <v>13937</v>
      </c>
      <c r="AX1107" s="3" t="s">
        <v>13937</v>
      </c>
      <c r="AY1107" s="3" t="s">
        <v>13938</v>
      </c>
      <c r="AZ1107" s="3" t="s">
        <v>76</v>
      </c>
      <c r="BB1107" s="3" t="s">
        <v>13939</v>
      </c>
      <c r="BC1107" s="3" t="s">
        <v>13940</v>
      </c>
      <c r="BD1107" s="3" t="s">
        <v>13941</v>
      </c>
    </row>
    <row r="1108" spans="1:56" ht="52.5" customHeight="1" x14ac:dyDescent="0.25">
      <c r="A1108" s="7" t="s">
        <v>59</v>
      </c>
      <c r="B1108" s="2" t="s">
        <v>13942</v>
      </c>
      <c r="C1108" s="2" t="s">
        <v>13943</v>
      </c>
      <c r="D1108" s="2" t="s">
        <v>13944</v>
      </c>
      <c r="F1108" s="3" t="s">
        <v>59</v>
      </c>
      <c r="G1108" s="3" t="s">
        <v>60</v>
      </c>
      <c r="H1108" s="3" t="s">
        <v>59</v>
      </c>
      <c r="I1108" s="3" t="s">
        <v>59</v>
      </c>
      <c r="J1108" s="3" t="s">
        <v>61</v>
      </c>
      <c r="L1108" s="2" t="s">
        <v>13945</v>
      </c>
      <c r="M1108" s="3" t="s">
        <v>148</v>
      </c>
      <c r="O1108" s="3" t="s">
        <v>65</v>
      </c>
      <c r="P1108" s="3" t="s">
        <v>699</v>
      </c>
      <c r="R1108" s="3" t="s">
        <v>68</v>
      </c>
      <c r="S1108" s="4">
        <v>4</v>
      </c>
      <c r="T1108" s="4">
        <v>4</v>
      </c>
      <c r="U1108" s="5" t="s">
        <v>7791</v>
      </c>
      <c r="V1108" s="5" t="s">
        <v>7791</v>
      </c>
      <c r="W1108" s="5" t="s">
        <v>12723</v>
      </c>
      <c r="X1108" s="5" t="s">
        <v>12723</v>
      </c>
      <c r="Y1108" s="4">
        <v>431</v>
      </c>
      <c r="Z1108" s="4">
        <v>344</v>
      </c>
      <c r="AA1108" s="4">
        <v>351</v>
      </c>
      <c r="AB1108" s="4">
        <v>3</v>
      </c>
      <c r="AC1108" s="4">
        <v>3</v>
      </c>
      <c r="AD1108" s="4">
        <v>15</v>
      </c>
      <c r="AE1108" s="4">
        <v>15</v>
      </c>
      <c r="AF1108" s="4">
        <v>3</v>
      </c>
      <c r="AG1108" s="4">
        <v>3</v>
      </c>
      <c r="AH1108" s="4">
        <v>4</v>
      </c>
      <c r="AI1108" s="4">
        <v>4</v>
      </c>
      <c r="AJ1108" s="4">
        <v>9</v>
      </c>
      <c r="AK1108" s="4">
        <v>9</v>
      </c>
      <c r="AL1108" s="4">
        <v>2</v>
      </c>
      <c r="AM1108" s="4">
        <v>2</v>
      </c>
      <c r="AN1108" s="4">
        <v>0</v>
      </c>
      <c r="AO1108" s="4">
        <v>0</v>
      </c>
      <c r="AP1108" s="3" t="s">
        <v>59</v>
      </c>
      <c r="AQ1108" s="3" t="s">
        <v>71</v>
      </c>
      <c r="AR1108" s="6" t="str">
        <f>HYPERLINK("http://catalog.hathitrust.org/Record/000083593","HathiTrust Record")</f>
        <v>HathiTrust Record</v>
      </c>
      <c r="AS1108" s="6" t="str">
        <f>HYPERLINK("https://creighton-primo.hosted.exlibrisgroup.com/primo-explore/search?tab=default_tab&amp;search_scope=EVERYTHING&amp;vid=01CRU&amp;lang=en_US&amp;offset=0&amp;query=any,contains,991004147139702656","Catalog Record")</f>
        <v>Catalog Record</v>
      </c>
      <c r="AT1108" s="6" t="str">
        <f>HYPERLINK("http://www.worldcat.org/oclc/2513889","WorldCat Record")</f>
        <v>WorldCat Record</v>
      </c>
      <c r="AU1108" s="3" t="s">
        <v>13946</v>
      </c>
      <c r="AV1108" s="3" t="s">
        <v>13947</v>
      </c>
      <c r="AW1108" s="3" t="s">
        <v>13948</v>
      </c>
      <c r="AX1108" s="3" t="s">
        <v>13948</v>
      </c>
      <c r="AY1108" s="3" t="s">
        <v>13949</v>
      </c>
      <c r="AZ1108" s="3" t="s">
        <v>76</v>
      </c>
      <c r="BB1108" s="3" t="s">
        <v>13950</v>
      </c>
      <c r="BC1108" s="3" t="s">
        <v>13951</v>
      </c>
      <c r="BD1108" s="3" t="s">
        <v>13952</v>
      </c>
    </row>
    <row r="1109" spans="1:56" ht="52.5" customHeight="1" x14ac:dyDescent="0.25">
      <c r="A1109" s="7" t="s">
        <v>59</v>
      </c>
      <c r="B1109" s="2" t="s">
        <v>13953</v>
      </c>
      <c r="C1109" s="2" t="s">
        <v>13954</v>
      </c>
      <c r="D1109" s="2" t="s">
        <v>13955</v>
      </c>
      <c r="F1109" s="3" t="s">
        <v>59</v>
      </c>
      <c r="G1109" s="3" t="s">
        <v>60</v>
      </c>
      <c r="H1109" s="3" t="s">
        <v>59</v>
      </c>
      <c r="I1109" s="3" t="s">
        <v>59</v>
      </c>
      <c r="J1109" s="3" t="s">
        <v>61</v>
      </c>
      <c r="K1109" s="2" t="s">
        <v>13956</v>
      </c>
      <c r="L1109" s="2" t="s">
        <v>13957</v>
      </c>
      <c r="M1109" s="3" t="s">
        <v>350</v>
      </c>
      <c r="O1109" s="3" t="s">
        <v>65</v>
      </c>
      <c r="P1109" s="3" t="s">
        <v>283</v>
      </c>
      <c r="Q1109" s="2" t="s">
        <v>13958</v>
      </c>
      <c r="R1109" s="3" t="s">
        <v>68</v>
      </c>
      <c r="S1109" s="4">
        <v>2</v>
      </c>
      <c r="T1109" s="4">
        <v>2</v>
      </c>
      <c r="U1109" s="5" t="s">
        <v>7791</v>
      </c>
      <c r="V1109" s="5" t="s">
        <v>7791</v>
      </c>
      <c r="W1109" s="5" t="s">
        <v>13959</v>
      </c>
      <c r="X1109" s="5" t="s">
        <v>13959</v>
      </c>
      <c r="Y1109" s="4">
        <v>995</v>
      </c>
      <c r="Z1109" s="4">
        <v>911</v>
      </c>
      <c r="AA1109" s="4">
        <v>931</v>
      </c>
      <c r="AB1109" s="4">
        <v>9</v>
      </c>
      <c r="AC1109" s="4">
        <v>9</v>
      </c>
      <c r="AD1109" s="4">
        <v>30</v>
      </c>
      <c r="AE1109" s="4">
        <v>30</v>
      </c>
      <c r="AF1109" s="4">
        <v>11</v>
      </c>
      <c r="AG1109" s="4">
        <v>11</v>
      </c>
      <c r="AH1109" s="4">
        <v>7</v>
      </c>
      <c r="AI1109" s="4">
        <v>7</v>
      </c>
      <c r="AJ1109" s="4">
        <v>14</v>
      </c>
      <c r="AK1109" s="4">
        <v>14</v>
      </c>
      <c r="AL1109" s="4">
        <v>5</v>
      </c>
      <c r="AM1109" s="4">
        <v>5</v>
      </c>
      <c r="AN1109" s="4">
        <v>0</v>
      </c>
      <c r="AO1109" s="4">
        <v>0</v>
      </c>
      <c r="AP1109" s="3" t="s">
        <v>59</v>
      </c>
      <c r="AQ1109" s="3" t="s">
        <v>71</v>
      </c>
      <c r="AR1109" s="6" t="str">
        <f>HYPERLINK("http://catalog.hathitrust.org/Record/000129892","HathiTrust Record")</f>
        <v>HathiTrust Record</v>
      </c>
      <c r="AS1109" s="6" t="str">
        <f>HYPERLINK("https://creighton-primo.hosted.exlibrisgroup.com/primo-explore/search?tab=default_tab&amp;search_scope=EVERYTHING&amp;vid=01CRU&amp;lang=en_US&amp;offset=0&amp;query=any,contains,991005264949702656","Catalog Record")</f>
        <v>Catalog Record</v>
      </c>
      <c r="AT1109" s="6" t="str">
        <f>HYPERLINK("http://www.worldcat.org/oclc/2645390","WorldCat Record")</f>
        <v>WorldCat Record</v>
      </c>
      <c r="AU1109" s="3" t="s">
        <v>13960</v>
      </c>
      <c r="AV1109" s="3" t="s">
        <v>13961</v>
      </c>
      <c r="AW1109" s="3" t="s">
        <v>13962</v>
      </c>
      <c r="AX1109" s="3" t="s">
        <v>13962</v>
      </c>
      <c r="AY1109" s="3" t="s">
        <v>13963</v>
      </c>
      <c r="AZ1109" s="3" t="s">
        <v>76</v>
      </c>
      <c r="BB1109" s="3" t="s">
        <v>13964</v>
      </c>
      <c r="BC1109" s="3" t="s">
        <v>13965</v>
      </c>
      <c r="BD1109" s="3" t="s">
        <v>13966</v>
      </c>
    </row>
    <row r="1110" spans="1:56" ht="52.5" customHeight="1" x14ac:dyDescent="0.25">
      <c r="A1110" s="7" t="s">
        <v>59</v>
      </c>
      <c r="B1110" s="2" t="s">
        <v>13967</v>
      </c>
      <c r="C1110" s="2" t="s">
        <v>13968</v>
      </c>
      <c r="D1110" s="2" t="s">
        <v>13969</v>
      </c>
      <c r="F1110" s="3" t="s">
        <v>59</v>
      </c>
      <c r="G1110" s="3" t="s">
        <v>60</v>
      </c>
      <c r="H1110" s="3" t="s">
        <v>59</v>
      </c>
      <c r="I1110" s="3" t="s">
        <v>59</v>
      </c>
      <c r="J1110" s="3" t="s">
        <v>61</v>
      </c>
      <c r="L1110" s="2" t="s">
        <v>13970</v>
      </c>
      <c r="M1110" s="3" t="s">
        <v>1000</v>
      </c>
      <c r="O1110" s="3" t="s">
        <v>65</v>
      </c>
      <c r="P1110" s="3" t="s">
        <v>699</v>
      </c>
      <c r="Q1110" s="2" t="s">
        <v>13971</v>
      </c>
      <c r="R1110" s="3" t="s">
        <v>68</v>
      </c>
      <c r="S1110" s="4">
        <v>2</v>
      </c>
      <c r="T1110" s="4">
        <v>2</v>
      </c>
      <c r="U1110" s="5" t="s">
        <v>13972</v>
      </c>
      <c r="V1110" s="5" t="s">
        <v>13972</v>
      </c>
      <c r="W1110" s="5" t="s">
        <v>12723</v>
      </c>
      <c r="X1110" s="5" t="s">
        <v>12723</v>
      </c>
      <c r="Y1110" s="4">
        <v>423</v>
      </c>
      <c r="Z1110" s="4">
        <v>329</v>
      </c>
      <c r="AA1110" s="4">
        <v>335</v>
      </c>
      <c r="AB1110" s="4">
        <v>3</v>
      </c>
      <c r="AC1110" s="4">
        <v>3</v>
      </c>
      <c r="AD1110" s="4">
        <v>19</v>
      </c>
      <c r="AE1110" s="4">
        <v>19</v>
      </c>
      <c r="AF1110" s="4">
        <v>8</v>
      </c>
      <c r="AG1110" s="4">
        <v>8</v>
      </c>
      <c r="AH1110" s="4">
        <v>4</v>
      </c>
      <c r="AI1110" s="4">
        <v>4</v>
      </c>
      <c r="AJ1110" s="4">
        <v>10</v>
      </c>
      <c r="AK1110" s="4">
        <v>10</v>
      </c>
      <c r="AL1110" s="4">
        <v>1</v>
      </c>
      <c r="AM1110" s="4">
        <v>1</v>
      </c>
      <c r="AN1110" s="4">
        <v>0</v>
      </c>
      <c r="AO1110" s="4">
        <v>0</v>
      </c>
      <c r="AP1110" s="3" t="s">
        <v>59</v>
      </c>
      <c r="AQ1110" s="3" t="s">
        <v>71</v>
      </c>
      <c r="AR1110" s="6" t="str">
        <f>HYPERLINK("http://catalog.hathitrust.org/Record/000710979","HathiTrust Record")</f>
        <v>HathiTrust Record</v>
      </c>
      <c r="AS1110" s="6" t="str">
        <f>HYPERLINK("https://creighton-primo.hosted.exlibrisgroup.com/primo-explore/search?tab=default_tab&amp;search_scope=EVERYTHING&amp;vid=01CRU&amp;lang=en_US&amp;offset=0&amp;query=any,contains,991004792019702656","Catalog Record")</f>
        <v>Catalog Record</v>
      </c>
      <c r="AT1110" s="6" t="str">
        <f>HYPERLINK("http://www.worldcat.org/oclc/5171468","WorldCat Record")</f>
        <v>WorldCat Record</v>
      </c>
      <c r="AU1110" s="3" t="s">
        <v>13973</v>
      </c>
      <c r="AV1110" s="3" t="s">
        <v>13974</v>
      </c>
      <c r="AW1110" s="3" t="s">
        <v>13975</v>
      </c>
      <c r="AX1110" s="3" t="s">
        <v>13975</v>
      </c>
      <c r="AY1110" s="3" t="s">
        <v>13976</v>
      </c>
      <c r="AZ1110" s="3" t="s">
        <v>76</v>
      </c>
      <c r="BB1110" s="3" t="s">
        <v>13977</v>
      </c>
      <c r="BC1110" s="3" t="s">
        <v>13978</v>
      </c>
      <c r="BD1110" s="3" t="s">
        <v>13979</v>
      </c>
    </row>
    <row r="1111" spans="1:56" ht="52.5" customHeight="1" x14ac:dyDescent="0.25">
      <c r="A1111" s="7" t="s">
        <v>59</v>
      </c>
      <c r="B1111" s="2" t="s">
        <v>13980</v>
      </c>
      <c r="C1111" s="2" t="s">
        <v>13981</v>
      </c>
      <c r="D1111" s="2" t="s">
        <v>13982</v>
      </c>
      <c r="F1111" s="3" t="s">
        <v>59</v>
      </c>
      <c r="G1111" s="3" t="s">
        <v>60</v>
      </c>
      <c r="H1111" s="3" t="s">
        <v>59</v>
      </c>
      <c r="I1111" s="3" t="s">
        <v>59</v>
      </c>
      <c r="J1111" s="3" t="s">
        <v>61</v>
      </c>
      <c r="K1111" s="2" t="s">
        <v>13983</v>
      </c>
      <c r="L1111" s="2" t="s">
        <v>13984</v>
      </c>
      <c r="M1111" s="3" t="s">
        <v>350</v>
      </c>
      <c r="O1111" s="3" t="s">
        <v>65</v>
      </c>
      <c r="P1111" s="3" t="s">
        <v>283</v>
      </c>
      <c r="Q1111" s="2" t="s">
        <v>13958</v>
      </c>
      <c r="R1111" s="3" t="s">
        <v>68</v>
      </c>
      <c r="S1111" s="4">
        <v>12</v>
      </c>
      <c r="T1111" s="4">
        <v>12</v>
      </c>
      <c r="U1111" s="5" t="s">
        <v>12567</v>
      </c>
      <c r="V1111" s="5" t="s">
        <v>12567</v>
      </c>
      <c r="W1111" s="5" t="s">
        <v>5375</v>
      </c>
      <c r="X1111" s="5" t="s">
        <v>5375</v>
      </c>
      <c r="Y1111" s="4">
        <v>896</v>
      </c>
      <c r="Z1111" s="4">
        <v>810</v>
      </c>
      <c r="AA1111" s="4">
        <v>813</v>
      </c>
      <c r="AB1111" s="4">
        <v>9</v>
      </c>
      <c r="AC1111" s="4">
        <v>9</v>
      </c>
      <c r="AD1111" s="4">
        <v>28</v>
      </c>
      <c r="AE1111" s="4">
        <v>28</v>
      </c>
      <c r="AF1111" s="4">
        <v>9</v>
      </c>
      <c r="AG1111" s="4">
        <v>9</v>
      </c>
      <c r="AH1111" s="4">
        <v>10</v>
      </c>
      <c r="AI1111" s="4">
        <v>10</v>
      </c>
      <c r="AJ1111" s="4">
        <v>12</v>
      </c>
      <c r="AK1111" s="4">
        <v>12</v>
      </c>
      <c r="AL1111" s="4">
        <v>5</v>
      </c>
      <c r="AM1111" s="4">
        <v>5</v>
      </c>
      <c r="AN1111" s="4">
        <v>0</v>
      </c>
      <c r="AO1111" s="4">
        <v>0</v>
      </c>
      <c r="AP1111" s="3" t="s">
        <v>59</v>
      </c>
      <c r="AQ1111" s="3" t="s">
        <v>71</v>
      </c>
      <c r="AR1111" s="6" t="str">
        <f>HYPERLINK("http://catalog.hathitrust.org/Record/000042749","HathiTrust Record")</f>
        <v>HathiTrust Record</v>
      </c>
      <c r="AS1111" s="6" t="str">
        <f>HYPERLINK("https://creighton-primo.hosted.exlibrisgroup.com/primo-explore/search?tab=default_tab&amp;search_scope=EVERYTHING&amp;vid=01CRU&amp;lang=en_US&amp;offset=0&amp;query=any,contains,991005265069702656","Catalog Record")</f>
        <v>Catalog Record</v>
      </c>
      <c r="AT1111" s="6" t="str">
        <f>HYPERLINK("http://www.worldcat.org/oclc/2929304","WorldCat Record")</f>
        <v>WorldCat Record</v>
      </c>
      <c r="AU1111" s="3" t="s">
        <v>13985</v>
      </c>
      <c r="AV1111" s="3" t="s">
        <v>13986</v>
      </c>
      <c r="AW1111" s="3" t="s">
        <v>13987</v>
      </c>
      <c r="AX1111" s="3" t="s">
        <v>13987</v>
      </c>
      <c r="AY1111" s="3" t="s">
        <v>13988</v>
      </c>
      <c r="AZ1111" s="3" t="s">
        <v>76</v>
      </c>
      <c r="BB1111" s="3" t="s">
        <v>13989</v>
      </c>
      <c r="BC1111" s="3" t="s">
        <v>13990</v>
      </c>
      <c r="BD1111" s="3" t="s">
        <v>13991</v>
      </c>
    </row>
    <row r="1112" spans="1:56" ht="52.5" customHeight="1" x14ac:dyDescent="0.25">
      <c r="A1112" s="7" t="s">
        <v>59</v>
      </c>
      <c r="B1112" s="2" t="s">
        <v>13992</v>
      </c>
      <c r="C1112" s="2" t="s">
        <v>13993</v>
      </c>
      <c r="D1112" s="2" t="s">
        <v>13994</v>
      </c>
      <c r="F1112" s="3" t="s">
        <v>59</v>
      </c>
      <c r="G1112" s="3" t="s">
        <v>60</v>
      </c>
      <c r="H1112" s="3" t="s">
        <v>59</v>
      </c>
      <c r="I1112" s="3" t="s">
        <v>59</v>
      </c>
      <c r="J1112" s="3" t="s">
        <v>61</v>
      </c>
      <c r="L1112" s="2" t="s">
        <v>13995</v>
      </c>
      <c r="M1112" s="3" t="s">
        <v>350</v>
      </c>
      <c r="O1112" s="3" t="s">
        <v>65</v>
      </c>
      <c r="P1112" s="3" t="s">
        <v>1262</v>
      </c>
      <c r="R1112" s="3" t="s">
        <v>68</v>
      </c>
      <c r="S1112" s="4">
        <v>1</v>
      </c>
      <c r="T1112" s="4">
        <v>1</v>
      </c>
      <c r="U1112" s="5" t="s">
        <v>13996</v>
      </c>
      <c r="V1112" s="5" t="s">
        <v>13996</v>
      </c>
      <c r="W1112" s="5" t="s">
        <v>13189</v>
      </c>
      <c r="X1112" s="5" t="s">
        <v>13189</v>
      </c>
      <c r="Y1112" s="4">
        <v>519</v>
      </c>
      <c r="Z1112" s="4">
        <v>347</v>
      </c>
      <c r="AA1112" s="4">
        <v>354</v>
      </c>
      <c r="AB1112" s="4">
        <v>3</v>
      </c>
      <c r="AC1112" s="4">
        <v>3</v>
      </c>
      <c r="AD1112" s="4">
        <v>11</v>
      </c>
      <c r="AE1112" s="4">
        <v>11</v>
      </c>
      <c r="AF1112" s="4">
        <v>4</v>
      </c>
      <c r="AG1112" s="4">
        <v>4</v>
      </c>
      <c r="AH1112" s="4">
        <v>2</v>
      </c>
      <c r="AI1112" s="4">
        <v>2</v>
      </c>
      <c r="AJ1112" s="4">
        <v>5</v>
      </c>
      <c r="AK1112" s="4">
        <v>5</v>
      </c>
      <c r="AL1112" s="4">
        <v>1</v>
      </c>
      <c r="AM1112" s="4">
        <v>1</v>
      </c>
      <c r="AN1112" s="4">
        <v>0</v>
      </c>
      <c r="AO1112" s="4">
        <v>0</v>
      </c>
      <c r="AP1112" s="3" t="s">
        <v>59</v>
      </c>
      <c r="AQ1112" s="3" t="s">
        <v>71</v>
      </c>
      <c r="AR1112" s="6" t="str">
        <f>HYPERLINK("http://catalog.hathitrust.org/Record/000138543","HathiTrust Record")</f>
        <v>HathiTrust Record</v>
      </c>
      <c r="AS1112" s="6" t="str">
        <f>HYPERLINK("https://creighton-primo.hosted.exlibrisgroup.com/primo-explore/search?tab=default_tab&amp;search_scope=EVERYTHING&amp;vid=01CRU&amp;lang=en_US&amp;offset=0&amp;query=any,contains,991004395649702656","Catalog Record")</f>
        <v>Catalog Record</v>
      </c>
      <c r="AT1112" s="6" t="str">
        <f>HYPERLINK("http://www.worldcat.org/oclc/3277288","WorldCat Record")</f>
        <v>WorldCat Record</v>
      </c>
      <c r="AU1112" s="3" t="s">
        <v>13997</v>
      </c>
      <c r="AV1112" s="3" t="s">
        <v>13998</v>
      </c>
      <c r="AW1112" s="3" t="s">
        <v>13999</v>
      </c>
      <c r="AX1112" s="3" t="s">
        <v>13999</v>
      </c>
      <c r="AY1112" s="3" t="s">
        <v>14000</v>
      </c>
      <c r="AZ1112" s="3" t="s">
        <v>76</v>
      </c>
      <c r="BB1112" s="3" t="s">
        <v>14001</v>
      </c>
      <c r="BC1112" s="3" t="s">
        <v>14002</v>
      </c>
      <c r="BD1112" s="3" t="s">
        <v>14003</v>
      </c>
    </row>
    <row r="1113" spans="1:56" ht="52.5" customHeight="1" x14ac:dyDescent="0.25">
      <c r="A1113" s="7" t="s">
        <v>59</v>
      </c>
      <c r="B1113" s="2" t="s">
        <v>14004</v>
      </c>
      <c r="C1113" s="2" t="s">
        <v>14005</v>
      </c>
      <c r="D1113" s="2" t="s">
        <v>14006</v>
      </c>
      <c r="F1113" s="3" t="s">
        <v>59</v>
      </c>
      <c r="G1113" s="3" t="s">
        <v>60</v>
      </c>
      <c r="H1113" s="3" t="s">
        <v>59</v>
      </c>
      <c r="I1113" s="3" t="s">
        <v>59</v>
      </c>
      <c r="J1113" s="3" t="s">
        <v>61</v>
      </c>
      <c r="K1113" s="2" t="s">
        <v>14007</v>
      </c>
      <c r="L1113" s="2" t="s">
        <v>14008</v>
      </c>
      <c r="M1113" s="3" t="s">
        <v>1000</v>
      </c>
      <c r="O1113" s="3" t="s">
        <v>65</v>
      </c>
      <c r="P1113" s="3" t="s">
        <v>420</v>
      </c>
      <c r="Q1113" s="2" t="s">
        <v>4107</v>
      </c>
      <c r="R1113" s="3" t="s">
        <v>68</v>
      </c>
      <c r="S1113" s="4">
        <v>6</v>
      </c>
      <c r="T1113" s="4">
        <v>6</v>
      </c>
      <c r="U1113" s="5" t="s">
        <v>14009</v>
      </c>
      <c r="V1113" s="5" t="s">
        <v>14009</v>
      </c>
      <c r="W1113" s="5" t="s">
        <v>12723</v>
      </c>
      <c r="X1113" s="5" t="s">
        <v>12723</v>
      </c>
      <c r="Y1113" s="4">
        <v>541</v>
      </c>
      <c r="Z1113" s="4">
        <v>416</v>
      </c>
      <c r="AA1113" s="4">
        <v>416</v>
      </c>
      <c r="AB1113" s="4">
        <v>4</v>
      </c>
      <c r="AC1113" s="4">
        <v>4</v>
      </c>
      <c r="AD1113" s="4">
        <v>14</v>
      </c>
      <c r="AE1113" s="4">
        <v>14</v>
      </c>
      <c r="AF1113" s="4">
        <v>3</v>
      </c>
      <c r="AG1113" s="4">
        <v>3</v>
      </c>
      <c r="AH1113" s="4">
        <v>4</v>
      </c>
      <c r="AI1113" s="4">
        <v>4</v>
      </c>
      <c r="AJ1113" s="4">
        <v>8</v>
      </c>
      <c r="AK1113" s="4">
        <v>8</v>
      </c>
      <c r="AL1113" s="4">
        <v>3</v>
      </c>
      <c r="AM1113" s="4">
        <v>3</v>
      </c>
      <c r="AN1113" s="4">
        <v>0</v>
      </c>
      <c r="AO1113" s="4">
        <v>0</v>
      </c>
      <c r="AP1113" s="3" t="s">
        <v>59</v>
      </c>
      <c r="AQ1113" s="3" t="s">
        <v>59</v>
      </c>
      <c r="AS1113" s="6" t="str">
        <f>HYPERLINK("https://creighton-primo.hosted.exlibrisgroup.com/primo-explore/search?tab=default_tab&amp;search_scope=EVERYTHING&amp;vid=01CRU&amp;lang=en_US&amp;offset=0&amp;query=any,contains,991004654689702656","Catalog Record")</f>
        <v>Catalog Record</v>
      </c>
      <c r="AT1113" s="6" t="str">
        <f>HYPERLINK("http://www.worldcat.org/oclc/4494966","WorldCat Record")</f>
        <v>WorldCat Record</v>
      </c>
      <c r="AU1113" s="3" t="s">
        <v>14010</v>
      </c>
      <c r="AV1113" s="3" t="s">
        <v>14011</v>
      </c>
      <c r="AW1113" s="3" t="s">
        <v>14012</v>
      </c>
      <c r="AX1113" s="3" t="s">
        <v>14012</v>
      </c>
      <c r="AY1113" s="3" t="s">
        <v>14013</v>
      </c>
      <c r="AZ1113" s="3" t="s">
        <v>76</v>
      </c>
      <c r="BB1113" s="3" t="s">
        <v>14014</v>
      </c>
      <c r="BC1113" s="3" t="s">
        <v>14015</v>
      </c>
      <c r="BD1113" s="3" t="s">
        <v>14016</v>
      </c>
    </row>
    <row r="1114" spans="1:56" ht="52.5" customHeight="1" x14ac:dyDescent="0.25">
      <c r="A1114" s="7" t="s">
        <v>59</v>
      </c>
      <c r="B1114" s="2" t="s">
        <v>14017</v>
      </c>
      <c r="C1114" s="2" t="s">
        <v>14018</v>
      </c>
      <c r="D1114" s="2" t="s">
        <v>14019</v>
      </c>
      <c r="F1114" s="3" t="s">
        <v>59</v>
      </c>
      <c r="G1114" s="3" t="s">
        <v>60</v>
      </c>
      <c r="H1114" s="3" t="s">
        <v>59</v>
      </c>
      <c r="I1114" s="3" t="s">
        <v>59</v>
      </c>
      <c r="J1114" s="3" t="s">
        <v>61</v>
      </c>
      <c r="K1114" s="2" t="s">
        <v>14020</v>
      </c>
      <c r="L1114" s="2" t="s">
        <v>14021</v>
      </c>
      <c r="M1114" s="3" t="s">
        <v>224</v>
      </c>
      <c r="O1114" s="3" t="s">
        <v>65</v>
      </c>
      <c r="P1114" s="3" t="s">
        <v>1218</v>
      </c>
      <c r="R1114" s="3" t="s">
        <v>68</v>
      </c>
      <c r="S1114" s="4">
        <v>3</v>
      </c>
      <c r="T1114" s="4">
        <v>3</v>
      </c>
      <c r="U1114" s="5" t="s">
        <v>14022</v>
      </c>
      <c r="V1114" s="5" t="s">
        <v>14022</v>
      </c>
      <c r="W1114" s="5" t="s">
        <v>13189</v>
      </c>
      <c r="X1114" s="5" t="s">
        <v>13189</v>
      </c>
      <c r="Y1114" s="4">
        <v>462</v>
      </c>
      <c r="Z1114" s="4">
        <v>349</v>
      </c>
      <c r="AA1114" s="4">
        <v>352</v>
      </c>
      <c r="AB1114" s="4">
        <v>3</v>
      </c>
      <c r="AC1114" s="4">
        <v>3</v>
      </c>
      <c r="AD1114" s="4">
        <v>9</v>
      </c>
      <c r="AE1114" s="4">
        <v>9</v>
      </c>
      <c r="AF1114" s="4">
        <v>3</v>
      </c>
      <c r="AG1114" s="4">
        <v>3</v>
      </c>
      <c r="AH1114" s="4">
        <v>2</v>
      </c>
      <c r="AI1114" s="4">
        <v>2</v>
      </c>
      <c r="AJ1114" s="4">
        <v>6</v>
      </c>
      <c r="AK1114" s="4">
        <v>6</v>
      </c>
      <c r="AL1114" s="4">
        <v>1</v>
      </c>
      <c r="AM1114" s="4">
        <v>1</v>
      </c>
      <c r="AN1114" s="4">
        <v>0</v>
      </c>
      <c r="AO1114" s="4">
        <v>0</v>
      </c>
      <c r="AP1114" s="3" t="s">
        <v>59</v>
      </c>
      <c r="AQ1114" s="3" t="s">
        <v>71</v>
      </c>
      <c r="AR1114" s="6" t="str">
        <f>HYPERLINK("http://catalog.hathitrust.org/Record/000031180","HathiTrust Record")</f>
        <v>HathiTrust Record</v>
      </c>
      <c r="AS1114" s="6" t="str">
        <f>HYPERLINK("https://creighton-primo.hosted.exlibrisgroup.com/primo-explore/search?tab=default_tab&amp;search_scope=EVERYTHING&amp;vid=01CRU&amp;lang=en_US&amp;offset=0&amp;query=any,contains,991003532679702656","Catalog Record")</f>
        <v>Catalog Record</v>
      </c>
      <c r="AT1114" s="6" t="str">
        <f>HYPERLINK("http://www.worldcat.org/oclc/1094979","WorldCat Record")</f>
        <v>WorldCat Record</v>
      </c>
      <c r="AU1114" s="3" t="s">
        <v>14023</v>
      </c>
      <c r="AV1114" s="3" t="s">
        <v>14024</v>
      </c>
      <c r="AW1114" s="3" t="s">
        <v>14025</v>
      </c>
      <c r="AX1114" s="3" t="s">
        <v>14025</v>
      </c>
      <c r="AY1114" s="3" t="s">
        <v>14026</v>
      </c>
      <c r="AZ1114" s="3" t="s">
        <v>76</v>
      </c>
      <c r="BB1114" s="3" t="s">
        <v>14027</v>
      </c>
      <c r="BC1114" s="3" t="s">
        <v>14028</v>
      </c>
      <c r="BD1114" s="3" t="s">
        <v>14029</v>
      </c>
    </row>
    <row r="1115" spans="1:56" ht="52.5" customHeight="1" x14ac:dyDescent="0.25">
      <c r="A1115" s="7" t="s">
        <v>59</v>
      </c>
      <c r="B1115" s="2" t="s">
        <v>14030</v>
      </c>
      <c r="C1115" s="2" t="s">
        <v>14031</v>
      </c>
      <c r="D1115" s="2" t="s">
        <v>14032</v>
      </c>
      <c r="F1115" s="3" t="s">
        <v>59</v>
      </c>
      <c r="G1115" s="3" t="s">
        <v>60</v>
      </c>
      <c r="H1115" s="3" t="s">
        <v>59</v>
      </c>
      <c r="I1115" s="3" t="s">
        <v>59</v>
      </c>
      <c r="J1115" s="3" t="s">
        <v>61</v>
      </c>
      <c r="K1115" s="2" t="s">
        <v>13404</v>
      </c>
      <c r="L1115" s="2" t="s">
        <v>14033</v>
      </c>
      <c r="M1115" s="3" t="s">
        <v>4228</v>
      </c>
      <c r="O1115" s="3" t="s">
        <v>65</v>
      </c>
      <c r="P1115" s="3" t="s">
        <v>699</v>
      </c>
      <c r="R1115" s="3" t="s">
        <v>68</v>
      </c>
      <c r="S1115" s="4">
        <v>6</v>
      </c>
      <c r="T1115" s="4">
        <v>6</v>
      </c>
      <c r="U1115" s="5" t="s">
        <v>14034</v>
      </c>
      <c r="V1115" s="5" t="s">
        <v>14034</v>
      </c>
      <c r="W1115" s="5" t="s">
        <v>11178</v>
      </c>
      <c r="X1115" s="5" t="s">
        <v>11178</v>
      </c>
      <c r="Y1115" s="4">
        <v>446</v>
      </c>
      <c r="Z1115" s="4">
        <v>363</v>
      </c>
      <c r="AA1115" s="4">
        <v>408</v>
      </c>
      <c r="AB1115" s="4">
        <v>3</v>
      </c>
      <c r="AC1115" s="4">
        <v>3</v>
      </c>
      <c r="AD1115" s="4">
        <v>18</v>
      </c>
      <c r="AE1115" s="4">
        <v>19</v>
      </c>
      <c r="AF1115" s="4">
        <v>6</v>
      </c>
      <c r="AG1115" s="4">
        <v>7</v>
      </c>
      <c r="AH1115" s="4">
        <v>4</v>
      </c>
      <c r="AI1115" s="4">
        <v>4</v>
      </c>
      <c r="AJ1115" s="4">
        <v>11</v>
      </c>
      <c r="AK1115" s="4">
        <v>12</v>
      </c>
      <c r="AL1115" s="4">
        <v>2</v>
      </c>
      <c r="AM1115" s="4">
        <v>2</v>
      </c>
      <c r="AN1115" s="4">
        <v>0</v>
      </c>
      <c r="AO1115" s="4">
        <v>0</v>
      </c>
      <c r="AP1115" s="3" t="s">
        <v>59</v>
      </c>
      <c r="AQ1115" s="3" t="s">
        <v>71</v>
      </c>
      <c r="AR1115" s="6" t="str">
        <f>HYPERLINK("http://catalog.hathitrust.org/Record/002521882","HathiTrust Record")</f>
        <v>HathiTrust Record</v>
      </c>
      <c r="AS1115" s="6" t="str">
        <f>HYPERLINK("https://creighton-primo.hosted.exlibrisgroup.com/primo-explore/search?tab=default_tab&amp;search_scope=EVERYTHING&amp;vid=01CRU&amp;lang=en_US&amp;offset=0&amp;query=any,contains,991003261969702656","Catalog Record")</f>
        <v>Catalog Record</v>
      </c>
      <c r="AT1115" s="6" t="str">
        <f>HYPERLINK("http://www.worldcat.org/oclc/24067021","WorldCat Record")</f>
        <v>WorldCat Record</v>
      </c>
      <c r="AU1115" s="3" t="s">
        <v>14035</v>
      </c>
      <c r="AV1115" s="3" t="s">
        <v>14036</v>
      </c>
      <c r="AW1115" s="3" t="s">
        <v>14037</v>
      </c>
      <c r="AX1115" s="3" t="s">
        <v>14037</v>
      </c>
      <c r="AY1115" s="3" t="s">
        <v>14038</v>
      </c>
      <c r="AZ1115" s="3" t="s">
        <v>76</v>
      </c>
      <c r="BB1115" s="3" t="s">
        <v>14039</v>
      </c>
      <c r="BC1115" s="3" t="s">
        <v>14040</v>
      </c>
      <c r="BD1115" s="3" t="s">
        <v>14041</v>
      </c>
    </row>
    <row r="1116" spans="1:56" ht="52.5" customHeight="1" x14ac:dyDescent="0.25">
      <c r="A1116" s="7" t="s">
        <v>59</v>
      </c>
      <c r="B1116" s="2" t="s">
        <v>14042</v>
      </c>
      <c r="C1116" s="2" t="s">
        <v>14043</v>
      </c>
      <c r="D1116" s="2" t="s">
        <v>14044</v>
      </c>
      <c r="F1116" s="3" t="s">
        <v>59</v>
      </c>
      <c r="G1116" s="3" t="s">
        <v>60</v>
      </c>
      <c r="H1116" s="3" t="s">
        <v>59</v>
      </c>
      <c r="I1116" s="3" t="s">
        <v>59</v>
      </c>
      <c r="J1116" s="3" t="s">
        <v>61</v>
      </c>
      <c r="K1116" s="2" t="s">
        <v>14045</v>
      </c>
      <c r="L1116" s="2" t="s">
        <v>14046</v>
      </c>
      <c r="M1116" s="3" t="s">
        <v>148</v>
      </c>
      <c r="O1116" s="3" t="s">
        <v>65</v>
      </c>
      <c r="P1116" s="3" t="s">
        <v>699</v>
      </c>
      <c r="R1116" s="3" t="s">
        <v>68</v>
      </c>
      <c r="S1116" s="4">
        <v>2</v>
      </c>
      <c r="T1116" s="4">
        <v>2</v>
      </c>
      <c r="U1116" s="5" t="s">
        <v>14034</v>
      </c>
      <c r="V1116" s="5" t="s">
        <v>14034</v>
      </c>
      <c r="W1116" s="5" t="s">
        <v>13189</v>
      </c>
      <c r="X1116" s="5" t="s">
        <v>13189</v>
      </c>
      <c r="Y1116" s="4">
        <v>468</v>
      </c>
      <c r="Z1116" s="4">
        <v>351</v>
      </c>
      <c r="AA1116" s="4">
        <v>352</v>
      </c>
      <c r="AB1116" s="4">
        <v>2</v>
      </c>
      <c r="AC1116" s="4">
        <v>2</v>
      </c>
      <c r="AD1116" s="4">
        <v>12</v>
      </c>
      <c r="AE1116" s="4">
        <v>12</v>
      </c>
      <c r="AF1116" s="4">
        <v>2</v>
      </c>
      <c r="AG1116" s="4">
        <v>2</v>
      </c>
      <c r="AH1116" s="4">
        <v>5</v>
      </c>
      <c r="AI1116" s="4">
        <v>5</v>
      </c>
      <c r="AJ1116" s="4">
        <v>8</v>
      </c>
      <c r="AK1116" s="4">
        <v>8</v>
      </c>
      <c r="AL1116" s="4">
        <v>1</v>
      </c>
      <c r="AM1116" s="4">
        <v>1</v>
      </c>
      <c r="AN1116" s="4">
        <v>0</v>
      </c>
      <c r="AO1116" s="4">
        <v>0</v>
      </c>
      <c r="AP1116" s="3" t="s">
        <v>59</v>
      </c>
      <c r="AQ1116" s="3" t="s">
        <v>71</v>
      </c>
      <c r="AR1116" s="6" t="str">
        <f>HYPERLINK("http://catalog.hathitrust.org/Record/000702557","HathiTrust Record")</f>
        <v>HathiTrust Record</v>
      </c>
      <c r="AS1116" s="6" t="str">
        <f>HYPERLINK("https://creighton-primo.hosted.exlibrisgroup.com/primo-explore/search?tab=default_tab&amp;search_scope=EVERYTHING&amp;vid=01CRU&amp;lang=en_US&amp;offset=0&amp;query=any,contains,991004042119702656","Catalog Record")</f>
        <v>Catalog Record</v>
      </c>
      <c r="AT1116" s="6" t="str">
        <f>HYPERLINK("http://www.worldcat.org/oclc/2189216","WorldCat Record")</f>
        <v>WorldCat Record</v>
      </c>
      <c r="AU1116" s="3" t="s">
        <v>14047</v>
      </c>
      <c r="AV1116" s="3" t="s">
        <v>14048</v>
      </c>
      <c r="AW1116" s="3" t="s">
        <v>14049</v>
      </c>
      <c r="AX1116" s="3" t="s">
        <v>14049</v>
      </c>
      <c r="AY1116" s="3" t="s">
        <v>14050</v>
      </c>
      <c r="AZ1116" s="3" t="s">
        <v>76</v>
      </c>
      <c r="BB1116" s="3" t="s">
        <v>14051</v>
      </c>
      <c r="BC1116" s="3" t="s">
        <v>14052</v>
      </c>
      <c r="BD1116" s="3" t="s">
        <v>14053</v>
      </c>
    </row>
    <row r="1117" spans="1:56" ht="52.5" customHeight="1" x14ac:dyDescent="0.25">
      <c r="A1117" s="7" t="s">
        <v>59</v>
      </c>
      <c r="B1117" s="2" t="s">
        <v>14054</v>
      </c>
      <c r="C1117" s="2" t="s">
        <v>14055</v>
      </c>
      <c r="D1117" s="2" t="s">
        <v>14056</v>
      </c>
      <c r="F1117" s="3" t="s">
        <v>59</v>
      </c>
      <c r="G1117" s="3" t="s">
        <v>60</v>
      </c>
      <c r="H1117" s="3" t="s">
        <v>59</v>
      </c>
      <c r="I1117" s="3" t="s">
        <v>59</v>
      </c>
      <c r="J1117" s="3" t="s">
        <v>61</v>
      </c>
      <c r="K1117" s="2" t="s">
        <v>14057</v>
      </c>
      <c r="L1117" s="2" t="s">
        <v>14058</v>
      </c>
      <c r="M1117" s="3" t="s">
        <v>514</v>
      </c>
      <c r="O1117" s="3" t="s">
        <v>65</v>
      </c>
      <c r="P1117" s="3" t="s">
        <v>66</v>
      </c>
      <c r="R1117" s="3" t="s">
        <v>68</v>
      </c>
      <c r="S1117" s="4">
        <v>5</v>
      </c>
      <c r="T1117" s="4">
        <v>5</v>
      </c>
      <c r="U1117" s="5" t="s">
        <v>7791</v>
      </c>
      <c r="V1117" s="5" t="s">
        <v>7791</v>
      </c>
      <c r="W1117" s="5" t="s">
        <v>13189</v>
      </c>
      <c r="X1117" s="5" t="s">
        <v>13189</v>
      </c>
      <c r="Y1117" s="4">
        <v>351</v>
      </c>
      <c r="Z1117" s="4">
        <v>322</v>
      </c>
      <c r="AA1117" s="4">
        <v>356</v>
      </c>
      <c r="AB1117" s="4">
        <v>2</v>
      </c>
      <c r="AC1117" s="4">
        <v>2</v>
      </c>
      <c r="AD1117" s="4">
        <v>13</v>
      </c>
      <c r="AE1117" s="4">
        <v>14</v>
      </c>
      <c r="AF1117" s="4">
        <v>3</v>
      </c>
      <c r="AG1117" s="4">
        <v>3</v>
      </c>
      <c r="AH1117" s="4">
        <v>4</v>
      </c>
      <c r="AI1117" s="4">
        <v>4</v>
      </c>
      <c r="AJ1117" s="4">
        <v>8</v>
      </c>
      <c r="AK1117" s="4">
        <v>9</v>
      </c>
      <c r="AL1117" s="4">
        <v>1</v>
      </c>
      <c r="AM1117" s="4">
        <v>1</v>
      </c>
      <c r="AN1117" s="4">
        <v>0</v>
      </c>
      <c r="AO1117" s="4">
        <v>0</v>
      </c>
      <c r="AP1117" s="3" t="s">
        <v>59</v>
      </c>
      <c r="AQ1117" s="3" t="s">
        <v>71</v>
      </c>
      <c r="AR1117" s="6" t="str">
        <f>HYPERLINK("http://catalog.hathitrust.org/Record/000431257","HathiTrust Record")</f>
        <v>HathiTrust Record</v>
      </c>
      <c r="AS1117" s="6" t="str">
        <f>HYPERLINK("https://creighton-primo.hosted.exlibrisgroup.com/primo-explore/search?tab=default_tab&amp;search_scope=EVERYTHING&amp;vid=01CRU&amp;lang=en_US&amp;offset=0&amp;query=any,contains,991005265009702656","Catalog Record")</f>
        <v>Catalog Record</v>
      </c>
      <c r="AT1117" s="6" t="str">
        <f>HYPERLINK("http://www.worldcat.org/oclc/223415","WorldCat Record")</f>
        <v>WorldCat Record</v>
      </c>
      <c r="AU1117" s="3" t="s">
        <v>14059</v>
      </c>
      <c r="AV1117" s="3" t="s">
        <v>14060</v>
      </c>
      <c r="AW1117" s="3" t="s">
        <v>14061</v>
      </c>
      <c r="AX1117" s="3" t="s">
        <v>14061</v>
      </c>
      <c r="AY1117" s="3" t="s">
        <v>14062</v>
      </c>
      <c r="AZ1117" s="3" t="s">
        <v>76</v>
      </c>
      <c r="BC1117" s="3" t="s">
        <v>14063</v>
      </c>
      <c r="BD1117" s="3" t="s">
        <v>14064</v>
      </c>
    </row>
    <row r="1118" spans="1:56" ht="52.5" customHeight="1" x14ac:dyDescent="0.25">
      <c r="A1118" s="7" t="s">
        <v>59</v>
      </c>
      <c r="B1118" s="2" t="s">
        <v>14065</v>
      </c>
      <c r="C1118" s="2" t="s">
        <v>14066</v>
      </c>
      <c r="D1118" s="2" t="s">
        <v>14067</v>
      </c>
      <c r="F1118" s="3" t="s">
        <v>59</v>
      </c>
      <c r="G1118" s="3" t="s">
        <v>60</v>
      </c>
      <c r="H1118" s="3" t="s">
        <v>59</v>
      </c>
      <c r="I1118" s="3" t="s">
        <v>59</v>
      </c>
      <c r="J1118" s="3" t="s">
        <v>61</v>
      </c>
      <c r="L1118" s="2" t="s">
        <v>14068</v>
      </c>
      <c r="M1118" s="3" t="s">
        <v>1163</v>
      </c>
      <c r="O1118" s="3" t="s">
        <v>65</v>
      </c>
      <c r="P1118" s="3" t="s">
        <v>66</v>
      </c>
      <c r="Q1118" s="2" t="s">
        <v>13736</v>
      </c>
      <c r="R1118" s="3" t="s">
        <v>68</v>
      </c>
      <c r="S1118" s="4">
        <v>4</v>
      </c>
      <c r="T1118" s="4">
        <v>4</v>
      </c>
      <c r="U1118" s="5" t="s">
        <v>3744</v>
      </c>
      <c r="V1118" s="5" t="s">
        <v>3744</v>
      </c>
      <c r="W1118" s="5" t="s">
        <v>1702</v>
      </c>
      <c r="X1118" s="5" t="s">
        <v>1702</v>
      </c>
      <c r="Y1118" s="4">
        <v>425</v>
      </c>
      <c r="Z1118" s="4">
        <v>300</v>
      </c>
      <c r="AA1118" s="4">
        <v>314</v>
      </c>
      <c r="AB1118" s="4">
        <v>4</v>
      </c>
      <c r="AC1118" s="4">
        <v>4</v>
      </c>
      <c r="AD1118" s="4">
        <v>12</v>
      </c>
      <c r="AE1118" s="4">
        <v>13</v>
      </c>
      <c r="AF1118" s="4">
        <v>2</v>
      </c>
      <c r="AG1118" s="4">
        <v>3</v>
      </c>
      <c r="AH1118" s="4">
        <v>3</v>
      </c>
      <c r="AI1118" s="4">
        <v>3</v>
      </c>
      <c r="AJ1118" s="4">
        <v>8</v>
      </c>
      <c r="AK1118" s="4">
        <v>8</v>
      </c>
      <c r="AL1118" s="4">
        <v>3</v>
      </c>
      <c r="AM1118" s="4">
        <v>3</v>
      </c>
      <c r="AN1118" s="4">
        <v>0</v>
      </c>
      <c r="AO1118" s="4">
        <v>0</v>
      </c>
      <c r="AP1118" s="3" t="s">
        <v>59</v>
      </c>
      <c r="AQ1118" s="3" t="s">
        <v>71</v>
      </c>
      <c r="AR1118" s="6" t="str">
        <f>HYPERLINK("http://catalog.hathitrust.org/Record/000569937","HathiTrust Record")</f>
        <v>HathiTrust Record</v>
      </c>
      <c r="AS1118" s="6" t="str">
        <f>HYPERLINK("https://creighton-primo.hosted.exlibrisgroup.com/primo-explore/search?tab=default_tab&amp;search_scope=EVERYTHING&amp;vid=01CRU&amp;lang=en_US&amp;offset=0&amp;query=any,contains,991000615319702656","Catalog Record")</f>
        <v>Catalog Record</v>
      </c>
      <c r="AT1118" s="6" t="str">
        <f>HYPERLINK("http://www.worldcat.org/oclc/11930560","WorldCat Record")</f>
        <v>WorldCat Record</v>
      </c>
      <c r="AU1118" s="3" t="s">
        <v>14069</v>
      </c>
      <c r="AV1118" s="3" t="s">
        <v>14070</v>
      </c>
      <c r="AW1118" s="3" t="s">
        <v>14071</v>
      </c>
      <c r="AX1118" s="3" t="s">
        <v>14071</v>
      </c>
      <c r="AY1118" s="3" t="s">
        <v>14072</v>
      </c>
      <c r="AZ1118" s="3" t="s">
        <v>76</v>
      </c>
      <c r="BB1118" s="3" t="s">
        <v>14073</v>
      </c>
      <c r="BC1118" s="3" t="s">
        <v>14074</v>
      </c>
      <c r="BD1118" s="3" t="s">
        <v>14075</v>
      </c>
    </row>
    <row r="1119" spans="1:56" ht="52.5" customHeight="1" x14ac:dyDescent="0.25">
      <c r="A1119" s="7" t="s">
        <v>59</v>
      </c>
      <c r="B1119" s="2" t="s">
        <v>14076</v>
      </c>
      <c r="C1119" s="2" t="s">
        <v>14077</v>
      </c>
      <c r="D1119" s="2" t="s">
        <v>14078</v>
      </c>
      <c r="F1119" s="3" t="s">
        <v>59</v>
      </c>
      <c r="G1119" s="3" t="s">
        <v>60</v>
      </c>
      <c r="H1119" s="3" t="s">
        <v>59</v>
      </c>
      <c r="I1119" s="3" t="s">
        <v>59</v>
      </c>
      <c r="J1119" s="3" t="s">
        <v>61</v>
      </c>
      <c r="L1119" s="2" t="s">
        <v>14079</v>
      </c>
      <c r="M1119" s="3" t="s">
        <v>1163</v>
      </c>
      <c r="O1119" s="3" t="s">
        <v>65</v>
      </c>
      <c r="P1119" s="3" t="s">
        <v>66</v>
      </c>
      <c r="Q1119" s="2" t="s">
        <v>13736</v>
      </c>
      <c r="R1119" s="3" t="s">
        <v>68</v>
      </c>
      <c r="S1119" s="4">
        <v>4</v>
      </c>
      <c r="T1119" s="4">
        <v>4</v>
      </c>
      <c r="U1119" s="5" t="s">
        <v>14080</v>
      </c>
      <c r="V1119" s="5" t="s">
        <v>14080</v>
      </c>
      <c r="W1119" s="5" t="s">
        <v>12723</v>
      </c>
      <c r="X1119" s="5" t="s">
        <v>12723</v>
      </c>
      <c r="Y1119" s="4">
        <v>430</v>
      </c>
      <c r="Z1119" s="4">
        <v>302</v>
      </c>
      <c r="AA1119" s="4">
        <v>321</v>
      </c>
      <c r="AB1119" s="4">
        <v>3</v>
      </c>
      <c r="AC1119" s="4">
        <v>3</v>
      </c>
      <c r="AD1119" s="4">
        <v>12</v>
      </c>
      <c r="AE1119" s="4">
        <v>14</v>
      </c>
      <c r="AF1119" s="4">
        <v>2</v>
      </c>
      <c r="AG1119" s="4">
        <v>4</v>
      </c>
      <c r="AH1119" s="4">
        <v>3</v>
      </c>
      <c r="AI1119" s="4">
        <v>3</v>
      </c>
      <c r="AJ1119" s="4">
        <v>9</v>
      </c>
      <c r="AK1119" s="4">
        <v>10</v>
      </c>
      <c r="AL1119" s="4">
        <v>2</v>
      </c>
      <c r="AM1119" s="4">
        <v>2</v>
      </c>
      <c r="AN1119" s="4">
        <v>0</v>
      </c>
      <c r="AO1119" s="4">
        <v>0</v>
      </c>
      <c r="AP1119" s="3" t="s">
        <v>59</v>
      </c>
      <c r="AQ1119" s="3" t="s">
        <v>71</v>
      </c>
      <c r="AR1119" s="6" t="str">
        <f>HYPERLINK("http://catalog.hathitrust.org/Record/000462608","HathiTrust Record")</f>
        <v>HathiTrust Record</v>
      </c>
      <c r="AS1119" s="6" t="str">
        <f>HYPERLINK("https://creighton-primo.hosted.exlibrisgroup.com/primo-explore/search?tab=default_tab&amp;search_scope=EVERYTHING&amp;vid=01CRU&amp;lang=en_US&amp;offset=0&amp;query=any,contains,991000530739702656","Catalog Record")</f>
        <v>Catalog Record</v>
      </c>
      <c r="AT1119" s="6" t="str">
        <f>HYPERLINK("http://www.worldcat.org/oclc/11398774","WorldCat Record")</f>
        <v>WorldCat Record</v>
      </c>
      <c r="AU1119" s="3" t="s">
        <v>14081</v>
      </c>
      <c r="AV1119" s="3" t="s">
        <v>14082</v>
      </c>
      <c r="AW1119" s="3" t="s">
        <v>14083</v>
      </c>
      <c r="AX1119" s="3" t="s">
        <v>14083</v>
      </c>
      <c r="AY1119" s="3" t="s">
        <v>14084</v>
      </c>
      <c r="AZ1119" s="3" t="s">
        <v>76</v>
      </c>
      <c r="BB1119" s="3" t="s">
        <v>14085</v>
      </c>
      <c r="BC1119" s="3" t="s">
        <v>14086</v>
      </c>
      <c r="BD1119" s="3" t="s">
        <v>14087</v>
      </c>
    </row>
    <row r="1120" spans="1:56" ht="52.5" customHeight="1" x14ac:dyDescent="0.25">
      <c r="A1120" s="7" t="s">
        <v>59</v>
      </c>
      <c r="B1120" s="2" t="s">
        <v>14088</v>
      </c>
      <c r="C1120" s="2" t="s">
        <v>14089</v>
      </c>
      <c r="D1120" s="2" t="s">
        <v>14090</v>
      </c>
      <c r="F1120" s="3" t="s">
        <v>59</v>
      </c>
      <c r="G1120" s="3" t="s">
        <v>60</v>
      </c>
      <c r="H1120" s="3" t="s">
        <v>59</v>
      </c>
      <c r="I1120" s="3" t="s">
        <v>59</v>
      </c>
      <c r="J1120" s="3" t="s">
        <v>61</v>
      </c>
      <c r="L1120" s="2" t="s">
        <v>14091</v>
      </c>
      <c r="M1120" s="3" t="s">
        <v>350</v>
      </c>
      <c r="O1120" s="3" t="s">
        <v>65</v>
      </c>
      <c r="P1120" s="3" t="s">
        <v>699</v>
      </c>
      <c r="R1120" s="3" t="s">
        <v>68</v>
      </c>
      <c r="S1120" s="4">
        <v>2</v>
      </c>
      <c r="T1120" s="4">
        <v>2</v>
      </c>
      <c r="U1120" s="5" t="s">
        <v>14092</v>
      </c>
      <c r="V1120" s="5" t="s">
        <v>14092</v>
      </c>
      <c r="W1120" s="5" t="s">
        <v>14093</v>
      </c>
      <c r="X1120" s="5" t="s">
        <v>14093</v>
      </c>
      <c r="Y1120" s="4">
        <v>693</v>
      </c>
      <c r="Z1120" s="4">
        <v>548</v>
      </c>
      <c r="AA1120" s="4">
        <v>556</v>
      </c>
      <c r="AB1120" s="4">
        <v>4</v>
      </c>
      <c r="AC1120" s="4">
        <v>4</v>
      </c>
      <c r="AD1120" s="4">
        <v>25</v>
      </c>
      <c r="AE1120" s="4">
        <v>25</v>
      </c>
      <c r="AF1120" s="4">
        <v>9</v>
      </c>
      <c r="AG1120" s="4">
        <v>9</v>
      </c>
      <c r="AH1120" s="4">
        <v>5</v>
      </c>
      <c r="AI1120" s="4">
        <v>5</v>
      </c>
      <c r="AJ1120" s="4">
        <v>14</v>
      </c>
      <c r="AK1120" s="4">
        <v>14</v>
      </c>
      <c r="AL1120" s="4">
        <v>3</v>
      </c>
      <c r="AM1120" s="4">
        <v>3</v>
      </c>
      <c r="AN1120" s="4">
        <v>0</v>
      </c>
      <c r="AO1120" s="4">
        <v>0</v>
      </c>
      <c r="AP1120" s="3" t="s">
        <v>59</v>
      </c>
      <c r="AQ1120" s="3" t="s">
        <v>71</v>
      </c>
      <c r="AR1120" s="6" t="str">
        <f>HYPERLINK("http://catalog.hathitrust.org/Record/000293400","HathiTrust Record")</f>
        <v>HathiTrust Record</v>
      </c>
      <c r="AS1120" s="6" t="str">
        <f>HYPERLINK("https://creighton-primo.hosted.exlibrisgroup.com/primo-explore/search?tab=default_tab&amp;search_scope=EVERYTHING&amp;vid=01CRU&amp;lang=en_US&amp;offset=0&amp;query=any,contains,991004361349702656","Catalog Record")</f>
        <v>Catalog Record</v>
      </c>
      <c r="AT1120" s="6" t="str">
        <f>HYPERLINK("http://www.worldcat.org/oclc/3167607","WorldCat Record")</f>
        <v>WorldCat Record</v>
      </c>
      <c r="AU1120" s="3" t="s">
        <v>14094</v>
      </c>
      <c r="AV1120" s="3" t="s">
        <v>14095</v>
      </c>
      <c r="AW1120" s="3" t="s">
        <v>14096</v>
      </c>
      <c r="AX1120" s="3" t="s">
        <v>14096</v>
      </c>
      <c r="AY1120" s="3" t="s">
        <v>14097</v>
      </c>
      <c r="AZ1120" s="3" t="s">
        <v>76</v>
      </c>
      <c r="BB1120" s="3" t="s">
        <v>14098</v>
      </c>
      <c r="BC1120" s="3" t="s">
        <v>14099</v>
      </c>
      <c r="BD1120" s="3" t="s">
        <v>14100</v>
      </c>
    </row>
    <row r="1121" spans="1:56" ht="52.5" customHeight="1" x14ac:dyDescent="0.25">
      <c r="A1121" s="7" t="s">
        <v>59</v>
      </c>
      <c r="B1121" s="2" t="s">
        <v>14101</v>
      </c>
      <c r="C1121" s="2" t="s">
        <v>14102</v>
      </c>
      <c r="D1121" s="2" t="s">
        <v>14103</v>
      </c>
      <c r="F1121" s="3" t="s">
        <v>59</v>
      </c>
      <c r="G1121" s="3" t="s">
        <v>60</v>
      </c>
      <c r="H1121" s="3" t="s">
        <v>59</v>
      </c>
      <c r="I1121" s="3" t="s">
        <v>59</v>
      </c>
      <c r="J1121" s="3" t="s">
        <v>61</v>
      </c>
      <c r="K1121" s="2" t="s">
        <v>4749</v>
      </c>
      <c r="L1121" s="2" t="s">
        <v>14104</v>
      </c>
      <c r="M1121" s="3" t="s">
        <v>1015</v>
      </c>
      <c r="O1121" s="3" t="s">
        <v>65</v>
      </c>
      <c r="P1121" s="3" t="s">
        <v>283</v>
      </c>
      <c r="Q1121" s="2" t="s">
        <v>14105</v>
      </c>
      <c r="R1121" s="3" t="s">
        <v>68</v>
      </c>
      <c r="S1121" s="4">
        <v>1</v>
      </c>
      <c r="T1121" s="4">
        <v>1</v>
      </c>
      <c r="U1121" s="5" t="s">
        <v>14106</v>
      </c>
      <c r="V1121" s="5" t="s">
        <v>14106</v>
      </c>
      <c r="W1121" s="5" t="s">
        <v>1249</v>
      </c>
      <c r="X1121" s="5" t="s">
        <v>1249</v>
      </c>
      <c r="Y1121" s="4">
        <v>571</v>
      </c>
      <c r="Z1121" s="4">
        <v>495</v>
      </c>
      <c r="AA1121" s="4">
        <v>498</v>
      </c>
      <c r="AB1121" s="4">
        <v>3</v>
      </c>
      <c r="AC1121" s="4">
        <v>3</v>
      </c>
      <c r="AD1121" s="4">
        <v>23</v>
      </c>
      <c r="AE1121" s="4">
        <v>23</v>
      </c>
      <c r="AF1121" s="4">
        <v>9</v>
      </c>
      <c r="AG1121" s="4">
        <v>9</v>
      </c>
      <c r="AH1121" s="4">
        <v>7</v>
      </c>
      <c r="AI1121" s="4">
        <v>7</v>
      </c>
      <c r="AJ1121" s="4">
        <v>11</v>
      </c>
      <c r="AK1121" s="4">
        <v>11</v>
      </c>
      <c r="AL1121" s="4">
        <v>2</v>
      </c>
      <c r="AM1121" s="4">
        <v>2</v>
      </c>
      <c r="AN1121" s="4">
        <v>0</v>
      </c>
      <c r="AO1121" s="4">
        <v>0</v>
      </c>
      <c r="AP1121" s="3" t="s">
        <v>59</v>
      </c>
      <c r="AQ1121" s="3" t="s">
        <v>71</v>
      </c>
      <c r="AR1121" s="6" t="str">
        <f>HYPERLINK("http://catalog.hathitrust.org/Record/000472471","HathiTrust Record")</f>
        <v>HathiTrust Record</v>
      </c>
      <c r="AS1121" s="6" t="str">
        <f>HYPERLINK("https://creighton-primo.hosted.exlibrisgroup.com/primo-explore/search?tab=default_tab&amp;search_scope=EVERYTHING&amp;vid=01CRU&amp;lang=en_US&amp;offset=0&amp;query=any,contains,991002779509702656","Catalog Record")</f>
        <v>Catalog Record</v>
      </c>
      <c r="AT1121" s="6" t="str">
        <f>HYPERLINK("http://www.worldcat.org/oclc/439777","WorldCat Record")</f>
        <v>WorldCat Record</v>
      </c>
      <c r="AU1121" s="3" t="s">
        <v>14107</v>
      </c>
      <c r="AV1121" s="3" t="s">
        <v>14108</v>
      </c>
      <c r="AW1121" s="3" t="s">
        <v>14109</v>
      </c>
      <c r="AX1121" s="3" t="s">
        <v>14109</v>
      </c>
      <c r="AY1121" s="3" t="s">
        <v>14110</v>
      </c>
      <c r="AZ1121" s="3" t="s">
        <v>76</v>
      </c>
      <c r="BC1121" s="3" t="s">
        <v>14111</v>
      </c>
      <c r="BD1121" s="3" t="s">
        <v>14112</v>
      </c>
    </row>
    <row r="1122" spans="1:56" ht="52.5" customHeight="1" x14ac:dyDescent="0.25">
      <c r="A1122" s="7" t="s">
        <v>59</v>
      </c>
      <c r="B1122" s="2" t="s">
        <v>14113</v>
      </c>
      <c r="C1122" s="2" t="s">
        <v>14114</v>
      </c>
      <c r="D1122" s="2" t="s">
        <v>14115</v>
      </c>
      <c r="F1122" s="3" t="s">
        <v>59</v>
      </c>
      <c r="G1122" s="3" t="s">
        <v>60</v>
      </c>
      <c r="H1122" s="3" t="s">
        <v>59</v>
      </c>
      <c r="I1122" s="3" t="s">
        <v>59</v>
      </c>
      <c r="J1122" s="3" t="s">
        <v>61</v>
      </c>
      <c r="K1122" s="2" t="s">
        <v>14116</v>
      </c>
      <c r="L1122" s="2" t="s">
        <v>14117</v>
      </c>
      <c r="M1122" s="3" t="s">
        <v>684</v>
      </c>
      <c r="O1122" s="3" t="s">
        <v>65</v>
      </c>
      <c r="P1122" s="3" t="s">
        <v>66</v>
      </c>
      <c r="R1122" s="3" t="s">
        <v>68</v>
      </c>
      <c r="S1122" s="4">
        <v>6</v>
      </c>
      <c r="T1122" s="4">
        <v>6</v>
      </c>
      <c r="U1122" s="5" t="s">
        <v>14118</v>
      </c>
      <c r="V1122" s="5" t="s">
        <v>14118</v>
      </c>
      <c r="W1122" s="5" t="s">
        <v>9662</v>
      </c>
      <c r="X1122" s="5" t="s">
        <v>9662</v>
      </c>
      <c r="Y1122" s="4">
        <v>427</v>
      </c>
      <c r="Z1122" s="4">
        <v>359</v>
      </c>
      <c r="AA1122" s="4">
        <v>374</v>
      </c>
      <c r="AB1122" s="4">
        <v>6</v>
      </c>
      <c r="AC1122" s="4">
        <v>7</v>
      </c>
      <c r="AD1122" s="4">
        <v>27</v>
      </c>
      <c r="AE1122" s="4">
        <v>29</v>
      </c>
      <c r="AF1122" s="4">
        <v>5</v>
      </c>
      <c r="AG1122" s="4">
        <v>6</v>
      </c>
      <c r="AH1122" s="4">
        <v>8</v>
      </c>
      <c r="AI1122" s="4">
        <v>9</v>
      </c>
      <c r="AJ1122" s="4">
        <v>16</v>
      </c>
      <c r="AK1122" s="4">
        <v>16</v>
      </c>
      <c r="AL1122" s="4">
        <v>4</v>
      </c>
      <c r="AM1122" s="4">
        <v>5</v>
      </c>
      <c r="AN1122" s="4">
        <v>0</v>
      </c>
      <c r="AO1122" s="4">
        <v>0</v>
      </c>
      <c r="AP1122" s="3" t="s">
        <v>59</v>
      </c>
      <c r="AQ1122" s="3" t="s">
        <v>59</v>
      </c>
      <c r="AS1122" s="6" t="str">
        <f>HYPERLINK("https://creighton-primo.hosted.exlibrisgroup.com/primo-explore/search?tab=default_tab&amp;search_scope=EVERYTHING&amp;vid=01CRU&amp;lang=en_US&amp;offset=0&amp;query=any,contains,991005196119702656","Catalog Record")</f>
        <v>Catalog Record</v>
      </c>
      <c r="AT1122" s="6" t="str">
        <f>HYPERLINK("http://www.worldcat.org/oclc/8043320","WorldCat Record")</f>
        <v>WorldCat Record</v>
      </c>
      <c r="AU1122" s="3" t="s">
        <v>14119</v>
      </c>
      <c r="AV1122" s="3" t="s">
        <v>14120</v>
      </c>
      <c r="AW1122" s="3" t="s">
        <v>14121</v>
      </c>
      <c r="AX1122" s="3" t="s">
        <v>14121</v>
      </c>
      <c r="AY1122" s="3" t="s">
        <v>14122</v>
      </c>
      <c r="AZ1122" s="3" t="s">
        <v>76</v>
      </c>
      <c r="BB1122" s="3" t="s">
        <v>14123</v>
      </c>
      <c r="BC1122" s="3" t="s">
        <v>14124</v>
      </c>
      <c r="BD1122" s="3" t="s">
        <v>14125</v>
      </c>
    </row>
    <row r="1123" spans="1:56" ht="52.5" customHeight="1" x14ac:dyDescent="0.25">
      <c r="A1123" s="7" t="s">
        <v>59</v>
      </c>
      <c r="B1123" s="2" t="s">
        <v>14126</v>
      </c>
      <c r="C1123" s="2" t="s">
        <v>14127</v>
      </c>
      <c r="D1123" s="2" t="s">
        <v>14128</v>
      </c>
      <c r="F1123" s="3" t="s">
        <v>59</v>
      </c>
      <c r="G1123" s="3" t="s">
        <v>60</v>
      </c>
      <c r="H1123" s="3" t="s">
        <v>59</v>
      </c>
      <c r="I1123" s="3" t="s">
        <v>59</v>
      </c>
      <c r="J1123" s="3" t="s">
        <v>61</v>
      </c>
      <c r="L1123" s="2" t="s">
        <v>7214</v>
      </c>
      <c r="M1123" s="3" t="s">
        <v>405</v>
      </c>
      <c r="O1123" s="3" t="s">
        <v>65</v>
      </c>
      <c r="P1123" s="3" t="s">
        <v>296</v>
      </c>
      <c r="R1123" s="3" t="s">
        <v>68</v>
      </c>
      <c r="S1123" s="4">
        <v>19</v>
      </c>
      <c r="T1123" s="4">
        <v>19</v>
      </c>
      <c r="U1123" s="5" t="s">
        <v>14129</v>
      </c>
      <c r="V1123" s="5" t="s">
        <v>14129</v>
      </c>
      <c r="W1123" s="5" t="s">
        <v>14130</v>
      </c>
      <c r="X1123" s="5" t="s">
        <v>14130</v>
      </c>
      <c r="Y1123" s="4">
        <v>789</v>
      </c>
      <c r="Z1123" s="4">
        <v>644</v>
      </c>
      <c r="AA1123" s="4">
        <v>704</v>
      </c>
      <c r="AB1123" s="4">
        <v>5</v>
      </c>
      <c r="AC1123" s="4">
        <v>5</v>
      </c>
      <c r="AD1123" s="4">
        <v>30</v>
      </c>
      <c r="AE1123" s="4">
        <v>31</v>
      </c>
      <c r="AF1123" s="4">
        <v>7</v>
      </c>
      <c r="AG1123" s="4">
        <v>7</v>
      </c>
      <c r="AH1123" s="4">
        <v>6</v>
      </c>
      <c r="AI1123" s="4">
        <v>6</v>
      </c>
      <c r="AJ1123" s="4">
        <v>18</v>
      </c>
      <c r="AK1123" s="4">
        <v>19</v>
      </c>
      <c r="AL1123" s="4">
        <v>4</v>
      </c>
      <c r="AM1123" s="4">
        <v>4</v>
      </c>
      <c r="AN1123" s="4">
        <v>0</v>
      </c>
      <c r="AO1123" s="4">
        <v>0</v>
      </c>
      <c r="AP1123" s="3" t="s">
        <v>59</v>
      </c>
      <c r="AQ1123" s="3" t="s">
        <v>59</v>
      </c>
      <c r="AS1123" s="6" t="str">
        <f>HYPERLINK("https://creighton-primo.hosted.exlibrisgroup.com/primo-explore/search?tab=default_tab&amp;search_scope=EVERYTHING&amp;vid=01CRU&amp;lang=en_US&amp;offset=0&amp;query=any,contains,991001052159702656","Catalog Record")</f>
        <v>Catalog Record</v>
      </c>
      <c r="AT1123" s="6" t="str">
        <f>HYPERLINK("http://www.worldcat.org/oclc/15657127","WorldCat Record")</f>
        <v>WorldCat Record</v>
      </c>
      <c r="AU1123" s="3" t="s">
        <v>14131</v>
      </c>
      <c r="AV1123" s="3" t="s">
        <v>14132</v>
      </c>
      <c r="AW1123" s="3" t="s">
        <v>14133</v>
      </c>
      <c r="AX1123" s="3" t="s">
        <v>14133</v>
      </c>
      <c r="AY1123" s="3" t="s">
        <v>14134</v>
      </c>
      <c r="AZ1123" s="3" t="s">
        <v>76</v>
      </c>
      <c r="BB1123" s="3" t="s">
        <v>14135</v>
      </c>
      <c r="BC1123" s="3" t="s">
        <v>14136</v>
      </c>
      <c r="BD1123" s="3" t="s">
        <v>14137</v>
      </c>
    </row>
    <row r="1124" spans="1:56" ht="52.5" customHeight="1" x14ac:dyDescent="0.25">
      <c r="A1124" s="7" t="s">
        <v>59</v>
      </c>
      <c r="B1124" s="2" t="s">
        <v>14138</v>
      </c>
      <c r="C1124" s="2" t="s">
        <v>14139</v>
      </c>
      <c r="D1124" s="2" t="s">
        <v>14140</v>
      </c>
      <c r="F1124" s="3" t="s">
        <v>59</v>
      </c>
      <c r="G1124" s="3" t="s">
        <v>60</v>
      </c>
      <c r="H1124" s="3" t="s">
        <v>59</v>
      </c>
      <c r="I1124" s="3" t="s">
        <v>59</v>
      </c>
      <c r="J1124" s="3" t="s">
        <v>61</v>
      </c>
      <c r="L1124" s="2" t="s">
        <v>14141</v>
      </c>
      <c r="M1124" s="3" t="s">
        <v>549</v>
      </c>
      <c r="O1124" s="3" t="s">
        <v>65</v>
      </c>
      <c r="P1124" s="3" t="s">
        <v>5000</v>
      </c>
      <c r="R1124" s="3" t="s">
        <v>68</v>
      </c>
      <c r="S1124" s="4">
        <v>8</v>
      </c>
      <c r="T1124" s="4">
        <v>8</v>
      </c>
      <c r="U1124" s="5" t="s">
        <v>14142</v>
      </c>
      <c r="V1124" s="5" t="s">
        <v>14142</v>
      </c>
      <c r="W1124" s="5" t="s">
        <v>10308</v>
      </c>
      <c r="X1124" s="5" t="s">
        <v>10308</v>
      </c>
      <c r="Y1124" s="4">
        <v>429</v>
      </c>
      <c r="Z1124" s="4">
        <v>371</v>
      </c>
      <c r="AA1124" s="4">
        <v>378</v>
      </c>
      <c r="AB1124" s="4">
        <v>3</v>
      </c>
      <c r="AC1124" s="4">
        <v>3</v>
      </c>
      <c r="AD1124" s="4">
        <v>23</v>
      </c>
      <c r="AE1124" s="4">
        <v>23</v>
      </c>
      <c r="AF1124" s="4">
        <v>11</v>
      </c>
      <c r="AG1124" s="4">
        <v>11</v>
      </c>
      <c r="AH1124" s="4">
        <v>3</v>
      </c>
      <c r="AI1124" s="4">
        <v>3</v>
      </c>
      <c r="AJ1124" s="4">
        <v>14</v>
      </c>
      <c r="AK1124" s="4">
        <v>14</v>
      </c>
      <c r="AL1124" s="4">
        <v>2</v>
      </c>
      <c r="AM1124" s="4">
        <v>2</v>
      </c>
      <c r="AN1124" s="4">
        <v>0</v>
      </c>
      <c r="AO1124" s="4">
        <v>0</v>
      </c>
      <c r="AP1124" s="3" t="s">
        <v>59</v>
      </c>
      <c r="AQ1124" s="3" t="s">
        <v>71</v>
      </c>
      <c r="AR1124" s="6" t="str">
        <f>HYPERLINK("http://catalog.hathitrust.org/Record/000538075","HathiTrust Record")</f>
        <v>HathiTrust Record</v>
      </c>
      <c r="AS1124" s="6" t="str">
        <f>HYPERLINK("https://creighton-primo.hosted.exlibrisgroup.com/primo-explore/search?tab=default_tab&amp;search_scope=EVERYTHING&amp;vid=01CRU&amp;lang=en_US&amp;offset=0&amp;query=any,contains,991000785429702656","Catalog Record")</f>
        <v>Catalog Record</v>
      </c>
      <c r="AT1124" s="6" t="str">
        <f>HYPERLINK("http://www.worldcat.org/oclc/13124077","WorldCat Record")</f>
        <v>WorldCat Record</v>
      </c>
      <c r="AU1124" s="3" t="s">
        <v>14143</v>
      </c>
      <c r="AV1124" s="3" t="s">
        <v>14144</v>
      </c>
      <c r="AW1124" s="3" t="s">
        <v>14145</v>
      </c>
      <c r="AX1124" s="3" t="s">
        <v>14145</v>
      </c>
      <c r="AY1124" s="3" t="s">
        <v>14146</v>
      </c>
      <c r="AZ1124" s="3" t="s">
        <v>76</v>
      </c>
      <c r="BB1124" s="3" t="s">
        <v>14147</v>
      </c>
      <c r="BC1124" s="3" t="s">
        <v>14148</v>
      </c>
      <c r="BD1124" s="3" t="s">
        <v>14149</v>
      </c>
    </row>
    <row r="1125" spans="1:56" ht="52.5" customHeight="1" x14ac:dyDescent="0.25">
      <c r="A1125" s="7" t="s">
        <v>59</v>
      </c>
      <c r="B1125" s="2" t="s">
        <v>14150</v>
      </c>
      <c r="C1125" s="2" t="s">
        <v>14151</v>
      </c>
      <c r="D1125" s="2" t="s">
        <v>14152</v>
      </c>
      <c r="F1125" s="3" t="s">
        <v>59</v>
      </c>
      <c r="G1125" s="3" t="s">
        <v>60</v>
      </c>
      <c r="H1125" s="3" t="s">
        <v>59</v>
      </c>
      <c r="I1125" s="3" t="s">
        <v>59</v>
      </c>
      <c r="J1125" s="3" t="s">
        <v>61</v>
      </c>
      <c r="K1125" s="2" t="s">
        <v>14153</v>
      </c>
      <c r="L1125" s="2" t="s">
        <v>14154</v>
      </c>
      <c r="M1125" s="3" t="s">
        <v>475</v>
      </c>
      <c r="O1125" s="3" t="s">
        <v>65</v>
      </c>
      <c r="P1125" s="3" t="s">
        <v>12051</v>
      </c>
      <c r="Q1125" s="2" t="s">
        <v>14155</v>
      </c>
      <c r="R1125" s="3" t="s">
        <v>68</v>
      </c>
      <c r="S1125" s="4">
        <v>3</v>
      </c>
      <c r="T1125" s="4">
        <v>3</v>
      </c>
      <c r="U1125" s="5" t="s">
        <v>3107</v>
      </c>
      <c r="V1125" s="5" t="s">
        <v>3107</v>
      </c>
      <c r="W1125" s="5" t="s">
        <v>10308</v>
      </c>
      <c r="X1125" s="5" t="s">
        <v>10308</v>
      </c>
      <c r="Y1125" s="4">
        <v>267</v>
      </c>
      <c r="Z1125" s="4">
        <v>182</v>
      </c>
      <c r="AA1125" s="4">
        <v>195</v>
      </c>
      <c r="AB1125" s="4">
        <v>2</v>
      </c>
      <c r="AC1125" s="4">
        <v>2</v>
      </c>
      <c r="AD1125" s="4">
        <v>9</v>
      </c>
      <c r="AE1125" s="4">
        <v>9</v>
      </c>
      <c r="AF1125" s="4">
        <v>1</v>
      </c>
      <c r="AG1125" s="4">
        <v>1</v>
      </c>
      <c r="AH1125" s="4">
        <v>3</v>
      </c>
      <c r="AI1125" s="4">
        <v>3</v>
      </c>
      <c r="AJ1125" s="4">
        <v>5</v>
      </c>
      <c r="AK1125" s="4">
        <v>5</v>
      </c>
      <c r="AL1125" s="4">
        <v>1</v>
      </c>
      <c r="AM1125" s="4">
        <v>1</v>
      </c>
      <c r="AN1125" s="4">
        <v>0</v>
      </c>
      <c r="AO1125" s="4">
        <v>0</v>
      </c>
      <c r="AP1125" s="3" t="s">
        <v>59</v>
      </c>
      <c r="AQ1125" s="3" t="s">
        <v>71</v>
      </c>
      <c r="AR1125" s="6" t="str">
        <f>HYPERLINK("http://catalog.hathitrust.org/Record/000243743","HathiTrust Record")</f>
        <v>HathiTrust Record</v>
      </c>
      <c r="AS1125" s="6" t="str">
        <f>HYPERLINK("https://creighton-primo.hosted.exlibrisgroup.com/primo-explore/search?tab=default_tab&amp;search_scope=EVERYTHING&amp;vid=01CRU&amp;lang=en_US&amp;offset=0&amp;query=any,contains,991000130939702656","Catalog Record")</f>
        <v>Catalog Record</v>
      </c>
      <c r="AT1125" s="6" t="str">
        <f>HYPERLINK("http://www.worldcat.org/oclc/9111309","WorldCat Record")</f>
        <v>WorldCat Record</v>
      </c>
      <c r="AU1125" s="3" t="s">
        <v>14156</v>
      </c>
      <c r="AV1125" s="3" t="s">
        <v>14157</v>
      </c>
      <c r="AW1125" s="3" t="s">
        <v>14158</v>
      </c>
      <c r="AX1125" s="3" t="s">
        <v>14158</v>
      </c>
      <c r="AY1125" s="3" t="s">
        <v>14159</v>
      </c>
      <c r="AZ1125" s="3" t="s">
        <v>76</v>
      </c>
      <c r="BB1125" s="3" t="s">
        <v>14160</v>
      </c>
      <c r="BC1125" s="3" t="s">
        <v>14161</v>
      </c>
      <c r="BD1125" s="3" t="s">
        <v>14162</v>
      </c>
    </row>
    <row r="1126" spans="1:56" ht="52.5" customHeight="1" x14ac:dyDescent="0.25">
      <c r="A1126" s="7" t="s">
        <v>59</v>
      </c>
      <c r="B1126" s="2" t="s">
        <v>14163</v>
      </c>
      <c r="C1126" s="2" t="s">
        <v>14164</v>
      </c>
      <c r="D1126" s="2" t="s">
        <v>14165</v>
      </c>
      <c r="F1126" s="3" t="s">
        <v>59</v>
      </c>
      <c r="G1126" s="3" t="s">
        <v>60</v>
      </c>
      <c r="H1126" s="3" t="s">
        <v>71</v>
      </c>
      <c r="I1126" s="3" t="s">
        <v>59</v>
      </c>
      <c r="J1126" s="3" t="s">
        <v>61</v>
      </c>
      <c r="K1126" s="2" t="s">
        <v>14166</v>
      </c>
      <c r="L1126" s="2" t="s">
        <v>14167</v>
      </c>
      <c r="M1126" s="3" t="s">
        <v>405</v>
      </c>
      <c r="O1126" s="3" t="s">
        <v>65</v>
      </c>
      <c r="P1126" s="3" t="s">
        <v>66</v>
      </c>
      <c r="R1126" s="3" t="s">
        <v>68</v>
      </c>
      <c r="S1126" s="4">
        <v>10</v>
      </c>
      <c r="T1126" s="4">
        <v>16</v>
      </c>
      <c r="U1126" s="5" t="s">
        <v>2429</v>
      </c>
      <c r="V1126" s="5" t="s">
        <v>2429</v>
      </c>
      <c r="W1126" s="5" t="s">
        <v>14130</v>
      </c>
      <c r="X1126" s="5" t="s">
        <v>14130</v>
      </c>
      <c r="Y1126" s="4">
        <v>465</v>
      </c>
      <c r="Z1126" s="4">
        <v>354</v>
      </c>
      <c r="AA1126" s="4">
        <v>355</v>
      </c>
      <c r="AB1126" s="4">
        <v>6</v>
      </c>
      <c r="AC1126" s="4">
        <v>6</v>
      </c>
      <c r="AD1126" s="4">
        <v>21</v>
      </c>
      <c r="AE1126" s="4">
        <v>21</v>
      </c>
      <c r="AF1126" s="4">
        <v>7</v>
      </c>
      <c r="AG1126" s="4">
        <v>7</v>
      </c>
      <c r="AH1126" s="4">
        <v>4</v>
      </c>
      <c r="AI1126" s="4">
        <v>4</v>
      </c>
      <c r="AJ1126" s="4">
        <v>11</v>
      </c>
      <c r="AK1126" s="4">
        <v>11</v>
      </c>
      <c r="AL1126" s="4">
        <v>4</v>
      </c>
      <c r="AM1126" s="4">
        <v>4</v>
      </c>
      <c r="AN1126" s="4">
        <v>0</v>
      </c>
      <c r="AO1126" s="4">
        <v>0</v>
      </c>
      <c r="AP1126" s="3" t="s">
        <v>59</v>
      </c>
      <c r="AQ1126" s="3" t="s">
        <v>71</v>
      </c>
      <c r="AR1126" s="6" t="str">
        <f>HYPERLINK("http://catalog.hathitrust.org/Record/000858010","HathiTrust Record")</f>
        <v>HathiTrust Record</v>
      </c>
      <c r="AS1126" s="6" t="str">
        <f>HYPERLINK("https://creighton-primo.hosted.exlibrisgroup.com/primo-explore/search?tab=default_tab&amp;search_scope=EVERYTHING&amp;vid=01CRU&amp;lang=en_US&amp;offset=0&amp;query=any,contains,991001788569702656","Catalog Record")</f>
        <v>Catalog Record</v>
      </c>
      <c r="AT1126" s="6" t="str">
        <f>HYPERLINK("http://www.worldcat.org/oclc/15549708","WorldCat Record")</f>
        <v>WorldCat Record</v>
      </c>
      <c r="AU1126" s="3" t="s">
        <v>14168</v>
      </c>
      <c r="AV1126" s="3" t="s">
        <v>14169</v>
      </c>
      <c r="AW1126" s="3" t="s">
        <v>14170</v>
      </c>
      <c r="AX1126" s="3" t="s">
        <v>14170</v>
      </c>
      <c r="AY1126" s="3" t="s">
        <v>14171</v>
      </c>
      <c r="AZ1126" s="3" t="s">
        <v>76</v>
      </c>
      <c r="BB1126" s="3" t="s">
        <v>14172</v>
      </c>
      <c r="BC1126" s="3" t="s">
        <v>14173</v>
      </c>
      <c r="BD1126" s="3" t="s">
        <v>14174</v>
      </c>
    </row>
    <row r="1127" spans="1:56" ht="52.5" customHeight="1" x14ac:dyDescent="0.25">
      <c r="A1127" s="7" t="s">
        <v>59</v>
      </c>
      <c r="B1127" s="2" t="s">
        <v>14175</v>
      </c>
      <c r="C1127" s="2" t="s">
        <v>14176</v>
      </c>
      <c r="D1127" s="2" t="s">
        <v>14177</v>
      </c>
      <c r="E1127" s="3" t="s">
        <v>6690</v>
      </c>
      <c r="F1127" s="3" t="s">
        <v>59</v>
      </c>
      <c r="G1127" s="3" t="s">
        <v>60</v>
      </c>
      <c r="H1127" s="3" t="s">
        <v>59</v>
      </c>
      <c r="I1127" s="3" t="s">
        <v>59</v>
      </c>
      <c r="J1127" s="3" t="s">
        <v>61</v>
      </c>
      <c r="L1127" s="2" t="s">
        <v>14178</v>
      </c>
      <c r="M1127" s="3" t="s">
        <v>10267</v>
      </c>
      <c r="O1127" s="3" t="s">
        <v>65</v>
      </c>
      <c r="P1127" s="3" t="s">
        <v>66</v>
      </c>
      <c r="Q1127" s="2" t="s">
        <v>14179</v>
      </c>
      <c r="R1127" s="3" t="s">
        <v>68</v>
      </c>
      <c r="S1127" s="4">
        <v>1</v>
      </c>
      <c r="T1127" s="4">
        <v>1</v>
      </c>
      <c r="U1127" s="5" t="s">
        <v>14180</v>
      </c>
      <c r="V1127" s="5" t="s">
        <v>14180</v>
      </c>
      <c r="W1127" s="5" t="s">
        <v>4484</v>
      </c>
      <c r="X1127" s="5" t="s">
        <v>4484</v>
      </c>
      <c r="Y1127" s="4">
        <v>49</v>
      </c>
      <c r="Z1127" s="4">
        <v>30</v>
      </c>
      <c r="AA1127" s="4">
        <v>30</v>
      </c>
      <c r="AB1127" s="4">
        <v>1</v>
      </c>
      <c r="AC1127" s="4">
        <v>1</v>
      </c>
      <c r="AD1127" s="4">
        <v>4</v>
      </c>
      <c r="AE1127" s="4">
        <v>4</v>
      </c>
      <c r="AF1127" s="4">
        <v>1</v>
      </c>
      <c r="AG1127" s="4">
        <v>1</v>
      </c>
      <c r="AH1127" s="4">
        <v>0</v>
      </c>
      <c r="AI1127" s="4">
        <v>0</v>
      </c>
      <c r="AJ1127" s="4">
        <v>4</v>
      </c>
      <c r="AK1127" s="4">
        <v>4</v>
      </c>
      <c r="AL1127" s="4">
        <v>0</v>
      </c>
      <c r="AM1127" s="4">
        <v>0</v>
      </c>
      <c r="AN1127" s="4">
        <v>0</v>
      </c>
      <c r="AO1127" s="4">
        <v>0</v>
      </c>
      <c r="AP1127" s="3" t="s">
        <v>59</v>
      </c>
      <c r="AQ1127" s="3" t="s">
        <v>59</v>
      </c>
      <c r="AS1127" s="6" t="str">
        <f>HYPERLINK("https://creighton-primo.hosted.exlibrisgroup.com/primo-explore/search?tab=default_tab&amp;search_scope=EVERYTHING&amp;vid=01CRU&amp;lang=en_US&amp;offset=0&amp;query=any,contains,991002565449702656","Catalog Record")</f>
        <v>Catalog Record</v>
      </c>
      <c r="AT1127" s="6" t="str">
        <f>HYPERLINK("http://www.worldcat.org/oclc/33350834","WorldCat Record")</f>
        <v>WorldCat Record</v>
      </c>
      <c r="AU1127" s="3" t="s">
        <v>14181</v>
      </c>
      <c r="AV1127" s="3" t="s">
        <v>14182</v>
      </c>
      <c r="AW1127" s="3" t="s">
        <v>14183</v>
      </c>
      <c r="AX1127" s="3" t="s">
        <v>14183</v>
      </c>
      <c r="AY1127" s="3" t="s">
        <v>14184</v>
      </c>
      <c r="AZ1127" s="3" t="s">
        <v>76</v>
      </c>
      <c r="BB1127" s="3" t="s">
        <v>14185</v>
      </c>
      <c r="BC1127" s="3" t="s">
        <v>14186</v>
      </c>
      <c r="BD1127" s="3" t="s">
        <v>14187</v>
      </c>
    </row>
    <row r="1128" spans="1:56" ht="52.5" customHeight="1" x14ac:dyDescent="0.25">
      <c r="A1128" s="7" t="s">
        <v>59</v>
      </c>
      <c r="B1128" s="2" t="s">
        <v>14188</v>
      </c>
      <c r="C1128" s="2" t="s">
        <v>14189</v>
      </c>
      <c r="D1128" s="2" t="s">
        <v>14190</v>
      </c>
      <c r="F1128" s="3" t="s">
        <v>59</v>
      </c>
      <c r="G1128" s="3" t="s">
        <v>60</v>
      </c>
      <c r="H1128" s="3" t="s">
        <v>59</v>
      </c>
      <c r="I1128" s="3" t="s">
        <v>59</v>
      </c>
      <c r="J1128" s="3" t="s">
        <v>61</v>
      </c>
      <c r="L1128" s="2" t="s">
        <v>14191</v>
      </c>
      <c r="M1128" s="3" t="s">
        <v>164</v>
      </c>
      <c r="O1128" s="3" t="s">
        <v>65</v>
      </c>
      <c r="P1128" s="3" t="s">
        <v>283</v>
      </c>
      <c r="R1128" s="3" t="s">
        <v>68</v>
      </c>
      <c r="S1128" s="4">
        <v>5</v>
      </c>
      <c r="T1128" s="4">
        <v>5</v>
      </c>
      <c r="U1128" s="5" t="s">
        <v>14192</v>
      </c>
      <c r="V1128" s="5" t="s">
        <v>14192</v>
      </c>
      <c r="W1128" s="5" t="s">
        <v>12723</v>
      </c>
      <c r="X1128" s="5" t="s">
        <v>12723</v>
      </c>
      <c r="Y1128" s="4">
        <v>368</v>
      </c>
      <c r="Z1128" s="4">
        <v>280</v>
      </c>
      <c r="AA1128" s="4">
        <v>282</v>
      </c>
      <c r="AB1128" s="4">
        <v>3</v>
      </c>
      <c r="AC1128" s="4">
        <v>3</v>
      </c>
      <c r="AD1128" s="4">
        <v>13</v>
      </c>
      <c r="AE1128" s="4">
        <v>13</v>
      </c>
      <c r="AF1128" s="4">
        <v>3</v>
      </c>
      <c r="AG1128" s="4">
        <v>3</v>
      </c>
      <c r="AH1128" s="4">
        <v>3</v>
      </c>
      <c r="AI1128" s="4">
        <v>3</v>
      </c>
      <c r="AJ1128" s="4">
        <v>9</v>
      </c>
      <c r="AK1128" s="4">
        <v>9</v>
      </c>
      <c r="AL1128" s="4">
        <v>2</v>
      </c>
      <c r="AM1128" s="4">
        <v>2</v>
      </c>
      <c r="AN1128" s="4">
        <v>0</v>
      </c>
      <c r="AO1128" s="4">
        <v>0</v>
      </c>
      <c r="AP1128" s="3" t="s">
        <v>59</v>
      </c>
      <c r="AQ1128" s="3" t="s">
        <v>71</v>
      </c>
      <c r="AR1128" s="6" t="str">
        <f>HYPERLINK("http://catalog.hathitrust.org/Record/000717751","HathiTrust Record")</f>
        <v>HathiTrust Record</v>
      </c>
      <c r="AS1128" s="6" t="str">
        <f>HYPERLINK("https://creighton-primo.hosted.exlibrisgroup.com/primo-explore/search?tab=default_tab&amp;search_scope=EVERYTHING&amp;vid=01CRU&amp;lang=en_US&amp;offset=0&amp;query=any,contains,991004839649702656","Catalog Record")</f>
        <v>Catalog Record</v>
      </c>
      <c r="AT1128" s="6" t="str">
        <f>HYPERLINK("http://www.worldcat.org/oclc/5495017","WorldCat Record")</f>
        <v>WorldCat Record</v>
      </c>
      <c r="AU1128" s="3" t="s">
        <v>14193</v>
      </c>
      <c r="AV1128" s="3" t="s">
        <v>14194</v>
      </c>
      <c r="AW1128" s="3" t="s">
        <v>14195</v>
      </c>
      <c r="AX1128" s="3" t="s">
        <v>14195</v>
      </c>
      <c r="AY1128" s="3" t="s">
        <v>14196</v>
      </c>
      <c r="AZ1128" s="3" t="s">
        <v>76</v>
      </c>
      <c r="BB1128" s="3" t="s">
        <v>14197</v>
      </c>
      <c r="BC1128" s="3" t="s">
        <v>14198</v>
      </c>
      <c r="BD1128" s="3" t="s">
        <v>14199</v>
      </c>
    </row>
    <row r="1129" spans="1:56" ht="52.5" customHeight="1" x14ac:dyDescent="0.25">
      <c r="A1129" s="7" t="s">
        <v>59</v>
      </c>
      <c r="B1129" s="2" t="s">
        <v>14200</v>
      </c>
      <c r="C1129" s="2" t="s">
        <v>14201</v>
      </c>
      <c r="D1129" s="2" t="s">
        <v>14202</v>
      </c>
      <c r="F1129" s="3" t="s">
        <v>59</v>
      </c>
      <c r="G1129" s="3" t="s">
        <v>60</v>
      </c>
      <c r="H1129" s="3" t="s">
        <v>59</v>
      </c>
      <c r="I1129" s="3" t="s">
        <v>59</v>
      </c>
      <c r="J1129" s="3" t="s">
        <v>61</v>
      </c>
      <c r="L1129" s="2" t="s">
        <v>14203</v>
      </c>
      <c r="M1129" s="3" t="s">
        <v>1217</v>
      </c>
      <c r="O1129" s="3" t="s">
        <v>65</v>
      </c>
      <c r="P1129" s="3" t="s">
        <v>66</v>
      </c>
      <c r="R1129" s="3" t="s">
        <v>68</v>
      </c>
      <c r="S1129" s="4">
        <v>14</v>
      </c>
      <c r="T1129" s="4">
        <v>14</v>
      </c>
      <c r="U1129" s="5" t="s">
        <v>14142</v>
      </c>
      <c r="V1129" s="5" t="s">
        <v>14142</v>
      </c>
      <c r="W1129" s="5" t="s">
        <v>5724</v>
      </c>
      <c r="X1129" s="5" t="s">
        <v>5724</v>
      </c>
      <c r="Y1129" s="4">
        <v>701</v>
      </c>
      <c r="Z1129" s="4">
        <v>563</v>
      </c>
      <c r="AA1129" s="4">
        <v>570</v>
      </c>
      <c r="AB1129" s="4">
        <v>6</v>
      </c>
      <c r="AC1129" s="4">
        <v>6</v>
      </c>
      <c r="AD1129" s="4">
        <v>34</v>
      </c>
      <c r="AE1129" s="4">
        <v>34</v>
      </c>
      <c r="AF1129" s="4">
        <v>15</v>
      </c>
      <c r="AG1129" s="4">
        <v>15</v>
      </c>
      <c r="AH1129" s="4">
        <v>5</v>
      </c>
      <c r="AI1129" s="4">
        <v>5</v>
      </c>
      <c r="AJ1129" s="4">
        <v>17</v>
      </c>
      <c r="AK1129" s="4">
        <v>17</v>
      </c>
      <c r="AL1129" s="4">
        <v>5</v>
      </c>
      <c r="AM1129" s="4">
        <v>5</v>
      </c>
      <c r="AN1129" s="4">
        <v>1</v>
      </c>
      <c r="AO1129" s="4">
        <v>1</v>
      </c>
      <c r="AP1129" s="3" t="s">
        <v>59</v>
      </c>
      <c r="AQ1129" s="3" t="s">
        <v>71</v>
      </c>
      <c r="AR1129" s="6" t="str">
        <f>HYPERLINK("http://catalog.hathitrust.org/Record/000286173","HathiTrust Record")</f>
        <v>HathiTrust Record</v>
      </c>
      <c r="AS1129" s="6" t="str">
        <f>HYPERLINK("https://creighton-primo.hosted.exlibrisgroup.com/primo-explore/search?tab=default_tab&amp;search_scope=EVERYTHING&amp;vid=01CRU&amp;lang=en_US&amp;offset=0&amp;query=any,contains,991000269949702656","Catalog Record")</f>
        <v>Catalog Record</v>
      </c>
      <c r="AT1129" s="6" t="str">
        <f>HYPERLINK("http://www.worldcat.org/oclc/9853577","WorldCat Record")</f>
        <v>WorldCat Record</v>
      </c>
      <c r="AU1129" s="3" t="s">
        <v>14204</v>
      </c>
      <c r="AV1129" s="3" t="s">
        <v>14205</v>
      </c>
      <c r="AW1129" s="3" t="s">
        <v>14206</v>
      </c>
      <c r="AX1129" s="3" t="s">
        <v>14206</v>
      </c>
      <c r="AY1129" s="3" t="s">
        <v>14207</v>
      </c>
      <c r="AZ1129" s="3" t="s">
        <v>76</v>
      </c>
      <c r="BB1129" s="3" t="s">
        <v>14208</v>
      </c>
      <c r="BC1129" s="3" t="s">
        <v>14209</v>
      </c>
      <c r="BD1129" s="3" t="s">
        <v>14210</v>
      </c>
    </row>
    <row r="1130" spans="1:56" ht="52.5" customHeight="1" x14ac:dyDescent="0.25">
      <c r="A1130" s="7" t="s">
        <v>59</v>
      </c>
      <c r="B1130" s="2" t="s">
        <v>14211</v>
      </c>
      <c r="C1130" s="2" t="s">
        <v>14212</v>
      </c>
      <c r="D1130" s="2" t="s">
        <v>14213</v>
      </c>
      <c r="F1130" s="3" t="s">
        <v>59</v>
      </c>
      <c r="G1130" s="3" t="s">
        <v>60</v>
      </c>
      <c r="H1130" s="3" t="s">
        <v>59</v>
      </c>
      <c r="I1130" s="3" t="s">
        <v>59</v>
      </c>
      <c r="J1130" s="3" t="s">
        <v>61</v>
      </c>
      <c r="K1130" s="2" t="s">
        <v>10962</v>
      </c>
      <c r="L1130" s="2" t="s">
        <v>14214</v>
      </c>
      <c r="M1130" s="3" t="s">
        <v>475</v>
      </c>
      <c r="O1130" s="3" t="s">
        <v>65</v>
      </c>
      <c r="P1130" s="3" t="s">
        <v>1262</v>
      </c>
      <c r="R1130" s="3" t="s">
        <v>68</v>
      </c>
      <c r="S1130" s="4">
        <v>12</v>
      </c>
      <c r="T1130" s="4">
        <v>12</v>
      </c>
      <c r="U1130" s="5" t="s">
        <v>10965</v>
      </c>
      <c r="V1130" s="5" t="s">
        <v>10965</v>
      </c>
      <c r="W1130" s="5" t="s">
        <v>12723</v>
      </c>
      <c r="X1130" s="5" t="s">
        <v>12723</v>
      </c>
      <c r="Y1130" s="4">
        <v>423</v>
      </c>
      <c r="Z1130" s="4">
        <v>265</v>
      </c>
      <c r="AA1130" s="4">
        <v>270</v>
      </c>
      <c r="AB1130" s="4">
        <v>3</v>
      </c>
      <c r="AC1130" s="4">
        <v>3</v>
      </c>
      <c r="AD1130" s="4">
        <v>9</v>
      </c>
      <c r="AE1130" s="4">
        <v>9</v>
      </c>
      <c r="AF1130" s="4">
        <v>1</v>
      </c>
      <c r="AG1130" s="4">
        <v>1</v>
      </c>
      <c r="AH1130" s="4">
        <v>4</v>
      </c>
      <c r="AI1130" s="4">
        <v>4</v>
      </c>
      <c r="AJ1130" s="4">
        <v>5</v>
      </c>
      <c r="AK1130" s="4">
        <v>5</v>
      </c>
      <c r="AL1130" s="4">
        <v>2</v>
      </c>
      <c r="AM1130" s="4">
        <v>2</v>
      </c>
      <c r="AN1130" s="4">
        <v>0</v>
      </c>
      <c r="AO1130" s="4">
        <v>0</v>
      </c>
      <c r="AP1130" s="3" t="s">
        <v>59</v>
      </c>
      <c r="AQ1130" s="3" t="s">
        <v>59</v>
      </c>
      <c r="AS1130" s="6" t="str">
        <f>HYPERLINK("https://creighton-primo.hosted.exlibrisgroup.com/primo-explore/search?tab=default_tab&amp;search_scope=EVERYTHING&amp;vid=01CRU&amp;lang=en_US&amp;offset=0&amp;query=any,contains,991000260549702656","Catalog Record")</f>
        <v>Catalog Record</v>
      </c>
      <c r="AT1130" s="6" t="str">
        <f>HYPERLINK("http://www.worldcat.org/oclc/9807799","WorldCat Record")</f>
        <v>WorldCat Record</v>
      </c>
      <c r="AU1130" s="3" t="s">
        <v>14215</v>
      </c>
      <c r="AV1130" s="3" t="s">
        <v>14216</v>
      </c>
      <c r="AW1130" s="3" t="s">
        <v>14217</v>
      </c>
      <c r="AX1130" s="3" t="s">
        <v>14217</v>
      </c>
      <c r="AY1130" s="3" t="s">
        <v>14218</v>
      </c>
      <c r="AZ1130" s="3" t="s">
        <v>76</v>
      </c>
      <c r="BB1130" s="3" t="s">
        <v>14219</v>
      </c>
      <c r="BC1130" s="3" t="s">
        <v>14220</v>
      </c>
      <c r="BD1130" s="3" t="s">
        <v>14221</v>
      </c>
    </row>
    <row r="1131" spans="1:56" ht="52.5" customHeight="1" x14ac:dyDescent="0.25">
      <c r="A1131" s="7" t="s">
        <v>59</v>
      </c>
      <c r="B1131" s="2" t="s">
        <v>14222</v>
      </c>
      <c r="C1131" s="2" t="s">
        <v>14223</v>
      </c>
      <c r="D1131" s="2" t="s">
        <v>14224</v>
      </c>
      <c r="F1131" s="3" t="s">
        <v>59</v>
      </c>
      <c r="G1131" s="3" t="s">
        <v>60</v>
      </c>
      <c r="H1131" s="3" t="s">
        <v>71</v>
      </c>
      <c r="I1131" s="3" t="s">
        <v>59</v>
      </c>
      <c r="J1131" s="3" t="s">
        <v>61</v>
      </c>
      <c r="L1131" s="2" t="s">
        <v>14225</v>
      </c>
      <c r="M1131" s="3" t="s">
        <v>195</v>
      </c>
      <c r="O1131" s="3" t="s">
        <v>65</v>
      </c>
      <c r="P1131" s="3" t="s">
        <v>1262</v>
      </c>
      <c r="Q1131" s="2" t="s">
        <v>7670</v>
      </c>
      <c r="R1131" s="3" t="s">
        <v>68</v>
      </c>
      <c r="S1131" s="4">
        <v>2</v>
      </c>
      <c r="T1131" s="4">
        <v>7</v>
      </c>
      <c r="U1131" s="5" t="s">
        <v>14226</v>
      </c>
      <c r="V1131" s="5" t="s">
        <v>14227</v>
      </c>
      <c r="W1131" s="5" t="s">
        <v>12723</v>
      </c>
      <c r="X1131" s="5" t="s">
        <v>12723</v>
      </c>
      <c r="Y1131" s="4">
        <v>399</v>
      </c>
      <c r="Z1131" s="4">
        <v>278</v>
      </c>
      <c r="AA1131" s="4">
        <v>284</v>
      </c>
      <c r="AB1131" s="4">
        <v>4</v>
      </c>
      <c r="AC1131" s="4">
        <v>4</v>
      </c>
      <c r="AD1131" s="4">
        <v>11</v>
      </c>
      <c r="AE1131" s="4">
        <v>11</v>
      </c>
      <c r="AF1131" s="4">
        <v>2</v>
      </c>
      <c r="AG1131" s="4">
        <v>2</v>
      </c>
      <c r="AH1131" s="4">
        <v>4</v>
      </c>
      <c r="AI1131" s="4">
        <v>4</v>
      </c>
      <c r="AJ1131" s="4">
        <v>5</v>
      </c>
      <c r="AK1131" s="4">
        <v>5</v>
      </c>
      <c r="AL1131" s="4">
        <v>2</v>
      </c>
      <c r="AM1131" s="4">
        <v>2</v>
      </c>
      <c r="AN1131" s="4">
        <v>0</v>
      </c>
      <c r="AO1131" s="4">
        <v>0</v>
      </c>
      <c r="AP1131" s="3" t="s">
        <v>59</v>
      </c>
      <c r="AQ1131" s="3" t="s">
        <v>71</v>
      </c>
      <c r="AR1131" s="6" t="str">
        <f>HYPERLINK("http://catalog.hathitrust.org/Record/000764835","HathiTrust Record")</f>
        <v>HathiTrust Record</v>
      </c>
      <c r="AS1131" s="6" t="str">
        <f>HYPERLINK("https://creighton-primo.hosted.exlibrisgroup.com/primo-explore/search?tab=default_tab&amp;search_scope=EVERYTHING&amp;vid=01CRU&amp;lang=en_US&amp;offset=0&amp;query=any,contains,991001784779702656","Catalog Record")</f>
        <v>Catalog Record</v>
      </c>
      <c r="AT1131" s="6" t="str">
        <f>HYPERLINK("http://www.worldcat.org/oclc/7795126","WorldCat Record")</f>
        <v>WorldCat Record</v>
      </c>
      <c r="AU1131" s="3" t="s">
        <v>14228</v>
      </c>
      <c r="AV1131" s="3" t="s">
        <v>14229</v>
      </c>
      <c r="AW1131" s="3" t="s">
        <v>14230</v>
      </c>
      <c r="AX1131" s="3" t="s">
        <v>14230</v>
      </c>
      <c r="AY1131" s="3" t="s">
        <v>14231</v>
      </c>
      <c r="AZ1131" s="3" t="s">
        <v>76</v>
      </c>
      <c r="BB1131" s="3" t="s">
        <v>14232</v>
      </c>
      <c r="BC1131" s="3" t="s">
        <v>14233</v>
      </c>
      <c r="BD1131" s="3" t="s">
        <v>14234</v>
      </c>
    </row>
    <row r="1132" spans="1:56" ht="52.5" customHeight="1" x14ac:dyDescent="0.25">
      <c r="A1132" s="7" t="s">
        <v>59</v>
      </c>
      <c r="B1132" s="2" t="s">
        <v>14235</v>
      </c>
      <c r="C1132" s="2" t="s">
        <v>14236</v>
      </c>
      <c r="D1132" s="2" t="s">
        <v>14237</v>
      </c>
      <c r="F1132" s="3" t="s">
        <v>59</v>
      </c>
      <c r="G1132" s="3" t="s">
        <v>60</v>
      </c>
      <c r="H1132" s="3" t="s">
        <v>59</v>
      </c>
      <c r="I1132" s="3" t="s">
        <v>59</v>
      </c>
      <c r="J1132" s="3" t="s">
        <v>61</v>
      </c>
      <c r="K1132" s="2" t="s">
        <v>14238</v>
      </c>
      <c r="L1132" s="2" t="s">
        <v>335</v>
      </c>
      <c r="M1132" s="3" t="s">
        <v>309</v>
      </c>
      <c r="N1132" s="2" t="s">
        <v>1289</v>
      </c>
      <c r="O1132" s="3" t="s">
        <v>65</v>
      </c>
      <c r="P1132" s="3" t="s">
        <v>66</v>
      </c>
      <c r="R1132" s="3" t="s">
        <v>68</v>
      </c>
      <c r="S1132" s="4">
        <v>15</v>
      </c>
      <c r="T1132" s="4">
        <v>15</v>
      </c>
      <c r="U1132" s="5" t="s">
        <v>14239</v>
      </c>
      <c r="V1132" s="5" t="s">
        <v>14239</v>
      </c>
      <c r="W1132" s="5" t="s">
        <v>618</v>
      </c>
      <c r="X1132" s="5" t="s">
        <v>618</v>
      </c>
      <c r="Y1132" s="4">
        <v>297</v>
      </c>
      <c r="Z1132" s="4">
        <v>200</v>
      </c>
      <c r="AA1132" s="4">
        <v>422</v>
      </c>
      <c r="AB1132" s="4">
        <v>3</v>
      </c>
      <c r="AC1132" s="4">
        <v>3</v>
      </c>
      <c r="AD1132" s="4">
        <v>7</v>
      </c>
      <c r="AE1132" s="4">
        <v>12</v>
      </c>
      <c r="AF1132" s="4">
        <v>2</v>
      </c>
      <c r="AG1132" s="4">
        <v>2</v>
      </c>
      <c r="AH1132" s="4">
        <v>1</v>
      </c>
      <c r="AI1132" s="4">
        <v>2</v>
      </c>
      <c r="AJ1132" s="4">
        <v>4</v>
      </c>
      <c r="AK1132" s="4">
        <v>8</v>
      </c>
      <c r="AL1132" s="4">
        <v>1</v>
      </c>
      <c r="AM1132" s="4">
        <v>1</v>
      </c>
      <c r="AN1132" s="4">
        <v>0</v>
      </c>
      <c r="AO1132" s="4">
        <v>0</v>
      </c>
      <c r="AP1132" s="3" t="s">
        <v>59</v>
      </c>
      <c r="AQ1132" s="3" t="s">
        <v>71</v>
      </c>
      <c r="AR1132" s="6" t="str">
        <f>HYPERLINK("http://catalog.hathitrust.org/Record/009917467","HathiTrust Record")</f>
        <v>HathiTrust Record</v>
      </c>
      <c r="AS1132" s="6" t="str">
        <f>HYPERLINK("https://creighton-primo.hosted.exlibrisgroup.com/primo-explore/search?tab=default_tab&amp;search_scope=EVERYTHING&amp;vid=01CRU&amp;lang=en_US&amp;offset=0&amp;query=any,contains,991004325199702656","Catalog Record")</f>
        <v>Catalog Record</v>
      </c>
      <c r="AT1132" s="6" t="str">
        <f>HYPERLINK("http://www.worldcat.org/oclc/3034303","WorldCat Record")</f>
        <v>WorldCat Record</v>
      </c>
      <c r="AU1132" s="3" t="s">
        <v>14240</v>
      </c>
      <c r="AV1132" s="3" t="s">
        <v>14241</v>
      </c>
      <c r="AW1132" s="3" t="s">
        <v>14242</v>
      </c>
      <c r="AX1132" s="3" t="s">
        <v>14242</v>
      </c>
      <c r="AY1132" s="3" t="s">
        <v>14243</v>
      </c>
      <c r="AZ1132" s="3" t="s">
        <v>76</v>
      </c>
      <c r="BB1132" s="3" t="s">
        <v>14244</v>
      </c>
      <c r="BC1132" s="3" t="s">
        <v>14245</v>
      </c>
      <c r="BD1132" s="3" t="s">
        <v>14246</v>
      </c>
    </row>
    <row r="1133" spans="1:56" ht="52.5" customHeight="1" x14ac:dyDescent="0.25">
      <c r="A1133" s="7" t="s">
        <v>59</v>
      </c>
      <c r="B1133" s="2" t="s">
        <v>14247</v>
      </c>
      <c r="C1133" s="2" t="s">
        <v>14248</v>
      </c>
      <c r="D1133" s="2" t="s">
        <v>14249</v>
      </c>
      <c r="F1133" s="3" t="s">
        <v>59</v>
      </c>
      <c r="G1133" s="3" t="s">
        <v>60</v>
      </c>
      <c r="H1133" s="3" t="s">
        <v>71</v>
      </c>
      <c r="I1133" s="3" t="s">
        <v>59</v>
      </c>
      <c r="J1133" s="3" t="s">
        <v>61</v>
      </c>
      <c r="K1133" s="2" t="s">
        <v>14250</v>
      </c>
      <c r="L1133" s="2" t="s">
        <v>14251</v>
      </c>
      <c r="M1133" s="3" t="s">
        <v>309</v>
      </c>
      <c r="O1133" s="3" t="s">
        <v>65</v>
      </c>
      <c r="P1133" s="3" t="s">
        <v>66</v>
      </c>
      <c r="R1133" s="3" t="s">
        <v>68</v>
      </c>
      <c r="S1133" s="4">
        <v>9</v>
      </c>
      <c r="T1133" s="4">
        <v>9</v>
      </c>
      <c r="U1133" s="5" t="s">
        <v>14252</v>
      </c>
      <c r="V1133" s="5" t="s">
        <v>14252</v>
      </c>
      <c r="W1133" s="5" t="s">
        <v>1638</v>
      </c>
      <c r="X1133" s="5" t="s">
        <v>1638</v>
      </c>
      <c r="Y1133" s="4">
        <v>541</v>
      </c>
      <c r="Z1133" s="4">
        <v>471</v>
      </c>
      <c r="AA1133" s="4">
        <v>473</v>
      </c>
      <c r="AB1133" s="4">
        <v>4</v>
      </c>
      <c r="AC1133" s="4">
        <v>4</v>
      </c>
      <c r="AD1133" s="4">
        <v>16</v>
      </c>
      <c r="AE1133" s="4">
        <v>16</v>
      </c>
      <c r="AF1133" s="4">
        <v>5</v>
      </c>
      <c r="AG1133" s="4">
        <v>5</v>
      </c>
      <c r="AH1133" s="4">
        <v>4</v>
      </c>
      <c r="AI1133" s="4">
        <v>4</v>
      </c>
      <c r="AJ1133" s="4">
        <v>10</v>
      </c>
      <c r="AK1133" s="4">
        <v>10</v>
      </c>
      <c r="AL1133" s="4">
        <v>1</v>
      </c>
      <c r="AM1133" s="4">
        <v>1</v>
      </c>
      <c r="AN1133" s="4">
        <v>0</v>
      </c>
      <c r="AO1133" s="4">
        <v>0</v>
      </c>
      <c r="AP1133" s="3" t="s">
        <v>59</v>
      </c>
      <c r="AQ1133" s="3" t="s">
        <v>71</v>
      </c>
      <c r="AR1133" s="6" t="str">
        <f>HYPERLINK("http://catalog.hathitrust.org/Record/000138766","HathiTrust Record")</f>
        <v>HathiTrust Record</v>
      </c>
      <c r="AS1133" s="6" t="str">
        <f>HYPERLINK("https://creighton-primo.hosted.exlibrisgroup.com/primo-explore/search?tab=default_tab&amp;search_scope=EVERYTHING&amp;vid=01CRU&amp;lang=en_US&amp;offset=0&amp;query=any,contains,991001785009702656","Catalog Record")</f>
        <v>Catalog Record</v>
      </c>
      <c r="AT1133" s="6" t="str">
        <f>HYPERLINK("http://www.worldcat.org/oclc/3631390","WorldCat Record")</f>
        <v>WorldCat Record</v>
      </c>
      <c r="AU1133" s="3" t="s">
        <v>14253</v>
      </c>
      <c r="AV1133" s="3" t="s">
        <v>14254</v>
      </c>
      <c r="AW1133" s="3" t="s">
        <v>14255</v>
      </c>
      <c r="AX1133" s="3" t="s">
        <v>14255</v>
      </c>
      <c r="AY1133" s="3" t="s">
        <v>14256</v>
      </c>
      <c r="AZ1133" s="3" t="s">
        <v>76</v>
      </c>
      <c r="BB1133" s="3" t="s">
        <v>14257</v>
      </c>
      <c r="BC1133" s="3" t="s">
        <v>14258</v>
      </c>
      <c r="BD1133" s="3" t="s">
        <v>14259</v>
      </c>
    </row>
    <row r="1134" spans="1:56" ht="52.5" customHeight="1" x14ac:dyDescent="0.25">
      <c r="A1134" s="7" t="s">
        <v>59</v>
      </c>
      <c r="B1134" s="2" t="s">
        <v>14260</v>
      </c>
      <c r="C1134" s="2" t="s">
        <v>14261</v>
      </c>
      <c r="D1134" s="2" t="s">
        <v>14262</v>
      </c>
      <c r="F1134" s="3" t="s">
        <v>59</v>
      </c>
      <c r="G1134" s="3" t="s">
        <v>60</v>
      </c>
      <c r="H1134" s="3" t="s">
        <v>59</v>
      </c>
      <c r="I1134" s="3" t="s">
        <v>59</v>
      </c>
      <c r="J1134" s="3" t="s">
        <v>61</v>
      </c>
      <c r="K1134" s="2" t="s">
        <v>14263</v>
      </c>
      <c r="L1134" s="2" t="s">
        <v>14264</v>
      </c>
      <c r="M1134" s="3" t="s">
        <v>475</v>
      </c>
      <c r="O1134" s="3" t="s">
        <v>65</v>
      </c>
      <c r="P1134" s="3" t="s">
        <v>66</v>
      </c>
      <c r="R1134" s="3" t="s">
        <v>68</v>
      </c>
      <c r="S1134" s="4">
        <v>7</v>
      </c>
      <c r="T1134" s="4">
        <v>7</v>
      </c>
      <c r="U1134" s="5" t="s">
        <v>14265</v>
      </c>
      <c r="V1134" s="5" t="s">
        <v>14265</v>
      </c>
      <c r="W1134" s="5" t="s">
        <v>12723</v>
      </c>
      <c r="X1134" s="5" t="s">
        <v>12723</v>
      </c>
      <c r="Y1134" s="4">
        <v>321</v>
      </c>
      <c r="Z1134" s="4">
        <v>232</v>
      </c>
      <c r="AA1134" s="4">
        <v>234</v>
      </c>
      <c r="AB1134" s="4">
        <v>3</v>
      </c>
      <c r="AC1134" s="4">
        <v>3</v>
      </c>
      <c r="AD1134" s="4">
        <v>9</v>
      </c>
      <c r="AE1134" s="4">
        <v>9</v>
      </c>
      <c r="AF1134" s="4">
        <v>2</v>
      </c>
      <c r="AG1134" s="4">
        <v>2</v>
      </c>
      <c r="AH1134" s="4">
        <v>2</v>
      </c>
      <c r="AI1134" s="4">
        <v>2</v>
      </c>
      <c r="AJ1134" s="4">
        <v>6</v>
      </c>
      <c r="AK1134" s="4">
        <v>6</v>
      </c>
      <c r="AL1134" s="4">
        <v>2</v>
      </c>
      <c r="AM1134" s="4">
        <v>2</v>
      </c>
      <c r="AN1134" s="4">
        <v>0</v>
      </c>
      <c r="AO1134" s="4">
        <v>0</v>
      </c>
      <c r="AP1134" s="3" t="s">
        <v>59</v>
      </c>
      <c r="AQ1134" s="3" t="s">
        <v>71</v>
      </c>
      <c r="AR1134" s="6" t="str">
        <f>HYPERLINK("http://catalog.hathitrust.org/Record/000285485","HathiTrust Record")</f>
        <v>HathiTrust Record</v>
      </c>
      <c r="AS1134" s="6" t="str">
        <f>HYPERLINK("https://creighton-primo.hosted.exlibrisgroup.com/primo-explore/search?tab=default_tab&amp;search_scope=EVERYTHING&amp;vid=01CRU&amp;lang=en_US&amp;offset=0&amp;query=any,contains,991000339249702656","Catalog Record")</f>
        <v>Catalog Record</v>
      </c>
      <c r="AT1134" s="6" t="str">
        <f>HYPERLINK("http://www.worldcat.org/oclc/10248301","WorldCat Record")</f>
        <v>WorldCat Record</v>
      </c>
      <c r="AU1134" s="3" t="s">
        <v>14266</v>
      </c>
      <c r="AV1134" s="3" t="s">
        <v>14267</v>
      </c>
      <c r="AW1134" s="3" t="s">
        <v>14268</v>
      </c>
      <c r="AX1134" s="3" t="s">
        <v>14268</v>
      </c>
      <c r="AY1134" s="3" t="s">
        <v>14269</v>
      </c>
      <c r="AZ1134" s="3" t="s">
        <v>76</v>
      </c>
      <c r="BB1134" s="3" t="s">
        <v>14270</v>
      </c>
      <c r="BC1134" s="3" t="s">
        <v>14271</v>
      </c>
      <c r="BD1134" s="3" t="s">
        <v>14272</v>
      </c>
    </row>
    <row r="1135" spans="1:56" ht="52.5" customHeight="1" x14ac:dyDescent="0.25">
      <c r="A1135" s="7" t="s">
        <v>59</v>
      </c>
      <c r="B1135" s="2" t="s">
        <v>14273</v>
      </c>
      <c r="C1135" s="2" t="s">
        <v>14274</v>
      </c>
      <c r="D1135" s="2" t="s">
        <v>14275</v>
      </c>
      <c r="F1135" s="3" t="s">
        <v>59</v>
      </c>
      <c r="G1135" s="3" t="s">
        <v>60</v>
      </c>
      <c r="H1135" s="3" t="s">
        <v>59</v>
      </c>
      <c r="I1135" s="3" t="s">
        <v>59</v>
      </c>
      <c r="J1135" s="3" t="s">
        <v>61</v>
      </c>
      <c r="K1135" s="2" t="s">
        <v>14276</v>
      </c>
      <c r="L1135" s="2" t="s">
        <v>14277</v>
      </c>
      <c r="M1135" s="3" t="s">
        <v>350</v>
      </c>
      <c r="O1135" s="3" t="s">
        <v>65</v>
      </c>
      <c r="P1135" s="3" t="s">
        <v>66</v>
      </c>
      <c r="Q1135" s="2" t="s">
        <v>14278</v>
      </c>
      <c r="R1135" s="3" t="s">
        <v>68</v>
      </c>
      <c r="S1135" s="4">
        <v>7</v>
      </c>
      <c r="T1135" s="4">
        <v>7</v>
      </c>
      <c r="U1135" s="5" t="s">
        <v>12306</v>
      </c>
      <c r="V1135" s="5" t="s">
        <v>12306</v>
      </c>
      <c r="W1135" s="5" t="s">
        <v>12432</v>
      </c>
      <c r="X1135" s="5" t="s">
        <v>12432</v>
      </c>
      <c r="Y1135" s="4">
        <v>521</v>
      </c>
      <c r="Z1135" s="4">
        <v>381</v>
      </c>
      <c r="AA1135" s="4">
        <v>411</v>
      </c>
      <c r="AB1135" s="4">
        <v>1</v>
      </c>
      <c r="AC1135" s="4">
        <v>1</v>
      </c>
      <c r="AD1135" s="4">
        <v>18</v>
      </c>
      <c r="AE1135" s="4">
        <v>20</v>
      </c>
      <c r="AF1135" s="4">
        <v>7</v>
      </c>
      <c r="AG1135" s="4">
        <v>9</v>
      </c>
      <c r="AH1135" s="4">
        <v>7</v>
      </c>
      <c r="AI1135" s="4">
        <v>7</v>
      </c>
      <c r="AJ1135" s="4">
        <v>12</v>
      </c>
      <c r="AK1135" s="4">
        <v>13</v>
      </c>
      <c r="AL1135" s="4">
        <v>0</v>
      </c>
      <c r="AM1135" s="4">
        <v>0</v>
      </c>
      <c r="AN1135" s="4">
        <v>0</v>
      </c>
      <c r="AO1135" s="4">
        <v>0</v>
      </c>
      <c r="AP1135" s="3" t="s">
        <v>59</v>
      </c>
      <c r="AQ1135" s="3" t="s">
        <v>71</v>
      </c>
      <c r="AR1135" s="6" t="str">
        <f>HYPERLINK("http://catalog.hathitrust.org/Record/000083029","HathiTrust Record")</f>
        <v>HathiTrust Record</v>
      </c>
      <c r="AS1135" s="6" t="str">
        <f>HYPERLINK("https://creighton-primo.hosted.exlibrisgroup.com/primo-explore/search?tab=default_tab&amp;search_scope=EVERYTHING&amp;vid=01CRU&amp;lang=en_US&amp;offset=0&amp;query=any,contains,991004145369702656","Catalog Record")</f>
        <v>Catalog Record</v>
      </c>
      <c r="AT1135" s="6" t="str">
        <f>HYPERLINK("http://www.worldcat.org/oclc/2508299","WorldCat Record")</f>
        <v>WorldCat Record</v>
      </c>
      <c r="AU1135" s="3" t="s">
        <v>14279</v>
      </c>
      <c r="AV1135" s="3" t="s">
        <v>14280</v>
      </c>
      <c r="AW1135" s="3" t="s">
        <v>14281</v>
      </c>
      <c r="AX1135" s="3" t="s">
        <v>14281</v>
      </c>
      <c r="AY1135" s="3" t="s">
        <v>14282</v>
      </c>
      <c r="AZ1135" s="3" t="s">
        <v>76</v>
      </c>
      <c r="BB1135" s="3" t="s">
        <v>14283</v>
      </c>
      <c r="BC1135" s="3" t="s">
        <v>14284</v>
      </c>
      <c r="BD1135" s="3" t="s">
        <v>14285</v>
      </c>
    </row>
    <row r="1136" spans="1:56" ht="52.5" customHeight="1" x14ac:dyDescent="0.25">
      <c r="A1136" s="7" t="s">
        <v>59</v>
      </c>
      <c r="B1136" s="2" t="s">
        <v>14286</v>
      </c>
      <c r="C1136" s="2" t="s">
        <v>14287</v>
      </c>
      <c r="D1136" s="2" t="s">
        <v>14288</v>
      </c>
      <c r="F1136" s="3" t="s">
        <v>59</v>
      </c>
      <c r="G1136" s="3" t="s">
        <v>60</v>
      </c>
      <c r="H1136" s="3" t="s">
        <v>59</v>
      </c>
      <c r="I1136" s="3" t="s">
        <v>59</v>
      </c>
      <c r="J1136" s="3" t="s">
        <v>61</v>
      </c>
      <c r="K1136" s="2" t="s">
        <v>3767</v>
      </c>
      <c r="L1136" s="2" t="s">
        <v>14289</v>
      </c>
      <c r="M1136" s="3" t="s">
        <v>514</v>
      </c>
      <c r="O1136" s="3" t="s">
        <v>65</v>
      </c>
      <c r="P1136" s="3" t="s">
        <v>1262</v>
      </c>
      <c r="R1136" s="3" t="s">
        <v>68</v>
      </c>
      <c r="S1136" s="4">
        <v>2</v>
      </c>
      <c r="T1136" s="4">
        <v>2</v>
      </c>
      <c r="U1136" s="5" t="s">
        <v>14252</v>
      </c>
      <c r="V1136" s="5" t="s">
        <v>14252</v>
      </c>
      <c r="W1136" s="5" t="s">
        <v>13189</v>
      </c>
      <c r="X1136" s="5" t="s">
        <v>13189</v>
      </c>
      <c r="Y1136" s="4">
        <v>105</v>
      </c>
      <c r="Z1136" s="4">
        <v>55</v>
      </c>
      <c r="AA1136" s="4">
        <v>441</v>
      </c>
      <c r="AB1136" s="4">
        <v>1</v>
      </c>
      <c r="AC1136" s="4">
        <v>2</v>
      </c>
      <c r="AD1136" s="4">
        <v>1</v>
      </c>
      <c r="AE1136" s="4">
        <v>19</v>
      </c>
      <c r="AF1136" s="4">
        <v>0</v>
      </c>
      <c r="AG1136" s="4">
        <v>7</v>
      </c>
      <c r="AH1136" s="4">
        <v>0</v>
      </c>
      <c r="AI1136" s="4">
        <v>4</v>
      </c>
      <c r="AJ1136" s="4">
        <v>1</v>
      </c>
      <c r="AK1136" s="4">
        <v>11</v>
      </c>
      <c r="AL1136" s="4">
        <v>0</v>
      </c>
      <c r="AM1136" s="4">
        <v>1</v>
      </c>
      <c r="AN1136" s="4">
        <v>0</v>
      </c>
      <c r="AO1136" s="4">
        <v>0</v>
      </c>
      <c r="AP1136" s="3" t="s">
        <v>59</v>
      </c>
      <c r="AQ1136" s="3" t="s">
        <v>71</v>
      </c>
      <c r="AR1136" s="6" t="str">
        <f>HYPERLINK("http://catalog.hathitrust.org/Record/007108677","HathiTrust Record")</f>
        <v>HathiTrust Record</v>
      </c>
      <c r="AS1136" s="6" t="str">
        <f>HYPERLINK("https://creighton-primo.hosted.exlibrisgroup.com/primo-explore/search?tab=default_tab&amp;search_scope=EVERYTHING&amp;vid=01CRU&amp;lang=en_US&amp;offset=0&amp;query=any,contains,991005439639702656","Catalog Record")</f>
        <v>Catalog Record</v>
      </c>
      <c r="AT1136" s="6" t="str">
        <f>HYPERLINK("http://www.worldcat.org/oclc/7170","WorldCat Record")</f>
        <v>WorldCat Record</v>
      </c>
      <c r="AU1136" s="3" t="s">
        <v>14290</v>
      </c>
      <c r="AV1136" s="3" t="s">
        <v>14291</v>
      </c>
      <c r="AW1136" s="3" t="s">
        <v>14292</v>
      </c>
      <c r="AX1136" s="3" t="s">
        <v>14292</v>
      </c>
      <c r="AY1136" s="3" t="s">
        <v>14293</v>
      </c>
      <c r="AZ1136" s="3" t="s">
        <v>76</v>
      </c>
      <c r="BC1136" s="3" t="s">
        <v>14294</v>
      </c>
      <c r="BD1136" s="3" t="s">
        <v>14295</v>
      </c>
    </row>
    <row r="1137" spans="1:56" ht="52.5" customHeight="1" x14ac:dyDescent="0.25">
      <c r="A1137" s="7" t="s">
        <v>59</v>
      </c>
      <c r="B1137" s="2" t="s">
        <v>14296</v>
      </c>
      <c r="C1137" s="2" t="s">
        <v>14297</v>
      </c>
      <c r="D1137" s="2" t="s">
        <v>14298</v>
      </c>
      <c r="F1137" s="3" t="s">
        <v>59</v>
      </c>
      <c r="G1137" s="3" t="s">
        <v>60</v>
      </c>
      <c r="H1137" s="3" t="s">
        <v>59</v>
      </c>
      <c r="I1137" s="3" t="s">
        <v>59</v>
      </c>
      <c r="J1137" s="3" t="s">
        <v>61</v>
      </c>
      <c r="K1137" s="2" t="s">
        <v>14299</v>
      </c>
      <c r="L1137" s="2" t="s">
        <v>14300</v>
      </c>
      <c r="M1137" s="3" t="s">
        <v>365</v>
      </c>
      <c r="O1137" s="3" t="s">
        <v>65</v>
      </c>
      <c r="P1137" s="3" t="s">
        <v>1262</v>
      </c>
      <c r="R1137" s="3" t="s">
        <v>68</v>
      </c>
      <c r="S1137" s="4">
        <v>12</v>
      </c>
      <c r="T1137" s="4">
        <v>12</v>
      </c>
      <c r="U1137" s="5" t="s">
        <v>14301</v>
      </c>
      <c r="V1137" s="5" t="s">
        <v>14301</v>
      </c>
      <c r="W1137" s="5" t="s">
        <v>14302</v>
      </c>
      <c r="X1137" s="5" t="s">
        <v>14302</v>
      </c>
      <c r="Y1137" s="4">
        <v>322</v>
      </c>
      <c r="Z1137" s="4">
        <v>215</v>
      </c>
      <c r="AA1137" s="4">
        <v>215</v>
      </c>
      <c r="AB1137" s="4">
        <v>3</v>
      </c>
      <c r="AC1137" s="4">
        <v>3</v>
      </c>
      <c r="AD1137" s="4">
        <v>10</v>
      </c>
      <c r="AE1137" s="4">
        <v>10</v>
      </c>
      <c r="AF1137" s="4">
        <v>3</v>
      </c>
      <c r="AG1137" s="4">
        <v>3</v>
      </c>
      <c r="AH1137" s="4">
        <v>1</v>
      </c>
      <c r="AI1137" s="4">
        <v>1</v>
      </c>
      <c r="AJ1137" s="4">
        <v>6</v>
      </c>
      <c r="AK1137" s="4">
        <v>6</v>
      </c>
      <c r="AL1137" s="4">
        <v>2</v>
      </c>
      <c r="AM1137" s="4">
        <v>2</v>
      </c>
      <c r="AN1137" s="4">
        <v>0</v>
      </c>
      <c r="AO1137" s="4">
        <v>0</v>
      </c>
      <c r="AP1137" s="3" t="s">
        <v>59</v>
      </c>
      <c r="AQ1137" s="3" t="s">
        <v>59</v>
      </c>
      <c r="AS1137" s="6" t="str">
        <f>HYPERLINK("https://creighton-primo.hosted.exlibrisgroup.com/primo-explore/search?tab=default_tab&amp;search_scope=EVERYTHING&amp;vid=01CRU&amp;lang=en_US&amp;offset=0&amp;query=any,contains,991001665079702656","Catalog Record")</f>
        <v>Catalog Record</v>
      </c>
      <c r="AT1137" s="6" t="str">
        <f>HYPERLINK("http://www.worldcat.org/oclc/21212582","WorldCat Record")</f>
        <v>WorldCat Record</v>
      </c>
      <c r="AU1137" s="3" t="s">
        <v>14303</v>
      </c>
      <c r="AV1137" s="3" t="s">
        <v>14304</v>
      </c>
      <c r="AW1137" s="3" t="s">
        <v>14305</v>
      </c>
      <c r="AX1137" s="3" t="s">
        <v>14305</v>
      </c>
      <c r="AY1137" s="3" t="s">
        <v>14306</v>
      </c>
      <c r="AZ1137" s="3" t="s">
        <v>76</v>
      </c>
      <c r="BB1137" s="3" t="s">
        <v>14307</v>
      </c>
      <c r="BC1137" s="3" t="s">
        <v>14308</v>
      </c>
      <c r="BD1137" s="3" t="s">
        <v>14309</v>
      </c>
    </row>
    <row r="1138" spans="1:56" ht="52.5" customHeight="1" x14ac:dyDescent="0.25">
      <c r="A1138" s="7" t="s">
        <v>59</v>
      </c>
      <c r="B1138" s="2" t="s">
        <v>14310</v>
      </c>
      <c r="C1138" s="2" t="s">
        <v>14311</v>
      </c>
      <c r="D1138" s="2" t="s">
        <v>14312</v>
      </c>
      <c r="F1138" s="3" t="s">
        <v>59</v>
      </c>
      <c r="G1138" s="3" t="s">
        <v>60</v>
      </c>
      <c r="H1138" s="3" t="s">
        <v>59</v>
      </c>
      <c r="I1138" s="3" t="s">
        <v>59</v>
      </c>
      <c r="J1138" s="3" t="s">
        <v>61</v>
      </c>
      <c r="K1138" s="2" t="s">
        <v>14313</v>
      </c>
      <c r="L1138" s="2" t="s">
        <v>7289</v>
      </c>
      <c r="M1138" s="3" t="s">
        <v>405</v>
      </c>
      <c r="O1138" s="3" t="s">
        <v>65</v>
      </c>
      <c r="P1138" s="3" t="s">
        <v>1262</v>
      </c>
      <c r="R1138" s="3" t="s">
        <v>68</v>
      </c>
      <c r="S1138" s="4">
        <v>10</v>
      </c>
      <c r="T1138" s="4">
        <v>10</v>
      </c>
      <c r="U1138" s="5" t="s">
        <v>6068</v>
      </c>
      <c r="V1138" s="5" t="s">
        <v>6068</v>
      </c>
      <c r="W1138" s="5" t="s">
        <v>14314</v>
      </c>
      <c r="X1138" s="5" t="s">
        <v>14314</v>
      </c>
      <c r="Y1138" s="4">
        <v>847</v>
      </c>
      <c r="Z1138" s="4">
        <v>641</v>
      </c>
      <c r="AA1138" s="4">
        <v>653</v>
      </c>
      <c r="AB1138" s="4">
        <v>4</v>
      </c>
      <c r="AC1138" s="4">
        <v>4</v>
      </c>
      <c r="AD1138" s="4">
        <v>29</v>
      </c>
      <c r="AE1138" s="4">
        <v>30</v>
      </c>
      <c r="AF1138" s="4">
        <v>13</v>
      </c>
      <c r="AG1138" s="4">
        <v>13</v>
      </c>
      <c r="AH1138" s="4">
        <v>5</v>
      </c>
      <c r="AI1138" s="4">
        <v>6</v>
      </c>
      <c r="AJ1138" s="4">
        <v>17</v>
      </c>
      <c r="AK1138" s="4">
        <v>18</v>
      </c>
      <c r="AL1138" s="4">
        <v>3</v>
      </c>
      <c r="AM1138" s="4">
        <v>3</v>
      </c>
      <c r="AN1138" s="4">
        <v>0</v>
      </c>
      <c r="AO1138" s="4">
        <v>0</v>
      </c>
      <c r="AP1138" s="3" t="s">
        <v>59</v>
      </c>
      <c r="AQ1138" s="3" t="s">
        <v>59</v>
      </c>
      <c r="AS1138" s="6" t="str">
        <f>HYPERLINK("https://creighton-primo.hosted.exlibrisgroup.com/primo-explore/search?tab=default_tab&amp;search_scope=EVERYTHING&amp;vid=01CRU&amp;lang=en_US&amp;offset=0&amp;query=any,contains,991001057309702656","Catalog Record")</f>
        <v>Catalog Record</v>
      </c>
      <c r="AT1138" s="6" t="str">
        <f>HYPERLINK("http://www.worldcat.org/oclc/15696959","WorldCat Record")</f>
        <v>WorldCat Record</v>
      </c>
      <c r="AU1138" s="3" t="s">
        <v>14315</v>
      </c>
      <c r="AV1138" s="3" t="s">
        <v>14316</v>
      </c>
      <c r="AW1138" s="3" t="s">
        <v>14317</v>
      </c>
      <c r="AX1138" s="3" t="s">
        <v>14317</v>
      </c>
      <c r="AY1138" s="3" t="s">
        <v>14318</v>
      </c>
      <c r="AZ1138" s="3" t="s">
        <v>76</v>
      </c>
      <c r="BB1138" s="3" t="s">
        <v>14319</v>
      </c>
      <c r="BC1138" s="3" t="s">
        <v>14320</v>
      </c>
      <c r="BD1138" s="3" t="s">
        <v>14321</v>
      </c>
    </row>
    <row r="1139" spans="1:56" ht="52.5" customHeight="1" x14ac:dyDescent="0.25">
      <c r="A1139" s="7" t="s">
        <v>59</v>
      </c>
      <c r="B1139" s="2" t="s">
        <v>14322</v>
      </c>
      <c r="C1139" s="2" t="s">
        <v>14323</v>
      </c>
      <c r="D1139" s="2" t="s">
        <v>14324</v>
      </c>
      <c r="F1139" s="3" t="s">
        <v>59</v>
      </c>
      <c r="G1139" s="3" t="s">
        <v>60</v>
      </c>
      <c r="H1139" s="3" t="s">
        <v>59</v>
      </c>
      <c r="I1139" s="3" t="s">
        <v>59</v>
      </c>
      <c r="J1139" s="3" t="s">
        <v>61</v>
      </c>
      <c r="L1139" s="2" t="s">
        <v>12860</v>
      </c>
      <c r="M1139" s="3" t="s">
        <v>943</v>
      </c>
      <c r="O1139" s="3" t="s">
        <v>65</v>
      </c>
      <c r="P1139" s="3" t="s">
        <v>699</v>
      </c>
      <c r="R1139" s="3" t="s">
        <v>68</v>
      </c>
      <c r="S1139" s="4">
        <v>2</v>
      </c>
      <c r="T1139" s="4">
        <v>2</v>
      </c>
      <c r="U1139" s="5" t="s">
        <v>14325</v>
      </c>
      <c r="V1139" s="5" t="s">
        <v>14325</v>
      </c>
      <c r="W1139" s="5" t="s">
        <v>12015</v>
      </c>
      <c r="X1139" s="5" t="s">
        <v>12015</v>
      </c>
      <c r="Y1139" s="4">
        <v>364</v>
      </c>
      <c r="Z1139" s="4">
        <v>284</v>
      </c>
      <c r="AA1139" s="4">
        <v>307</v>
      </c>
      <c r="AB1139" s="4">
        <v>3</v>
      </c>
      <c r="AC1139" s="4">
        <v>3</v>
      </c>
      <c r="AD1139" s="4">
        <v>19</v>
      </c>
      <c r="AE1139" s="4">
        <v>19</v>
      </c>
      <c r="AF1139" s="4">
        <v>6</v>
      </c>
      <c r="AG1139" s="4">
        <v>6</v>
      </c>
      <c r="AH1139" s="4">
        <v>5</v>
      </c>
      <c r="AI1139" s="4">
        <v>5</v>
      </c>
      <c r="AJ1139" s="4">
        <v>13</v>
      </c>
      <c r="AK1139" s="4">
        <v>13</v>
      </c>
      <c r="AL1139" s="4">
        <v>2</v>
      </c>
      <c r="AM1139" s="4">
        <v>2</v>
      </c>
      <c r="AN1139" s="4">
        <v>0</v>
      </c>
      <c r="AO1139" s="4">
        <v>0</v>
      </c>
      <c r="AP1139" s="3" t="s">
        <v>59</v>
      </c>
      <c r="AQ1139" s="3" t="s">
        <v>71</v>
      </c>
      <c r="AR1139" s="6" t="str">
        <f>HYPERLINK("http://catalog.hathitrust.org/Record/002503431","HathiTrust Record")</f>
        <v>HathiTrust Record</v>
      </c>
      <c r="AS1139" s="6" t="str">
        <f>HYPERLINK("https://creighton-primo.hosted.exlibrisgroup.com/primo-explore/search?tab=default_tab&amp;search_scope=EVERYTHING&amp;vid=01CRU&amp;lang=en_US&amp;offset=0&amp;query=any,contains,991001871809702656","Catalog Record")</f>
        <v>Catalog Record</v>
      </c>
      <c r="AT1139" s="6" t="str">
        <f>HYPERLINK("http://www.worldcat.org/oclc/23648743","WorldCat Record")</f>
        <v>WorldCat Record</v>
      </c>
      <c r="AU1139" s="3" t="s">
        <v>14326</v>
      </c>
      <c r="AV1139" s="3" t="s">
        <v>14327</v>
      </c>
      <c r="AW1139" s="3" t="s">
        <v>14328</v>
      </c>
      <c r="AX1139" s="3" t="s">
        <v>14328</v>
      </c>
      <c r="AY1139" s="3" t="s">
        <v>14329</v>
      </c>
      <c r="AZ1139" s="3" t="s">
        <v>76</v>
      </c>
      <c r="BB1139" s="3" t="s">
        <v>14330</v>
      </c>
      <c r="BC1139" s="3" t="s">
        <v>14331</v>
      </c>
      <c r="BD1139" s="3" t="s">
        <v>14332</v>
      </c>
    </row>
    <row r="1140" spans="1:56" ht="52.5" customHeight="1" x14ac:dyDescent="0.25">
      <c r="A1140" s="7" t="s">
        <v>59</v>
      </c>
      <c r="B1140" s="2" t="s">
        <v>14333</v>
      </c>
      <c r="C1140" s="2" t="s">
        <v>14334</v>
      </c>
      <c r="D1140" s="2" t="s">
        <v>11968</v>
      </c>
      <c r="F1140" s="3" t="s">
        <v>59</v>
      </c>
      <c r="G1140" s="3" t="s">
        <v>60</v>
      </c>
      <c r="H1140" s="3" t="s">
        <v>59</v>
      </c>
      <c r="I1140" s="3" t="s">
        <v>59</v>
      </c>
      <c r="J1140" s="3" t="s">
        <v>61</v>
      </c>
      <c r="K1140" s="2" t="s">
        <v>14335</v>
      </c>
      <c r="L1140" s="2" t="s">
        <v>14336</v>
      </c>
      <c r="M1140" s="3" t="s">
        <v>254</v>
      </c>
      <c r="O1140" s="3" t="s">
        <v>65</v>
      </c>
      <c r="P1140" s="3" t="s">
        <v>420</v>
      </c>
      <c r="Q1140" s="2" t="s">
        <v>14337</v>
      </c>
      <c r="R1140" s="3" t="s">
        <v>68</v>
      </c>
      <c r="S1140" s="4">
        <v>12</v>
      </c>
      <c r="T1140" s="4">
        <v>12</v>
      </c>
      <c r="U1140" s="5" t="s">
        <v>5661</v>
      </c>
      <c r="V1140" s="5" t="s">
        <v>5661</v>
      </c>
      <c r="W1140" s="5" t="s">
        <v>8328</v>
      </c>
      <c r="X1140" s="5" t="s">
        <v>8328</v>
      </c>
      <c r="Y1140" s="4">
        <v>342</v>
      </c>
      <c r="Z1140" s="4">
        <v>315</v>
      </c>
      <c r="AA1140" s="4">
        <v>322</v>
      </c>
      <c r="AB1140" s="4">
        <v>2</v>
      </c>
      <c r="AC1140" s="4">
        <v>2</v>
      </c>
      <c r="AD1140" s="4">
        <v>11</v>
      </c>
      <c r="AE1140" s="4">
        <v>11</v>
      </c>
      <c r="AF1140" s="4">
        <v>4</v>
      </c>
      <c r="AG1140" s="4">
        <v>4</v>
      </c>
      <c r="AH1140" s="4">
        <v>3</v>
      </c>
      <c r="AI1140" s="4">
        <v>3</v>
      </c>
      <c r="AJ1140" s="4">
        <v>6</v>
      </c>
      <c r="AK1140" s="4">
        <v>6</v>
      </c>
      <c r="AL1140" s="4">
        <v>1</v>
      </c>
      <c r="AM1140" s="4">
        <v>1</v>
      </c>
      <c r="AN1140" s="4">
        <v>0</v>
      </c>
      <c r="AO1140" s="4">
        <v>0</v>
      </c>
      <c r="AP1140" s="3" t="s">
        <v>59</v>
      </c>
      <c r="AQ1140" s="3" t="s">
        <v>71</v>
      </c>
      <c r="AR1140" s="6" t="str">
        <f>HYPERLINK("http://catalog.hathitrust.org/Record/007412198","HathiTrust Record")</f>
        <v>HathiTrust Record</v>
      </c>
      <c r="AS1140" s="6" t="str">
        <f>HYPERLINK("https://creighton-primo.hosted.exlibrisgroup.com/primo-explore/search?tab=default_tab&amp;search_scope=EVERYTHING&amp;vid=01CRU&amp;lang=en_US&amp;offset=0&amp;query=any,contains,991000107649702656","Catalog Record")</f>
        <v>Catalog Record</v>
      </c>
      <c r="AT1140" s="6" t="str">
        <f>HYPERLINK("http://www.worldcat.org/oclc/47023","WorldCat Record")</f>
        <v>WorldCat Record</v>
      </c>
      <c r="AU1140" s="3" t="s">
        <v>14338</v>
      </c>
      <c r="AV1140" s="3" t="s">
        <v>14339</v>
      </c>
      <c r="AW1140" s="3" t="s">
        <v>14340</v>
      </c>
      <c r="AX1140" s="3" t="s">
        <v>14340</v>
      </c>
      <c r="AY1140" s="3" t="s">
        <v>14341</v>
      </c>
      <c r="AZ1140" s="3" t="s">
        <v>76</v>
      </c>
      <c r="BC1140" s="3" t="s">
        <v>14342</v>
      </c>
      <c r="BD1140" s="3" t="s">
        <v>14343</v>
      </c>
    </row>
    <row r="1141" spans="1:56" ht="52.5" customHeight="1" x14ac:dyDescent="0.25">
      <c r="A1141" s="7" t="s">
        <v>59</v>
      </c>
      <c r="B1141" s="2" t="s">
        <v>14344</v>
      </c>
      <c r="C1141" s="2" t="s">
        <v>14345</v>
      </c>
      <c r="D1141" s="2" t="s">
        <v>14346</v>
      </c>
      <c r="F1141" s="3" t="s">
        <v>59</v>
      </c>
      <c r="G1141" s="3" t="s">
        <v>60</v>
      </c>
      <c r="H1141" s="3" t="s">
        <v>59</v>
      </c>
      <c r="I1141" s="3" t="s">
        <v>59</v>
      </c>
      <c r="J1141" s="3" t="s">
        <v>61</v>
      </c>
      <c r="K1141" s="2" t="s">
        <v>14347</v>
      </c>
      <c r="L1141" s="2" t="s">
        <v>14348</v>
      </c>
      <c r="M1141" s="3" t="s">
        <v>4228</v>
      </c>
      <c r="O1141" s="3" t="s">
        <v>65</v>
      </c>
      <c r="P1141" s="3" t="s">
        <v>771</v>
      </c>
      <c r="R1141" s="3" t="s">
        <v>68</v>
      </c>
      <c r="S1141" s="4">
        <v>4</v>
      </c>
      <c r="T1141" s="4">
        <v>4</v>
      </c>
      <c r="U1141" s="5" t="s">
        <v>7791</v>
      </c>
      <c r="V1141" s="5" t="s">
        <v>7791</v>
      </c>
      <c r="W1141" s="5" t="s">
        <v>14349</v>
      </c>
      <c r="X1141" s="5" t="s">
        <v>14349</v>
      </c>
      <c r="Y1141" s="4">
        <v>290</v>
      </c>
      <c r="Z1141" s="4">
        <v>251</v>
      </c>
      <c r="AA1141" s="4">
        <v>262</v>
      </c>
      <c r="AB1141" s="4">
        <v>4</v>
      </c>
      <c r="AC1141" s="4">
        <v>4</v>
      </c>
      <c r="AD1141" s="4">
        <v>17</v>
      </c>
      <c r="AE1141" s="4">
        <v>17</v>
      </c>
      <c r="AF1141" s="4">
        <v>6</v>
      </c>
      <c r="AG1141" s="4">
        <v>6</v>
      </c>
      <c r="AH1141" s="4">
        <v>4</v>
      </c>
      <c r="AI1141" s="4">
        <v>4</v>
      </c>
      <c r="AJ1141" s="4">
        <v>10</v>
      </c>
      <c r="AK1141" s="4">
        <v>10</v>
      </c>
      <c r="AL1141" s="4">
        <v>3</v>
      </c>
      <c r="AM1141" s="4">
        <v>3</v>
      </c>
      <c r="AN1141" s="4">
        <v>0</v>
      </c>
      <c r="AO1141" s="4">
        <v>0</v>
      </c>
      <c r="AP1141" s="3" t="s">
        <v>59</v>
      </c>
      <c r="AQ1141" s="3" t="s">
        <v>71</v>
      </c>
      <c r="AR1141" s="6" t="str">
        <f>HYPERLINK("http://catalog.hathitrust.org/Record/002543728","HathiTrust Record")</f>
        <v>HathiTrust Record</v>
      </c>
      <c r="AS1141" s="6" t="str">
        <f>HYPERLINK("https://creighton-primo.hosted.exlibrisgroup.com/primo-explore/search?tab=default_tab&amp;search_scope=EVERYTHING&amp;vid=01CRU&amp;lang=en_US&amp;offset=0&amp;query=any,contains,991001977419702656","Catalog Record")</f>
        <v>Catalog Record</v>
      </c>
      <c r="AT1141" s="6" t="str">
        <f>HYPERLINK("http://www.worldcat.org/oclc/25091273","WorldCat Record")</f>
        <v>WorldCat Record</v>
      </c>
      <c r="AU1141" s="3" t="s">
        <v>14350</v>
      </c>
      <c r="AV1141" s="3" t="s">
        <v>14351</v>
      </c>
      <c r="AW1141" s="3" t="s">
        <v>14352</v>
      </c>
      <c r="AX1141" s="3" t="s">
        <v>14352</v>
      </c>
      <c r="AY1141" s="3" t="s">
        <v>14353</v>
      </c>
      <c r="AZ1141" s="3" t="s">
        <v>76</v>
      </c>
      <c r="BB1141" s="3" t="s">
        <v>14354</v>
      </c>
      <c r="BC1141" s="3" t="s">
        <v>14355</v>
      </c>
      <c r="BD1141" s="3" t="s">
        <v>14356</v>
      </c>
    </row>
    <row r="1142" spans="1:56" ht="52.5" customHeight="1" x14ac:dyDescent="0.25">
      <c r="A1142" s="7" t="s">
        <v>59</v>
      </c>
      <c r="B1142" s="2" t="s">
        <v>14357</v>
      </c>
      <c r="C1142" s="2" t="s">
        <v>14358</v>
      </c>
      <c r="D1142" s="2" t="s">
        <v>14359</v>
      </c>
      <c r="F1142" s="3" t="s">
        <v>59</v>
      </c>
      <c r="G1142" s="3" t="s">
        <v>60</v>
      </c>
      <c r="H1142" s="3" t="s">
        <v>59</v>
      </c>
      <c r="I1142" s="3" t="s">
        <v>59</v>
      </c>
      <c r="J1142" s="3" t="s">
        <v>61</v>
      </c>
      <c r="K1142" s="2" t="s">
        <v>14360</v>
      </c>
      <c r="L1142" s="2" t="s">
        <v>14361</v>
      </c>
      <c r="M1142" s="3" t="s">
        <v>254</v>
      </c>
      <c r="N1142" s="2" t="s">
        <v>14362</v>
      </c>
      <c r="O1142" s="3" t="s">
        <v>65</v>
      </c>
      <c r="P1142" s="3" t="s">
        <v>66</v>
      </c>
      <c r="R1142" s="3" t="s">
        <v>68</v>
      </c>
      <c r="S1142" s="4">
        <v>2</v>
      </c>
      <c r="T1142" s="4">
        <v>2</v>
      </c>
      <c r="U1142" s="5" t="s">
        <v>13237</v>
      </c>
      <c r="V1142" s="5" t="s">
        <v>13237</v>
      </c>
      <c r="W1142" s="5" t="s">
        <v>13934</v>
      </c>
      <c r="X1142" s="5" t="s">
        <v>13934</v>
      </c>
      <c r="Y1142" s="4">
        <v>148</v>
      </c>
      <c r="Z1142" s="4">
        <v>137</v>
      </c>
      <c r="AA1142" s="4">
        <v>271</v>
      </c>
      <c r="AB1142" s="4">
        <v>1</v>
      </c>
      <c r="AC1142" s="4">
        <v>3</v>
      </c>
      <c r="AD1142" s="4">
        <v>3</v>
      </c>
      <c r="AE1142" s="4">
        <v>8</v>
      </c>
      <c r="AF1142" s="4">
        <v>2</v>
      </c>
      <c r="AG1142" s="4">
        <v>2</v>
      </c>
      <c r="AH1142" s="4">
        <v>0</v>
      </c>
      <c r="AI1142" s="4">
        <v>1</v>
      </c>
      <c r="AJ1142" s="4">
        <v>1</v>
      </c>
      <c r="AK1142" s="4">
        <v>4</v>
      </c>
      <c r="AL1142" s="4">
        <v>0</v>
      </c>
      <c r="AM1142" s="4">
        <v>2</v>
      </c>
      <c r="AN1142" s="4">
        <v>0</v>
      </c>
      <c r="AO1142" s="4">
        <v>0</v>
      </c>
      <c r="AP1142" s="3" t="s">
        <v>59</v>
      </c>
      <c r="AQ1142" s="3" t="s">
        <v>59</v>
      </c>
      <c r="AS1142" s="6" t="str">
        <f>HYPERLINK("https://creighton-primo.hosted.exlibrisgroup.com/primo-explore/search?tab=default_tab&amp;search_scope=EVERYTHING&amp;vid=01CRU&amp;lang=en_US&amp;offset=0&amp;query=any,contains,991000329209702656","Catalog Record")</f>
        <v>Catalog Record</v>
      </c>
      <c r="AT1142" s="6" t="str">
        <f>HYPERLINK("http://www.worldcat.org/oclc/69960","WorldCat Record")</f>
        <v>WorldCat Record</v>
      </c>
      <c r="AU1142" s="3" t="s">
        <v>14363</v>
      </c>
      <c r="AV1142" s="3" t="s">
        <v>14364</v>
      </c>
      <c r="AW1142" s="3" t="s">
        <v>14365</v>
      </c>
      <c r="AX1142" s="3" t="s">
        <v>14365</v>
      </c>
      <c r="AY1142" s="3" t="s">
        <v>14366</v>
      </c>
      <c r="AZ1142" s="3" t="s">
        <v>76</v>
      </c>
      <c r="BB1142" s="3" t="s">
        <v>14367</v>
      </c>
      <c r="BC1142" s="3" t="s">
        <v>14368</v>
      </c>
      <c r="BD1142" s="3" t="s">
        <v>14369</v>
      </c>
    </row>
    <row r="1143" spans="1:56" ht="52.5" customHeight="1" x14ac:dyDescent="0.25">
      <c r="A1143" s="7" t="s">
        <v>59</v>
      </c>
      <c r="B1143" s="2" t="s">
        <v>14370</v>
      </c>
      <c r="C1143" s="2" t="s">
        <v>14371</v>
      </c>
      <c r="D1143" s="2" t="s">
        <v>14372</v>
      </c>
      <c r="F1143" s="3" t="s">
        <v>59</v>
      </c>
      <c r="G1143" s="3" t="s">
        <v>60</v>
      </c>
      <c r="H1143" s="3" t="s">
        <v>59</v>
      </c>
      <c r="I1143" s="3" t="s">
        <v>59</v>
      </c>
      <c r="J1143" s="3" t="s">
        <v>61</v>
      </c>
      <c r="K1143" s="2" t="s">
        <v>209</v>
      </c>
      <c r="L1143" s="2" t="s">
        <v>14373</v>
      </c>
      <c r="M1143" s="3" t="s">
        <v>1015</v>
      </c>
      <c r="O1143" s="3" t="s">
        <v>65</v>
      </c>
      <c r="P1143" s="3" t="s">
        <v>14374</v>
      </c>
      <c r="R1143" s="3" t="s">
        <v>68</v>
      </c>
      <c r="S1143" s="4">
        <v>3</v>
      </c>
      <c r="T1143" s="4">
        <v>3</v>
      </c>
      <c r="U1143" s="5" t="s">
        <v>14375</v>
      </c>
      <c r="V1143" s="5" t="s">
        <v>14375</v>
      </c>
      <c r="W1143" s="5" t="s">
        <v>13189</v>
      </c>
      <c r="X1143" s="5" t="s">
        <v>13189</v>
      </c>
      <c r="Y1143" s="4">
        <v>658</v>
      </c>
      <c r="Z1143" s="4">
        <v>581</v>
      </c>
      <c r="AA1143" s="4">
        <v>587</v>
      </c>
      <c r="AB1143" s="4">
        <v>7</v>
      </c>
      <c r="AC1143" s="4">
        <v>7</v>
      </c>
      <c r="AD1143" s="4">
        <v>26</v>
      </c>
      <c r="AE1143" s="4">
        <v>26</v>
      </c>
      <c r="AF1143" s="4">
        <v>9</v>
      </c>
      <c r="AG1143" s="4">
        <v>9</v>
      </c>
      <c r="AH1143" s="4">
        <v>4</v>
      </c>
      <c r="AI1143" s="4">
        <v>4</v>
      </c>
      <c r="AJ1143" s="4">
        <v>13</v>
      </c>
      <c r="AK1143" s="4">
        <v>13</v>
      </c>
      <c r="AL1143" s="4">
        <v>6</v>
      </c>
      <c r="AM1143" s="4">
        <v>6</v>
      </c>
      <c r="AN1143" s="4">
        <v>0</v>
      </c>
      <c r="AO1143" s="4">
        <v>0</v>
      </c>
      <c r="AP1143" s="3" t="s">
        <v>59</v>
      </c>
      <c r="AQ1143" s="3" t="s">
        <v>59</v>
      </c>
      <c r="AS1143" s="6" t="str">
        <f>HYPERLINK("https://creighton-primo.hosted.exlibrisgroup.com/primo-explore/search?tab=default_tab&amp;search_scope=EVERYTHING&amp;vid=01CRU&amp;lang=en_US&amp;offset=0&amp;query=any,contains,991005253779702656","Catalog Record")</f>
        <v>Catalog Record</v>
      </c>
      <c r="AT1143" s="6" t="str">
        <f>HYPERLINK("http://www.worldcat.org/oclc/170107","WorldCat Record")</f>
        <v>WorldCat Record</v>
      </c>
      <c r="AU1143" s="3" t="s">
        <v>14376</v>
      </c>
      <c r="AV1143" s="3" t="s">
        <v>14377</v>
      </c>
      <c r="AW1143" s="3" t="s">
        <v>14378</v>
      </c>
      <c r="AX1143" s="3" t="s">
        <v>14378</v>
      </c>
      <c r="AY1143" s="3" t="s">
        <v>14379</v>
      </c>
      <c r="AZ1143" s="3" t="s">
        <v>76</v>
      </c>
      <c r="BC1143" s="3" t="s">
        <v>14380</v>
      </c>
      <c r="BD1143" s="3" t="s">
        <v>14381</v>
      </c>
    </row>
    <row r="1144" spans="1:56" ht="52.5" customHeight="1" x14ac:dyDescent="0.25">
      <c r="A1144" s="7" t="s">
        <v>59</v>
      </c>
      <c r="B1144" s="2" t="s">
        <v>14382</v>
      </c>
      <c r="C1144" s="2" t="s">
        <v>14383</v>
      </c>
      <c r="D1144" s="2" t="s">
        <v>14384</v>
      </c>
      <c r="F1144" s="3" t="s">
        <v>59</v>
      </c>
      <c r="G1144" s="3" t="s">
        <v>60</v>
      </c>
      <c r="H1144" s="3" t="s">
        <v>59</v>
      </c>
      <c r="I1144" s="3" t="s">
        <v>59</v>
      </c>
      <c r="J1144" s="3" t="s">
        <v>61</v>
      </c>
      <c r="K1144" s="2" t="s">
        <v>14385</v>
      </c>
      <c r="L1144" s="2" t="s">
        <v>14386</v>
      </c>
      <c r="M1144" s="3" t="s">
        <v>616</v>
      </c>
      <c r="O1144" s="3" t="s">
        <v>65</v>
      </c>
      <c r="P1144" s="3" t="s">
        <v>66</v>
      </c>
      <c r="Q1144" s="2" t="s">
        <v>14387</v>
      </c>
      <c r="R1144" s="3" t="s">
        <v>68</v>
      </c>
      <c r="S1144" s="4">
        <v>10</v>
      </c>
      <c r="T1144" s="4">
        <v>10</v>
      </c>
      <c r="U1144" s="5" t="s">
        <v>7843</v>
      </c>
      <c r="V1144" s="5" t="s">
        <v>7843</v>
      </c>
      <c r="W1144" s="5" t="s">
        <v>8064</v>
      </c>
      <c r="X1144" s="5" t="s">
        <v>8064</v>
      </c>
      <c r="Y1144" s="4">
        <v>626</v>
      </c>
      <c r="Z1144" s="4">
        <v>562</v>
      </c>
      <c r="AA1144" s="4">
        <v>669</v>
      </c>
      <c r="AB1144" s="4">
        <v>4</v>
      </c>
      <c r="AC1144" s="4">
        <v>5</v>
      </c>
      <c r="AD1144" s="4">
        <v>27</v>
      </c>
      <c r="AE1144" s="4">
        <v>29</v>
      </c>
      <c r="AF1144" s="4">
        <v>10</v>
      </c>
      <c r="AG1144" s="4">
        <v>10</v>
      </c>
      <c r="AH1144" s="4">
        <v>6</v>
      </c>
      <c r="AI1144" s="4">
        <v>7</v>
      </c>
      <c r="AJ1144" s="4">
        <v>13</v>
      </c>
      <c r="AK1144" s="4">
        <v>14</v>
      </c>
      <c r="AL1144" s="4">
        <v>3</v>
      </c>
      <c r="AM1144" s="4">
        <v>4</v>
      </c>
      <c r="AN1144" s="4">
        <v>1</v>
      </c>
      <c r="AO1144" s="4">
        <v>1</v>
      </c>
      <c r="AP1144" s="3" t="s">
        <v>59</v>
      </c>
      <c r="AQ1144" s="3" t="s">
        <v>59</v>
      </c>
      <c r="AS1144" s="6" t="str">
        <f>HYPERLINK("https://creighton-primo.hosted.exlibrisgroup.com/primo-explore/search?tab=default_tab&amp;search_scope=EVERYTHING&amp;vid=01CRU&amp;lang=en_US&amp;offset=0&amp;query=any,contains,991001186879702656","Catalog Record")</f>
        <v>Catalog Record</v>
      </c>
      <c r="AT1144" s="6" t="str">
        <f>HYPERLINK("http://www.worldcat.org/oclc/17210473","WorldCat Record")</f>
        <v>WorldCat Record</v>
      </c>
      <c r="AU1144" s="3" t="s">
        <v>14388</v>
      </c>
      <c r="AV1144" s="3" t="s">
        <v>14389</v>
      </c>
      <c r="AW1144" s="3" t="s">
        <v>14390</v>
      </c>
      <c r="AX1144" s="3" t="s">
        <v>14390</v>
      </c>
      <c r="AY1144" s="3" t="s">
        <v>14391</v>
      </c>
      <c r="AZ1144" s="3" t="s">
        <v>76</v>
      </c>
      <c r="BB1144" s="3" t="s">
        <v>14392</v>
      </c>
      <c r="BC1144" s="3" t="s">
        <v>14393</v>
      </c>
      <c r="BD1144" s="3" t="s">
        <v>14394</v>
      </c>
    </row>
    <row r="1145" spans="1:56" ht="52.5" customHeight="1" x14ac:dyDescent="0.25">
      <c r="A1145" s="7" t="s">
        <v>59</v>
      </c>
      <c r="B1145" s="2" t="s">
        <v>14395</v>
      </c>
      <c r="C1145" s="2" t="s">
        <v>14396</v>
      </c>
      <c r="D1145" s="2" t="s">
        <v>14397</v>
      </c>
      <c r="F1145" s="3" t="s">
        <v>59</v>
      </c>
      <c r="G1145" s="3" t="s">
        <v>60</v>
      </c>
      <c r="H1145" s="3" t="s">
        <v>59</v>
      </c>
      <c r="I1145" s="3" t="s">
        <v>59</v>
      </c>
      <c r="J1145" s="3" t="s">
        <v>61</v>
      </c>
      <c r="K1145" s="2" t="s">
        <v>14398</v>
      </c>
      <c r="L1145" s="2" t="s">
        <v>14399</v>
      </c>
      <c r="M1145" s="3" t="s">
        <v>1467</v>
      </c>
      <c r="N1145" s="2" t="s">
        <v>14400</v>
      </c>
      <c r="O1145" s="3" t="s">
        <v>65</v>
      </c>
      <c r="P1145" s="3" t="s">
        <v>283</v>
      </c>
      <c r="Q1145" s="2" t="s">
        <v>14401</v>
      </c>
      <c r="R1145" s="3" t="s">
        <v>68</v>
      </c>
      <c r="S1145" s="4">
        <v>3</v>
      </c>
      <c r="T1145" s="4">
        <v>3</v>
      </c>
      <c r="U1145" s="5" t="s">
        <v>5015</v>
      </c>
      <c r="V1145" s="5" t="s">
        <v>5015</v>
      </c>
      <c r="W1145" s="5" t="s">
        <v>2073</v>
      </c>
      <c r="X1145" s="5" t="s">
        <v>2073</v>
      </c>
      <c r="Y1145" s="4">
        <v>898</v>
      </c>
      <c r="Z1145" s="4">
        <v>831</v>
      </c>
      <c r="AA1145" s="4">
        <v>1176</v>
      </c>
      <c r="AB1145" s="4">
        <v>6</v>
      </c>
      <c r="AC1145" s="4">
        <v>7</v>
      </c>
      <c r="AD1145" s="4">
        <v>31</v>
      </c>
      <c r="AE1145" s="4">
        <v>40</v>
      </c>
      <c r="AF1145" s="4">
        <v>13</v>
      </c>
      <c r="AG1145" s="4">
        <v>17</v>
      </c>
      <c r="AH1145" s="4">
        <v>6</v>
      </c>
      <c r="AI1145" s="4">
        <v>8</v>
      </c>
      <c r="AJ1145" s="4">
        <v>14</v>
      </c>
      <c r="AK1145" s="4">
        <v>18</v>
      </c>
      <c r="AL1145" s="4">
        <v>5</v>
      </c>
      <c r="AM1145" s="4">
        <v>6</v>
      </c>
      <c r="AN1145" s="4">
        <v>0</v>
      </c>
      <c r="AO1145" s="4">
        <v>0</v>
      </c>
      <c r="AP1145" s="3" t="s">
        <v>59</v>
      </c>
      <c r="AQ1145" s="3" t="s">
        <v>59</v>
      </c>
      <c r="AS1145" s="6" t="str">
        <f>HYPERLINK("https://creighton-primo.hosted.exlibrisgroup.com/primo-explore/search?tab=default_tab&amp;search_scope=EVERYTHING&amp;vid=01CRU&amp;lang=en_US&amp;offset=0&amp;query=any,contains,991001187359702656","Catalog Record")</f>
        <v>Catalog Record</v>
      </c>
      <c r="AT1145" s="6" t="str">
        <f>HYPERLINK("http://www.worldcat.org/oclc/190911","WorldCat Record")</f>
        <v>WorldCat Record</v>
      </c>
      <c r="AU1145" s="3" t="s">
        <v>14402</v>
      </c>
      <c r="AV1145" s="3" t="s">
        <v>14403</v>
      </c>
      <c r="AW1145" s="3" t="s">
        <v>14404</v>
      </c>
      <c r="AX1145" s="3" t="s">
        <v>14404</v>
      </c>
      <c r="AY1145" s="3" t="s">
        <v>14405</v>
      </c>
      <c r="AZ1145" s="3" t="s">
        <v>76</v>
      </c>
      <c r="BC1145" s="3" t="s">
        <v>14406</v>
      </c>
      <c r="BD1145" s="3" t="s">
        <v>14407</v>
      </c>
    </row>
    <row r="1146" spans="1:56" ht="52.5" customHeight="1" x14ac:dyDescent="0.25">
      <c r="A1146" s="7" t="s">
        <v>59</v>
      </c>
      <c r="B1146" s="2" t="s">
        <v>14408</v>
      </c>
      <c r="C1146" s="2" t="s">
        <v>14409</v>
      </c>
      <c r="D1146" s="2" t="s">
        <v>14410</v>
      </c>
      <c r="F1146" s="3" t="s">
        <v>59</v>
      </c>
      <c r="G1146" s="3" t="s">
        <v>60</v>
      </c>
      <c r="H1146" s="3" t="s">
        <v>59</v>
      </c>
      <c r="I1146" s="3" t="s">
        <v>59</v>
      </c>
      <c r="J1146" s="3" t="s">
        <v>61</v>
      </c>
      <c r="K1146" s="2" t="s">
        <v>14411</v>
      </c>
      <c r="L1146" s="2" t="s">
        <v>14412</v>
      </c>
      <c r="M1146" s="3" t="s">
        <v>514</v>
      </c>
      <c r="O1146" s="3" t="s">
        <v>65</v>
      </c>
      <c r="P1146" s="3" t="s">
        <v>66</v>
      </c>
      <c r="Q1146" s="2" t="s">
        <v>1602</v>
      </c>
      <c r="R1146" s="3" t="s">
        <v>68</v>
      </c>
      <c r="S1146" s="4">
        <v>1</v>
      </c>
      <c r="T1146" s="4">
        <v>1</v>
      </c>
      <c r="U1146" s="5" t="s">
        <v>5861</v>
      </c>
      <c r="V1146" s="5" t="s">
        <v>5861</v>
      </c>
      <c r="W1146" s="5" t="s">
        <v>7421</v>
      </c>
      <c r="X1146" s="5" t="s">
        <v>7421</v>
      </c>
      <c r="Y1146" s="4">
        <v>581</v>
      </c>
      <c r="Z1146" s="4">
        <v>483</v>
      </c>
      <c r="AA1146" s="4">
        <v>491</v>
      </c>
      <c r="AB1146" s="4">
        <v>5</v>
      </c>
      <c r="AC1146" s="4">
        <v>5</v>
      </c>
      <c r="AD1146" s="4">
        <v>17</v>
      </c>
      <c r="AE1146" s="4">
        <v>17</v>
      </c>
      <c r="AF1146" s="4">
        <v>3</v>
      </c>
      <c r="AG1146" s="4">
        <v>3</v>
      </c>
      <c r="AH1146" s="4">
        <v>5</v>
      </c>
      <c r="AI1146" s="4">
        <v>5</v>
      </c>
      <c r="AJ1146" s="4">
        <v>9</v>
      </c>
      <c r="AK1146" s="4">
        <v>9</v>
      </c>
      <c r="AL1146" s="4">
        <v>4</v>
      </c>
      <c r="AM1146" s="4">
        <v>4</v>
      </c>
      <c r="AN1146" s="4">
        <v>0</v>
      </c>
      <c r="AO1146" s="4">
        <v>0</v>
      </c>
      <c r="AP1146" s="3" t="s">
        <v>59</v>
      </c>
      <c r="AQ1146" s="3" t="s">
        <v>71</v>
      </c>
      <c r="AR1146" s="6" t="str">
        <f>HYPERLINK("http://catalog.hathitrust.org/Record/000472510","HathiTrust Record")</f>
        <v>HathiTrust Record</v>
      </c>
      <c r="AS1146" s="6" t="str">
        <f>HYPERLINK("https://creighton-primo.hosted.exlibrisgroup.com/primo-explore/search?tab=default_tab&amp;search_scope=EVERYTHING&amp;vid=01CRU&amp;lang=en_US&amp;offset=0&amp;query=any,contains,991001369549702656","Catalog Record")</f>
        <v>Catalog Record</v>
      </c>
      <c r="AT1146" s="6" t="str">
        <f>HYPERLINK("http://www.worldcat.org/oclc/223078","WorldCat Record")</f>
        <v>WorldCat Record</v>
      </c>
      <c r="AU1146" s="3" t="s">
        <v>14413</v>
      </c>
      <c r="AV1146" s="3" t="s">
        <v>14414</v>
      </c>
      <c r="AW1146" s="3" t="s">
        <v>14415</v>
      </c>
      <c r="AX1146" s="3" t="s">
        <v>14415</v>
      </c>
      <c r="AY1146" s="3" t="s">
        <v>14416</v>
      </c>
      <c r="AZ1146" s="3" t="s">
        <v>76</v>
      </c>
      <c r="BC1146" s="3" t="s">
        <v>14417</v>
      </c>
      <c r="BD1146" s="3" t="s">
        <v>14418</v>
      </c>
    </row>
    <row r="1147" spans="1:56" ht="52.5" customHeight="1" x14ac:dyDescent="0.25">
      <c r="A1147" s="7" t="s">
        <v>59</v>
      </c>
      <c r="B1147" s="2" t="s">
        <v>14419</v>
      </c>
      <c r="C1147" s="2" t="s">
        <v>14420</v>
      </c>
      <c r="D1147" s="2" t="s">
        <v>14421</v>
      </c>
      <c r="F1147" s="3" t="s">
        <v>59</v>
      </c>
      <c r="G1147" s="3" t="s">
        <v>60</v>
      </c>
      <c r="H1147" s="3" t="s">
        <v>59</v>
      </c>
      <c r="I1147" s="3" t="s">
        <v>59</v>
      </c>
      <c r="J1147" s="3" t="s">
        <v>61</v>
      </c>
      <c r="L1147" s="2" t="s">
        <v>14422</v>
      </c>
      <c r="M1147" s="3" t="s">
        <v>365</v>
      </c>
      <c r="O1147" s="3" t="s">
        <v>65</v>
      </c>
      <c r="P1147" s="3" t="s">
        <v>66</v>
      </c>
      <c r="R1147" s="3" t="s">
        <v>68</v>
      </c>
      <c r="S1147" s="4">
        <v>6</v>
      </c>
      <c r="T1147" s="4">
        <v>6</v>
      </c>
      <c r="U1147" s="5" t="s">
        <v>14423</v>
      </c>
      <c r="V1147" s="5" t="s">
        <v>14423</v>
      </c>
      <c r="W1147" s="5" t="s">
        <v>645</v>
      </c>
      <c r="X1147" s="5" t="s">
        <v>645</v>
      </c>
      <c r="Y1147" s="4">
        <v>594</v>
      </c>
      <c r="Z1147" s="4">
        <v>500</v>
      </c>
      <c r="AA1147" s="4">
        <v>502</v>
      </c>
      <c r="AB1147" s="4">
        <v>6</v>
      </c>
      <c r="AC1147" s="4">
        <v>6</v>
      </c>
      <c r="AD1147" s="4">
        <v>31</v>
      </c>
      <c r="AE1147" s="4">
        <v>31</v>
      </c>
      <c r="AF1147" s="4">
        <v>11</v>
      </c>
      <c r="AG1147" s="4">
        <v>11</v>
      </c>
      <c r="AH1147" s="4">
        <v>6</v>
      </c>
      <c r="AI1147" s="4">
        <v>6</v>
      </c>
      <c r="AJ1147" s="4">
        <v>17</v>
      </c>
      <c r="AK1147" s="4">
        <v>17</v>
      </c>
      <c r="AL1147" s="4">
        <v>5</v>
      </c>
      <c r="AM1147" s="4">
        <v>5</v>
      </c>
      <c r="AN1147" s="4">
        <v>0</v>
      </c>
      <c r="AO1147" s="4">
        <v>0</v>
      </c>
      <c r="AP1147" s="3" t="s">
        <v>59</v>
      </c>
      <c r="AQ1147" s="3" t="s">
        <v>71</v>
      </c>
      <c r="AR1147" s="6" t="str">
        <f>HYPERLINK("http://catalog.hathitrust.org/Record/001541511","HathiTrust Record")</f>
        <v>HathiTrust Record</v>
      </c>
      <c r="AS1147" s="6" t="str">
        <f>HYPERLINK("https://creighton-primo.hosted.exlibrisgroup.com/primo-explore/search?tab=default_tab&amp;search_scope=EVERYTHING&amp;vid=01CRU&amp;lang=en_US&amp;offset=0&amp;query=any,contains,991001434299702656","Catalog Record")</f>
        <v>Catalog Record</v>
      </c>
      <c r="AT1147" s="6" t="str">
        <f>HYPERLINK("http://www.worldcat.org/oclc/19126160","WorldCat Record")</f>
        <v>WorldCat Record</v>
      </c>
      <c r="AU1147" s="3" t="s">
        <v>14424</v>
      </c>
      <c r="AV1147" s="3" t="s">
        <v>14425</v>
      </c>
      <c r="AW1147" s="3" t="s">
        <v>14426</v>
      </c>
      <c r="AX1147" s="3" t="s">
        <v>14426</v>
      </c>
      <c r="AY1147" s="3" t="s">
        <v>14427</v>
      </c>
      <c r="AZ1147" s="3" t="s">
        <v>76</v>
      </c>
      <c r="BB1147" s="3" t="s">
        <v>14428</v>
      </c>
      <c r="BC1147" s="3" t="s">
        <v>14429</v>
      </c>
      <c r="BD1147" s="3" t="s">
        <v>14430</v>
      </c>
    </row>
    <row r="1148" spans="1:56" ht="52.5" customHeight="1" x14ac:dyDescent="0.25">
      <c r="A1148" s="7" t="s">
        <v>59</v>
      </c>
      <c r="B1148" s="2" t="s">
        <v>14431</v>
      </c>
      <c r="C1148" s="2" t="s">
        <v>14432</v>
      </c>
      <c r="D1148" s="2" t="s">
        <v>14433</v>
      </c>
      <c r="F1148" s="3" t="s">
        <v>59</v>
      </c>
      <c r="G1148" s="3" t="s">
        <v>60</v>
      </c>
      <c r="H1148" s="3" t="s">
        <v>59</v>
      </c>
      <c r="I1148" s="3" t="s">
        <v>59</v>
      </c>
      <c r="J1148" s="3" t="s">
        <v>61</v>
      </c>
      <c r="L1148" s="2" t="s">
        <v>14434</v>
      </c>
      <c r="M1148" s="3" t="s">
        <v>549</v>
      </c>
      <c r="O1148" s="3" t="s">
        <v>65</v>
      </c>
      <c r="P1148" s="3" t="s">
        <v>420</v>
      </c>
      <c r="Q1148" s="2" t="s">
        <v>14435</v>
      </c>
      <c r="R1148" s="3" t="s">
        <v>68</v>
      </c>
      <c r="S1148" s="4">
        <v>4</v>
      </c>
      <c r="T1148" s="4">
        <v>4</v>
      </c>
      <c r="U1148" s="5" t="s">
        <v>1122</v>
      </c>
      <c r="V1148" s="5" t="s">
        <v>1122</v>
      </c>
      <c r="W1148" s="5" t="s">
        <v>477</v>
      </c>
      <c r="X1148" s="5" t="s">
        <v>477</v>
      </c>
      <c r="Y1148" s="4">
        <v>268</v>
      </c>
      <c r="Z1148" s="4">
        <v>226</v>
      </c>
      <c r="AA1148" s="4">
        <v>233</v>
      </c>
      <c r="AB1148" s="4">
        <v>2</v>
      </c>
      <c r="AC1148" s="4">
        <v>2</v>
      </c>
      <c r="AD1148" s="4">
        <v>15</v>
      </c>
      <c r="AE1148" s="4">
        <v>15</v>
      </c>
      <c r="AF1148" s="4">
        <v>5</v>
      </c>
      <c r="AG1148" s="4">
        <v>5</v>
      </c>
      <c r="AH1148" s="4">
        <v>3</v>
      </c>
      <c r="AI1148" s="4">
        <v>3</v>
      </c>
      <c r="AJ1148" s="4">
        <v>9</v>
      </c>
      <c r="AK1148" s="4">
        <v>9</v>
      </c>
      <c r="AL1148" s="4">
        <v>1</v>
      </c>
      <c r="AM1148" s="4">
        <v>1</v>
      </c>
      <c r="AN1148" s="4">
        <v>1</v>
      </c>
      <c r="AO1148" s="4">
        <v>1</v>
      </c>
      <c r="AP1148" s="3" t="s">
        <v>59</v>
      </c>
      <c r="AQ1148" s="3" t="s">
        <v>71</v>
      </c>
      <c r="AR1148" s="6" t="str">
        <f>HYPERLINK("http://catalog.hathitrust.org/Record/000633863","HathiTrust Record")</f>
        <v>HathiTrust Record</v>
      </c>
      <c r="AS1148" s="6" t="str">
        <f>HYPERLINK("https://creighton-primo.hosted.exlibrisgroup.com/primo-explore/search?tab=default_tab&amp;search_scope=EVERYTHING&amp;vid=01CRU&amp;lang=en_US&amp;offset=0&amp;query=any,contains,991000924109702656","Catalog Record")</f>
        <v>Catalog Record</v>
      </c>
      <c r="AT1148" s="6" t="str">
        <f>HYPERLINK("http://www.worldcat.org/oclc/14223790","WorldCat Record")</f>
        <v>WorldCat Record</v>
      </c>
      <c r="AU1148" s="3" t="s">
        <v>14436</v>
      </c>
      <c r="AV1148" s="3" t="s">
        <v>14437</v>
      </c>
      <c r="AW1148" s="3" t="s">
        <v>14438</v>
      </c>
      <c r="AX1148" s="3" t="s">
        <v>14438</v>
      </c>
      <c r="AY1148" s="3" t="s">
        <v>14439</v>
      </c>
      <c r="AZ1148" s="3" t="s">
        <v>76</v>
      </c>
      <c r="BB1148" s="3" t="s">
        <v>14440</v>
      </c>
      <c r="BC1148" s="3" t="s">
        <v>14441</v>
      </c>
      <c r="BD1148" s="3" t="s">
        <v>14442</v>
      </c>
    </row>
    <row r="1149" spans="1:56" ht="52.5" customHeight="1" x14ac:dyDescent="0.25">
      <c r="A1149" s="7" t="s">
        <v>59</v>
      </c>
      <c r="B1149" s="2" t="s">
        <v>14443</v>
      </c>
      <c r="C1149" s="2" t="s">
        <v>14444</v>
      </c>
      <c r="D1149" s="2" t="s">
        <v>14445</v>
      </c>
      <c r="F1149" s="3" t="s">
        <v>59</v>
      </c>
      <c r="G1149" s="3" t="s">
        <v>60</v>
      </c>
      <c r="H1149" s="3" t="s">
        <v>59</v>
      </c>
      <c r="I1149" s="3" t="s">
        <v>59</v>
      </c>
      <c r="J1149" s="3" t="s">
        <v>61</v>
      </c>
      <c r="K1149" s="2" t="s">
        <v>12416</v>
      </c>
      <c r="L1149" s="2" t="s">
        <v>14446</v>
      </c>
      <c r="M1149" s="3" t="s">
        <v>684</v>
      </c>
      <c r="O1149" s="3" t="s">
        <v>65</v>
      </c>
      <c r="P1149" s="3" t="s">
        <v>283</v>
      </c>
      <c r="R1149" s="3" t="s">
        <v>68</v>
      </c>
      <c r="S1149" s="4">
        <v>2</v>
      </c>
      <c r="T1149" s="4">
        <v>2</v>
      </c>
      <c r="U1149" s="5" t="s">
        <v>14447</v>
      </c>
      <c r="V1149" s="5" t="s">
        <v>14447</v>
      </c>
      <c r="W1149" s="5" t="s">
        <v>1871</v>
      </c>
      <c r="X1149" s="5" t="s">
        <v>1871</v>
      </c>
      <c r="Y1149" s="4">
        <v>868</v>
      </c>
      <c r="Z1149" s="4">
        <v>706</v>
      </c>
      <c r="AA1149" s="4">
        <v>715</v>
      </c>
      <c r="AB1149" s="4">
        <v>4</v>
      </c>
      <c r="AC1149" s="4">
        <v>4</v>
      </c>
      <c r="AD1149" s="4">
        <v>20</v>
      </c>
      <c r="AE1149" s="4">
        <v>20</v>
      </c>
      <c r="AF1149" s="4">
        <v>6</v>
      </c>
      <c r="AG1149" s="4">
        <v>6</v>
      </c>
      <c r="AH1149" s="4">
        <v>4</v>
      </c>
      <c r="AI1149" s="4">
        <v>4</v>
      </c>
      <c r="AJ1149" s="4">
        <v>12</v>
      </c>
      <c r="AK1149" s="4">
        <v>12</v>
      </c>
      <c r="AL1149" s="4">
        <v>3</v>
      </c>
      <c r="AM1149" s="4">
        <v>3</v>
      </c>
      <c r="AN1149" s="4">
        <v>0</v>
      </c>
      <c r="AO1149" s="4">
        <v>0</v>
      </c>
      <c r="AP1149" s="3" t="s">
        <v>59</v>
      </c>
      <c r="AQ1149" s="3" t="s">
        <v>71</v>
      </c>
      <c r="AR1149" s="6" t="str">
        <f>HYPERLINK("http://catalog.hathitrust.org/Record/000180790","HathiTrust Record")</f>
        <v>HathiTrust Record</v>
      </c>
      <c r="AS1149" s="6" t="str">
        <f>HYPERLINK("https://creighton-primo.hosted.exlibrisgroup.com/primo-explore/search?tab=default_tab&amp;search_scope=EVERYTHING&amp;vid=01CRU&amp;lang=en_US&amp;offset=0&amp;query=any,contains,991005112719702656","Catalog Record")</f>
        <v>Catalog Record</v>
      </c>
      <c r="AT1149" s="6" t="str">
        <f>HYPERLINK("http://www.worldcat.org/oclc/7459614","WorldCat Record")</f>
        <v>WorldCat Record</v>
      </c>
      <c r="AU1149" s="3" t="s">
        <v>14448</v>
      </c>
      <c r="AV1149" s="3" t="s">
        <v>14449</v>
      </c>
      <c r="AW1149" s="3" t="s">
        <v>14450</v>
      </c>
      <c r="AX1149" s="3" t="s">
        <v>14450</v>
      </c>
      <c r="AY1149" s="3" t="s">
        <v>14451</v>
      </c>
      <c r="AZ1149" s="3" t="s">
        <v>76</v>
      </c>
      <c r="BB1149" s="3" t="s">
        <v>14452</v>
      </c>
      <c r="BC1149" s="3" t="s">
        <v>14453</v>
      </c>
      <c r="BD1149" s="3" t="s">
        <v>14454</v>
      </c>
    </row>
    <row r="1150" spans="1:56" ht="52.5" customHeight="1" x14ac:dyDescent="0.25">
      <c r="A1150" s="7" t="s">
        <v>59</v>
      </c>
      <c r="B1150" s="2" t="s">
        <v>14455</v>
      </c>
      <c r="C1150" s="2" t="s">
        <v>14456</v>
      </c>
      <c r="D1150" s="2" t="s">
        <v>14457</v>
      </c>
      <c r="F1150" s="3" t="s">
        <v>59</v>
      </c>
      <c r="G1150" s="3" t="s">
        <v>60</v>
      </c>
      <c r="H1150" s="3" t="s">
        <v>59</v>
      </c>
      <c r="I1150" s="3" t="s">
        <v>59</v>
      </c>
      <c r="J1150" s="3" t="s">
        <v>61</v>
      </c>
      <c r="L1150" s="2" t="s">
        <v>14458</v>
      </c>
      <c r="M1150" s="3" t="s">
        <v>164</v>
      </c>
      <c r="O1150" s="3" t="s">
        <v>65</v>
      </c>
      <c r="P1150" s="3" t="s">
        <v>14459</v>
      </c>
      <c r="R1150" s="3" t="s">
        <v>68</v>
      </c>
      <c r="S1150" s="4">
        <v>8</v>
      </c>
      <c r="T1150" s="4">
        <v>8</v>
      </c>
      <c r="U1150" s="5" t="s">
        <v>4608</v>
      </c>
      <c r="V1150" s="5" t="s">
        <v>4608</v>
      </c>
      <c r="W1150" s="5" t="s">
        <v>11320</v>
      </c>
      <c r="X1150" s="5" t="s">
        <v>11320</v>
      </c>
      <c r="Y1150" s="4">
        <v>287</v>
      </c>
      <c r="Z1150" s="4">
        <v>239</v>
      </c>
      <c r="AA1150" s="4">
        <v>239</v>
      </c>
      <c r="AB1150" s="4">
        <v>3</v>
      </c>
      <c r="AC1150" s="4">
        <v>3</v>
      </c>
      <c r="AD1150" s="4">
        <v>5</v>
      </c>
      <c r="AE1150" s="4">
        <v>5</v>
      </c>
      <c r="AF1150" s="4">
        <v>1</v>
      </c>
      <c r="AG1150" s="4">
        <v>1</v>
      </c>
      <c r="AH1150" s="4">
        <v>2</v>
      </c>
      <c r="AI1150" s="4">
        <v>2</v>
      </c>
      <c r="AJ1150" s="4">
        <v>1</v>
      </c>
      <c r="AK1150" s="4">
        <v>1</v>
      </c>
      <c r="AL1150" s="4">
        <v>2</v>
      </c>
      <c r="AM1150" s="4">
        <v>2</v>
      </c>
      <c r="AN1150" s="4">
        <v>0</v>
      </c>
      <c r="AO1150" s="4">
        <v>0</v>
      </c>
      <c r="AP1150" s="3" t="s">
        <v>59</v>
      </c>
      <c r="AQ1150" s="3" t="s">
        <v>59</v>
      </c>
      <c r="AS1150" s="6" t="str">
        <f>HYPERLINK("https://creighton-primo.hosted.exlibrisgroup.com/primo-explore/search?tab=default_tab&amp;search_scope=EVERYTHING&amp;vid=01CRU&amp;lang=en_US&amp;offset=0&amp;query=any,contains,991004943869702656","Catalog Record")</f>
        <v>Catalog Record</v>
      </c>
      <c r="AT1150" s="6" t="str">
        <f>HYPERLINK("http://www.worldcat.org/oclc/6196712","WorldCat Record")</f>
        <v>WorldCat Record</v>
      </c>
      <c r="AU1150" s="3" t="s">
        <v>14460</v>
      </c>
      <c r="AV1150" s="3" t="s">
        <v>14461</v>
      </c>
      <c r="AW1150" s="3" t="s">
        <v>14462</v>
      </c>
      <c r="AX1150" s="3" t="s">
        <v>14462</v>
      </c>
      <c r="AY1150" s="3" t="s">
        <v>14463</v>
      </c>
      <c r="AZ1150" s="3" t="s">
        <v>76</v>
      </c>
      <c r="BB1150" s="3" t="s">
        <v>14464</v>
      </c>
      <c r="BC1150" s="3" t="s">
        <v>14465</v>
      </c>
      <c r="BD1150" s="3" t="s">
        <v>14466</v>
      </c>
    </row>
    <row r="1151" spans="1:56" ht="52.5" customHeight="1" x14ac:dyDescent="0.25">
      <c r="A1151" s="7" t="s">
        <v>59</v>
      </c>
      <c r="B1151" s="2" t="s">
        <v>14467</v>
      </c>
      <c r="C1151" s="2" t="s">
        <v>14468</v>
      </c>
      <c r="D1151" s="2" t="s">
        <v>14469</v>
      </c>
      <c r="F1151" s="3" t="s">
        <v>59</v>
      </c>
      <c r="G1151" s="3" t="s">
        <v>60</v>
      </c>
      <c r="H1151" s="3" t="s">
        <v>59</v>
      </c>
      <c r="I1151" s="3" t="s">
        <v>71</v>
      </c>
      <c r="J1151" s="3" t="s">
        <v>61</v>
      </c>
      <c r="K1151" s="2" t="s">
        <v>14470</v>
      </c>
      <c r="L1151" s="2" t="s">
        <v>14471</v>
      </c>
      <c r="M1151" s="3" t="s">
        <v>756</v>
      </c>
      <c r="O1151" s="3" t="s">
        <v>65</v>
      </c>
      <c r="P1151" s="3" t="s">
        <v>420</v>
      </c>
      <c r="Q1151" s="2" t="s">
        <v>14472</v>
      </c>
      <c r="R1151" s="3" t="s">
        <v>68</v>
      </c>
      <c r="S1151" s="4">
        <v>12</v>
      </c>
      <c r="T1151" s="4">
        <v>12</v>
      </c>
      <c r="U1151" s="5" t="s">
        <v>14473</v>
      </c>
      <c r="V1151" s="5" t="s">
        <v>14473</v>
      </c>
      <c r="W1151" s="5" t="s">
        <v>12219</v>
      </c>
      <c r="X1151" s="5" t="s">
        <v>12219</v>
      </c>
      <c r="Y1151" s="4">
        <v>1252</v>
      </c>
      <c r="Z1151" s="4">
        <v>1042</v>
      </c>
      <c r="AA1151" s="4">
        <v>1117</v>
      </c>
      <c r="AB1151" s="4">
        <v>9</v>
      </c>
      <c r="AC1151" s="4">
        <v>11</v>
      </c>
      <c r="AD1151" s="4">
        <v>45</v>
      </c>
      <c r="AE1151" s="4">
        <v>50</v>
      </c>
      <c r="AF1151" s="4">
        <v>18</v>
      </c>
      <c r="AG1151" s="4">
        <v>22</v>
      </c>
      <c r="AH1151" s="4">
        <v>8</v>
      </c>
      <c r="AI1151" s="4">
        <v>8</v>
      </c>
      <c r="AJ1151" s="4">
        <v>22</v>
      </c>
      <c r="AK1151" s="4">
        <v>23</v>
      </c>
      <c r="AL1151" s="4">
        <v>7</v>
      </c>
      <c r="AM1151" s="4">
        <v>8</v>
      </c>
      <c r="AN1151" s="4">
        <v>1</v>
      </c>
      <c r="AO1151" s="4">
        <v>1</v>
      </c>
      <c r="AP1151" s="3" t="s">
        <v>59</v>
      </c>
      <c r="AQ1151" s="3" t="s">
        <v>59</v>
      </c>
      <c r="AS1151" s="6" t="str">
        <f>HYPERLINK("https://creighton-primo.hosted.exlibrisgroup.com/primo-explore/search?tab=default_tab&amp;search_scope=EVERYTHING&amp;vid=01CRU&amp;lang=en_US&amp;offset=0&amp;query=any,contains,991001369579702656","Catalog Record")</f>
        <v>Catalog Record</v>
      </c>
      <c r="AT1151" s="6" t="str">
        <f>HYPERLINK("http://www.worldcat.org/oclc/223092","WorldCat Record")</f>
        <v>WorldCat Record</v>
      </c>
      <c r="AU1151" s="3" t="s">
        <v>14474</v>
      </c>
      <c r="AV1151" s="3" t="s">
        <v>14475</v>
      </c>
      <c r="AW1151" s="3" t="s">
        <v>14476</v>
      </c>
      <c r="AX1151" s="3" t="s">
        <v>14476</v>
      </c>
      <c r="AY1151" s="3" t="s">
        <v>14477</v>
      </c>
      <c r="AZ1151" s="3" t="s">
        <v>76</v>
      </c>
      <c r="BB1151" s="3" t="s">
        <v>14478</v>
      </c>
      <c r="BC1151" s="3" t="s">
        <v>14479</v>
      </c>
      <c r="BD1151" s="3" t="s">
        <v>14480</v>
      </c>
    </row>
    <row r="1152" spans="1:56" ht="52.5" customHeight="1" x14ac:dyDescent="0.25">
      <c r="A1152" s="7" t="s">
        <v>59</v>
      </c>
      <c r="B1152" s="2" t="s">
        <v>14481</v>
      </c>
      <c r="C1152" s="2" t="s">
        <v>14482</v>
      </c>
      <c r="D1152" s="2" t="s">
        <v>14483</v>
      </c>
      <c r="F1152" s="3" t="s">
        <v>59</v>
      </c>
      <c r="G1152" s="3" t="s">
        <v>60</v>
      </c>
      <c r="H1152" s="3" t="s">
        <v>59</v>
      </c>
      <c r="I1152" s="3" t="s">
        <v>59</v>
      </c>
      <c r="J1152" s="3" t="s">
        <v>61</v>
      </c>
      <c r="K1152" s="2" t="s">
        <v>14484</v>
      </c>
      <c r="L1152" s="2" t="s">
        <v>14485</v>
      </c>
      <c r="M1152" s="3" t="s">
        <v>131</v>
      </c>
      <c r="O1152" s="3" t="s">
        <v>65</v>
      </c>
      <c r="P1152" s="3" t="s">
        <v>9176</v>
      </c>
      <c r="Q1152" s="2" t="s">
        <v>14486</v>
      </c>
      <c r="R1152" s="3" t="s">
        <v>68</v>
      </c>
      <c r="S1152" s="4">
        <v>8</v>
      </c>
      <c r="T1152" s="4">
        <v>8</v>
      </c>
      <c r="U1152" s="5" t="s">
        <v>14487</v>
      </c>
      <c r="V1152" s="5" t="s">
        <v>14487</v>
      </c>
      <c r="W1152" s="5" t="s">
        <v>14488</v>
      </c>
      <c r="X1152" s="5" t="s">
        <v>14488</v>
      </c>
      <c r="Y1152" s="4">
        <v>322</v>
      </c>
      <c r="Z1152" s="4">
        <v>264</v>
      </c>
      <c r="AA1152" s="4">
        <v>273</v>
      </c>
      <c r="AB1152" s="4">
        <v>2</v>
      </c>
      <c r="AC1152" s="4">
        <v>2</v>
      </c>
      <c r="AD1152" s="4">
        <v>10</v>
      </c>
      <c r="AE1152" s="4">
        <v>10</v>
      </c>
      <c r="AF1152" s="4">
        <v>5</v>
      </c>
      <c r="AG1152" s="4">
        <v>5</v>
      </c>
      <c r="AH1152" s="4">
        <v>3</v>
      </c>
      <c r="AI1152" s="4">
        <v>3</v>
      </c>
      <c r="AJ1152" s="4">
        <v>4</v>
      </c>
      <c r="AK1152" s="4">
        <v>4</v>
      </c>
      <c r="AL1152" s="4">
        <v>1</v>
      </c>
      <c r="AM1152" s="4">
        <v>1</v>
      </c>
      <c r="AN1152" s="4">
        <v>0</v>
      </c>
      <c r="AO1152" s="4">
        <v>0</v>
      </c>
      <c r="AP1152" s="3" t="s">
        <v>59</v>
      </c>
      <c r="AQ1152" s="3" t="s">
        <v>71</v>
      </c>
      <c r="AR1152" s="6" t="str">
        <f>HYPERLINK("http://catalog.hathitrust.org/Record/000014990","HathiTrust Record")</f>
        <v>HathiTrust Record</v>
      </c>
      <c r="AS1152" s="6" t="str">
        <f>HYPERLINK("https://creighton-primo.hosted.exlibrisgroup.com/primo-explore/search?tab=default_tab&amp;search_scope=EVERYTHING&amp;vid=01CRU&amp;lang=en_US&amp;offset=0&amp;query=any,contains,991003396889702656","Catalog Record")</f>
        <v>Catalog Record</v>
      </c>
      <c r="AT1152" s="6" t="str">
        <f>HYPERLINK("http://www.worldcat.org/oclc/934828","WorldCat Record")</f>
        <v>WorldCat Record</v>
      </c>
      <c r="AU1152" s="3" t="s">
        <v>14489</v>
      </c>
      <c r="AV1152" s="3" t="s">
        <v>14490</v>
      </c>
      <c r="AW1152" s="3" t="s">
        <v>14491</v>
      </c>
      <c r="AX1152" s="3" t="s">
        <v>14491</v>
      </c>
      <c r="AY1152" s="3" t="s">
        <v>14492</v>
      </c>
      <c r="AZ1152" s="3" t="s">
        <v>76</v>
      </c>
      <c r="BB1152" s="3" t="s">
        <v>14493</v>
      </c>
      <c r="BC1152" s="3" t="s">
        <v>14494</v>
      </c>
      <c r="BD1152" s="3" t="s">
        <v>14495</v>
      </c>
    </row>
    <row r="1153" spans="1:56" ht="52.5" customHeight="1" x14ac:dyDescent="0.25">
      <c r="A1153" s="7" t="s">
        <v>59</v>
      </c>
      <c r="B1153" s="2" t="s">
        <v>14496</v>
      </c>
      <c r="C1153" s="2" t="s">
        <v>14497</v>
      </c>
      <c r="D1153" s="2" t="s">
        <v>14498</v>
      </c>
      <c r="F1153" s="3" t="s">
        <v>59</v>
      </c>
      <c r="G1153" s="3" t="s">
        <v>60</v>
      </c>
      <c r="H1153" s="3" t="s">
        <v>59</v>
      </c>
      <c r="I1153" s="3" t="s">
        <v>59</v>
      </c>
      <c r="J1153" s="3" t="s">
        <v>61</v>
      </c>
      <c r="K1153" s="2" t="s">
        <v>14499</v>
      </c>
      <c r="L1153" s="2" t="s">
        <v>14500</v>
      </c>
      <c r="M1153" s="3" t="s">
        <v>1015</v>
      </c>
      <c r="O1153" s="3" t="s">
        <v>65</v>
      </c>
      <c r="P1153" s="3" t="s">
        <v>66</v>
      </c>
      <c r="R1153" s="3" t="s">
        <v>68</v>
      </c>
      <c r="S1153" s="4">
        <v>7</v>
      </c>
      <c r="T1153" s="4">
        <v>7</v>
      </c>
      <c r="U1153" s="5" t="s">
        <v>14501</v>
      </c>
      <c r="V1153" s="5" t="s">
        <v>14501</v>
      </c>
      <c r="W1153" s="5" t="s">
        <v>14502</v>
      </c>
      <c r="X1153" s="5" t="s">
        <v>14502</v>
      </c>
      <c r="Y1153" s="4">
        <v>520</v>
      </c>
      <c r="Z1153" s="4">
        <v>425</v>
      </c>
      <c r="AA1153" s="4">
        <v>434</v>
      </c>
      <c r="AB1153" s="4">
        <v>5</v>
      </c>
      <c r="AC1153" s="4">
        <v>5</v>
      </c>
      <c r="AD1153" s="4">
        <v>19</v>
      </c>
      <c r="AE1153" s="4">
        <v>19</v>
      </c>
      <c r="AF1153" s="4">
        <v>6</v>
      </c>
      <c r="AG1153" s="4">
        <v>6</v>
      </c>
      <c r="AH1153" s="4">
        <v>3</v>
      </c>
      <c r="AI1153" s="4">
        <v>3</v>
      </c>
      <c r="AJ1153" s="4">
        <v>9</v>
      </c>
      <c r="AK1153" s="4">
        <v>9</v>
      </c>
      <c r="AL1153" s="4">
        <v>4</v>
      </c>
      <c r="AM1153" s="4">
        <v>4</v>
      </c>
      <c r="AN1153" s="4">
        <v>0</v>
      </c>
      <c r="AO1153" s="4">
        <v>0</v>
      </c>
      <c r="AP1153" s="3" t="s">
        <v>59</v>
      </c>
      <c r="AQ1153" s="3" t="s">
        <v>59</v>
      </c>
      <c r="AS1153" s="6" t="str">
        <f>HYPERLINK("https://creighton-primo.hosted.exlibrisgroup.com/primo-explore/search?tab=default_tab&amp;search_scope=EVERYTHING&amp;vid=01CRU&amp;lang=en_US&amp;offset=0&amp;query=any,contains,991001370119702656","Catalog Record")</f>
        <v>Catalog Record</v>
      </c>
      <c r="AT1153" s="6" t="str">
        <f>HYPERLINK("http://www.worldcat.org/oclc/223325","WorldCat Record")</f>
        <v>WorldCat Record</v>
      </c>
      <c r="AU1153" s="3" t="s">
        <v>14503</v>
      </c>
      <c r="AV1153" s="3" t="s">
        <v>14504</v>
      </c>
      <c r="AW1153" s="3" t="s">
        <v>14505</v>
      </c>
      <c r="AX1153" s="3" t="s">
        <v>14505</v>
      </c>
      <c r="AY1153" s="3" t="s">
        <v>14506</v>
      </c>
      <c r="AZ1153" s="3" t="s">
        <v>76</v>
      </c>
      <c r="BC1153" s="3" t="s">
        <v>14507</v>
      </c>
      <c r="BD1153" s="3" t="s">
        <v>14508</v>
      </c>
    </row>
    <row r="1154" spans="1:56" ht="52.5" customHeight="1" x14ac:dyDescent="0.25">
      <c r="A1154" s="7" t="s">
        <v>59</v>
      </c>
      <c r="B1154" s="2" t="s">
        <v>14509</v>
      </c>
      <c r="C1154" s="2" t="s">
        <v>14510</v>
      </c>
      <c r="D1154" s="2" t="s">
        <v>14511</v>
      </c>
      <c r="F1154" s="3" t="s">
        <v>59</v>
      </c>
      <c r="G1154" s="3" t="s">
        <v>60</v>
      </c>
      <c r="H1154" s="3" t="s">
        <v>59</v>
      </c>
      <c r="I1154" s="3" t="s">
        <v>59</v>
      </c>
      <c r="J1154" s="3" t="s">
        <v>61</v>
      </c>
      <c r="L1154" s="2" t="s">
        <v>14512</v>
      </c>
      <c r="M1154" s="3" t="s">
        <v>1163</v>
      </c>
      <c r="O1154" s="3" t="s">
        <v>65</v>
      </c>
      <c r="P1154" s="3" t="s">
        <v>420</v>
      </c>
      <c r="Q1154" s="2" t="s">
        <v>14513</v>
      </c>
      <c r="R1154" s="3" t="s">
        <v>68</v>
      </c>
      <c r="S1154" s="4">
        <v>4</v>
      </c>
      <c r="T1154" s="4">
        <v>4</v>
      </c>
      <c r="U1154" s="5" t="s">
        <v>3402</v>
      </c>
      <c r="V1154" s="5" t="s">
        <v>3402</v>
      </c>
      <c r="W1154" s="5" t="s">
        <v>14514</v>
      </c>
      <c r="X1154" s="5" t="s">
        <v>14514</v>
      </c>
      <c r="Y1154" s="4">
        <v>305</v>
      </c>
      <c r="Z1154" s="4">
        <v>239</v>
      </c>
      <c r="AA1154" s="4">
        <v>251</v>
      </c>
      <c r="AB1154" s="4">
        <v>2</v>
      </c>
      <c r="AC1154" s="4">
        <v>2</v>
      </c>
      <c r="AD1154" s="4">
        <v>14</v>
      </c>
      <c r="AE1154" s="4">
        <v>14</v>
      </c>
      <c r="AF1154" s="4">
        <v>4</v>
      </c>
      <c r="AG1154" s="4">
        <v>4</v>
      </c>
      <c r="AH1154" s="4">
        <v>4</v>
      </c>
      <c r="AI1154" s="4">
        <v>4</v>
      </c>
      <c r="AJ1154" s="4">
        <v>8</v>
      </c>
      <c r="AK1154" s="4">
        <v>8</v>
      </c>
      <c r="AL1154" s="4">
        <v>1</v>
      </c>
      <c r="AM1154" s="4">
        <v>1</v>
      </c>
      <c r="AN1154" s="4">
        <v>0</v>
      </c>
      <c r="AO1154" s="4">
        <v>0</v>
      </c>
      <c r="AP1154" s="3" t="s">
        <v>59</v>
      </c>
      <c r="AQ1154" s="3" t="s">
        <v>71</v>
      </c>
      <c r="AR1154" s="6" t="str">
        <f>HYPERLINK("http://catalog.hathitrust.org/Record/000384276","HathiTrust Record")</f>
        <v>HathiTrust Record</v>
      </c>
      <c r="AS1154" s="6" t="str">
        <f>HYPERLINK("https://creighton-primo.hosted.exlibrisgroup.com/primo-explore/search?tab=default_tab&amp;search_scope=EVERYTHING&amp;vid=01CRU&amp;lang=en_US&amp;offset=0&amp;query=any,contains,991000744449702656","Catalog Record")</f>
        <v>Catalog Record</v>
      </c>
      <c r="AT1154" s="6" t="str">
        <f>HYPERLINK("http://www.worldcat.org/oclc/15282704","WorldCat Record")</f>
        <v>WorldCat Record</v>
      </c>
      <c r="AU1154" s="3" t="s">
        <v>14515</v>
      </c>
      <c r="AV1154" s="3" t="s">
        <v>14516</v>
      </c>
      <c r="AW1154" s="3" t="s">
        <v>14517</v>
      </c>
      <c r="AX1154" s="3" t="s">
        <v>14517</v>
      </c>
      <c r="AY1154" s="3" t="s">
        <v>14518</v>
      </c>
      <c r="AZ1154" s="3" t="s">
        <v>76</v>
      </c>
      <c r="BB1154" s="3" t="s">
        <v>14519</v>
      </c>
      <c r="BC1154" s="3" t="s">
        <v>14520</v>
      </c>
      <c r="BD1154" s="3" t="s">
        <v>14521</v>
      </c>
    </row>
    <row r="1155" spans="1:56" ht="52.5" customHeight="1" x14ac:dyDescent="0.25">
      <c r="A1155" s="7" t="s">
        <v>59</v>
      </c>
      <c r="B1155" s="2" t="s">
        <v>14522</v>
      </c>
      <c r="C1155" s="2" t="s">
        <v>14523</v>
      </c>
      <c r="D1155" s="2" t="s">
        <v>14524</v>
      </c>
      <c r="F1155" s="3" t="s">
        <v>59</v>
      </c>
      <c r="G1155" s="3" t="s">
        <v>60</v>
      </c>
      <c r="H1155" s="3" t="s">
        <v>59</v>
      </c>
      <c r="I1155" s="3" t="s">
        <v>59</v>
      </c>
      <c r="J1155" s="3" t="s">
        <v>61</v>
      </c>
      <c r="L1155" s="2" t="s">
        <v>4354</v>
      </c>
      <c r="M1155" s="3" t="s">
        <v>616</v>
      </c>
      <c r="O1155" s="3" t="s">
        <v>65</v>
      </c>
      <c r="P1155" s="3" t="s">
        <v>699</v>
      </c>
      <c r="R1155" s="3" t="s">
        <v>68</v>
      </c>
      <c r="S1155" s="4">
        <v>10</v>
      </c>
      <c r="T1155" s="4">
        <v>10</v>
      </c>
      <c r="U1155" s="5" t="s">
        <v>14525</v>
      </c>
      <c r="V1155" s="5" t="s">
        <v>14525</v>
      </c>
      <c r="W1155" s="5" t="s">
        <v>11599</v>
      </c>
      <c r="X1155" s="5" t="s">
        <v>11599</v>
      </c>
      <c r="Y1155" s="4">
        <v>401</v>
      </c>
      <c r="Z1155" s="4">
        <v>334</v>
      </c>
      <c r="AA1155" s="4">
        <v>359</v>
      </c>
      <c r="AB1155" s="4">
        <v>3</v>
      </c>
      <c r="AC1155" s="4">
        <v>3</v>
      </c>
      <c r="AD1155" s="4">
        <v>16</v>
      </c>
      <c r="AE1155" s="4">
        <v>16</v>
      </c>
      <c r="AF1155" s="4">
        <v>4</v>
      </c>
      <c r="AG1155" s="4">
        <v>4</v>
      </c>
      <c r="AH1155" s="4">
        <v>4</v>
      </c>
      <c r="AI1155" s="4">
        <v>4</v>
      </c>
      <c r="AJ1155" s="4">
        <v>10</v>
      </c>
      <c r="AK1155" s="4">
        <v>10</v>
      </c>
      <c r="AL1155" s="4">
        <v>2</v>
      </c>
      <c r="AM1155" s="4">
        <v>2</v>
      </c>
      <c r="AN1155" s="4">
        <v>0</v>
      </c>
      <c r="AO1155" s="4">
        <v>0</v>
      </c>
      <c r="AP1155" s="3" t="s">
        <v>59</v>
      </c>
      <c r="AQ1155" s="3" t="s">
        <v>59</v>
      </c>
      <c r="AS1155" s="6" t="str">
        <f>HYPERLINK("https://creighton-primo.hosted.exlibrisgroup.com/primo-explore/search?tab=default_tab&amp;search_scope=EVERYTHING&amp;vid=01CRU&amp;lang=en_US&amp;offset=0&amp;query=any,contains,991001070609702656","Catalog Record")</f>
        <v>Catalog Record</v>
      </c>
      <c r="AT1155" s="6" t="str">
        <f>HYPERLINK("http://www.worldcat.org/oclc/15860634","WorldCat Record")</f>
        <v>WorldCat Record</v>
      </c>
      <c r="AU1155" s="3" t="s">
        <v>14526</v>
      </c>
      <c r="AV1155" s="3" t="s">
        <v>14527</v>
      </c>
      <c r="AW1155" s="3" t="s">
        <v>14528</v>
      </c>
      <c r="AX1155" s="3" t="s">
        <v>14528</v>
      </c>
      <c r="AY1155" s="3" t="s">
        <v>14529</v>
      </c>
      <c r="AZ1155" s="3" t="s">
        <v>76</v>
      </c>
      <c r="BB1155" s="3" t="s">
        <v>14530</v>
      </c>
      <c r="BC1155" s="3" t="s">
        <v>14531</v>
      </c>
      <c r="BD1155" s="3" t="s">
        <v>14532</v>
      </c>
    </row>
    <row r="1156" spans="1:56" ht="52.5" customHeight="1" x14ac:dyDescent="0.25">
      <c r="A1156" s="7" t="s">
        <v>59</v>
      </c>
      <c r="B1156" s="2" t="s">
        <v>14533</v>
      </c>
      <c r="C1156" s="2" t="s">
        <v>14534</v>
      </c>
      <c r="D1156" s="2" t="s">
        <v>14535</v>
      </c>
      <c r="F1156" s="3" t="s">
        <v>59</v>
      </c>
      <c r="G1156" s="3" t="s">
        <v>60</v>
      </c>
      <c r="H1156" s="3" t="s">
        <v>59</v>
      </c>
      <c r="I1156" s="3" t="s">
        <v>59</v>
      </c>
      <c r="J1156" s="3" t="s">
        <v>61</v>
      </c>
      <c r="K1156" s="2" t="s">
        <v>14536</v>
      </c>
      <c r="L1156" s="2" t="s">
        <v>14537</v>
      </c>
      <c r="M1156" s="3" t="s">
        <v>616</v>
      </c>
      <c r="O1156" s="3" t="s">
        <v>65</v>
      </c>
      <c r="P1156" s="3" t="s">
        <v>66</v>
      </c>
      <c r="Q1156" s="2" t="s">
        <v>14538</v>
      </c>
      <c r="R1156" s="3" t="s">
        <v>68</v>
      </c>
      <c r="S1156" s="4">
        <v>11</v>
      </c>
      <c r="T1156" s="4">
        <v>11</v>
      </c>
      <c r="U1156" s="5" t="s">
        <v>14539</v>
      </c>
      <c r="V1156" s="5" t="s">
        <v>14539</v>
      </c>
      <c r="W1156" s="5" t="s">
        <v>14540</v>
      </c>
      <c r="X1156" s="5" t="s">
        <v>14540</v>
      </c>
      <c r="Y1156" s="4">
        <v>453</v>
      </c>
      <c r="Z1156" s="4">
        <v>354</v>
      </c>
      <c r="AA1156" s="4">
        <v>375</v>
      </c>
      <c r="AB1156" s="4">
        <v>3</v>
      </c>
      <c r="AC1156" s="4">
        <v>3</v>
      </c>
      <c r="AD1156" s="4">
        <v>16</v>
      </c>
      <c r="AE1156" s="4">
        <v>17</v>
      </c>
      <c r="AF1156" s="4">
        <v>6</v>
      </c>
      <c r="AG1156" s="4">
        <v>7</v>
      </c>
      <c r="AH1156" s="4">
        <v>4</v>
      </c>
      <c r="AI1156" s="4">
        <v>4</v>
      </c>
      <c r="AJ1156" s="4">
        <v>8</v>
      </c>
      <c r="AK1156" s="4">
        <v>8</v>
      </c>
      <c r="AL1156" s="4">
        <v>2</v>
      </c>
      <c r="AM1156" s="4">
        <v>2</v>
      </c>
      <c r="AN1156" s="4">
        <v>0</v>
      </c>
      <c r="AO1156" s="4">
        <v>0</v>
      </c>
      <c r="AP1156" s="3" t="s">
        <v>59</v>
      </c>
      <c r="AQ1156" s="3" t="s">
        <v>59</v>
      </c>
      <c r="AS1156" s="6" t="str">
        <f>HYPERLINK("https://creighton-primo.hosted.exlibrisgroup.com/primo-explore/search?tab=default_tab&amp;search_scope=EVERYTHING&amp;vid=01CRU&amp;lang=en_US&amp;offset=0&amp;query=any,contains,991001334919702656","Catalog Record")</f>
        <v>Catalog Record</v>
      </c>
      <c r="AT1156" s="6" t="str">
        <f>HYPERLINK("http://www.worldcat.org/oclc/18350413","WorldCat Record")</f>
        <v>WorldCat Record</v>
      </c>
      <c r="AU1156" s="3" t="s">
        <v>14541</v>
      </c>
      <c r="AV1156" s="3" t="s">
        <v>14542</v>
      </c>
      <c r="AW1156" s="3" t="s">
        <v>14543</v>
      </c>
      <c r="AX1156" s="3" t="s">
        <v>14543</v>
      </c>
      <c r="AY1156" s="3" t="s">
        <v>14544</v>
      </c>
      <c r="AZ1156" s="3" t="s">
        <v>76</v>
      </c>
      <c r="BB1156" s="3" t="s">
        <v>14545</v>
      </c>
      <c r="BC1156" s="3" t="s">
        <v>14546</v>
      </c>
      <c r="BD1156" s="3" t="s">
        <v>14547</v>
      </c>
    </row>
    <row r="1157" spans="1:56" ht="52.5" customHeight="1" x14ac:dyDescent="0.25">
      <c r="A1157" s="7" t="s">
        <v>59</v>
      </c>
      <c r="B1157" s="2" t="s">
        <v>14548</v>
      </c>
      <c r="C1157" s="2" t="s">
        <v>14549</v>
      </c>
      <c r="D1157" s="2" t="s">
        <v>14550</v>
      </c>
      <c r="F1157" s="3" t="s">
        <v>59</v>
      </c>
      <c r="G1157" s="3" t="s">
        <v>60</v>
      </c>
      <c r="H1157" s="3" t="s">
        <v>59</v>
      </c>
      <c r="I1157" s="3" t="s">
        <v>59</v>
      </c>
      <c r="J1157" s="3" t="s">
        <v>61</v>
      </c>
      <c r="K1157" s="2" t="s">
        <v>14551</v>
      </c>
      <c r="L1157" s="2" t="s">
        <v>14552</v>
      </c>
      <c r="M1157" s="3" t="s">
        <v>616</v>
      </c>
      <c r="N1157" s="2" t="s">
        <v>887</v>
      </c>
      <c r="O1157" s="3" t="s">
        <v>65</v>
      </c>
      <c r="P1157" s="3" t="s">
        <v>66</v>
      </c>
      <c r="Q1157" s="2" t="s">
        <v>14553</v>
      </c>
      <c r="R1157" s="3" t="s">
        <v>68</v>
      </c>
      <c r="S1157" s="4">
        <v>7</v>
      </c>
      <c r="T1157" s="4">
        <v>7</v>
      </c>
      <c r="U1157" s="5" t="s">
        <v>14554</v>
      </c>
      <c r="V1157" s="5" t="s">
        <v>14554</v>
      </c>
      <c r="W1157" s="5" t="s">
        <v>1002</v>
      </c>
      <c r="X1157" s="5" t="s">
        <v>1002</v>
      </c>
      <c r="Y1157" s="4">
        <v>391</v>
      </c>
      <c r="Z1157" s="4">
        <v>282</v>
      </c>
      <c r="AA1157" s="4">
        <v>285</v>
      </c>
      <c r="AB1157" s="4">
        <v>5</v>
      </c>
      <c r="AC1157" s="4">
        <v>5</v>
      </c>
      <c r="AD1157" s="4">
        <v>15</v>
      </c>
      <c r="AE1157" s="4">
        <v>15</v>
      </c>
      <c r="AF1157" s="4">
        <v>5</v>
      </c>
      <c r="AG1157" s="4">
        <v>5</v>
      </c>
      <c r="AH1157" s="4">
        <v>2</v>
      </c>
      <c r="AI1157" s="4">
        <v>2</v>
      </c>
      <c r="AJ1157" s="4">
        <v>8</v>
      </c>
      <c r="AK1157" s="4">
        <v>8</v>
      </c>
      <c r="AL1157" s="4">
        <v>4</v>
      </c>
      <c r="AM1157" s="4">
        <v>4</v>
      </c>
      <c r="AN1157" s="4">
        <v>0</v>
      </c>
      <c r="AO1157" s="4">
        <v>0</v>
      </c>
      <c r="AP1157" s="3" t="s">
        <v>59</v>
      </c>
      <c r="AQ1157" s="3" t="s">
        <v>71</v>
      </c>
      <c r="AR1157" s="6" t="str">
        <f>HYPERLINK("http://catalog.hathitrust.org/Record/000914997","HathiTrust Record")</f>
        <v>HathiTrust Record</v>
      </c>
      <c r="AS1157" s="6" t="str">
        <f>HYPERLINK("https://creighton-primo.hosted.exlibrisgroup.com/primo-explore/search?tab=default_tab&amp;search_scope=EVERYTHING&amp;vid=01CRU&amp;lang=en_US&amp;offset=0&amp;query=any,contains,991001115839702656","Catalog Record")</f>
        <v>Catalog Record</v>
      </c>
      <c r="AT1157" s="6" t="str">
        <f>HYPERLINK("http://www.worldcat.org/oclc/16526075","WorldCat Record")</f>
        <v>WorldCat Record</v>
      </c>
      <c r="AU1157" s="3" t="s">
        <v>14555</v>
      </c>
      <c r="AV1157" s="3" t="s">
        <v>14556</v>
      </c>
      <c r="AW1157" s="3" t="s">
        <v>14557</v>
      </c>
      <c r="AX1157" s="3" t="s">
        <v>14557</v>
      </c>
      <c r="AY1157" s="3" t="s">
        <v>14558</v>
      </c>
      <c r="AZ1157" s="3" t="s">
        <v>76</v>
      </c>
      <c r="BB1157" s="3" t="s">
        <v>14559</v>
      </c>
      <c r="BC1157" s="3" t="s">
        <v>14560</v>
      </c>
      <c r="BD1157" s="3" t="s">
        <v>14561</v>
      </c>
    </row>
    <row r="1158" spans="1:56" ht="52.5" customHeight="1" x14ac:dyDescent="0.25">
      <c r="A1158" s="7" t="s">
        <v>59</v>
      </c>
      <c r="B1158" s="2" t="s">
        <v>14562</v>
      </c>
      <c r="C1158" s="2" t="s">
        <v>14563</v>
      </c>
      <c r="D1158" s="2" t="s">
        <v>14564</v>
      </c>
      <c r="F1158" s="3" t="s">
        <v>59</v>
      </c>
      <c r="G1158" s="3" t="s">
        <v>60</v>
      </c>
      <c r="H1158" s="3" t="s">
        <v>59</v>
      </c>
      <c r="I1158" s="3" t="s">
        <v>59</v>
      </c>
      <c r="J1158" s="3" t="s">
        <v>61</v>
      </c>
      <c r="K1158" s="2" t="s">
        <v>14565</v>
      </c>
      <c r="L1158" s="2" t="s">
        <v>14566</v>
      </c>
      <c r="M1158" s="3" t="s">
        <v>987</v>
      </c>
      <c r="O1158" s="3" t="s">
        <v>65</v>
      </c>
      <c r="P1158" s="3" t="s">
        <v>66</v>
      </c>
      <c r="R1158" s="3" t="s">
        <v>68</v>
      </c>
      <c r="S1158" s="4">
        <v>1</v>
      </c>
      <c r="T1158" s="4">
        <v>1</v>
      </c>
      <c r="U1158" s="5" t="s">
        <v>14567</v>
      </c>
      <c r="V1158" s="5" t="s">
        <v>14567</v>
      </c>
      <c r="W1158" s="5" t="s">
        <v>13189</v>
      </c>
      <c r="X1158" s="5" t="s">
        <v>13189</v>
      </c>
      <c r="Y1158" s="4">
        <v>566</v>
      </c>
      <c r="Z1158" s="4">
        <v>465</v>
      </c>
      <c r="AA1158" s="4">
        <v>472</v>
      </c>
      <c r="AB1158" s="4">
        <v>3</v>
      </c>
      <c r="AC1158" s="4">
        <v>3</v>
      </c>
      <c r="AD1158" s="4">
        <v>18</v>
      </c>
      <c r="AE1158" s="4">
        <v>18</v>
      </c>
      <c r="AF1158" s="4">
        <v>5</v>
      </c>
      <c r="AG1158" s="4">
        <v>5</v>
      </c>
      <c r="AH1158" s="4">
        <v>5</v>
      </c>
      <c r="AI1158" s="4">
        <v>5</v>
      </c>
      <c r="AJ1158" s="4">
        <v>9</v>
      </c>
      <c r="AK1158" s="4">
        <v>9</v>
      </c>
      <c r="AL1158" s="4">
        <v>2</v>
      </c>
      <c r="AM1158" s="4">
        <v>2</v>
      </c>
      <c r="AN1158" s="4">
        <v>0</v>
      </c>
      <c r="AO1158" s="4">
        <v>0</v>
      </c>
      <c r="AP1158" s="3" t="s">
        <v>59</v>
      </c>
      <c r="AQ1158" s="3" t="s">
        <v>59</v>
      </c>
      <c r="AS1158" s="6" t="str">
        <f>HYPERLINK("https://creighton-primo.hosted.exlibrisgroup.com/primo-explore/search?tab=default_tab&amp;search_scope=EVERYTHING&amp;vid=01CRU&amp;lang=en_US&amp;offset=0&amp;query=any,contains,991000617739702656","Catalog Record")</f>
        <v>Catalog Record</v>
      </c>
      <c r="AT1158" s="6" t="str">
        <f>HYPERLINK("http://www.worldcat.org/oclc/102043","WorldCat Record")</f>
        <v>WorldCat Record</v>
      </c>
      <c r="AU1158" s="3" t="s">
        <v>14568</v>
      </c>
      <c r="AV1158" s="3" t="s">
        <v>14569</v>
      </c>
      <c r="AW1158" s="3" t="s">
        <v>14570</v>
      </c>
      <c r="AX1158" s="3" t="s">
        <v>14570</v>
      </c>
      <c r="AY1158" s="3" t="s">
        <v>14571</v>
      </c>
      <c r="AZ1158" s="3" t="s">
        <v>76</v>
      </c>
      <c r="BC1158" s="3" t="s">
        <v>14572</v>
      </c>
      <c r="BD1158" s="3" t="s">
        <v>14573</v>
      </c>
    </row>
    <row r="1159" spans="1:56" ht="52.5" customHeight="1" x14ac:dyDescent="0.25">
      <c r="A1159" s="7" t="s">
        <v>59</v>
      </c>
      <c r="B1159" s="2" t="s">
        <v>14574</v>
      </c>
      <c r="C1159" s="2" t="s">
        <v>14575</v>
      </c>
      <c r="D1159" s="2" t="s">
        <v>14576</v>
      </c>
      <c r="F1159" s="3" t="s">
        <v>59</v>
      </c>
      <c r="G1159" s="3" t="s">
        <v>60</v>
      </c>
      <c r="H1159" s="3" t="s">
        <v>59</v>
      </c>
      <c r="I1159" s="3" t="s">
        <v>59</v>
      </c>
      <c r="J1159" s="3" t="s">
        <v>61</v>
      </c>
      <c r="K1159" s="2" t="s">
        <v>14577</v>
      </c>
      <c r="L1159" s="2" t="s">
        <v>14578</v>
      </c>
      <c r="M1159" s="3" t="s">
        <v>549</v>
      </c>
      <c r="O1159" s="3" t="s">
        <v>65</v>
      </c>
      <c r="P1159" s="3" t="s">
        <v>420</v>
      </c>
      <c r="Q1159" s="2" t="s">
        <v>14579</v>
      </c>
      <c r="R1159" s="3" t="s">
        <v>68</v>
      </c>
      <c r="S1159" s="4">
        <v>11</v>
      </c>
      <c r="T1159" s="4">
        <v>11</v>
      </c>
      <c r="U1159" s="5" t="s">
        <v>13313</v>
      </c>
      <c r="V1159" s="5" t="s">
        <v>13313</v>
      </c>
      <c r="W1159" s="5" t="s">
        <v>11724</v>
      </c>
      <c r="X1159" s="5" t="s">
        <v>11724</v>
      </c>
      <c r="Y1159" s="4">
        <v>457</v>
      </c>
      <c r="Z1159" s="4">
        <v>350</v>
      </c>
      <c r="AA1159" s="4">
        <v>356</v>
      </c>
      <c r="AB1159" s="4">
        <v>3</v>
      </c>
      <c r="AC1159" s="4">
        <v>3</v>
      </c>
      <c r="AD1159" s="4">
        <v>15</v>
      </c>
      <c r="AE1159" s="4">
        <v>15</v>
      </c>
      <c r="AF1159" s="4">
        <v>6</v>
      </c>
      <c r="AG1159" s="4">
        <v>6</v>
      </c>
      <c r="AH1159" s="4">
        <v>3</v>
      </c>
      <c r="AI1159" s="4">
        <v>3</v>
      </c>
      <c r="AJ1159" s="4">
        <v>9</v>
      </c>
      <c r="AK1159" s="4">
        <v>9</v>
      </c>
      <c r="AL1159" s="4">
        <v>2</v>
      </c>
      <c r="AM1159" s="4">
        <v>2</v>
      </c>
      <c r="AN1159" s="4">
        <v>0</v>
      </c>
      <c r="AO1159" s="4">
        <v>0</v>
      </c>
      <c r="AP1159" s="3" t="s">
        <v>59</v>
      </c>
      <c r="AQ1159" s="3" t="s">
        <v>71</v>
      </c>
      <c r="AR1159" s="6" t="str">
        <f>HYPERLINK("http://catalog.hathitrust.org/Record/000829630","HathiTrust Record")</f>
        <v>HathiTrust Record</v>
      </c>
      <c r="AS1159" s="6" t="str">
        <f>HYPERLINK("https://creighton-primo.hosted.exlibrisgroup.com/primo-explore/search?tab=default_tab&amp;search_scope=EVERYTHING&amp;vid=01CRU&amp;lang=en_US&amp;offset=0&amp;query=any,contains,991000795629702656","Catalog Record")</f>
        <v>Catalog Record</v>
      </c>
      <c r="AT1159" s="6" t="str">
        <f>HYPERLINK("http://www.worldcat.org/oclc/13185611","WorldCat Record")</f>
        <v>WorldCat Record</v>
      </c>
      <c r="AU1159" s="3" t="s">
        <v>14580</v>
      </c>
      <c r="AV1159" s="3" t="s">
        <v>14581</v>
      </c>
      <c r="AW1159" s="3" t="s">
        <v>14582</v>
      </c>
      <c r="AX1159" s="3" t="s">
        <v>14582</v>
      </c>
      <c r="AY1159" s="3" t="s">
        <v>14583</v>
      </c>
      <c r="AZ1159" s="3" t="s">
        <v>76</v>
      </c>
      <c r="BB1159" s="3" t="s">
        <v>14584</v>
      </c>
      <c r="BC1159" s="3" t="s">
        <v>14585</v>
      </c>
      <c r="BD1159" s="3" t="s">
        <v>14586</v>
      </c>
    </row>
    <row r="1160" spans="1:56" ht="52.5" customHeight="1" x14ac:dyDescent="0.25">
      <c r="A1160" s="7" t="s">
        <v>59</v>
      </c>
      <c r="B1160" s="2" t="s">
        <v>14587</v>
      </c>
      <c r="C1160" s="2" t="s">
        <v>14588</v>
      </c>
      <c r="D1160" s="2" t="s">
        <v>14589</v>
      </c>
      <c r="F1160" s="3" t="s">
        <v>59</v>
      </c>
      <c r="G1160" s="3" t="s">
        <v>60</v>
      </c>
      <c r="H1160" s="3" t="s">
        <v>59</v>
      </c>
      <c r="I1160" s="3" t="s">
        <v>59</v>
      </c>
      <c r="J1160" s="3" t="s">
        <v>61</v>
      </c>
      <c r="K1160" s="2" t="s">
        <v>14590</v>
      </c>
      <c r="L1160" s="2" t="s">
        <v>14591</v>
      </c>
      <c r="M1160" s="3" t="s">
        <v>1015</v>
      </c>
      <c r="O1160" s="3" t="s">
        <v>65</v>
      </c>
      <c r="P1160" s="3" t="s">
        <v>66</v>
      </c>
      <c r="R1160" s="3" t="s">
        <v>68</v>
      </c>
      <c r="S1160" s="4">
        <v>4</v>
      </c>
      <c r="T1160" s="4">
        <v>4</v>
      </c>
      <c r="U1160" s="5" t="s">
        <v>14592</v>
      </c>
      <c r="V1160" s="5" t="s">
        <v>14592</v>
      </c>
      <c r="W1160" s="5" t="s">
        <v>13189</v>
      </c>
      <c r="X1160" s="5" t="s">
        <v>13189</v>
      </c>
      <c r="Y1160" s="4">
        <v>427</v>
      </c>
      <c r="Z1160" s="4">
        <v>353</v>
      </c>
      <c r="AA1160" s="4">
        <v>362</v>
      </c>
      <c r="AB1160" s="4">
        <v>5</v>
      </c>
      <c r="AC1160" s="4">
        <v>5</v>
      </c>
      <c r="AD1160" s="4">
        <v>15</v>
      </c>
      <c r="AE1160" s="4">
        <v>15</v>
      </c>
      <c r="AF1160" s="4">
        <v>3</v>
      </c>
      <c r="AG1160" s="4">
        <v>3</v>
      </c>
      <c r="AH1160" s="4">
        <v>2</v>
      </c>
      <c r="AI1160" s="4">
        <v>2</v>
      </c>
      <c r="AJ1160" s="4">
        <v>9</v>
      </c>
      <c r="AK1160" s="4">
        <v>9</v>
      </c>
      <c r="AL1160" s="4">
        <v>2</v>
      </c>
      <c r="AM1160" s="4">
        <v>2</v>
      </c>
      <c r="AN1160" s="4">
        <v>0</v>
      </c>
      <c r="AO1160" s="4">
        <v>0</v>
      </c>
      <c r="AP1160" s="3" t="s">
        <v>59</v>
      </c>
      <c r="AQ1160" s="3" t="s">
        <v>71</v>
      </c>
      <c r="AR1160" s="6" t="str">
        <f>HYPERLINK("http://catalog.hathitrust.org/Record/000430217","HathiTrust Record")</f>
        <v>HathiTrust Record</v>
      </c>
      <c r="AS1160" s="6" t="str">
        <f>HYPERLINK("https://creighton-primo.hosted.exlibrisgroup.com/primo-explore/search?tab=default_tab&amp;search_scope=EVERYTHING&amp;vid=01CRU&amp;lang=en_US&amp;offset=0&amp;query=any,contains,991003021129702656","Catalog Record")</f>
        <v>Catalog Record</v>
      </c>
      <c r="AT1160" s="6" t="str">
        <f>HYPERLINK("http://www.worldcat.org/oclc/585793","WorldCat Record")</f>
        <v>WorldCat Record</v>
      </c>
      <c r="AU1160" s="3" t="s">
        <v>14593</v>
      </c>
      <c r="AV1160" s="3" t="s">
        <v>14594</v>
      </c>
      <c r="AW1160" s="3" t="s">
        <v>14595</v>
      </c>
      <c r="AX1160" s="3" t="s">
        <v>14595</v>
      </c>
      <c r="AY1160" s="3" t="s">
        <v>14596</v>
      </c>
      <c r="AZ1160" s="3" t="s">
        <v>76</v>
      </c>
      <c r="BB1160" s="3" t="s">
        <v>14597</v>
      </c>
      <c r="BC1160" s="3" t="s">
        <v>14598</v>
      </c>
      <c r="BD1160" s="3" t="s">
        <v>14599</v>
      </c>
    </row>
    <row r="1161" spans="1:56" ht="52.5" customHeight="1" x14ac:dyDescent="0.25">
      <c r="A1161" s="7" t="s">
        <v>59</v>
      </c>
      <c r="B1161" s="2" t="s">
        <v>14600</v>
      </c>
      <c r="C1161" s="2" t="s">
        <v>14601</v>
      </c>
      <c r="D1161" s="2" t="s">
        <v>14602</v>
      </c>
      <c r="F1161" s="3" t="s">
        <v>59</v>
      </c>
      <c r="G1161" s="3" t="s">
        <v>60</v>
      </c>
      <c r="H1161" s="3" t="s">
        <v>59</v>
      </c>
      <c r="I1161" s="3" t="s">
        <v>59</v>
      </c>
      <c r="J1161" s="3" t="s">
        <v>61</v>
      </c>
      <c r="K1161" s="2" t="s">
        <v>4749</v>
      </c>
      <c r="L1161" s="2" t="s">
        <v>14603</v>
      </c>
      <c r="M1161" s="3" t="s">
        <v>987</v>
      </c>
      <c r="O1161" s="3" t="s">
        <v>65</v>
      </c>
      <c r="P1161" s="3" t="s">
        <v>66</v>
      </c>
      <c r="R1161" s="3" t="s">
        <v>68</v>
      </c>
      <c r="S1161" s="4">
        <v>3</v>
      </c>
      <c r="T1161" s="4">
        <v>3</v>
      </c>
      <c r="U1161" s="5" t="s">
        <v>6670</v>
      </c>
      <c r="V1161" s="5" t="s">
        <v>6670</v>
      </c>
      <c r="W1161" s="5" t="s">
        <v>13189</v>
      </c>
      <c r="X1161" s="5" t="s">
        <v>13189</v>
      </c>
      <c r="Y1161" s="4">
        <v>651</v>
      </c>
      <c r="Z1161" s="4">
        <v>630</v>
      </c>
      <c r="AA1161" s="4">
        <v>856</v>
      </c>
      <c r="AB1161" s="4">
        <v>4</v>
      </c>
      <c r="AC1161" s="4">
        <v>4</v>
      </c>
      <c r="AD1161" s="4">
        <v>26</v>
      </c>
      <c r="AE1161" s="4">
        <v>30</v>
      </c>
      <c r="AF1161" s="4">
        <v>10</v>
      </c>
      <c r="AG1161" s="4">
        <v>11</v>
      </c>
      <c r="AH1161" s="4">
        <v>7</v>
      </c>
      <c r="AI1161" s="4">
        <v>8</v>
      </c>
      <c r="AJ1161" s="4">
        <v>13</v>
      </c>
      <c r="AK1161" s="4">
        <v>15</v>
      </c>
      <c r="AL1161" s="4">
        <v>3</v>
      </c>
      <c r="AM1161" s="4">
        <v>3</v>
      </c>
      <c r="AN1161" s="4">
        <v>0</v>
      </c>
      <c r="AO1161" s="4">
        <v>0</v>
      </c>
      <c r="AP1161" s="3" t="s">
        <v>59</v>
      </c>
      <c r="AQ1161" s="3" t="s">
        <v>71</v>
      </c>
      <c r="AR1161" s="6" t="str">
        <f>HYPERLINK("http://catalog.hathitrust.org/Record/000359846","HathiTrust Record")</f>
        <v>HathiTrust Record</v>
      </c>
      <c r="AS1161" s="6" t="str">
        <f>HYPERLINK("https://creighton-primo.hosted.exlibrisgroup.com/primo-explore/search?tab=default_tab&amp;search_scope=EVERYTHING&amp;vid=01CRU&amp;lang=en_US&amp;offset=0&amp;query=any,contains,991000125529702656","Catalog Record")</f>
        <v>Catalog Record</v>
      </c>
      <c r="AT1161" s="6" t="str">
        <f>HYPERLINK("http://www.worldcat.org/oclc/51852","WorldCat Record")</f>
        <v>WorldCat Record</v>
      </c>
      <c r="AU1161" s="3" t="s">
        <v>14604</v>
      </c>
      <c r="AV1161" s="3" t="s">
        <v>14605</v>
      </c>
      <c r="AW1161" s="3" t="s">
        <v>14606</v>
      </c>
      <c r="AX1161" s="3" t="s">
        <v>14606</v>
      </c>
      <c r="AY1161" s="3" t="s">
        <v>14607</v>
      </c>
      <c r="AZ1161" s="3" t="s">
        <v>76</v>
      </c>
      <c r="BC1161" s="3" t="s">
        <v>14608</v>
      </c>
      <c r="BD1161" s="3" t="s">
        <v>14609</v>
      </c>
    </row>
    <row r="1162" spans="1:56" ht="52.5" customHeight="1" x14ac:dyDescent="0.25">
      <c r="A1162" s="7" t="s">
        <v>59</v>
      </c>
      <c r="B1162" s="2" t="s">
        <v>14610</v>
      </c>
      <c r="C1162" s="2" t="s">
        <v>14611</v>
      </c>
      <c r="D1162" s="2" t="s">
        <v>14612</v>
      </c>
      <c r="F1162" s="3" t="s">
        <v>59</v>
      </c>
      <c r="G1162" s="3" t="s">
        <v>60</v>
      </c>
      <c r="H1162" s="3" t="s">
        <v>71</v>
      </c>
      <c r="I1162" s="3" t="s">
        <v>59</v>
      </c>
      <c r="J1162" s="3" t="s">
        <v>61</v>
      </c>
      <c r="K1162" s="2" t="s">
        <v>14613</v>
      </c>
      <c r="L1162" s="2" t="s">
        <v>14191</v>
      </c>
      <c r="M1162" s="3" t="s">
        <v>164</v>
      </c>
      <c r="N1162" s="2" t="s">
        <v>7264</v>
      </c>
      <c r="O1162" s="3" t="s">
        <v>65</v>
      </c>
      <c r="P1162" s="3" t="s">
        <v>283</v>
      </c>
      <c r="R1162" s="3" t="s">
        <v>68</v>
      </c>
      <c r="S1162" s="4">
        <v>13</v>
      </c>
      <c r="T1162" s="4">
        <v>18</v>
      </c>
      <c r="U1162" s="5" t="s">
        <v>14614</v>
      </c>
      <c r="V1162" s="5" t="s">
        <v>14615</v>
      </c>
      <c r="W1162" s="5" t="s">
        <v>477</v>
      </c>
      <c r="X1162" s="5" t="s">
        <v>477</v>
      </c>
      <c r="Y1162" s="4">
        <v>286</v>
      </c>
      <c r="Z1162" s="4">
        <v>218</v>
      </c>
      <c r="AA1162" s="4">
        <v>851</v>
      </c>
      <c r="AB1162" s="4">
        <v>5</v>
      </c>
      <c r="AC1162" s="4">
        <v>9</v>
      </c>
      <c r="AD1162" s="4">
        <v>8</v>
      </c>
      <c r="AE1162" s="4">
        <v>31</v>
      </c>
      <c r="AF1162" s="4">
        <v>0</v>
      </c>
      <c r="AG1162" s="4">
        <v>9</v>
      </c>
      <c r="AH1162" s="4">
        <v>1</v>
      </c>
      <c r="AI1162" s="4">
        <v>7</v>
      </c>
      <c r="AJ1162" s="4">
        <v>6</v>
      </c>
      <c r="AK1162" s="4">
        <v>17</v>
      </c>
      <c r="AL1162" s="4">
        <v>2</v>
      </c>
      <c r="AM1162" s="4">
        <v>5</v>
      </c>
      <c r="AN1162" s="4">
        <v>0</v>
      </c>
      <c r="AO1162" s="4">
        <v>0</v>
      </c>
      <c r="AP1162" s="3" t="s">
        <v>59</v>
      </c>
      <c r="AQ1162" s="3" t="s">
        <v>71</v>
      </c>
      <c r="AR1162" s="6" t="str">
        <f>HYPERLINK("http://catalog.hathitrust.org/Record/102214541","HathiTrust Record")</f>
        <v>HathiTrust Record</v>
      </c>
      <c r="AS1162" s="6" t="str">
        <f>HYPERLINK("https://creighton-primo.hosted.exlibrisgroup.com/primo-explore/search?tab=default_tab&amp;search_scope=EVERYTHING&amp;vid=01CRU&amp;lang=en_US&amp;offset=0&amp;query=any,contains,991001772939702656","Catalog Record")</f>
        <v>Catalog Record</v>
      </c>
      <c r="AT1162" s="6" t="str">
        <f>HYPERLINK("http://www.worldcat.org/oclc/5676006","WorldCat Record")</f>
        <v>WorldCat Record</v>
      </c>
      <c r="AU1162" s="3" t="s">
        <v>14616</v>
      </c>
      <c r="AV1162" s="3" t="s">
        <v>14617</v>
      </c>
      <c r="AW1162" s="3" t="s">
        <v>14618</v>
      </c>
      <c r="AX1162" s="3" t="s">
        <v>14618</v>
      </c>
      <c r="AY1162" s="3" t="s">
        <v>14619</v>
      </c>
      <c r="AZ1162" s="3" t="s">
        <v>76</v>
      </c>
      <c r="BB1162" s="3" t="s">
        <v>14620</v>
      </c>
      <c r="BC1162" s="3" t="s">
        <v>14621</v>
      </c>
      <c r="BD1162" s="3" t="s">
        <v>14622</v>
      </c>
    </row>
    <row r="1163" spans="1:56" ht="52.5" customHeight="1" x14ac:dyDescent="0.25">
      <c r="A1163" s="7" t="s">
        <v>59</v>
      </c>
      <c r="B1163" s="2" t="s">
        <v>14623</v>
      </c>
      <c r="C1163" s="2" t="s">
        <v>14624</v>
      </c>
      <c r="D1163" s="2" t="s">
        <v>14625</v>
      </c>
      <c r="F1163" s="3" t="s">
        <v>59</v>
      </c>
      <c r="G1163" s="3" t="s">
        <v>60</v>
      </c>
      <c r="H1163" s="3" t="s">
        <v>59</v>
      </c>
      <c r="I1163" s="3" t="s">
        <v>59</v>
      </c>
      <c r="J1163" s="3" t="s">
        <v>61</v>
      </c>
      <c r="K1163" s="2" t="s">
        <v>14626</v>
      </c>
      <c r="L1163" s="2" t="s">
        <v>14627</v>
      </c>
      <c r="M1163" s="3" t="s">
        <v>100</v>
      </c>
      <c r="O1163" s="3" t="s">
        <v>65</v>
      </c>
      <c r="P1163" s="3" t="s">
        <v>323</v>
      </c>
      <c r="R1163" s="3" t="s">
        <v>68</v>
      </c>
      <c r="S1163" s="4">
        <v>2</v>
      </c>
      <c r="T1163" s="4">
        <v>2</v>
      </c>
      <c r="U1163" s="5" t="s">
        <v>14628</v>
      </c>
      <c r="V1163" s="5" t="s">
        <v>14628</v>
      </c>
      <c r="W1163" s="5" t="s">
        <v>14629</v>
      </c>
      <c r="X1163" s="5" t="s">
        <v>14629</v>
      </c>
      <c r="Y1163" s="4">
        <v>321</v>
      </c>
      <c r="Z1163" s="4">
        <v>241</v>
      </c>
      <c r="AA1163" s="4">
        <v>248</v>
      </c>
      <c r="AB1163" s="4">
        <v>3</v>
      </c>
      <c r="AC1163" s="4">
        <v>3</v>
      </c>
      <c r="AD1163" s="4">
        <v>8</v>
      </c>
      <c r="AE1163" s="4">
        <v>8</v>
      </c>
      <c r="AF1163" s="4">
        <v>3</v>
      </c>
      <c r="AG1163" s="4">
        <v>3</v>
      </c>
      <c r="AH1163" s="4">
        <v>2</v>
      </c>
      <c r="AI1163" s="4">
        <v>2</v>
      </c>
      <c r="AJ1163" s="4">
        <v>3</v>
      </c>
      <c r="AK1163" s="4">
        <v>3</v>
      </c>
      <c r="AL1163" s="4">
        <v>2</v>
      </c>
      <c r="AM1163" s="4">
        <v>2</v>
      </c>
      <c r="AN1163" s="4">
        <v>0</v>
      </c>
      <c r="AO1163" s="4">
        <v>0</v>
      </c>
      <c r="AP1163" s="3" t="s">
        <v>59</v>
      </c>
      <c r="AQ1163" s="3" t="s">
        <v>71</v>
      </c>
      <c r="AR1163" s="6" t="str">
        <f>HYPERLINK("http://catalog.hathitrust.org/Record/000429440","HathiTrust Record")</f>
        <v>HathiTrust Record</v>
      </c>
      <c r="AS1163" s="6" t="str">
        <f>HYPERLINK("https://creighton-primo.hosted.exlibrisgroup.com/primo-explore/search?tab=default_tab&amp;search_scope=EVERYTHING&amp;vid=01CRU&amp;lang=en_US&amp;offset=0&amp;query=any,contains,991000804459702656","Catalog Record")</f>
        <v>Catalog Record</v>
      </c>
      <c r="AT1163" s="6" t="str">
        <f>HYPERLINK("http://www.worldcat.org/oclc/140128","WorldCat Record")</f>
        <v>WorldCat Record</v>
      </c>
      <c r="AU1163" s="3" t="s">
        <v>14630</v>
      </c>
      <c r="AV1163" s="3" t="s">
        <v>14631</v>
      </c>
      <c r="AW1163" s="3" t="s">
        <v>14632</v>
      </c>
      <c r="AX1163" s="3" t="s">
        <v>14632</v>
      </c>
      <c r="AY1163" s="3" t="s">
        <v>14633</v>
      </c>
      <c r="AZ1163" s="3" t="s">
        <v>76</v>
      </c>
      <c r="BB1163" s="3" t="s">
        <v>14634</v>
      </c>
      <c r="BC1163" s="3" t="s">
        <v>14635</v>
      </c>
      <c r="BD1163" s="3" t="s">
        <v>14636</v>
      </c>
    </row>
    <row r="1164" spans="1:56" ht="52.5" customHeight="1" x14ac:dyDescent="0.25">
      <c r="A1164" s="7" t="s">
        <v>59</v>
      </c>
      <c r="B1164" s="2" t="s">
        <v>14637</v>
      </c>
      <c r="C1164" s="2" t="s">
        <v>14638</v>
      </c>
      <c r="D1164" s="2" t="s">
        <v>14639</v>
      </c>
      <c r="F1164" s="3" t="s">
        <v>59</v>
      </c>
      <c r="G1164" s="3" t="s">
        <v>60</v>
      </c>
      <c r="H1164" s="3" t="s">
        <v>59</v>
      </c>
      <c r="I1164" s="3" t="s">
        <v>59</v>
      </c>
      <c r="J1164" s="3" t="s">
        <v>61</v>
      </c>
      <c r="K1164" s="2" t="s">
        <v>14640</v>
      </c>
      <c r="L1164" s="2" t="s">
        <v>14641</v>
      </c>
      <c r="M1164" s="3" t="s">
        <v>1000</v>
      </c>
      <c r="O1164" s="3" t="s">
        <v>65</v>
      </c>
      <c r="P1164" s="3" t="s">
        <v>66</v>
      </c>
      <c r="R1164" s="3" t="s">
        <v>68</v>
      </c>
      <c r="S1164" s="4">
        <v>3</v>
      </c>
      <c r="T1164" s="4">
        <v>3</v>
      </c>
      <c r="U1164" s="5" t="s">
        <v>14628</v>
      </c>
      <c r="V1164" s="5" t="s">
        <v>14628</v>
      </c>
      <c r="W1164" s="5" t="s">
        <v>477</v>
      </c>
      <c r="X1164" s="5" t="s">
        <v>477</v>
      </c>
      <c r="Y1164" s="4">
        <v>723</v>
      </c>
      <c r="Z1164" s="4">
        <v>640</v>
      </c>
      <c r="AA1164" s="4">
        <v>647</v>
      </c>
      <c r="AB1164" s="4">
        <v>4</v>
      </c>
      <c r="AC1164" s="4">
        <v>4</v>
      </c>
      <c r="AD1164" s="4">
        <v>26</v>
      </c>
      <c r="AE1164" s="4">
        <v>26</v>
      </c>
      <c r="AF1164" s="4">
        <v>11</v>
      </c>
      <c r="AG1164" s="4">
        <v>11</v>
      </c>
      <c r="AH1164" s="4">
        <v>6</v>
      </c>
      <c r="AI1164" s="4">
        <v>6</v>
      </c>
      <c r="AJ1164" s="4">
        <v>17</v>
      </c>
      <c r="AK1164" s="4">
        <v>17</v>
      </c>
      <c r="AL1164" s="4">
        <v>1</v>
      </c>
      <c r="AM1164" s="4">
        <v>1</v>
      </c>
      <c r="AN1164" s="4">
        <v>0</v>
      </c>
      <c r="AO1164" s="4">
        <v>0</v>
      </c>
      <c r="AP1164" s="3" t="s">
        <v>59</v>
      </c>
      <c r="AQ1164" s="3" t="s">
        <v>71</v>
      </c>
      <c r="AR1164" s="6" t="str">
        <f>HYPERLINK("http://catalog.hathitrust.org/Record/000725973","HathiTrust Record")</f>
        <v>HathiTrust Record</v>
      </c>
      <c r="AS1164" s="6" t="str">
        <f>HYPERLINK("https://creighton-primo.hosted.exlibrisgroup.com/primo-explore/search?tab=default_tab&amp;search_scope=EVERYTHING&amp;vid=01CRU&amp;lang=en_US&amp;offset=0&amp;query=any,contains,991004645299702656","Catalog Record")</f>
        <v>Catalog Record</v>
      </c>
      <c r="AT1164" s="6" t="str">
        <f>HYPERLINK("http://www.worldcat.org/oclc/4491107","WorldCat Record")</f>
        <v>WorldCat Record</v>
      </c>
      <c r="AU1164" s="3" t="s">
        <v>14642</v>
      </c>
      <c r="AV1164" s="3" t="s">
        <v>14643</v>
      </c>
      <c r="AW1164" s="3" t="s">
        <v>14644</v>
      </c>
      <c r="AX1164" s="3" t="s">
        <v>14644</v>
      </c>
      <c r="AY1164" s="3" t="s">
        <v>14645</v>
      </c>
      <c r="AZ1164" s="3" t="s">
        <v>76</v>
      </c>
      <c r="BB1164" s="3" t="s">
        <v>14646</v>
      </c>
      <c r="BC1164" s="3" t="s">
        <v>14647</v>
      </c>
      <c r="BD1164" s="3" t="s">
        <v>14648</v>
      </c>
    </row>
    <row r="1165" spans="1:56" ht="52.5" customHeight="1" x14ac:dyDescent="0.25">
      <c r="A1165" s="7" t="s">
        <v>59</v>
      </c>
      <c r="B1165" s="2" t="s">
        <v>14649</v>
      </c>
      <c r="C1165" s="2" t="s">
        <v>14650</v>
      </c>
      <c r="D1165" s="2" t="s">
        <v>14651</v>
      </c>
      <c r="F1165" s="3" t="s">
        <v>59</v>
      </c>
      <c r="G1165" s="3" t="s">
        <v>60</v>
      </c>
      <c r="H1165" s="3" t="s">
        <v>59</v>
      </c>
      <c r="I1165" s="3" t="s">
        <v>59</v>
      </c>
      <c r="J1165" s="3" t="s">
        <v>61</v>
      </c>
      <c r="L1165" s="2" t="s">
        <v>14652</v>
      </c>
      <c r="M1165" s="3" t="s">
        <v>1000</v>
      </c>
      <c r="O1165" s="3" t="s">
        <v>65</v>
      </c>
      <c r="P1165" s="3" t="s">
        <v>66</v>
      </c>
      <c r="R1165" s="3" t="s">
        <v>68</v>
      </c>
      <c r="S1165" s="4">
        <v>8</v>
      </c>
      <c r="T1165" s="4">
        <v>8</v>
      </c>
      <c r="U1165" s="5" t="s">
        <v>6006</v>
      </c>
      <c r="V1165" s="5" t="s">
        <v>6006</v>
      </c>
      <c r="W1165" s="5" t="s">
        <v>12479</v>
      </c>
      <c r="X1165" s="5" t="s">
        <v>12479</v>
      </c>
      <c r="Y1165" s="4">
        <v>635</v>
      </c>
      <c r="Z1165" s="4">
        <v>527</v>
      </c>
      <c r="AA1165" s="4">
        <v>726</v>
      </c>
      <c r="AB1165" s="4">
        <v>5</v>
      </c>
      <c r="AC1165" s="4">
        <v>8</v>
      </c>
      <c r="AD1165" s="4">
        <v>20</v>
      </c>
      <c r="AE1165" s="4">
        <v>34</v>
      </c>
      <c r="AF1165" s="4">
        <v>10</v>
      </c>
      <c r="AG1165" s="4">
        <v>15</v>
      </c>
      <c r="AH1165" s="4">
        <v>4</v>
      </c>
      <c r="AI1165" s="4">
        <v>5</v>
      </c>
      <c r="AJ1165" s="4">
        <v>7</v>
      </c>
      <c r="AK1165" s="4">
        <v>15</v>
      </c>
      <c r="AL1165" s="4">
        <v>3</v>
      </c>
      <c r="AM1165" s="4">
        <v>6</v>
      </c>
      <c r="AN1165" s="4">
        <v>0</v>
      </c>
      <c r="AO1165" s="4">
        <v>0</v>
      </c>
      <c r="AP1165" s="3" t="s">
        <v>59</v>
      </c>
      <c r="AQ1165" s="3" t="s">
        <v>71</v>
      </c>
      <c r="AR1165" s="6" t="str">
        <f>HYPERLINK("http://catalog.hathitrust.org/Record/000033276","HathiTrust Record")</f>
        <v>HathiTrust Record</v>
      </c>
      <c r="AS1165" s="6" t="str">
        <f>HYPERLINK("https://creighton-primo.hosted.exlibrisgroup.com/primo-explore/search?tab=default_tab&amp;search_scope=EVERYTHING&amp;vid=01CRU&amp;lang=en_US&amp;offset=0&amp;query=any,contains,991004681929702656","Catalog Record")</f>
        <v>Catalog Record</v>
      </c>
      <c r="AT1165" s="6" t="str">
        <f>HYPERLINK("http://www.worldcat.org/oclc/4570419","WorldCat Record")</f>
        <v>WorldCat Record</v>
      </c>
      <c r="AU1165" s="3" t="s">
        <v>14653</v>
      </c>
      <c r="AV1165" s="3" t="s">
        <v>14654</v>
      </c>
      <c r="AW1165" s="3" t="s">
        <v>14655</v>
      </c>
      <c r="AX1165" s="3" t="s">
        <v>14655</v>
      </c>
      <c r="AY1165" s="3" t="s">
        <v>14656</v>
      </c>
      <c r="AZ1165" s="3" t="s">
        <v>76</v>
      </c>
      <c r="BB1165" s="3" t="s">
        <v>14657</v>
      </c>
      <c r="BC1165" s="3" t="s">
        <v>14658</v>
      </c>
      <c r="BD1165" s="3" t="s">
        <v>14659</v>
      </c>
    </row>
    <row r="1166" spans="1:56" ht="52.5" customHeight="1" x14ac:dyDescent="0.25">
      <c r="A1166" s="7" t="s">
        <v>59</v>
      </c>
      <c r="B1166" s="2" t="s">
        <v>14660</v>
      </c>
      <c r="C1166" s="2" t="s">
        <v>14661</v>
      </c>
      <c r="D1166" s="2" t="s">
        <v>14662</v>
      </c>
      <c r="F1166" s="3" t="s">
        <v>59</v>
      </c>
      <c r="G1166" s="3" t="s">
        <v>60</v>
      </c>
      <c r="H1166" s="3" t="s">
        <v>59</v>
      </c>
      <c r="I1166" s="3" t="s">
        <v>59</v>
      </c>
      <c r="J1166" s="3" t="s">
        <v>61</v>
      </c>
      <c r="K1166" s="2" t="s">
        <v>14663</v>
      </c>
      <c r="L1166" s="2" t="s">
        <v>14664</v>
      </c>
      <c r="M1166" s="3" t="s">
        <v>549</v>
      </c>
      <c r="O1166" s="3" t="s">
        <v>65</v>
      </c>
      <c r="P1166" s="3" t="s">
        <v>283</v>
      </c>
      <c r="R1166" s="3" t="s">
        <v>68</v>
      </c>
      <c r="S1166" s="4">
        <v>13</v>
      </c>
      <c r="T1166" s="4">
        <v>13</v>
      </c>
      <c r="U1166" s="5" t="s">
        <v>14628</v>
      </c>
      <c r="V1166" s="5" t="s">
        <v>14628</v>
      </c>
      <c r="W1166" s="5" t="s">
        <v>10438</v>
      </c>
      <c r="X1166" s="5" t="s">
        <v>10438</v>
      </c>
      <c r="Y1166" s="4">
        <v>162</v>
      </c>
      <c r="Z1166" s="4">
        <v>138</v>
      </c>
      <c r="AA1166" s="4">
        <v>222</v>
      </c>
      <c r="AB1166" s="4">
        <v>4</v>
      </c>
      <c r="AC1166" s="4">
        <v>5</v>
      </c>
      <c r="AD1166" s="4">
        <v>8</v>
      </c>
      <c r="AE1166" s="4">
        <v>16</v>
      </c>
      <c r="AF1166" s="4">
        <v>2</v>
      </c>
      <c r="AG1166" s="4">
        <v>6</v>
      </c>
      <c r="AH1166" s="4">
        <v>0</v>
      </c>
      <c r="AI1166" s="4">
        <v>3</v>
      </c>
      <c r="AJ1166" s="4">
        <v>5</v>
      </c>
      <c r="AK1166" s="4">
        <v>9</v>
      </c>
      <c r="AL1166" s="4">
        <v>2</v>
      </c>
      <c r="AM1166" s="4">
        <v>3</v>
      </c>
      <c r="AN1166" s="4">
        <v>0</v>
      </c>
      <c r="AO1166" s="4">
        <v>0</v>
      </c>
      <c r="AP1166" s="3" t="s">
        <v>59</v>
      </c>
      <c r="AQ1166" s="3" t="s">
        <v>71</v>
      </c>
      <c r="AR1166" s="6" t="str">
        <f>HYPERLINK("http://catalog.hathitrust.org/Record/004446480","HathiTrust Record")</f>
        <v>HathiTrust Record</v>
      </c>
      <c r="AS1166" s="6" t="str">
        <f>HYPERLINK("https://creighton-primo.hosted.exlibrisgroup.com/primo-explore/search?tab=default_tab&amp;search_scope=EVERYTHING&amp;vid=01CRU&amp;lang=en_US&amp;offset=0&amp;query=any,contains,991000678199702656","Catalog Record")</f>
        <v>Catalog Record</v>
      </c>
      <c r="AT1166" s="6" t="str">
        <f>HYPERLINK("http://www.worldcat.org/oclc/12370849","WorldCat Record")</f>
        <v>WorldCat Record</v>
      </c>
      <c r="AU1166" s="3" t="s">
        <v>14665</v>
      </c>
      <c r="AV1166" s="3" t="s">
        <v>14666</v>
      </c>
      <c r="AW1166" s="3" t="s">
        <v>14667</v>
      </c>
      <c r="AX1166" s="3" t="s">
        <v>14667</v>
      </c>
      <c r="AY1166" s="3" t="s">
        <v>14668</v>
      </c>
      <c r="AZ1166" s="3" t="s">
        <v>76</v>
      </c>
      <c r="BB1166" s="3" t="s">
        <v>14669</v>
      </c>
      <c r="BC1166" s="3" t="s">
        <v>14670</v>
      </c>
      <c r="BD1166" s="3" t="s">
        <v>14671</v>
      </c>
    </row>
    <row r="1167" spans="1:56" ht="52.5" customHeight="1" x14ac:dyDescent="0.25">
      <c r="A1167" s="7" t="s">
        <v>59</v>
      </c>
      <c r="B1167" s="2" t="s">
        <v>14672</v>
      </c>
      <c r="C1167" s="2" t="s">
        <v>14673</v>
      </c>
      <c r="D1167" s="2" t="s">
        <v>14674</v>
      </c>
      <c r="F1167" s="3" t="s">
        <v>59</v>
      </c>
      <c r="G1167" s="3" t="s">
        <v>60</v>
      </c>
      <c r="H1167" s="3" t="s">
        <v>59</v>
      </c>
      <c r="I1167" s="3" t="s">
        <v>59</v>
      </c>
      <c r="J1167" s="3" t="s">
        <v>61</v>
      </c>
      <c r="K1167" s="2" t="s">
        <v>14675</v>
      </c>
      <c r="L1167" s="2" t="s">
        <v>14676</v>
      </c>
      <c r="M1167" s="3" t="s">
        <v>131</v>
      </c>
      <c r="O1167" s="3" t="s">
        <v>65</v>
      </c>
      <c r="P1167" s="3" t="s">
        <v>66</v>
      </c>
      <c r="R1167" s="3" t="s">
        <v>68</v>
      </c>
      <c r="S1167" s="4">
        <v>3</v>
      </c>
      <c r="T1167" s="4">
        <v>3</v>
      </c>
      <c r="U1167" s="5" t="s">
        <v>14614</v>
      </c>
      <c r="V1167" s="5" t="s">
        <v>14614</v>
      </c>
      <c r="W1167" s="5" t="s">
        <v>227</v>
      </c>
      <c r="X1167" s="5" t="s">
        <v>227</v>
      </c>
      <c r="Y1167" s="4">
        <v>334</v>
      </c>
      <c r="Z1167" s="4">
        <v>252</v>
      </c>
      <c r="AA1167" s="4">
        <v>277</v>
      </c>
      <c r="AB1167" s="4">
        <v>3</v>
      </c>
      <c r="AC1167" s="4">
        <v>3</v>
      </c>
      <c r="AD1167" s="4">
        <v>9</v>
      </c>
      <c r="AE1167" s="4">
        <v>9</v>
      </c>
      <c r="AF1167" s="4">
        <v>3</v>
      </c>
      <c r="AG1167" s="4">
        <v>3</v>
      </c>
      <c r="AH1167" s="4">
        <v>3</v>
      </c>
      <c r="AI1167" s="4">
        <v>3</v>
      </c>
      <c r="AJ1167" s="4">
        <v>4</v>
      </c>
      <c r="AK1167" s="4">
        <v>4</v>
      </c>
      <c r="AL1167" s="4">
        <v>1</v>
      </c>
      <c r="AM1167" s="4">
        <v>1</v>
      </c>
      <c r="AN1167" s="4">
        <v>0</v>
      </c>
      <c r="AO1167" s="4">
        <v>0</v>
      </c>
      <c r="AP1167" s="3" t="s">
        <v>59</v>
      </c>
      <c r="AQ1167" s="3" t="s">
        <v>71</v>
      </c>
      <c r="AR1167" s="6" t="str">
        <f>HYPERLINK("http://catalog.hathitrust.org/Record/000017132","HathiTrust Record")</f>
        <v>HathiTrust Record</v>
      </c>
      <c r="AS1167" s="6" t="str">
        <f>HYPERLINK("https://creighton-primo.hosted.exlibrisgroup.com/primo-explore/search?tab=default_tab&amp;search_scope=EVERYTHING&amp;vid=01CRU&amp;lang=en_US&amp;offset=0&amp;query=any,contains,991003484069702656","Catalog Record")</f>
        <v>Catalog Record</v>
      </c>
      <c r="AT1167" s="6" t="str">
        <f>HYPERLINK("http://www.worldcat.org/oclc/1031369","WorldCat Record")</f>
        <v>WorldCat Record</v>
      </c>
      <c r="AU1167" s="3" t="s">
        <v>14677</v>
      </c>
      <c r="AV1167" s="3" t="s">
        <v>14678</v>
      </c>
      <c r="AW1167" s="3" t="s">
        <v>14679</v>
      </c>
      <c r="AX1167" s="3" t="s">
        <v>14679</v>
      </c>
      <c r="AY1167" s="3" t="s">
        <v>14680</v>
      </c>
      <c r="AZ1167" s="3" t="s">
        <v>76</v>
      </c>
      <c r="BB1167" s="3" t="s">
        <v>14681</v>
      </c>
      <c r="BC1167" s="3" t="s">
        <v>14682</v>
      </c>
      <c r="BD1167" s="3" t="s">
        <v>14683</v>
      </c>
    </row>
    <row r="1168" spans="1:56" ht="52.5" customHeight="1" x14ac:dyDescent="0.25">
      <c r="A1168" s="7" t="s">
        <v>59</v>
      </c>
      <c r="B1168" s="2" t="s">
        <v>14684</v>
      </c>
      <c r="C1168" s="2" t="s">
        <v>14685</v>
      </c>
      <c r="D1168" s="2" t="s">
        <v>14686</v>
      </c>
      <c r="F1168" s="3" t="s">
        <v>59</v>
      </c>
      <c r="G1168" s="3" t="s">
        <v>60</v>
      </c>
      <c r="H1168" s="3" t="s">
        <v>59</v>
      </c>
      <c r="I1168" s="3" t="s">
        <v>59</v>
      </c>
      <c r="J1168" s="3" t="s">
        <v>61</v>
      </c>
      <c r="K1168" s="2" t="s">
        <v>14687</v>
      </c>
      <c r="L1168" s="2" t="s">
        <v>14688</v>
      </c>
      <c r="M1168" s="3" t="s">
        <v>100</v>
      </c>
      <c r="O1168" s="3" t="s">
        <v>65</v>
      </c>
      <c r="P1168" s="3" t="s">
        <v>283</v>
      </c>
      <c r="R1168" s="3" t="s">
        <v>68</v>
      </c>
      <c r="S1168" s="4">
        <v>1</v>
      </c>
      <c r="T1168" s="4">
        <v>1</v>
      </c>
      <c r="U1168" s="5" t="s">
        <v>14628</v>
      </c>
      <c r="V1168" s="5" t="s">
        <v>14628</v>
      </c>
      <c r="W1168" s="5" t="s">
        <v>13189</v>
      </c>
      <c r="X1168" s="5" t="s">
        <v>13189</v>
      </c>
      <c r="Y1168" s="4">
        <v>201</v>
      </c>
      <c r="Z1168" s="4">
        <v>177</v>
      </c>
      <c r="AA1168" s="4">
        <v>319</v>
      </c>
      <c r="AB1168" s="4">
        <v>2</v>
      </c>
      <c r="AC1168" s="4">
        <v>6</v>
      </c>
      <c r="AD1168" s="4">
        <v>6</v>
      </c>
      <c r="AE1168" s="4">
        <v>12</v>
      </c>
      <c r="AF1168" s="4">
        <v>2</v>
      </c>
      <c r="AG1168" s="4">
        <v>3</v>
      </c>
      <c r="AH1168" s="4">
        <v>0</v>
      </c>
      <c r="AI1168" s="4">
        <v>0</v>
      </c>
      <c r="AJ1168" s="4">
        <v>4</v>
      </c>
      <c r="AK1168" s="4">
        <v>6</v>
      </c>
      <c r="AL1168" s="4">
        <v>1</v>
      </c>
      <c r="AM1168" s="4">
        <v>4</v>
      </c>
      <c r="AN1168" s="4">
        <v>0</v>
      </c>
      <c r="AO1168" s="4">
        <v>0</v>
      </c>
      <c r="AP1168" s="3" t="s">
        <v>59</v>
      </c>
      <c r="AQ1168" s="3" t="s">
        <v>59</v>
      </c>
      <c r="AS1168" s="6" t="str">
        <f>HYPERLINK("https://creighton-primo.hosted.exlibrisgroup.com/primo-explore/search?tab=default_tab&amp;search_scope=EVERYTHING&amp;vid=01CRU&amp;lang=en_US&amp;offset=0&amp;query=any,contains,991001162259702656","Catalog Record")</f>
        <v>Catalog Record</v>
      </c>
      <c r="AT1168" s="6" t="str">
        <f>HYPERLINK("http://www.worldcat.org/oclc/186869","WorldCat Record")</f>
        <v>WorldCat Record</v>
      </c>
      <c r="AU1168" s="3" t="s">
        <v>14689</v>
      </c>
      <c r="AV1168" s="3" t="s">
        <v>14690</v>
      </c>
      <c r="AW1168" s="3" t="s">
        <v>14691</v>
      </c>
      <c r="AX1168" s="3" t="s">
        <v>14691</v>
      </c>
      <c r="AY1168" s="3" t="s">
        <v>14692</v>
      </c>
      <c r="AZ1168" s="3" t="s">
        <v>76</v>
      </c>
      <c r="BC1168" s="3" t="s">
        <v>14693</v>
      </c>
      <c r="BD1168" s="3" t="s">
        <v>14694</v>
      </c>
    </row>
    <row r="1169" spans="1:56" ht="52.5" customHeight="1" x14ac:dyDescent="0.25">
      <c r="A1169" s="7" t="s">
        <v>59</v>
      </c>
      <c r="B1169" s="2" t="s">
        <v>14695</v>
      </c>
      <c r="C1169" s="2" t="s">
        <v>14696</v>
      </c>
      <c r="D1169" s="2" t="s">
        <v>14697</v>
      </c>
      <c r="F1169" s="3" t="s">
        <v>59</v>
      </c>
      <c r="G1169" s="3" t="s">
        <v>60</v>
      </c>
      <c r="H1169" s="3" t="s">
        <v>59</v>
      </c>
      <c r="I1169" s="3" t="s">
        <v>59</v>
      </c>
      <c r="J1169" s="3" t="s">
        <v>61</v>
      </c>
      <c r="L1169" s="2" t="s">
        <v>14698</v>
      </c>
      <c r="M1169" s="3" t="s">
        <v>1000</v>
      </c>
      <c r="O1169" s="3" t="s">
        <v>65</v>
      </c>
      <c r="P1169" s="3" t="s">
        <v>66</v>
      </c>
      <c r="Q1169" s="2" t="s">
        <v>1164</v>
      </c>
      <c r="R1169" s="3" t="s">
        <v>68</v>
      </c>
      <c r="S1169" s="4">
        <v>14</v>
      </c>
      <c r="T1169" s="4">
        <v>14</v>
      </c>
      <c r="U1169" s="5" t="s">
        <v>14699</v>
      </c>
      <c r="V1169" s="5" t="s">
        <v>14699</v>
      </c>
      <c r="W1169" s="5" t="s">
        <v>14700</v>
      </c>
      <c r="X1169" s="5" t="s">
        <v>14700</v>
      </c>
      <c r="Y1169" s="4">
        <v>871</v>
      </c>
      <c r="Z1169" s="4">
        <v>684</v>
      </c>
      <c r="AA1169" s="4">
        <v>692</v>
      </c>
      <c r="AB1169" s="4">
        <v>6</v>
      </c>
      <c r="AC1169" s="4">
        <v>6</v>
      </c>
      <c r="AD1169" s="4">
        <v>28</v>
      </c>
      <c r="AE1169" s="4">
        <v>28</v>
      </c>
      <c r="AF1169" s="4">
        <v>9</v>
      </c>
      <c r="AG1169" s="4">
        <v>9</v>
      </c>
      <c r="AH1169" s="4">
        <v>9</v>
      </c>
      <c r="AI1169" s="4">
        <v>9</v>
      </c>
      <c r="AJ1169" s="4">
        <v>15</v>
      </c>
      <c r="AK1169" s="4">
        <v>15</v>
      </c>
      <c r="AL1169" s="4">
        <v>4</v>
      </c>
      <c r="AM1169" s="4">
        <v>4</v>
      </c>
      <c r="AN1169" s="4">
        <v>0</v>
      </c>
      <c r="AO1169" s="4">
        <v>0</v>
      </c>
      <c r="AP1169" s="3" t="s">
        <v>59</v>
      </c>
      <c r="AQ1169" s="3" t="s">
        <v>59</v>
      </c>
      <c r="AS1169" s="6" t="str">
        <f>HYPERLINK("https://creighton-primo.hosted.exlibrisgroup.com/primo-explore/search?tab=default_tab&amp;search_scope=EVERYTHING&amp;vid=01CRU&amp;lang=en_US&amp;offset=0&amp;query=any,contains,991004840029702656","Catalog Record")</f>
        <v>Catalog Record</v>
      </c>
      <c r="AT1169" s="6" t="str">
        <f>HYPERLINK("http://www.worldcat.org/oclc/5496180","WorldCat Record")</f>
        <v>WorldCat Record</v>
      </c>
      <c r="AU1169" s="3" t="s">
        <v>14701</v>
      </c>
      <c r="AV1169" s="3" t="s">
        <v>14702</v>
      </c>
      <c r="AW1169" s="3" t="s">
        <v>14703</v>
      </c>
      <c r="AX1169" s="3" t="s">
        <v>14703</v>
      </c>
      <c r="AY1169" s="3" t="s">
        <v>14704</v>
      </c>
      <c r="AZ1169" s="3" t="s">
        <v>76</v>
      </c>
      <c r="BB1169" s="3" t="s">
        <v>14705</v>
      </c>
      <c r="BC1169" s="3" t="s">
        <v>14706</v>
      </c>
      <c r="BD1169" s="3" t="s">
        <v>14707</v>
      </c>
    </row>
    <row r="1170" spans="1:56" ht="52.5" customHeight="1" x14ac:dyDescent="0.25">
      <c r="A1170" s="7" t="s">
        <v>59</v>
      </c>
      <c r="B1170" s="2" t="s">
        <v>14708</v>
      </c>
      <c r="C1170" s="2" t="s">
        <v>14709</v>
      </c>
      <c r="D1170" s="2" t="s">
        <v>14710</v>
      </c>
      <c r="F1170" s="3" t="s">
        <v>59</v>
      </c>
      <c r="G1170" s="3" t="s">
        <v>60</v>
      </c>
      <c r="H1170" s="3" t="s">
        <v>59</v>
      </c>
      <c r="I1170" s="3" t="s">
        <v>59</v>
      </c>
      <c r="J1170" s="3" t="s">
        <v>61</v>
      </c>
      <c r="L1170" s="2" t="s">
        <v>14711</v>
      </c>
      <c r="M1170" s="3" t="s">
        <v>405</v>
      </c>
      <c r="O1170" s="3" t="s">
        <v>65</v>
      </c>
      <c r="P1170" s="3" t="s">
        <v>66</v>
      </c>
      <c r="Q1170" s="2" t="s">
        <v>14712</v>
      </c>
      <c r="R1170" s="3" t="s">
        <v>68</v>
      </c>
      <c r="S1170" s="4">
        <v>11</v>
      </c>
      <c r="T1170" s="4">
        <v>11</v>
      </c>
      <c r="U1170" s="5" t="s">
        <v>1573</v>
      </c>
      <c r="V1170" s="5" t="s">
        <v>1573</v>
      </c>
      <c r="W1170" s="5" t="s">
        <v>10438</v>
      </c>
      <c r="X1170" s="5" t="s">
        <v>10438</v>
      </c>
      <c r="Y1170" s="4">
        <v>515</v>
      </c>
      <c r="Z1170" s="4">
        <v>388</v>
      </c>
      <c r="AA1170" s="4">
        <v>398</v>
      </c>
      <c r="AB1170" s="4">
        <v>4</v>
      </c>
      <c r="AC1170" s="4">
        <v>4</v>
      </c>
      <c r="AD1170" s="4">
        <v>16</v>
      </c>
      <c r="AE1170" s="4">
        <v>16</v>
      </c>
      <c r="AF1170" s="4">
        <v>3</v>
      </c>
      <c r="AG1170" s="4">
        <v>3</v>
      </c>
      <c r="AH1170" s="4">
        <v>3</v>
      </c>
      <c r="AI1170" s="4">
        <v>3</v>
      </c>
      <c r="AJ1170" s="4">
        <v>10</v>
      </c>
      <c r="AK1170" s="4">
        <v>10</v>
      </c>
      <c r="AL1170" s="4">
        <v>3</v>
      </c>
      <c r="AM1170" s="4">
        <v>3</v>
      </c>
      <c r="AN1170" s="4">
        <v>0</v>
      </c>
      <c r="AO1170" s="4">
        <v>0</v>
      </c>
      <c r="AP1170" s="3" t="s">
        <v>59</v>
      </c>
      <c r="AQ1170" s="3" t="s">
        <v>71</v>
      </c>
      <c r="AR1170" s="6" t="str">
        <f>HYPERLINK("http://catalog.hathitrust.org/Record/000884151","HathiTrust Record")</f>
        <v>HathiTrust Record</v>
      </c>
      <c r="AS1170" s="6" t="str">
        <f>HYPERLINK("https://creighton-primo.hosted.exlibrisgroup.com/primo-explore/search?tab=default_tab&amp;search_scope=EVERYTHING&amp;vid=01CRU&amp;lang=en_US&amp;offset=0&amp;query=any,contains,991000867259702656","Catalog Record")</f>
        <v>Catalog Record</v>
      </c>
      <c r="AT1170" s="6" t="str">
        <f>HYPERLINK("http://www.worldcat.org/oclc/13760567","WorldCat Record")</f>
        <v>WorldCat Record</v>
      </c>
      <c r="AU1170" s="3" t="s">
        <v>14713</v>
      </c>
      <c r="AV1170" s="3" t="s">
        <v>14714</v>
      </c>
      <c r="AW1170" s="3" t="s">
        <v>14715</v>
      </c>
      <c r="AX1170" s="3" t="s">
        <v>14715</v>
      </c>
      <c r="AY1170" s="3" t="s">
        <v>14716</v>
      </c>
      <c r="AZ1170" s="3" t="s">
        <v>76</v>
      </c>
      <c r="BB1170" s="3" t="s">
        <v>14717</v>
      </c>
      <c r="BC1170" s="3" t="s">
        <v>14718</v>
      </c>
      <c r="BD1170" s="3" t="s">
        <v>14719</v>
      </c>
    </row>
    <row r="1171" spans="1:56" ht="52.5" customHeight="1" x14ac:dyDescent="0.25">
      <c r="A1171" s="7" t="s">
        <v>59</v>
      </c>
      <c r="B1171" s="2" t="s">
        <v>14720</v>
      </c>
      <c r="C1171" s="2" t="s">
        <v>14721</v>
      </c>
      <c r="D1171" s="2" t="s">
        <v>14722</v>
      </c>
      <c r="F1171" s="3" t="s">
        <v>59</v>
      </c>
      <c r="G1171" s="3" t="s">
        <v>60</v>
      </c>
      <c r="H1171" s="3" t="s">
        <v>59</v>
      </c>
      <c r="I1171" s="3" t="s">
        <v>59</v>
      </c>
      <c r="J1171" s="3" t="s">
        <v>61</v>
      </c>
      <c r="L1171" s="2" t="s">
        <v>14723</v>
      </c>
      <c r="M1171" s="3" t="s">
        <v>1000</v>
      </c>
      <c r="O1171" s="3" t="s">
        <v>65</v>
      </c>
      <c r="P1171" s="3" t="s">
        <v>14724</v>
      </c>
      <c r="R1171" s="3" t="s">
        <v>68</v>
      </c>
      <c r="S1171" s="4">
        <v>1</v>
      </c>
      <c r="T1171" s="4">
        <v>1</v>
      </c>
      <c r="U1171" s="5" t="s">
        <v>5375</v>
      </c>
      <c r="V1171" s="5" t="s">
        <v>5375</v>
      </c>
      <c r="W1171" s="5" t="s">
        <v>5201</v>
      </c>
      <c r="X1171" s="5" t="s">
        <v>5201</v>
      </c>
      <c r="Y1171" s="4">
        <v>161</v>
      </c>
      <c r="Z1171" s="4">
        <v>116</v>
      </c>
      <c r="AA1171" s="4">
        <v>198</v>
      </c>
      <c r="AB1171" s="4">
        <v>2</v>
      </c>
      <c r="AC1171" s="4">
        <v>2</v>
      </c>
      <c r="AD1171" s="4">
        <v>4</v>
      </c>
      <c r="AE1171" s="4">
        <v>5</v>
      </c>
      <c r="AF1171" s="4">
        <v>0</v>
      </c>
      <c r="AG1171" s="4">
        <v>0</v>
      </c>
      <c r="AH1171" s="4">
        <v>2</v>
      </c>
      <c r="AI1171" s="4">
        <v>2</v>
      </c>
      <c r="AJ1171" s="4">
        <v>3</v>
      </c>
      <c r="AK1171" s="4">
        <v>4</v>
      </c>
      <c r="AL1171" s="4">
        <v>1</v>
      </c>
      <c r="AM1171" s="4">
        <v>1</v>
      </c>
      <c r="AN1171" s="4">
        <v>0</v>
      </c>
      <c r="AO1171" s="4">
        <v>0</v>
      </c>
      <c r="AP1171" s="3" t="s">
        <v>59</v>
      </c>
      <c r="AQ1171" s="3" t="s">
        <v>71</v>
      </c>
      <c r="AR1171" s="6" t="str">
        <f>HYPERLINK("http://catalog.hathitrust.org/Record/000095092","HathiTrust Record")</f>
        <v>HathiTrust Record</v>
      </c>
      <c r="AS1171" s="6" t="str">
        <f>HYPERLINK("https://creighton-primo.hosted.exlibrisgroup.com/primo-explore/search?tab=default_tab&amp;search_scope=EVERYTHING&amp;vid=01CRU&amp;lang=en_US&amp;offset=0&amp;query=any,contains,991004891379702656","Catalog Record")</f>
        <v>Catalog Record</v>
      </c>
      <c r="AT1171" s="6" t="str">
        <f>HYPERLINK("http://www.worldcat.org/oclc/5877693","WorldCat Record")</f>
        <v>WorldCat Record</v>
      </c>
      <c r="AU1171" s="3" t="s">
        <v>14725</v>
      </c>
      <c r="AV1171" s="3" t="s">
        <v>14726</v>
      </c>
      <c r="AW1171" s="3" t="s">
        <v>14727</v>
      </c>
      <c r="AX1171" s="3" t="s">
        <v>14727</v>
      </c>
      <c r="AY1171" s="3" t="s">
        <v>14728</v>
      </c>
      <c r="AZ1171" s="3" t="s">
        <v>76</v>
      </c>
      <c r="BC1171" s="3" t="s">
        <v>14729</v>
      </c>
      <c r="BD1171" s="3" t="s">
        <v>14730</v>
      </c>
    </row>
    <row r="1172" spans="1:56" ht="52.5" customHeight="1" x14ac:dyDescent="0.25">
      <c r="A1172" s="7" t="s">
        <v>59</v>
      </c>
      <c r="B1172" s="2" t="s">
        <v>14731</v>
      </c>
      <c r="C1172" s="2" t="s">
        <v>14732</v>
      </c>
      <c r="D1172" s="2" t="s">
        <v>14733</v>
      </c>
      <c r="F1172" s="3" t="s">
        <v>59</v>
      </c>
      <c r="G1172" s="3" t="s">
        <v>60</v>
      </c>
      <c r="H1172" s="3" t="s">
        <v>59</v>
      </c>
      <c r="I1172" s="3" t="s">
        <v>59</v>
      </c>
      <c r="J1172" s="3" t="s">
        <v>61</v>
      </c>
      <c r="K1172" s="2" t="s">
        <v>14734</v>
      </c>
      <c r="L1172" s="2" t="s">
        <v>14735</v>
      </c>
      <c r="M1172" s="3" t="s">
        <v>1467</v>
      </c>
      <c r="N1172" s="2" t="s">
        <v>1289</v>
      </c>
      <c r="O1172" s="3" t="s">
        <v>65</v>
      </c>
      <c r="P1172" s="3" t="s">
        <v>66</v>
      </c>
      <c r="R1172" s="3" t="s">
        <v>68</v>
      </c>
      <c r="S1172" s="4">
        <v>2</v>
      </c>
      <c r="T1172" s="4">
        <v>2</v>
      </c>
      <c r="U1172" s="5" t="s">
        <v>14736</v>
      </c>
      <c r="V1172" s="5" t="s">
        <v>14736</v>
      </c>
      <c r="W1172" s="5" t="s">
        <v>7421</v>
      </c>
      <c r="X1172" s="5" t="s">
        <v>7421</v>
      </c>
      <c r="Y1172" s="4">
        <v>708</v>
      </c>
      <c r="Z1172" s="4">
        <v>575</v>
      </c>
      <c r="AA1172" s="4">
        <v>955</v>
      </c>
      <c r="AB1172" s="4">
        <v>6</v>
      </c>
      <c r="AC1172" s="4">
        <v>7</v>
      </c>
      <c r="AD1172" s="4">
        <v>25</v>
      </c>
      <c r="AE1172" s="4">
        <v>30</v>
      </c>
      <c r="AF1172" s="4">
        <v>9</v>
      </c>
      <c r="AG1172" s="4">
        <v>12</v>
      </c>
      <c r="AH1172" s="4">
        <v>5</v>
      </c>
      <c r="AI1172" s="4">
        <v>6</v>
      </c>
      <c r="AJ1172" s="4">
        <v>13</v>
      </c>
      <c r="AK1172" s="4">
        <v>16</v>
      </c>
      <c r="AL1172" s="4">
        <v>4</v>
      </c>
      <c r="AM1172" s="4">
        <v>5</v>
      </c>
      <c r="AN1172" s="4">
        <v>0</v>
      </c>
      <c r="AO1172" s="4">
        <v>0</v>
      </c>
      <c r="AP1172" s="3" t="s">
        <v>59</v>
      </c>
      <c r="AQ1172" s="3" t="s">
        <v>71</v>
      </c>
      <c r="AR1172" s="6" t="str">
        <f>HYPERLINK("http://catalog.hathitrust.org/Record/000429677","HathiTrust Record")</f>
        <v>HathiTrust Record</v>
      </c>
      <c r="AS1172" s="6" t="str">
        <f>HYPERLINK("https://creighton-primo.hosted.exlibrisgroup.com/primo-explore/search?tab=default_tab&amp;search_scope=EVERYTHING&amp;vid=01CRU&amp;lang=en_US&amp;offset=0&amp;query=any,contains,991002733559702656","Catalog Record")</f>
        <v>Catalog Record</v>
      </c>
      <c r="AT1172" s="6" t="str">
        <f>HYPERLINK("http://www.worldcat.org/oclc/418149","WorldCat Record")</f>
        <v>WorldCat Record</v>
      </c>
      <c r="AU1172" s="3" t="s">
        <v>14737</v>
      </c>
      <c r="AV1172" s="3" t="s">
        <v>14738</v>
      </c>
      <c r="AW1172" s="3" t="s">
        <v>14739</v>
      </c>
      <c r="AX1172" s="3" t="s">
        <v>14739</v>
      </c>
      <c r="AY1172" s="3" t="s">
        <v>14740</v>
      </c>
      <c r="AZ1172" s="3" t="s">
        <v>76</v>
      </c>
      <c r="BC1172" s="3" t="s">
        <v>14741</v>
      </c>
      <c r="BD1172" s="3" t="s">
        <v>14742</v>
      </c>
    </row>
    <row r="1173" spans="1:56" ht="52.5" customHeight="1" x14ac:dyDescent="0.25">
      <c r="A1173" s="7" t="s">
        <v>59</v>
      </c>
      <c r="B1173" s="2" t="s">
        <v>14743</v>
      </c>
      <c r="C1173" s="2" t="s">
        <v>14744</v>
      </c>
      <c r="D1173" s="2" t="s">
        <v>14745</v>
      </c>
      <c r="F1173" s="3" t="s">
        <v>59</v>
      </c>
      <c r="G1173" s="3" t="s">
        <v>60</v>
      </c>
      <c r="H1173" s="3" t="s">
        <v>59</v>
      </c>
      <c r="I1173" s="3" t="s">
        <v>59</v>
      </c>
      <c r="J1173" s="3" t="s">
        <v>61</v>
      </c>
      <c r="K1173" s="2" t="s">
        <v>14746</v>
      </c>
      <c r="L1173" s="2" t="s">
        <v>14747</v>
      </c>
      <c r="M1173" s="3" t="s">
        <v>1000</v>
      </c>
      <c r="O1173" s="3" t="s">
        <v>65</v>
      </c>
      <c r="P1173" s="3" t="s">
        <v>296</v>
      </c>
      <c r="R1173" s="3" t="s">
        <v>68</v>
      </c>
      <c r="S1173" s="4">
        <v>22</v>
      </c>
      <c r="T1173" s="4">
        <v>22</v>
      </c>
      <c r="U1173" s="5" t="s">
        <v>14748</v>
      </c>
      <c r="V1173" s="5" t="s">
        <v>14748</v>
      </c>
      <c r="W1173" s="5" t="s">
        <v>5460</v>
      </c>
      <c r="X1173" s="5" t="s">
        <v>5460</v>
      </c>
      <c r="Y1173" s="4">
        <v>397</v>
      </c>
      <c r="Z1173" s="4">
        <v>359</v>
      </c>
      <c r="AA1173" s="4">
        <v>366</v>
      </c>
      <c r="AB1173" s="4">
        <v>7</v>
      </c>
      <c r="AC1173" s="4">
        <v>7</v>
      </c>
      <c r="AD1173" s="4">
        <v>5</v>
      </c>
      <c r="AE1173" s="4">
        <v>5</v>
      </c>
      <c r="AF1173" s="4">
        <v>1</v>
      </c>
      <c r="AG1173" s="4">
        <v>1</v>
      </c>
      <c r="AH1173" s="4">
        <v>1</v>
      </c>
      <c r="AI1173" s="4">
        <v>1</v>
      </c>
      <c r="AJ1173" s="4">
        <v>2</v>
      </c>
      <c r="AK1173" s="4">
        <v>2</v>
      </c>
      <c r="AL1173" s="4">
        <v>2</v>
      </c>
      <c r="AM1173" s="4">
        <v>2</v>
      </c>
      <c r="AN1173" s="4">
        <v>0</v>
      </c>
      <c r="AO1173" s="4">
        <v>0</v>
      </c>
      <c r="AP1173" s="3" t="s">
        <v>59</v>
      </c>
      <c r="AQ1173" s="3" t="s">
        <v>71</v>
      </c>
      <c r="AR1173" s="6" t="str">
        <f>HYPERLINK("http://catalog.hathitrust.org/Record/000710379","HathiTrust Record")</f>
        <v>HathiTrust Record</v>
      </c>
      <c r="AS1173" s="6" t="str">
        <f>HYPERLINK("https://creighton-primo.hosted.exlibrisgroup.com/primo-explore/search?tab=default_tab&amp;search_scope=EVERYTHING&amp;vid=01CRU&amp;lang=en_US&amp;offset=0&amp;query=any,contains,991004663079702656","Catalog Record")</f>
        <v>Catalog Record</v>
      </c>
      <c r="AT1173" s="6" t="str">
        <f>HYPERLINK("http://www.worldcat.org/oclc/4498290","WorldCat Record")</f>
        <v>WorldCat Record</v>
      </c>
      <c r="AU1173" s="3" t="s">
        <v>14749</v>
      </c>
      <c r="AV1173" s="3" t="s">
        <v>14750</v>
      </c>
      <c r="AW1173" s="3" t="s">
        <v>14751</v>
      </c>
      <c r="AX1173" s="3" t="s">
        <v>14751</v>
      </c>
      <c r="AY1173" s="3" t="s">
        <v>14752</v>
      </c>
      <c r="AZ1173" s="3" t="s">
        <v>76</v>
      </c>
      <c r="BB1173" s="3" t="s">
        <v>14753</v>
      </c>
      <c r="BC1173" s="3" t="s">
        <v>14754</v>
      </c>
      <c r="BD1173" s="3" t="s">
        <v>14755</v>
      </c>
    </row>
    <row r="1174" spans="1:56" ht="52.5" customHeight="1" x14ac:dyDescent="0.25">
      <c r="A1174" s="7" t="s">
        <v>59</v>
      </c>
      <c r="B1174" s="2" t="s">
        <v>14756</v>
      </c>
      <c r="C1174" s="2" t="s">
        <v>14757</v>
      </c>
      <c r="D1174" s="2" t="s">
        <v>14758</v>
      </c>
      <c r="F1174" s="3" t="s">
        <v>59</v>
      </c>
      <c r="G1174" s="3" t="s">
        <v>60</v>
      </c>
      <c r="H1174" s="3" t="s">
        <v>59</v>
      </c>
      <c r="I1174" s="3" t="s">
        <v>59</v>
      </c>
      <c r="J1174" s="3" t="s">
        <v>61</v>
      </c>
      <c r="K1174" s="2" t="s">
        <v>14759</v>
      </c>
      <c r="L1174" s="2" t="s">
        <v>14760</v>
      </c>
      <c r="M1174" s="3" t="s">
        <v>100</v>
      </c>
      <c r="O1174" s="3" t="s">
        <v>65</v>
      </c>
      <c r="P1174" s="3" t="s">
        <v>296</v>
      </c>
      <c r="R1174" s="3" t="s">
        <v>68</v>
      </c>
      <c r="S1174" s="4">
        <v>3</v>
      </c>
      <c r="T1174" s="4">
        <v>3</v>
      </c>
      <c r="U1174" s="5" t="s">
        <v>14761</v>
      </c>
      <c r="V1174" s="5" t="s">
        <v>14761</v>
      </c>
      <c r="W1174" s="5" t="s">
        <v>2059</v>
      </c>
      <c r="X1174" s="5" t="s">
        <v>2059</v>
      </c>
      <c r="Y1174" s="4">
        <v>417</v>
      </c>
      <c r="Z1174" s="4">
        <v>350</v>
      </c>
      <c r="AA1174" s="4">
        <v>351</v>
      </c>
      <c r="AB1174" s="4">
        <v>3</v>
      </c>
      <c r="AC1174" s="4">
        <v>3</v>
      </c>
      <c r="AD1174" s="4">
        <v>11</v>
      </c>
      <c r="AE1174" s="4">
        <v>11</v>
      </c>
      <c r="AF1174" s="4">
        <v>1</v>
      </c>
      <c r="AG1174" s="4">
        <v>1</v>
      </c>
      <c r="AH1174" s="4">
        <v>2</v>
      </c>
      <c r="AI1174" s="4">
        <v>2</v>
      </c>
      <c r="AJ1174" s="4">
        <v>7</v>
      </c>
      <c r="AK1174" s="4">
        <v>7</v>
      </c>
      <c r="AL1174" s="4">
        <v>2</v>
      </c>
      <c r="AM1174" s="4">
        <v>2</v>
      </c>
      <c r="AN1174" s="4">
        <v>0</v>
      </c>
      <c r="AO1174" s="4">
        <v>0</v>
      </c>
      <c r="AP1174" s="3" t="s">
        <v>59</v>
      </c>
      <c r="AQ1174" s="3" t="s">
        <v>71</v>
      </c>
      <c r="AR1174" s="6" t="str">
        <f>HYPERLINK("http://catalog.hathitrust.org/Record/004446499","HathiTrust Record")</f>
        <v>HathiTrust Record</v>
      </c>
      <c r="AS1174" s="6" t="str">
        <f>HYPERLINK("https://creighton-primo.hosted.exlibrisgroup.com/primo-explore/search?tab=default_tab&amp;search_scope=EVERYTHING&amp;vid=01CRU&amp;lang=en_US&amp;offset=0&amp;query=any,contains,991001263409702656","Catalog Record")</f>
        <v>Catalog Record</v>
      </c>
      <c r="AT1174" s="6" t="str">
        <f>HYPERLINK("http://www.worldcat.org/oclc/209766","WorldCat Record")</f>
        <v>WorldCat Record</v>
      </c>
      <c r="AU1174" s="3" t="s">
        <v>14762</v>
      </c>
      <c r="AV1174" s="3" t="s">
        <v>14763</v>
      </c>
      <c r="AW1174" s="3" t="s">
        <v>14764</v>
      </c>
      <c r="AX1174" s="3" t="s">
        <v>14764</v>
      </c>
      <c r="AY1174" s="3" t="s">
        <v>14765</v>
      </c>
      <c r="AZ1174" s="3" t="s">
        <v>76</v>
      </c>
      <c r="BC1174" s="3" t="s">
        <v>14766</v>
      </c>
      <c r="BD1174" s="3" t="s">
        <v>14767</v>
      </c>
    </row>
    <row r="1175" spans="1:56" ht="52.5" customHeight="1" x14ac:dyDescent="0.25">
      <c r="A1175" s="7" t="s">
        <v>59</v>
      </c>
      <c r="B1175" s="2" t="s">
        <v>14768</v>
      </c>
      <c r="C1175" s="2" t="s">
        <v>14769</v>
      </c>
      <c r="D1175" s="2" t="s">
        <v>14770</v>
      </c>
      <c r="F1175" s="3" t="s">
        <v>59</v>
      </c>
      <c r="G1175" s="3" t="s">
        <v>60</v>
      </c>
      <c r="H1175" s="3" t="s">
        <v>59</v>
      </c>
      <c r="I1175" s="3" t="s">
        <v>59</v>
      </c>
      <c r="J1175" s="3" t="s">
        <v>61</v>
      </c>
      <c r="K1175" s="2" t="s">
        <v>14771</v>
      </c>
      <c r="L1175" s="2" t="s">
        <v>6406</v>
      </c>
      <c r="M1175" s="3" t="s">
        <v>2582</v>
      </c>
      <c r="O1175" s="3" t="s">
        <v>65</v>
      </c>
      <c r="P1175" s="3" t="s">
        <v>66</v>
      </c>
      <c r="R1175" s="3" t="s">
        <v>68</v>
      </c>
      <c r="S1175" s="4">
        <v>1</v>
      </c>
      <c r="T1175" s="4">
        <v>1</v>
      </c>
      <c r="U1175" s="5" t="s">
        <v>14772</v>
      </c>
      <c r="V1175" s="5" t="s">
        <v>14772</v>
      </c>
      <c r="W1175" s="5" t="s">
        <v>227</v>
      </c>
      <c r="X1175" s="5" t="s">
        <v>227</v>
      </c>
      <c r="Y1175" s="4">
        <v>602</v>
      </c>
      <c r="Z1175" s="4">
        <v>499</v>
      </c>
      <c r="AA1175" s="4">
        <v>504</v>
      </c>
      <c r="AB1175" s="4">
        <v>2</v>
      </c>
      <c r="AC1175" s="4">
        <v>2</v>
      </c>
      <c r="AD1175" s="4">
        <v>20</v>
      </c>
      <c r="AE1175" s="4">
        <v>20</v>
      </c>
      <c r="AF1175" s="4">
        <v>8</v>
      </c>
      <c r="AG1175" s="4">
        <v>8</v>
      </c>
      <c r="AH1175" s="4">
        <v>6</v>
      </c>
      <c r="AI1175" s="4">
        <v>6</v>
      </c>
      <c r="AJ1175" s="4">
        <v>10</v>
      </c>
      <c r="AK1175" s="4">
        <v>10</v>
      </c>
      <c r="AL1175" s="4">
        <v>1</v>
      </c>
      <c r="AM1175" s="4">
        <v>1</v>
      </c>
      <c r="AN1175" s="4">
        <v>0</v>
      </c>
      <c r="AO1175" s="4">
        <v>0</v>
      </c>
      <c r="AP1175" s="3" t="s">
        <v>59</v>
      </c>
      <c r="AQ1175" s="3" t="s">
        <v>71</v>
      </c>
      <c r="AR1175" s="6" t="str">
        <f>HYPERLINK("http://catalog.hathitrust.org/Record/000430737","HathiTrust Record")</f>
        <v>HathiTrust Record</v>
      </c>
      <c r="AS1175" s="6" t="str">
        <f>HYPERLINK("https://creighton-primo.hosted.exlibrisgroup.com/primo-explore/search?tab=default_tab&amp;search_scope=EVERYTHING&amp;vid=01CRU&amp;lang=en_US&amp;offset=0&amp;query=any,contains,991001369119702656","Catalog Record")</f>
        <v>Catalog Record</v>
      </c>
      <c r="AT1175" s="6" t="str">
        <f>HYPERLINK("http://www.worldcat.org/oclc/223019","WorldCat Record")</f>
        <v>WorldCat Record</v>
      </c>
      <c r="AU1175" s="3" t="s">
        <v>14773</v>
      </c>
      <c r="AV1175" s="3" t="s">
        <v>14774</v>
      </c>
      <c r="AW1175" s="3" t="s">
        <v>14775</v>
      </c>
      <c r="AX1175" s="3" t="s">
        <v>14775</v>
      </c>
      <c r="AY1175" s="3" t="s">
        <v>14776</v>
      </c>
      <c r="AZ1175" s="3" t="s">
        <v>76</v>
      </c>
      <c r="BC1175" s="3" t="s">
        <v>14777</v>
      </c>
      <c r="BD1175" s="3" t="s">
        <v>14778</v>
      </c>
    </row>
    <row r="1176" spans="1:56" ht="52.5" customHeight="1" x14ac:dyDescent="0.25">
      <c r="A1176" s="7" t="s">
        <v>59</v>
      </c>
      <c r="B1176" s="2" t="s">
        <v>14779</v>
      </c>
      <c r="C1176" s="2" t="s">
        <v>14780</v>
      </c>
      <c r="D1176" s="2" t="s">
        <v>14781</v>
      </c>
      <c r="F1176" s="3" t="s">
        <v>59</v>
      </c>
      <c r="G1176" s="3" t="s">
        <v>60</v>
      </c>
      <c r="H1176" s="3" t="s">
        <v>59</v>
      </c>
      <c r="I1176" s="3" t="s">
        <v>59</v>
      </c>
      <c r="J1176" s="3" t="s">
        <v>61</v>
      </c>
      <c r="K1176" s="2" t="s">
        <v>14782</v>
      </c>
      <c r="L1176" s="2" t="s">
        <v>14783</v>
      </c>
      <c r="M1176" s="3" t="s">
        <v>350</v>
      </c>
      <c r="O1176" s="3" t="s">
        <v>65</v>
      </c>
      <c r="P1176" s="3" t="s">
        <v>283</v>
      </c>
      <c r="R1176" s="3" t="s">
        <v>68</v>
      </c>
      <c r="S1176" s="4">
        <v>7</v>
      </c>
      <c r="T1176" s="4">
        <v>7</v>
      </c>
      <c r="U1176" s="5" t="s">
        <v>14784</v>
      </c>
      <c r="V1176" s="5" t="s">
        <v>14784</v>
      </c>
      <c r="W1176" s="5" t="s">
        <v>14785</v>
      </c>
      <c r="X1176" s="5" t="s">
        <v>14785</v>
      </c>
      <c r="Y1176" s="4">
        <v>451</v>
      </c>
      <c r="Z1176" s="4">
        <v>345</v>
      </c>
      <c r="AA1176" s="4">
        <v>346</v>
      </c>
      <c r="AB1176" s="4">
        <v>4</v>
      </c>
      <c r="AC1176" s="4">
        <v>4</v>
      </c>
      <c r="AD1176" s="4">
        <v>15</v>
      </c>
      <c r="AE1176" s="4">
        <v>15</v>
      </c>
      <c r="AF1176" s="4">
        <v>6</v>
      </c>
      <c r="AG1176" s="4">
        <v>6</v>
      </c>
      <c r="AH1176" s="4">
        <v>4</v>
      </c>
      <c r="AI1176" s="4">
        <v>4</v>
      </c>
      <c r="AJ1176" s="4">
        <v>6</v>
      </c>
      <c r="AK1176" s="4">
        <v>6</v>
      </c>
      <c r="AL1176" s="4">
        <v>2</v>
      </c>
      <c r="AM1176" s="4">
        <v>2</v>
      </c>
      <c r="AN1176" s="4">
        <v>0</v>
      </c>
      <c r="AO1176" s="4">
        <v>0</v>
      </c>
      <c r="AP1176" s="3" t="s">
        <v>59</v>
      </c>
      <c r="AQ1176" s="3" t="s">
        <v>71</v>
      </c>
      <c r="AR1176" s="6" t="str">
        <f>HYPERLINK("http://catalog.hathitrust.org/Record/007473687","HathiTrust Record")</f>
        <v>HathiTrust Record</v>
      </c>
      <c r="AS1176" s="6" t="str">
        <f>HYPERLINK("https://creighton-primo.hosted.exlibrisgroup.com/primo-explore/search?tab=default_tab&amp;search_scope=EVERYTHING&amp;vid=01CRU&amp;lang=en_US&amp;offset=0&amp;query=any,contains,991004138749702656","Catalog Record")</f>
        <v>Catalog Record</v>
      </c>
      <c r="AT1176" s="6" t="str">
        <f>HYPERLINK("http://www.worldcat.org/oclc/2493355","WorldCat Record")</f>
        <v>WorldCat Record</v>
      </c>
      <c r="AU1176" s="3" t="s">
        <v>14786</v>
      </c>
      <c r="AV1176" s="3" t="s">
        <v>14787</v>
      </c>
      <c r="AW1176" s="3" t="s">
        <v>14788</v>
      </c>
      <c r="AX1176" s="3" t="s">
        <v>14788</v>
      </c>
      <c r="AY1176" s="3" t="s">
        <v>14789</v>
      </c>
      <c r="AZ1176" s="3" t="s">
        <v>76</v>
      </c>
      <c r="BB1176" s="3" t="s">
        <v>14790</v>
      </c>
      <c r="BC1176" s="3" t="s">
        <v>14791</v>
      </c>
      <c r="BD1176" s="3" t="s">
        <v>14792</v>
      </c>
    </row>
    <row r="1177" spans="1:56" ht="52.5" customHeight="1" x14ac:dyDescent="0.25">
      <c r="A1177" s="7" t="s">
        <v>59</v>
      </c>
      <c r="B1177" s="2" t="s">
        <v>14793</v>
      </c>
      <c r="C1177" s="2" t="s">
        <v>14794</v>
      </c>
      <c r="D1177" s="2" t="s">
        <v>14795</v>
      </c>
      <c r="F1177" s="3" t="s">
        <v>59</v>
      </c>
      <c r="G1177" s="3" t="s">
        <v>60</v>
      </c>
      <c r="H1177" s="3" t="s">
        <v>59</v>
      </c>
      <c r="I1177" s="3" t="s">
        <v>59</v>
      </c>
      <c r="J1177" s="3" t="s">
        <v>61</v>
      </c>
      <c r="K1177" s="2" t="s">
        <v>14796</v>
      </c>
      <c r="L1177" s="2" t="s">
        <v>10723</v>
      </c>
      <c r="M1177" s="3" t="s">
        <v>100</v>
      </c>
      <c r="O1177" s="3" t="s">
        <v>65</v>
      </c>
      <c r="P1177" s="3" t="s">
        <v>283</v>
      </c>
      <c r="R1177" s="3" t="s">
        <v>68</v>
      </c>
      <c r="S1177" s="4">
        <v>3</v>
      </c>
      <c r="T1177" s="4">
        <v>3</v>
      </c>
      <c r="U1177" s="5" t="s">
        <v>14797</v>
      </c>
      <c r="V1177" s="5" t="s">
        <v>14797</v>
      </c>
      <c r="W1177" s="5" t="s">
        <v>227</v>
      </c>
      <c r="X1177" s="5" t="s">
        <v>227</v>
      </c>
      <c r="Y1177" s="4">
        <v>313</v>
      </c>
      <c r="Z1177" s="4">
        <v>286</v>
      </c>
      <c r="AA1177" s="4">
        <v>291</v>
      </c>
      <c r="AB1177" s="4">
        <v>2</v>
      </c>
      <c r="AC1177" s="4">
        <v>2</v>
      </c>
      <c r="AD1177" s="4">
        <v>16</v>
      </c>
      <c r="AE1177" s="4">
        <v>16</v>
      </c>
      <c r="AF1177" s="4">
        <v>9</v>
      </c>
      <c r="AG1177" s="4">
        <v>9</v>
      </c>
      <c r="AH1177" s="4">
        <v>3</v>
      </c>
      <c r="AI1177" s="4">
        <v>3</v>
      </c>
      <c r="AJ1177" s="4">
        <v>8</v>
      </c>
      <c r="AK1177" s="4">
        <v>8</v>
      </c>
      <c r="AL1177" s="4">
        <v>1</v>
      </c>
      <c r="AM1177" s="4">
        <v>1</v>
      </c>
      <c r="AN1177" s="4">
        <v>0</v>
      </c>
      <c r="AO1177" s="4">
        <v>0</v>
      </c>
      <c r="AP1177" s="3" t="s">
        <v>59</v>
      </c>
      <c r="AQ1177" s="3" t="s">
        <v>59</v>
      </c>
      <c r="AS1177" s="6" t="str">
        <f>HYPERLINK("https://creighton-primo.hosted.exlibrisgroup.com/primo-explore/search?tab=default_tab&amp;search_scope=EVERYTHING&amp;vid=01CRU&amp;lang=en_US&amp;offset=0&amp;query=any,contains,991000895889702656","Catalog Record")</f>
        <v>Catalog Record</v>
      </c>
      <c r="AT1177" s="6" t="str">
        <f>HYPERLINK("http://www.worldcat.org/oclc/155939","WorldCat Record")</f>
        <v>WorldCat Record</v>
      </c>
      <c r="AU1177" s="3" t="s">
        <v>14798</v>
      </c>
      <c r="AV1177" s="3" t="s">
        <v>14799</v>
      </c>
      <c r="AW1177" s="3" t="s">
        <v>14800</v>
      </c>
      <c r="AX1177" s="3" t="s">
        <v>14800</v>
      </c>
      <c r="AY1177" s="3" t="s">
        <v>14801</v>
      </c>
      <c r="AZ1177" s="3" t="s">
        <v>76</v>
      </c>
      <c r="BC1177" s="3" t="s">
        <v>14802</v>
      </c>
      <c r="BD1177" s="3" t="s">
        <v>14803</v>
      </c>
    </row>
    <row r="1178" spans="1:56" ht="52.5" customHeight="1" x14ac:dyDescent="0.25">
      <c r="A1178" s="7" t="s">
        <v>59</v>
      </c>
      <c r="B1178" s="2" t="s">
        <v>14804</v>
      </c>
      <c r="C1178" s="2" t="s">
        <v>14805</v>
      </c>
      <c r="D1178" s="2" t="s">
        <v>14806</v>
      </c>
      <c r="F1178" s="3" t="s">
        <v>59</v>
      </c>
      <c r="G1178" s="3" t="s">
        <v>60</v>
      </c>
      <c r="H1178" s="3" t="s">
        <v>59</v>
      </c>
      <c r="I1178" s="3" t="s">
        <v>59</v>
      </c>
      <c r="J1178" s="3" t="s">
        <v>61</v>
      </c>
      <c r="K1178" s="2" t="s">
        <v>14807</v>
      </c>
      <c r="L1178" s="2" t="s">
        <v>14808</v>
      </c>
      <c r="M1178" s="3" t="s">
        <v>131</v>
      </c>
      <c r="N1178" s="2" t="s">
        <v>671</v>
      </c>
      <c r="O1178" s="3" t="s">
        <v>65</v>
      </c>
      <c r="P1178" s="3" t="s">
        <v>66</v>
      </c>
      <c r="R1178" s="3" t="s">
        <v>68</v>
      </c>
      <c r="S1178" s="4">
        <v>5</v>
      </c>
      <c r="T1178" s="4">
        <v>5</v>
      </c>
      <c r="U1178" s="5" t="s">
        <v>14809</v>
      </c>
      <c r="V1178" s="5" t="s">
        <v>14809</v>
      </c>
      <c r="W1178" s="5" t="s">
        <v>227</v>
      </c>
      <c r="X1178" s="5" t="s">
        <v>227</v>
      </c>
      <c r="Y1178" s="4">
        <v>324</v>
      </c>
      <c r="Z1178" s="4">
        <v>269</v>
      </c>
      <c r="AA1178" s="4">
        <v>1052</v>
      </c>
      <c r="AB1178" s="4">
        <v>3</v>
      </c>
      <c r="AC1178" s="4">
        <v>10</v>
      </c>
      <c r="AD1178" s="4">
        <v>11</v>
      </c>
      <c r="AE1178" s="4">
        <v>48</v>
      </c>
      <c r="AF1178" s="4">
        <v>4</v>
      </c>
      <c r="AG1178" s="4">
        <v>22</v>
      </c>
      <c r="AH1178" s="4">
        <v>2</v>
      </c>
      <c r="AI1178" s="4">
        <v>8</v>
      </c>
      <c r="AJ1178" s="4">
        <v>5</v>
      </c>
      <c r="AK1178" s="4">
        <v>23</v>
      </c>
      <c r="AL1178" s="4">
        <v>1</v>
      </c>
      <c r="AM1178" s="4">
        <v>6</v>
      </c>
      <c r="AN1178" s="4">
        <v>0</v>
      </c>
      <c r="AO1178" s="4">
        <v>0</v>
      </c>
      <c r="AP1178" s="3" t="s">
        <v>59</v>
      </c>
      <c r="AQ1178" s="3" t="s">
        <v>59</v>
      </c>
      <c r="AS1178" s="6" t="str">
        <f>HYPERLINK("https://creighton-primo.hosted.exlibrisgroup.com/primo-explore/search?tab=default_tab&amp;search_scope=EVERYTHING&amp;vid=01CRU&amp;lang=en_US&amp;offset=0&amp;query=any,contains,991003396309702656","Catalog Record")</f>
        <v>Catalog Record</v>
      </c>
      <c r="AT1178" s="6" t="str">
        <f>HYPERLINK("http://www.worldcat.org/oclc/934703","WorldCat Record")</f>
        <v>WorldCat Record</v>
      </c>
      <c r="AU1178" s="3" t="s">
        <v>14810</v>
      </c>
      <c r="AV1178" s="3" t="s">
        <v>14811</v>
      </c>
      <c r="AW1178" s="3" t="s">
        <v>14812</v>
      </c>
      <c r="AX1178" s="3" t="s">
        <v>14812</v>
      </c>
      <c r="AY1178" s="3" t="s">
        <v>14813</v>
      </c>
      <c r="AZ1178" s="3" t="s">
        <v>76</v>
      </c>
      <c r="BB1178" s="3" t="s">
        <v>14814</v>
      </c>
      <c r="BC1178" s="3" t="s">
        <v>14815</v>
      </c>
      <c r="BD1178" s="3" t="s">
        <v>14816</v>
      </c>
    </row>
    <row r="1179" spans="1:56" ht="52.5" customHeight="1" x14ac:dyDescent="0.25">
      <c r="A1179" s="7" t="s">
        <v>59</v>
      </c>
      <c r="B1179" s="2" t="s">
        <v>14817</v>
      </c>
      <c r="C1179" s="2" t="s">
        <v>14818</v>
      </c>
      <c r="D1179" s="2" t="s">
        <v>14819</v>
      </c>
      <c r="F1179" s="3" t="s">
        <v>59</v>
      </c>
      <c r="G1179" s="3" t="s">
        <v>60</v>
      </c>
      <c r="H1179" s="3" t="s">
        <v>59</v>
      </c>
      <c r="I1179" s="3" t="s">
        <v>59</v>
      </c>
      <c r="J1179" s="3" t="s">
        <v>61</v>
      </c>
      <c r="K1179" s="2" t="s">
        <v>14820</v>
      </c>
      <c r="L1179" s="2" t="s">
        <v>14821</v>
      </c>
      <c r="M1179" s="3" t="s">
        <v>254</v>
      </c>
      <c r="O1179" s="3" t="s">
        <v>65</v>
      </c>
      <c r="P1179" s="3" t="s">
        <v>66</v>
      </c>
      <c r="R1179" s="3" t="s">
        <v>68</v>
      </c>
      <c r="S1179" s="4">
        <v>2</v>
      </c>
      <c r="T1179" s="4">
        <v>2</v>
      </c>
      <c r="U1179" s="5" t="s">
        <v>1249</v>
      </c>
      <c r="V1179" s="5" t="s">
        <v>1249</v>
      </c>
      <c r="W1179" s="5" t="s">
        <v>477</v>
      </c>
      <c r="X1179" s="5" t="s">
        <v>477</v>
      </c>
      <c r="Y1179" s="4">
        <v>681</v>
      </c>
      <c r="Z1179" s="4">
        <v>584</v>
      </c>
      <c r="AA1179" s="4">
        <v>603</v>
      </c>
      <c r="AB1179" s="4">
        <v>6</v>
      </c>
      <c r="AC1179" s="4">
        <v>6</v>
      </c>
      <c r="AD1179" s="4">
        <v>24</v>
      </c>
      <c r="AE1179" s="4">
        <v>24</v>
      </c>
      <c r="AF1179" s="4">
        <v>8</v>
      </c>
      <c r="AG1179" s="4">
        <v>8</v>
      </c>
      <c r="AH1179" s="4">
        <v>5</v>
      </c>
      <c r="AI1179" s="4">
        <v>5</v>
      </c>
      <c r="AJ1179" s="4">
        <v>12</v>
      </c>
      <c r="AK1179" s="4">
        <v>12</v>
      </c>
      <c r="AL1179" s="4">
        <v>4</v>
      </c>
      <c r="AM1179" s="4">
        <v>4</v>
      </c>
      <c r="AN1179" s="4">
        <v>0</v>
      </c>
      <c r="AO1179" s="4">
        <v>0</v>
      </c>
      <c r="AP1179" s="3" t="s">
        <v>59</v>
      </c>
      <c r="AQ1179" s="3" t="s">
        <v>71</v>
      </c>
      <c r="AR1179" s="6" t="str">
        <f>HYPERLINK("http://catalog.hathitrust.org/Record/000431688","HathiTrust Record")</f>
        <v>HathiTrust Record</v>
      </c>
      <c r="AS1179" s="6" t="str">
        <f>HYPERLINK("https://creighton-primo.hosted.exlibrisgroup.com/primo-explore/search?tab=default_tab&amp;search_scope=EVERYTHING&amp;vid=01CRU&amp;lang=en_US&amp;offset=0&amp;query=any,contains,991000000319702656","Catalog Record")</f>
        <v>Catalog Record</v>
      </c>
      <c r="AT1179" s="6" t="str">
        <f>HYPERLINK("http://www.worldcat.org/oclc/7739","WorldCat Record")</f>
        <v>WorldCat Record</v>
      </c>
      <c r="AU1179" s="3" t="s">
        <v>14822</v>
      </c>
      <c r="AV1179" s="3" t="s">
        <v>14823</v>
      </c>
      <c r="AW1179" s="3" t="s">
        <v>14824</v>
      </c>
      <c r="AX1179" s="3" t="s">
        <v>14824</v>
      </c>
      <c r="AY1179" s="3" t="s">
        <v>14825</v>
      </c>
      <c r="AZ1179" s="3" t="s">
        <v>76</v>
      </c>
      <c r="BC1179" s="3" t="s">
        <v>14826</v>
      </c>
      <c r="BD1179" s="3" t="s">
        <v>14827</v>
      </c>
    </row>
    <row r="1180" spans="1:56" ht="52.5" customHeight="1" x14ac:dyDescent="0.25">
      <c r="A1180" s="7" t="s">
        <v>59</v>
      </c>
      <c r="B1180" s="2" t="s">
        <v>14828</v>
      </c>
      <c r="C1180" s="2" t="s">
        <v>14829</v>
      </c>
      <c r="D1180" s="2" t="s">
        <v>14830</v>
      </c>
      <c r="F1180" s="3" t="s">
        <v>59</v>
      </c>
      <c r="G1180" s="3" t="s">
        <v>60</v>
      </c>
      <c r="H1180" s="3" t="s">
        <v>59</v>
      </c>
      <c r="I1180" s="3" t="s">
        <v>59</v>
      </c>
      <c r="J1180" s="3" t="s">
        <v>61</v>
      </c>
      <c r="K1180" s="2" t="s">
        <v>14831</v>
      </c>
      <c r="L1180" s="2" t="s">
        <v>14832</v>
      </c>
      <c r="M1180" s="3" t="s">
        <v>350</v>
      </c>
      <c r="N1180" s="2" t="s">
        <v>671</v>
      </c>
      <c r="O1180" s="3" t="s">
        <v>65</v>
      </c>
      <c r="P1180" s="3" t="s">
        <v>699</v>
      </c>
      <c r="R1180" s="3" t="s">
        <v>68</v>
      </c>
      <c r="S1180" s="4">
        <v>10</v>
      </c>
      <c r="T1180" s="4">
        <v>10</v>
      </c>
      <c r="U1180" s="5" t="s">
        <v>14748</v>
      </c>
      <c r="V1180" s="5" t="s">
        <v>14748</v>
      </c>
      <c r="W1180" s="5" t="s">
        <v>14833</v>
      </c>
      <c r="X1180" s="5" t="s">
        <v>14833</v>
      </c>
      <c r="Y1180" s="4">
        <v>233</v>
      </c>
      <c r="Z1180" s="4">
        <v>192</v>
      </c>
      <c r="AA1180" s="4">
        <v>655</v>
      </c>
      <c r="AB1180" s="4">
        <v>3</v>
      </c>
      <c r="AC1180" s="4">
        <v>5</v>
      </c>
      <c r="AD1180" s="4">
        <v>3</v>
      </c>
      <c r="AE1180" s="4">
        <v>25</v>
      </c>
      <c r="AF1180" s="4">
        <v>1</v>
      </c>
      <c r="AG1180" s="4">
        <v>8</v>
      </c>
      <c r="AH1180" s="4">
        <v>0</v>
      </c>
      <c r="AI1180" s="4">
        <v>6</v>
      </c>
      <c r="AJ1180" s="4">
        <v>2</v>
      </c>
      <c r="AK1180" s="4">
        <v>13</v>
      </c>
      <c r="AL1180" s="4">
        <v>1</v>
      </c>
      <c r="AM1180" s="4">
        <v>3</v>
      </c>
      <c r="AN1180" s="4">
        <v>0</v>
      </c>
      <c r="AO1180" s="4">
        <v>0</v>
      </c>
      <c r="AP1180" s="3" t="s">
        <v>59</v>
      </c>
      <c r="AQ1180" s="3" t="s">
        <v>71</v>
      </c>
      <c r="AR1180" s="6" t="str">
        <f>HYPERLINK("http://catalog.hathitrust.org/Record/000130145","HathiTrust Record")</f>
        <v>HathiTrust Record</v>
      </c>
      <c r="AS1180" s="6" t="str">
        <f>HYPERLINK("https://creighton-primo.hosted.exlibrisgroup.com/primo-explore/search?tab=default_tab&amp;search_scope=EVERYTHING&amp;vid=01CRU&amp;lang=en_US&amp;offset=0&amp;query=any,contains,991004198709702656","Catalog Record")</f>
        <v>Catalog Record</v>
      </c>
      <c r="AT1180" s="6" t="str">
        <f>HYPERLINK("http://www.worldcat.org/oclc/2646209","WorldCat Record")</f>
        <v>WorldCat Record</v>
      </c>
      <c r="AU1180" s="3" t="s">
        <v>14834</v>
      </c>
      <c r="AV1180" s="3" t="s">
        <v>14835</v>
      </c>
      <c r="AW1180" s="3" t="s">
        <v>14836</v>
      </c>
      <c r="AX1180" s="3" t="s">
        <v>14836</v>
      </c>
      <c r="AY1180" s="3" t="s">
        <v>14837</v>
      </c>
      <c r="AZ1180" s="3" t="s">
        <v>76</v>
      </c>
      <c r="BB1180" s="3" t="s">
        <v>14838</v>
      </c>
      <c r="BC1180" s="3" t="s">
        <v>14839</v>
      </c>
      <c r="BD1180" s="3" t="s">
        <v>14840</v>
      </c>
    </row>
    <row r="1181" spans="1:56" ht="52.5" customHeight="1" x14ac:dyDescent="0.25">
      <c r="A1181" s="7" t="s">
        <v>59</v>
      </c>
      <c r="B1181" s="2" t="s">
        <v>14841</v>
      </c>
      <c r="C1181" s="2" t="s">
        <v>14842</v>
      </c>
      <c r="D1181" s="2" t="s">
        <v>14843</v>
      </c>
      <c r="F1181" s="3" t="s">
        <v>59</v>
      </c>
      <c r="G1181" s="3" t="s">
        <v>60</v>
      </c>
      <c r="H1181" s="3" t="s">
        <v>59</v>
      </c>
      <c r="I1181" s="3" t="s">
        <v>71</v>
      </c>
      <c r="J1181" s="3" t="s">
        <v>61</v>
      </c>
      <c r="K1181" s="2" t="s">
        <v>11572</v>
      </c>
      <c r="L1181" s="2" t="s">
        <v>14844</v>
      </c>
      <c r="M1181" s="3" t="s">
        <v>295</v>
      </c>
      <c r="O1181" s="3" t="s">
        <v>65</v>
      </c>
      <c r="P1181" s="3" t="s">
        <v>699</v>
      </c>
      <c r="R1181" s="3" t="s">
        <v>68</v>
      </c>
      <c r="S1181" s="4">
        <v>4</v>
      </c>
      <c r="T1181" s="4">
        <v>4</v>
      </c>
      <c r="U1181" s="5" t="s">
        <v>3208</v>
      </c>
      <c r="V1181" s="5" t="s">
        <v>3208</v>
      </c>
      <c r="W1181" s="5" t="s">
        <v>227</v>
      </c>
      <c r="X1181" s="5" t="s">
        <v>227</v>
      </c>
      <c r="Y1181" s="4">
        <v>921</v>
      </c>
      <c r="Z1181" s="4">
        <v>768</v>
      </c>
      <c r="AA1181" s="4">
        <v>1096</v>
      </c>
      <c r="AB1181" s="4">
        <v>7</v>
      </c>
      <c r="AC1181" s="4">
        <v>7</v>
      </c>
      <c r="AD1181" s="4">
        <v>29</v>
      </c>
      <c r="AE1181" s="4">
        <v>39</v>
      </c>
      <c r="AF1181" s="4">
        <v>12</v>
      </c>
      <c r="AG1181" s="4">
        <v>18</v>
      </c>
      <c r="AH1181" s="4">
        <v>7</v>
      </c>
      <c r="AI1181" s="4">
        <v>11</v>
      </c>
      <c r="AJ1181" s="4">
        <v>15</v>
      </c>
      <c r="AK1181" s="4">
        <v>18</v>
      </c>
      <c r="AL1181" s="4">
        <v>3</v>
      </c>
      <c r="AM1181" s="4">
        <v>3</v>
      </c>
      <c r="AN1181" s="4">
        <v>0</v>
      </c>
      <c r="AO1181" s="4">
        <v>0</v>
      </c>
      <c r="AP1181" s="3" t="s">
        <v>59</v>
      </c>
      <c r="AQ1181" s="3" t="s">
        <v>59</v>
      </c>
      <c r="AS1181" s="6" t="str">
        <f>HYPERLINK("https://creighton-primo.hosted.exlibrisgroup.com/primo-explore/search?tab=default_tab&amp;search_scope=EVERYTHING&amp;vid=01CRU&amp;lang=en_US&amp;offset=0&amp;query=any,contains,991001369669702656","Catalog Record")</f>
        <v>Catalog Record</v>
      </c>
      <c r="AT1181" s="6" t="str">
        <f>HYPERLINK("http://www.worldcat.org/oclc/223114","WorldCat Record")</f>
        <v>WorldCat Record</v>
      </c>
      <c r="AU1181" s="3" t="s">
        <v>14845</v>
      </c>
      <c r="AV1181" s="3" t="s">
        <v>14846</v>
      </c>
      <c r="AW1181" s="3" t="s">
        <v>14847</v>
      </c>
      <c r="AX1181" s="3" t="s">
        <v>14847</v>
      </c>
      <c r="AY1181" s="3" t="s">
        <v>14848</v>
      </c>
      <c r="AZ1181" s="3" t="s">
        <v>76</v>
      </c>
      <c r="BC1181" s="3" t="s">
        <v>14849</v>
      </c>
      <c r="BD1181" s="3" t="s">
        <v>14850</v>
      </c>
    </row>
    <row r="1182" spans="1:56" ht="52.5" customHeight="1" x14ac:dyDescent="0.25">
      <c r="A1182" s="7" t="s">
        <v>59</v>
      </c>
      <c r="B1182" s="2" t="s">
        <v>14851</v>
      </c>
      <c r="C1182" s="2" t="s">
        <v>14852</v>
      </c>
      <c r="D1182" s="2" t="s">
        <v>14853</v>
      </c>
      <c r="F1182" s="3" t="s">
        <v>59</v>
      </c>
      <c r="G1182" s="3" t="s">
        <v>60</v>
      </c>
      <c r="H1182" s="3" t="s">
        <v>59</v>
      </c>
      <c r="I1182" s="3" t="s">
        <v>59</v>
      </c>
      <c r="J1182" s="3" t="s">
        <v>61</v>
      </c>
      <c r="K1182" s="2" t="s">
        <v>5686</v>
      </c>
      <c r="L1182" s="2" t="s">
        <v>14854</v>
      </c>
      <c r="M1182" s="3" t="s">
        <v>180</v>
      </c>
      <c r="O1182" s="3" t="s">
        <v>65</v>
      </c>
      <c r="P1182" s="3" t="s">
        <v>1530</v>
      </c>
      <c r="R1182" s="3" t="s">
        <v>68</v>
      </c>
      <c r="S1182" s="4">
        <v>2</v>
      </c>
      <c r="T1182" s="4">
        <v>2</v>
      </c>
      <c r="U1182" s="5" t="s">
        <v>14855</v>
      </c>
      <c r="V1182" s="5" t="s">
        <v>14855</v>
      </c>
      <c r="W1182" s="5" t="s">
        <v>7672</v>
      </c>
      <c r="X1182" s="5" t="s">
        <v>7672</v>
      </c>
      <c r="Y1182" s="4">
        <v>333</v>
      </c>
      <c r="Z1182" s="4">
        <v>274</v>
      </c>
      <c r="AA1182" s="4">
        <v>281</v>
      </c>
      <c r="AB1182" s="4">
        <v>3</v>
      </c>
      <c r="AC1182" s="4">
        <v>3</v>
      </c>
      <c r="AD1182" s="4">
        <v>21</v>
      </c>
      <c r="AE1182" s="4">
        <v>21</v>
      </c>
      <c r="AF1182" s="4">
        <v>7</v>
      </c>
      <c r="AG1182" s="4">
        <v>7</v>
      </c>
      <c r="AH1182" s="4">
        <v>4</v>
      </c>
      <c r="AI1182" s="4">
        <v>4</v>
      </c>
      <c r="AJ1182" s="4">
        <v>15</v>
      </c>
      <c r="AK1182" s="4">
        <v>15</v>
      </c>
      <c r="AL1182" s="4">
        <v>1</v>
      </c>
      <c r="AM1182" s="4">
        <v>1</v>
      </c>
      <c r="AN1182" s="4">
        <v>0</v>
      </c>
      <c r="AO1182" s="4">
        <v>0</v>
      </c>
      <c r="AP1182" s="3" t="s">
        <v>71</v>
      </c>
      <c r="AQ1182" s="3" t="s">
        <v>59</v>
      </c>
      <c r="AR1182" s="6" t="str">
        <f>HYPERLINK("http://catalog.hathitrust.org/Record/009079044","HathiTrust Record")</f>
        <v>HathiTrust Record</v>
      </c>
      <c r="AS1182" s="6" t="str">
        <f>HYPERLINK("https://creighton-primo.hosted.exlibrisgroup.com/primo-explore/search?tab=default_tab&amp;search_scope=EVERYTHING&amp;vid=01CRU&amp;lang=en_US&amp;offset=0&amp;query=any,contains,991003749959702656","Catalog Record")</f>
        <v>Catalog Record</v>
      </c>
      <c r="AT1182" s="6" t="str">
        <f>HYPERLINK("http://www.worldcat.org/oclc/1424682","WorldCat Record")</f>
        <v>WorldCat Record</v>
      </c>
      <c r="AU1182" s="3" t="s">
        <v>14856</v>
      </c>
      <c r="AV1182" s="3" t="s">
        <v>14857</v>
      </c>
      <c r="AW1182" s="3" t="s">
        <v>14858</v>
      </c>
      <c r="AX1182" s="3" t="s">
        <v>14858</v>
      </c>
      <c r="AY1182" s="3" t="s">
        <v>14859</v>
      </c>
      <c r="AZ1182" s="3" t="s">
        <v>76</v>
      </c>
      <c r="BC1182" s="3" t="s">
        <v>14860</v>
      </c>
      <c r="BD1182" s="3" t="s">
        <v>14861</v>
      </c>
    </row>
    <row r="1183" spans="1:56" ht="52.5" customHeight="1" x14ac:dyDescent="0.25">
      <c r="A1183" s="7" t="s">
        <v>59</v>
      </c>
      <c r="B1183" s="2" t="s">
        <v>14862</v>
      </c>
      <c r="C1183" s="2" t="s">
        <v>14863</v>
      </c>
      <c r="D1183" s="2" t="s">
        <v>14864</v>
      </c>
      <c r="F1183" s="3" t="s">
        <v>59</v>
      </c>
      <c r="G1183" s="3" t="s">
        <v>60</v>
      </c>
      <c r="H1183" s="3" t="s">
        <v>59</v>
      </c>
      <c r="I1183" s="3" t="s">
        <v>59</v>
      </c>
      <c r="J1183" s="3" t="s">
        <v>61</v>
      </c>
      <c r="K1183" s="2" t="s">
        <v>14865</v>
      </c>
      <c r="L1183" s="2" t="s">
        <v>14866</v>
      </c>
      <c r="M1183" s="3" t="s">
        <v>309</v>
      </c>
      <c r="O1183" s="3" t="s">
        <v>65</v>
      </c>
      <c r="P1183" s="3" t="s">
        <v>66</v>
      </c>
      <c r="R1183" s="3" t="s">
        <v>68</v>
      </c>
      <c r="S1183" s="4">
        <v>13</v>
      </c>
      <c r="T1183" s="4">
        <v>13</v>
      </c>
      <c r="U1183" s="5" t="s">
        <v>14809</v>
      </c>
      <c r="V1183" s="5" t="s">
        <v>14809</v>
      </c>
      <c r="W1183" s="5" t="s">
        <v>477</v>
      </c>
      <c r="X1183" s="5" t="s">
        <v>477</v>
      </c>
      <c r="Y1183" s="4">
        <v>483</v>
      </c>
      <c r="Z1183" s="4">
        <v>385</v>
      </c>
      <c r="AA1183" s="4">
        <v>388</v>
      </c>
      <c r="AB1183" s="4">
        <v>3</v>
      </c>
      <c r="AC1183" s="4">
        <v>3</v>
      </c>
      <c r="AD1183" s="4">
        <v>13</v>
      </c>
      <c r="AE1183" s="4">
        <v>13</v>
      </c>
      <c r="AF1183" s="4">
        <v>5</v>
      </c>
      <c r="AG1183" s="4">
        <v>5</v>
      </c>
      <c r="AH1183" s="4">
        <v>2</v>
      </c>
      <c r="AI1183" s="4">
        <v>2</v>
      </c>
      <c r="AJ1183" s="4">
        <v>8</v>
      </c>
      <c r="AK1183" s="4">
        <v>8</v>
      </c>
      <c r="AL1183" s="4">
        <v>1</v>
      </c>
      <c r="AM1183" s="4">
        <v>1</v>
      </c>
      <c r="AN1183" s="4">
        <v>0</v>
      </c>
      <c r="AO1183" s="4">
        <v>0</v>
      </c>
      <c r="AP1183" s="3" t="s">
        <v>59</v>
      </c>
      <c r="AQ1183" s="3" t="s">
        <v>71</v>
      </c>
      <c r="AR1183" s="6" t="str">
        <f>HYPERLINK("http://catalog.hathitrust.org/Record/000093419","HathiTrust Record")</f>
        <v>HathiTrust Record</v>
      </c>
      <c r="AS1183" s="6" t="str">
        <f>HYPERLINK("https://creighton-primo.hosted.exlibrisgroup.com/primo-explore/search?tab=default_tab&amp;search_scope=EVERYTHING&amp;vid=01CRU&amp;lang=en_US&amp;offset=0&amp;query=any,contains,991004492019702656","Catalog Record")</f>
        <v>Catalog Record</v>
      </c>
      <c r="AT1183" s="6" t="str">
        <f>HYPERLINK("http://www.worldcat.org/oclc/3669329","WorldCat Record")</f>
        <v>WorldCat Record</v>
      </c>
      <c r="AU1183" s="3" t="s">
        <v>14867</v>
      </c>
      <c r="AV1183" s="3" t="s">
        <v>14868</v>
      </c>
      <c r="AW1183" s="3" t="s">
        <v>14869</v>
      </c>
      <c r="AX1183" s="3" t="s">
        <v>14869</v>
      </c>
      <c r="AY1183" s="3" t="s">
        <v>14870</v>
      </c>
      <c r="AZ1183" s="3" t="s">
        <v>76</v>
      </c>
      <c r="BB1183" s="3" t="s">
        <v>14871</v>
      </c>
      <c r="BC1183" s="3" t="s">
        <v>14872</v>
      </c>
      <c r="BD1183" s="3" t="s">
        <v>14873</v>
      </c>
    </row>
    <row r="1184" spans="1:56" ht="52.5" customHeight="1" x14ac:dyDescent="0.25">
      <c r="A1184" s="7" t="s">
        <v>59</v>
      </c>
      <c r="B1184" s="2" t="s">
        <v>14874</v>
      </c>
      <c r="C1184" s="2" t="s">
        <v>14875</v>
      </c>
      <c r="D1184" s="2" t="s">
        <v>14876</v>
      </c>
      <c r="F1184" s="3" t="s">
        <v>59</v>
      </c>
      <c r="G1184" s="3" t="s">
        <v>60</v>
      </c>
      <c r="H1184" s="3" t="s">
        <v>59</v>
      </c>
      <c r="I1184" s="3" t="s">
        <v>59</v>
      </c>
      <c r="J1184" s="3" t="s">
        <v>61</v>
      </c>
      <c r="K1184" s="2" t="s">
        <v>14877</v>
      </c>
      <c r="L1184" s="2" t="s">
        <v>14878</v>
      </c>
      <c r="M1184" s="3" t="s">
        <v>538</v>
      </c>
      <c r="O1184" s="3" t="s">
        <v>65</v>
      </c>
      <c r="P1184" s="3" t="s">
        <v>66</v>
      </c>
      <c r="R1184" s="3" t="s">
        <v>68</v>
      </c>
      <c r="S1184" s="4">
        <v>3</v>
      </c>
      <c r="T1184" s="4">
        <v>3</v>
      </c>
      <c r="U1184" s="5" t="s">
        <v>14809</v>
      </c>
      <c r="V1184" s="5" t="s">
        <v>14809</v>
      </c>
      <c r="W1184" s="5" t="s">
        <v>227</v>
      </c>
      <c r="X1184" s="5" t="s">
        <v>227</v>
      </c>
      <c r="Y1184" s="4">
        <v>624</v>
      </c>
      <c r="Z1184" s="4">
        <v>527</v>
      </c>
      <c r="AA1184" s="4">
        <v>550</v>
      </c>
      <c r="AB1184" s="4">
        <v>2</v>
      </c>
      <c r="AC1184" s="4">
        <v>2</v>
      </c>
      <c r="AD1184" s="4">
        <v>17</v>
      </c>
      <c r="AE1184" s="4">
        <v>18</v>
      </c>
      <c r="AF1184" s="4">
        <v>5</v>
      </c>
      <c r="AG1184" s="4">
        <v>5</v>
      </c>
      <c r="AH1184" s="4">
        <v>4</v>
      </c>
      <c r="AI1184" s="4">
        <v>4</v>
      </c>
      <c r="AJ1184" s="4">
        <v>10</v>
      </c>
      <c r="AK1184" s="4">
        <v>11</v>
      </c>
      <c r="AL1184" s="4">
        <v>1</v>
      </c>
      <c r="AM1184" s="4">
        <v>1</v>
      </c>
      <c r="AN1184" s="4">
        <v>0</v>
      </c>
      <c r="AO1184" s="4">
        <v>0</v>
      </c>
      <c r="AP1184" s="3" t="s">
        <v>71</v>
      </c>
      <c r="AQ1184" s="3" t="s">
        <v>59</v>
      </c>
      <c r="AR1184" s="6" t="str">
        <f>HYPERLINK("http://catalog.hathitrust.org/Record/000472298","HathiTrust Record")</f>
        <v>HathiTrust Record</v>
      </c>
      <c r="AS1184" s="6" t="str">
        <f>HYPERLINK("https://creighton-primo.hosted.exlibrisgroup.com/primo-explore/search?tab=default_tab&amp;search_scope=EVERYTHING&amp;vid=01CRU&amp;lang=en_US&amp;offset=0&amp;query=any,contains,991002387609702656","Catalog Record")</f>
        <v>Catalog Record</v>
      </c>
      <c r="AT1184" s="6" t="str">
        <f>HYPERLINK("http://www.worldcat.org/oclc/330895","WorldCat Record")</f>
        <v>WorldCat Record</v>
      </c>
      <c r="AU1184" s="3" t="s">
        <v>14879</v>
      </c>
      <c r="AV1184" s="3" t="s">
        <v>14880</v>
      </c>
      <c r="AW1184" s="3" t="s">
        <v>14881</v>
      </c>
      <c r="AX1184" s="3" t="s">
        <v>14881</v>
      </c>
      <c r="AY1184" s="3" t="s">
        <v>14882</v>
      </c>
      <c r="AZ1184" s="3" t="s">
        <v>76</v>
      </c>
      <c r="BC1184" s="3" t="s">
        <v>14883</v>
      </c>
      <c r="BD1184" s="3" t="s">
        <v>14884</v>
      </c>
    </row>
    <row r="1185" spans="1:56" ht="52.5" customHeight="1" x14ac:dyDescent="0.25">
      <c r="A1185" s="7" t="s">
        <v>59</v>
      </c>
      <c r="B1185" s="2" t="s">
        <v>14885</v>
      </c>
      <c r="C1185" s="2" t="s">
        <v>14886</v>
      </c>
      <c r="D1185" s="2" t="s">
        <v>14887</v>
      </c>
      <c r="F1185" s="3" t="s">
        <v>59</v>
      </c>
      <c r="G1185" s="3" t="s">
        <v>60</v>
      </c>
      <c r="H1185" s="3" t="s">
        <v>59</v>
      </c>
      <c r="I1185" s="3" t="s">
        <v>71</v>
      </c>
      <c r="J1185" s="3" t="s">
        <v>61</v>
      </c>
      <c r="K1185" s="2" t="s">
        <v>14888</v>
      </c>
      <c r="L1185" s="2" t="s">
        <v>14889</v>
      </c>
      <c r="M1185" s="3" t="s">
        <v>1217</v>
      </c>
      <c r="O1185" s="3" t="s">
        <v>65</v>
      </c>
      <c r="P1185" s="3" t="s">
        <v>296</v>
      </c>
      <c r="R1185" s="3" t="s">
        <v>68</v>
      </c>
      <c r="S1185" s="4">
        <v>4</v>
      </c>
      <c r="T1185" s="4">
        <v>4</v>
      </c>
      <c r="U1185" s="5" t="s">
        <v>14890</v>
      </c>
      <c r="V1185" s="5" t="s">
        <v>14890</v>
      </c>
      <c r="W1185" s="5" t="s">
        <v>10164</v>
      </c>
      <c r="X1185" s="5" t="s">
        <v>10164</v>
      </c>
      <c r="Y1185" s="4">
        <v>490</v>
      </c>
      <c r="Z1185" s="4">
        <v>428</v>
      </c>
      <c r="AA1185" s="4">
        <v>610</v>
      </c>
      <c r="AB1185" s="4">
        <v>5</v>
      </c>
      <c r="AC1185" s="4">
        <v>8</v>
      </c>
      <c r="AD1185" s="4">
        <v>15</v>
      </c>
      <c r="AE1185" s="4">
        <v>26</v>
      </c>
      <c r="AF1185" s="4">
        <v>7</v>
      </c>
      <c r="AG1185" s="4">
        <v>12</v>
      </c>
      <c r="AH1185" s="4">
        <v>3</v>
      </c>
      <c r="AI1185" s="4">
        <v>4</v>
      </c>
      <c r="AJ1185" s="4">
        <v>6</v>
      </c>
      <c r="AK1185" s="4">
        <v>11</v>
      </c>
      <c r="AL1185" s="4">
        <v>2</v>
      </c>
      <c r="AM1185" s="4">
        <v>5</v>
      </c>
      <c r="AN1185" s="4">
        <v>0</v>
      </c>
      <c r="AO1185" s="4">
        <v>0</v>
      </c>
      <c r="AP1185" s="3" t="s">
        <v>59</v>
      </c>
      <c r="AQ1185" s="3" t="s">
        <v>71</v>
      </c>
      <c r="AR1185" s="6" t="str">
        <f>HYPERLINK("http://catalog.hathitrust.org/Record/002055850","HathiTrust Record")</f>
        <v>HathiTrust Record</v>
      </c>
      <c r="AS1185" s="6" t="str">
        <f>HYPERLINK("https://creighton-primo.hosted.exlibrisgroup.com/primo-explore/search?tab=default_tab&amp;search_scope=EVERYTHING&amp;vid=01CRU&amp;lang=en_US&amp;offset=0&amp;query=any,contains,991000544169702656","Catalog Record")</f>
        <v>Catalog Record</v>
      </c>
      <c r="AT1185" s="6" t="str">
        <f>HYPERLINK("http://www.worldcat.org/oclc/11503094","WorldCat Record")</f>
        <v>WorldCat Record</v>
      </c>
      <c r="AU1185" s="3" t="s">
        <v>14891</v>
      </c>
      <c r="AV1185" s="3" t="s">
        <v>14892</v>
      </c>
      <c r="AW1185" s="3" t="s">
        <v>14893</v>
      </c>
      <c r="AX1185" s="3" t="s">
        <v>14893</v>
      </c>
      <c r="AY1185" s="3" t="s">
        <v>14894</v>
      </c>
      <c r="AZ1185" s="3" t="s">
        <v>76</v>
      </c>
      <c r="BB1185" s="3" t="s">
        <v>14895</v>
      </c>
      <c r="BC1185" s="3" t="s">
        <v>14896</v>
      </c>
      <c r="BD1185" s="3" t="s">
        <v>14897</v>
      </c>
    </row>
    <row r="1186" spans="1:56" ht="52.5" customHeight="1" x14ac:dyDescent="0.25">
      <c r="A1186" s="7" t="s">
        <v>59</v>
      </c>
      <c r="B1186" s="2" t="s">
        <v>14898</v>
      </c>
      <c r="C1186" s="2" t="s">
        <v>14899</v>
      </c>
      <c r="D1186" s="2" t="s">
        <v>14900</v>
      </c>
      <c r="F1186" s="3" t="s">
        <v>59</v>
      </c>
      <c r="G1186" s="3" t="s">
        <v>60</v>
      </c>
      <c r="H1186" s="3" t="s">
        <v>71</v>
      </c>
      <c r="I1186" s="3" t="s">
        <v>59</v>
      </c>
      <c r="J1186" s="3" t="s">
        <v>61</v>
      </c>
      <c r="L1186" s="2" t="s">
        <v>14901</v>
      </c>
      <c r="M1186" s="3" t="s">
        <v>549</v>
      </c>
      <c r="O1186" s="3" t="s">
        <v>65</v>
      </c>
      <c r="P1186" s="3" t="s">
        <v>66</v>
      </c>
      <c r="R1186" s="3" t="s">
        <v>68</v>
      </c>
      <c r="S1186" s="4">
        <v>16</v>
      </c>
      <c r="T1186" s="4">
        <v>21</v>
      </c>
      <c r="U1186" s="5" t="s">
        <v>831</v>
      </c>
      <c r="V1186" s="5" t="s">
        <v>831</v>
      </c>
      <c r="W1186" s="5" t="s">
        <v>9857</v>
      </c>
      <c r="X1186" s="5" t="s">
        <v>9857</v>
      </c>
      <c r="Y1186" s="4">
        <v>922</v>
      </c>
      <c r="Z1186" s="4">
        <v>829</v>
      </c>
      <c r="AA1186" s="4">
        <v>835</v>
      </c>
      <c r="AB1186" s="4">
        <v>10</v>
      </c>
      <c r="AC1186" s="4">
        <v>10</v>
      </c>
      <c r="AD1186" s="4">
        <v>35</v>
      </c>
      <c r="AE1186" s="4">
        <v>35</v>
      </c>
      <c r="AF1186" s="4">
        <v>13</v>
      </c>
      <c r="AG1186" s="4">
        <v>13</v>
      </c>
      <c r="AH1186" s="4">
        <v>8</v>
      </c>
      <c r="AI1186" s="4">
        <v>8</v>
      </c>
      <c r="AJ1186" s="4">
        <v>17</v>
      </c>
      <c r="AK1186" s="4">
        <v>17</v>
      </c>
      <c r="AL1186" s="4">
        <v>7</v>
      </c>
      <c r="AM1186" s="4">
        <v>7</v>
      </c>
      <c r="AN1186" s="4">
        <v>0</v>
      </c>
      <c r="AO1186" s="4">
        <v>0</v>
      </c>
      <c r="AP1186" s="3" t="s">
        <v>59</v>
      </c>
      <c r="AQ1186" s="3" t="s">
        <v>71</v>
      </c>
      <c r="AR1186" s="6" t="str">
        <f>HYPERLINK("http://catalog.hathitrust.org/Record/000435143","HathiTrust Record")</f>
        <v>HathiTrust Record</v>
      </c>
      <c r="AS1186" s="6" t="str">
        <f>HYPERLINK("https://creighton-primo.hosted.exlibrisgroup.com/primo-explore/search?tab=default_tab&amp;search_scope=EVERYTHING&amp;vid=01CRU&amp;lang=en_US&amp;offset=0&amp;query=any,contains,991001762699702656","Catalog Record")</f>
        <v>Catalog Record</v>
      </c>
      <c r="AT1186" s="6" t="str">
        <f>HYPERLINK("http://www.worldcat.org/oclc/13064677","WorldCat Record")</f>
        <v>WorldCat Record</v>
      </c>
      <c r="AU1186" s="3" t="s">
        <v>14902</v>
      </c>
      <c r="AV1186" s="3" t="s">
        <v>14903</v>
      </c>
      <c r="AW1186" s="3" t="s">
        <v>14904</v>
      </c>
      <c r="AX1186" s="3" t="s">
        <v>14904</v>
      </c>
      <c r="AY1186" s="3" t="s">
        <v>14905</v>
      </c>
      <c r="AZ1186" s="3" t="s">
        <v>76</v>
      </c>
      <c r="BB1186" s="3" t="s">
        <v>14906</v>
      </c>
      <c r="BC1186" s="3" t="s">
        <v>14907</v>
      </c>
      <c r="BD1186" s="3" t="s">
        <v>14908</v>
      </c>
    </row>
    <row r="1187" spans="1:56" ht="52.5" customHeight="1" x14ac:dyDescent="0.25">
      <c r="A1187" s="7" t="s">
        <v>59</v>
      </c>
      <c r="B1187" s="2" t="s">
        <v>14909</v>
      </c>
      <c r="C1187" s="2" t="s">
        <v>14910</v>
      </c>
      <c r="D1187" s="2" t="s">
        <v>14911</v>
      </c>
      <c r="F1187" s="3" t="s">
        <v>59</v>
      </c>
      <c r="G1187" s="3" t="s">
        <v>60</v>
      </c>
      <c r="H1187" s="3" t="s">
        <v>59</v>
      </c>
      <c r="I1187" s="3" t="s">
        <v>59</v>
      </c>
      <c r="J1187" s="3" t="s">
        <v>61</v>
      </c>
      <c r="K1187" s="2" t="s">
        <v>14912</v>
      </c>
      <c r="L1187" s="2" t="s">
        <v>14913</v>
      </c>
      <c r="M1187" s="3" t="s">
        <v>405</v>
      </c>
      <c r="O1187" s="3" t="s">
        <v>65</v>
      </c>
      <c r="P1187" s="3" t="s">
        <v>66</v>
      </c>
      <c r="R1187" s="3" t="s">
        <v>68</v>
      </c>
      <c r="S1187" s="4">
        <v>13</v>
      </c>
      <c r="T1187" s="4">
        <v>13</v>
      </c>
      <c r="U1187" s="5" t="s">
        <v>14914</v>
      </c>
      <c r="V1187" s="5" t="s">
        <v>14914</v>
      </c>
      <c r="W1187" s="5" t="s">
        <v>14915</v>
      </c>
      <c r="X1187" s="5" t="s">
        <v>14915</v>
      </c>
      <c r="Y1187" s="4">
        <v>244</v>
      </c>
      <c r="Z1187" s="4">
        <v>210</v>
      </c>
      <c r="AA1187" s="4">
        <v>503</v>
      </c>
      <c r="AB1187" s="4">
        <v>2</v>
      </c>
      <c r="AC1187" s="4">
        <v>2</v>
      </c>
      <c r="AD1187" s="4">
        <v>6</v>
      </c>
      <c r="AE1187" s="4">
        <v>15</v>
      </c>
      <c r="AF1187" s="4">
        <v>0</v>
      </c>
      <c r="AG1187" s="4">
        <v>6</v>
      </c>
      <c r="AH1187" s="4">
        <v>0</v>
      </c>
      <c r="AI1187" s="4">
        <v>2</v>
      </c>
      <c r="AJ1187" s="4">
        <v>5</v>
      </c>
      <c r="AK1187" s="4">
        <v>9</v>
      </c>
      <c r="AL1187" s="4">
        <v>1</v>
      </c>
      <c r="AM1187" s="4">
        <v>1</v>
      </c>
      <c r="AN1187" s="4">
        <v>0</v>
      </c>
      <c r="AO1187" s="4">
        <v>0</v>
      </c>
      <c r="AP1187" s="3" t="s">
        <v>59</v>
      </c>
      <c r="AQ1187" s="3" t="s">
        <v>59</v>
      </c>
      <c r="AS1187" s="6" t="str">
        <f>HYPERLINK("https://creighton-primo.hosted.exlibrisgroup.com/primo-explore/search?tab=default_tab&amp;search_scope=EVERYTHING&amp;vid=01CRU&amp;lang=en_US&amp;offset=0&amp;query=any,contains,991000803279702656","Catalog Record")</f>
        <v>Catalog Record</v>
      </c>
      <c r="AT1187" s="6" t="str">
        <f>HYPERLINK("http://www.worldcat.org/oclc/13269787","WorldCat Record")</f>
        <v>WorldCat Record</v>
      </c>
      <c r="AU1187" s="3" t="s">
        <v>14916</v>
      </c>
      <c r="AV1187" s="3" t="s">
        <v>14917</v>
      </c>
      <c r="AW1187" s="3" t="s">
        <v>14918</v>
      </c>
      <c r="AX1187" s="3" t="s">
        <v>14918</v>
      </c>
      <c r="AY1187" s="3" t="s">
        <v>14919</v>
      </c>
      <c r="AZ1187" s="3" t="s">
        <v>76</v>
      </c>
      <c r="BB1187" s="3" t="s">
        <v>14920</v>
      </c>
      <c r="BC1187" s="3" t="s">
        <v>14921</v>
      </c>
      <c r="BD1187" s="3" t="s">
        <v>14922</v>
      </c>
    </row>
    <row r="1188" spans="1:56" ht="52.5" customHeight="1" x14ac:dyDescent="0.25">
      <c r="A1188" s="7" t="s">
        <v>59</v>
      </c>
      <c r="B1188" s="2" t="s">
        <v>14923</v>
      </c>
      <c r="C1188" s="2" t="s">
        <v>14924</v>
      </c>
      <c r="D1188" s="2" t="s">
        <v>14925</v>
      </c>
      <c r="F1188" s="3" t="s">
        <v>59</v>
      </c>
      <c r="G1188" s="3" t="s">
        <v>60</v>
      </c>
      <c r="H1188" s="3" t="s">
        <v>59</v>
      </c>
      <c r="I1188" s="3" t="s">
        <v>59</v>
      </c>
      <c r="J1188" s="3" t="s">
        <v>61</v>
      </c>
      <c r="K1188" s="2" t="s">
        <v>14926</v>
      </c>
      <c r="L1188" s="2" t="s">
        <v>657</v>
      </c>
      <c r="M1188" s="3" t="s">
        <v>148</v>
      </c>
      <c r="N1188" s="2" t="s">
        <v>1289</v>
      </c>
      <c r="O1188" s="3" t="s">
        <v>65</v>
      </c>
      <c r="P1188" s="3" t="s">
        <v>66</v>
      </c>
      <c r="R1188" s="3" t="s">
        <v>68</v>
      </c>
      <c r="S1188" s="4">
        <v>4</v>
      </c>
      <c r="T1188" s="4">
        <v>4</v>
      </c>
      <c r="U1188" s="5" t="s">
        <v>14927</v>
      </c>
      <c r="V1188" s="5" t="s">
        <v>14927</v>
      </c>
      <c r="W1188" s="5" t="s">
        <v>227</v>
      </c>
      <c r="X1188" s="5" t="s">
        <v>227</v>
      </c>
      <c r="Y1188" s="4">
        <v>390</v>
      </c>
      <c r="Z1188" s="4">
        <v>273</v>
      </c>
      <c r="AA1188" s="4">
        <v>631</v>
      </c>
      <c r="AB1188" s="4">
        <v>3</v>
      </c>
      <c r="AC1188" s="4">
        <v>6</v>
      </c>
      <c r="AD1188" s="4">
        <v>10</v>
      </c>
      <c r="AE1188" s="4">
        <v>26</v>
      </c>
      <c r="AF1188" s="4">
        <v>3</v>
      </c>
      <c r="AG1188" s="4">
        <v>9</v>
      </c>
      <c r="AH1188" s="4">
        <v>2</v>
      </c>
      <c r="AI1188" s="4">
        <v>6</v>
      </c>
      <c r="AJ1188" s="4">
        <v>4</v>
      </c>
      <c r="AK1188" s="4">
        <v>11</v>
      </c>
      <c r="AL1188" s="4">
        <v>2</v>
      </c>
      <c r="AM1188" s="4">
        <v>5</v>
      </c>
      <c r="AN1188" s="4">
        <v>0</v>
      </c>
      <c r="AO1188" s="4">
        <v>0</v>
      </c>
      <c r="AP1188" s="3" t="s">
        <v>59</v>
      </c>
      <c r="AQ1188" s="3" t="s">
        <v>71</v>
      </c>
      <c r="AR1188" s="6" t="str">
        <f>HYPERLINK("http://catalog.hathitrust.org/Record/000045201","HathiTrust Record")</f>
        <v>HathiTrust Record</v>
      </c>
      <c r="AS1188" s="6" t="str">
        <f>HYPERLINK("https://creighton-primo.hosted.exlibrisgroup.com/primo-explore/search?tab=default_tab&amp;search_scope=EVERYTHING&amp;vid=01CRU&amp;lang=en_US&amp;offset=0&amp;query=any,contains,991003803569702656","Catalog Record")</f>
        <v>Catalog Record</v>
      </c>
      <c r="AT1188" s="6" t="str">
        <f>HYPERLINK("http://www.worldcat.org/oclc/1529315","WorldCat Record")</f>
        <v>WorldCat Record</v>
      </c>
      <c r="AU1188" s="3" t="s">
        <v>14928</v>
      </c>
      <c r="AV1188" s="3" t="s">
        <v>14929</v>
      </c>
      <c r="AW1188" s="3" t="s">
        <v>14930</v>
      </c>
      <c r="AX1188" s="3" t="s">
        <v>14930</v>
      </c>
      <c r="AY1188" s="3" t="s">
        <v>14931</v>
      </c>
      <c r="AZ1188" s="3" t="s">
        <v>76</v>
      </c>
      <c r="BB1188" s="3" t="s">
        <v>14932</v>
      </c>
      <c r="BC1188" s="3" t="s">
        <v>14933</v>
      </c>
      <c r="BD1188" s="3" t="s">
        <v>14934</v>
      </c>
    </row>
    <row r="1189" spans="1:56" ht="52.5" customHeight="1" x14ac:dyDescent="0.25">
      <c r="A1189" s="7" t="s">
        <v>59</v>
      </c>
      <c r="B1189" s="2" t="s">
        <v>14935</v>
      </c>
      <c r="C1189" s="2" t="s">
        <v>14936</v>
      </c>
      <c r="D1189" s="2" t="s">
        <v>14937</v>
      </c>
      <c r="F1189" s="3" t="s">
        <v>59</v>
      </c>
      <c r="G1189" s="3" t="s">
        <v>60</v>
      </c>
      <c r="H1189" s="3" t="s">
        <v>59</v>
      </c>
      <c r="I1189" s="3" t="s">
        <v>59</v>
      </c>
      <c r="J1189" s="3" t="s">
        <v>61</v>
      </c>
      <c r="K1189" s="2" t="s">
        <v>14938</v>
      </c>
      <c r="L1189" s="2" t="s">
        <v>4580</v>
      </c>
      <c r="M1189" s="3" t="s">
        <v>684</v>
      </c>
      <c r="O1189" s="3" t="s">
        <v>65</v>
      </c>
      <c r="P1189" s="3" t="s">
        <v>66</v>
      </c>
      <c r="Q1189" s="2" t="s">
        <v>14939</v>
      </c>
      <c r="R1189" s="3" t="s">
        <v>68</v>
      </c>
      <c r="S1189" s="4">
        <v>10</v>
      </c>
      <c r="T1189" s="4">
        <v>10</v>
      </c>
      <c r="U1189" s="5" t="s">
        <v>14940</v>
      </c>
      <c r="V1189" s="5" t="s">
        <v>14940</v>
      </c>
      <c r="W1189" s="5" t="s">
        <v>1638</v>
      </c>
      <c r="X1189" s="5" t="s">
        <v>1638</v>
      </c>
      <c r="Y1189" s="4">
        <v>497</v>
      </c>
      <c r="Z1189" s="4">
        <v>385</v>
      </c>
      <c r="AA1189" s="4">
        <v>406</v>
      </c>
      <c r="AB1189" s="4">
        <v>4</v>
      </c>
      <c r="AC1189" s="4">
        <v>4</v>
      </c>
      <c r="AD1189" s="4">
        <v>13</v>
      </c>
      <c r="AE1189" s="4">
        <v>13</v>
      </c>
      <c r="AF1189" s="4">
        <v>3</v>
      </c>
      <c r="AG1189" s="4">
        <v>3</v>
      </c>
      <c r="AH1189" s="4">
        <v>4</v>
      </c>
      <c r="AI1189" s="4">
        <v>4</v>
      </c>
      <c r="AJ1189" s="4">
        <v>8</v>
      </c>
      <c r="AK1189" s="4">
        <v>8</v>
      </c>
      <c r="AL1189" s="4">
        <v>2</v>
      </c>
      <c r="AM1189" s="4">
        <v>2</v>
      </c>
      <c r="AN1189" s="4">
        <v>0</v>
      </c>
      <c r="AO1189" s="4">
        <v>0</v>
      </c>
      <c r="AP1189" s="3" t="s">
        <v>59</v>
      </c>
      <c r="AQ1189" s="3" t="s">
        <v>71</v>
      </c>
      <c r="AR1189" s="6" t="str">
        <f>HYPERLINK("http://catalog.hathitrust.org/Record/000141740","HathiTrust Record")</f>
        <v>HathiTrust Record</v>
      </c>
      <c r="AS1189" s="6" t="str">
        <f>HYPERLINK("https://creighton-primo.hosted.exlibrisgroup.com/primo-explore/search?tab=default_tab&amp;search_scope=EVERYTHING&amp;vid=01CRU&amp;lang=en_US&amp;offset=0&amp;query=any,contains,991005010419702656","Catalog Record")</f>
        <v>Catalog Record</v>
      </c>
      <c r="AT1189" s="6" t="str">
        <f>HYPERLINK("http://www.worldcat.org/oclc/6602322","WorldCat Record")</f>
        <v>WorldCat Record</v>
      </c>
      <c r="AU1189" s="3" t="s">
        <v>14941</v>
      </c>
      <c r="AV1189" s="3" t="s">
        <v>14942</v>
      </c>
      <c r="AW1189" s="3" t="s">
        <v>14943</v>
      </c>
      <c r="AX1189" s="3" t="s">
        <v>14943</v>
      </c>
      <c r="AY1189" s="3" t="s">
        <v>14944</v>
      </c>
      <c r="AZ1189" s="3" t="s">
        <v>76</v>
      </c>
      <c r="BB1189" s="3" t="s">
        <v>14945</v>
      </c>
      <c r="BC1189" s="3" t="s">
        <v>14946</v>
      </c>
      <c r="BD1189" s="3" t="s">
        <v>14947</v>
      </c>
    </row>
    <row r="1190" spans="1:56" ht="52.5" customHeight="1" x14ac:dyDescent="0.25">
      <c r="A1190" s="7" t="s">
        <v>59</v>
      </c>
      <c r="B1190" s="2" t="s">
        <v>14948</v>
      </c>
      <c r="C1190" s="2" t="s">
        <v>14949</v>
      </c>
      <c r="D1190" s="2" t="s">
        <v>14950</v>
      </c>
      <c r="F1190" s="3" t="s">
        <v>59</v>
      </c>
      <c r="G1190" s="3" t="s">
        <v>60</v>
      </c>
      <c r="H1190" s="3" t="s">
        <v>59</v>
      </c>
      <c r="I1190" s="3" t="s">
        <v>59</v>
      </c>
      <c r="J1190" s="3" t="s">
        <v>61</v>
      </c>
      <c r="K1190" s="2" t="s">
        <v>14951</v>
      </c>
      <c r="L1190" s="2" t="s">
        <v>14952</v>
      </c>
      <c r="M1190" s="3" t="s">
        <v>684</v>
      </c>
      <c r="O1190" s="3" t="s">
        <v>65</v>
      </c>
      <c r="P1190" s="3" t="s">
        <v>66</v>
      </c>
      <c r="R1190" s="3" t="s">
        <v>68</v>
      </c>
      <c r="S1190" s="4">
        <v>11</v>
      </c>
      <c r="T1190" s="4">
        <v>11</v>
      </c>
      <c r="U1190" s="5" t="s">
        <v>14953</v>
      </c>
      <c r="V1190" s="5" t="s">
        <v>14953</v>
      </c>
      <c r="W1190" s="5" t="s">
        <v>3926</v>
      </c>
      <c r="X1190" s="5" t="s">
        <v>3926</v>
      </c>
      <c r="Y1190" s="4">
        <v>374</v>
      </c>
      <c r="Z1190" s="4">
        <v>253</v>
      </c>
      <c r="AA1190" s="4">
        <v>259</v>
      </c>
      <c r="AB1190" s="4">
        <v>3</v>
      </c>
      <c r="AC1190" s="4">
        <v>3</v>
      </c>
      <c r="AD1190" s="4">
        <v>9</v>
      </c>
      <c r="AE1190" s="4">
        <v>9</v>
      </c>
      <c r="AF1190" s="4">
        <v>3</v>
      </c>
      <c r="AG1190" s="4">
        <v>3</v>
      </c>
      <c r="AH1190" s="4">
        <v>3</v>
      </c>
      <c r="AI1190" s="4">
        <v>3</v>
      </c>
      <c r="AJ1190" s="4">
        <v>4</v>
      </c>
      <c r="AK1190" s="4">
        <v>4</v>
      </c>
      <c r="AL1190" s="4">
        <v>2</v>
      </c>
      <c r="AM1190" s="4">
        <v>2</v>
      </c>
      <c r="AN1190" s="4">
        <v>0</v>
      </c>
      <c r="AO1190" s="4">
        <v>0</v>
      </c>
      <c r="AP1190" s="3" t="s">
        <v>59</v>
      </c>
      <c r="AQ1190" s="3" t="s">
        <v>71</v>
      </c>
      <c r="AR1190" s="6" t="str">
        <f>HYPERLINK("http://catalog.hathitrust.org/Record/000181320","HathiTrust Record")</f>
        <v>HathiTrust Record</v>
      </c>
      <c r="AS1190" s="6" t="str">
        <f>HYPERLINK("https://creighton-primo.hosted.exlibrisgroup.com/primo-explore/search?tab=default_tab&amp;search_scope=EVERYTHING&amp;vid=01CRU&amp;lang=en_US&amp;offset=0&amp;query=any,contains,991004999119702656","Catalog Record")</f>
        <v>Catalog Record</v>
      </c>
      <c r="AT1190" s="6" t="str">
        <f>HYPERLINK("http://www.worldcat.org/oclc/6532919","WorldCat Record")</f>
        <v>WorldCat Record</v>
      </c>
      <c r="AU1190" s="3" t="s">
        <v>14954</v>
      </c>
      <c r="AV1190" s="3" t="s">
        <v>14955</v>
      </c>
      <c r="AW1190" s="3" t="s">
        <v>14956</v>
      </c>
      <c r="AX1190" s="3" t="s">
        <v>14956</v>
      </c>
      <c r="AY1190" s="3" t="s">
        <v>14957</v>
      </c>
      <c r="AZ1190" s="3" t="s">
        <v>76</v>
      </c>
      <c r="BB1190" s="3" t="s">
        <v>14958</v>
      </c>
      <c r="BC1190" s="3" t="s">
        <v>14959</v>
      </c>
      <c r="BD1190" s="3" t="s">
        <v>14960</v>
      </c>
    </row>
    <row r="1191" spans="1:56" ht="52.5" customHeight="1" x14ac:dyDescent="0.25">
      <c r="A1191" s="7" t="s">
        <v>59</v>
      </c>
      <c r="B1191" s="2" t="s">
        <v>14961</v>
      </c>
      <c r="C1191" s="2" t="s">
        <v>14962</v>
      </c>
      <c r="D1191" s="2" t="s">
        <v>14963</v>
      </c>
      <c r="F1191" s="3" t="s">
        <v>59</v>
      </c>
      <c r="G1191" s="3" t="s">
        <v>60</v>
      </c>
      <c r="H1191" s="3" t="s">
        <v>71</v>
      </c>
      <c r="I1191" s="3" t="s">
        <v>59</v>
      </c>
      <c r="J1191" s="3" t="s">
        <v>61</v>
      </c>
      <c r="L1191" s="2" t="s">
        <v>14964</v>
      </c>
      <c r="M1191" s="3" t="s">
        <v>475</v>
      </c>
      <c r="O1191" s="3" t="s">
        <v>65</v>
      </c>
      <c r="P1191" s="3" t="s">
        <v>66</v>
      </c>
      <c r="Q1191" s="2" t="s">
        <v>14965</v>
      </c>
      <c r="R1191" s="3" t="s">
        <v>68</v>
      </c>
      <c r="S1191" s="4">
        <v>2</v>
      </c>
      <c r="T1191" s="4">
        <v>2</v>
      </c>
      <c r="U1191" s="5" t="s">
        <v>14966</v>
      </c>
      <c r="V1191" s="5" t="s">
        <v>14966</v>
      </c>
      <c r="W1191" s="5" t="s">
        <v>477</v>
      </c>
      <c r="X1191" s="5" t="s">
        <v>477</v>
      </c>
      <c r="Y1191" s="4">
        <v>649</v>
      </c>
      <c r="Z1191" s="4">
        <v>523</v>
      </c>
      <c r="AA1191" s="4">
        <v>524</v>
      </c>
      <c r="AB1191" s="4">
        <v>6</v>
      </c>
      <c r="AC1191" s="4">
        <v>6</v>
      </c>
      <c r="AD1191" s="4">
        <v>26</v>
      </c>
      <c r="AE1191" s="4">
        <v>26</v>
      </c>
      <c r="AF1191" s="4">
        <v>9</v>
      </c>
      <c r="AG1191" s="4">
        <v>9</v>
      </c>
      <c r="AH1191" s="4">
        <v>7</v>
      </c>
      <c r="AI1191" s="4">
        <v>7</v>
      </c>
      <c r="AJ1191" s="4">
        <v>12</v>
      </c>
      <c r="AK1191" s="4">
        <v>12</v>
      </c>
      <c r="AL1191" s="4">
        <v>4</v>
      </c>
      <c r="AM1191" s="4">
        <v>4</v>
      </c>
      <c r="AN1191" s="4">
        <v>0</v>
      </c>
      <c r="AO1191" s="4">
        <v>0</v>
      </c>
      <c r="AP1191" s="3" t="s">
        <v>59</v>
      </c>
      <c r="AQ1191" s="3" t="s">
        <v>59</v>
      </c>
      <c r="AS1191" s="6" t="str">
        <f>HYPERLINK("https://creighton-primo.hosted.exlibrisgroup.com/primo-explore/search?tab=default_tab&amp;search_scope=EVERYTHING&amp;vid=01CRU&amp;lang=en_US&amp;offset=0&amp;query=any,contains,991000091939702656","Catalog Record")</f>
        <v>Catalog Record</v>
      </c>
      <c r="AT1191" s="6" t="str">
        <f>HYPERLINK("http://www.worldcat.org/oclc/8907019","WorldCat Record")</f>
        <v>WorldCat Record</v>
      </c>
      <c r="AU1191" s="3" t="s">
        <v>14967</v>
      </c>
      <c r="AV1191" s="3" t="s">
        <v>14968</v>
      </c>
      <c r="AW1191" s="3" t="s">
        <v>14969</v>
      </c>
      <c r="AX1191" s="3" t="s">
        <v>14969</v>
      </c>
      <c r="AY1191" s="3" t="s">
        <v>14970</v>
      </c>
      <c r="AZ1191" s="3" t="s">
        <v>76</v>
      </c>
      <c r="BB1191" s="3" t="s">
        <v>14971</v>
      </c>
      <c r="BC1191" s="3" t="s">
        <v>14972</v>
      </c>
      <c r="BD1191" s="3" t="s">
        <v>14973</v>
      </c>
    </row>
    <row r="1192" spans="1:56" ht="52.5" customHeight="1" x14ac:dyDescent="0.25">
      <c r="A1192" s="7" t="s">
        <v>59</v>
      </c>
      <c r="B1192" s="2" t="s">
        <v>14974</v>
      </c>
      <c r="C1192" s="2" t="s">
        <v>14975</v>
      </c>
      <c r="D1192" s="2" t="s">
        <v>14976</v>
      </c>
      <c r="F1192" s="3" t="s">
        <v>59</v>
      </c>
      <c r="G1192" s="3" t="s">
        <v>60</v>
      </c>
      <c r="H1192" s="3" t="s">
        <v>59</v>
      </c>
      <c r="I1192" s="3" t="s">
        <v>59</v>
      </c>
      <c r="J1192" s="3" t="s">
        <v>61</v>
      </c>
      <c r="L1192" s="2" t="s">
        <v>14977</v>
      </c>
      <c r="M1192" s="3" t="s">
        <v>5648</v>
      </c>
      <c r="O1192" s="3" t="s">
        <v>65</v>
      </c>
      <c r="P1192" s="3" t="s">
        <v>66</v>
      </c>
      <c r="R1192" s="3" t="s">
        <v>68</v>
      </c>
      <c r="S1192" s="4">
        <v>5</v>
      </c>
      <c r="T1192" s="4">
        <v>5</v>
      </c>
      <c r="U1192" s="5" t="s">
        <v>14978</v>
      </c>
      <c r="V1192" s="5" t="s">
        <v>14978</v>
      </c>
      <c r="W1192" s="5" t="s">
        <v>5762</v>
      </c>
      <c r="X1192" s="5" t="s">
        <v>5762</v>
      </c>
      <c r="Y1192" s="4">
        <v>417</v>
      </c>
      <c r="Z1192" s="4">
        <v>362</v>
      </c>
      <c r="AA1192" s="4">
        <v>369</v>
      </c>
      <c r="AB1192" s="4">
        <v>2</v>
      </c>
      <c r="AC1192" s="4">
        <v>2</v>
      </c>
      <c r="AD1192" s="4">
        <v>20</v>
      </c>
      <c r="AE1192" s="4">
        <v>20</v>
      </c>
      <c r="AF1192" s="4">
        <v>8</v>
      </c>
      <c r="AG1192" s="4">
        <v>8</v>
      </c>
      <c r="AH1192" s="4">
        <v>4</v>
      </c>
      <c r="AI1192" s="4">
        <v>4</v>
      </c>
      <c r="AJ1192" s="4">
        <v>13</v>
      </c>
      <c r="AK1192" s="4">
        <v>13</v>
      </c>
      <c r="AL1192" s="4">
        <v>1</v>
      </c>
      <c r="AM1192" s="4">
        <v>1</v>
      </c>
      <c r="AN1192" s="4">
        <v>0</v>
      </c>
      <c r="AO1192" s="4">
        <v>0</v>
      </c>
      <c r="AP1192" s="3" t="s">
        <v>59</v>
      </c>
      <c r="AQ1192" s="3" t="s">
        <v>71</v>
      </c>
      <c r="AR1192" s="6" t="str">
        <f>HYPERLINK("http://catalog.hathitrust.org/Record/002168759","HathiTrust Record")</f>
        <v>HathiTrust Record</v>
      </c>
      <c r="AS1192" s="6" t="str">
        <f>HYPERLINK("https://creighton-primo.hosted.exlibrisgroup.com/primo-explore/search?tab=default_tab&amp;search_scope=EVERYTHING&amp;vid=01CRU&amp;lang=en_US&amp;offset=0&amp;query=any,contains,991001644879702656","Catalog Record")</f>
        <v>Catalog Record</v>
      </c>
      <c r="AT1192" s="6" t="str">
        <f>HYPERLINK("http://www.worldcat.org/oclc/21042104","WorldCat Record")</f>
        <v>WorldCat Record</v>
      </c>
      <c r="AU1192" s="3" t="s">
        <v>14979</v>
      </c>
      <c r="AV1192" s="3" t="s">
        <v>14980</v>
      </c>
      <c r="AW1192" s="3" t="s">
        <v>14981</v>
      </c>
      <c r="AX1192" s="3" t="s">
        <v>14981</v>
      </c>
      <c r="AY1192" s="3" t="s">
        <v>14982</v>
      </c>
      <c r="AZ1192" s="3" t="s">
        <v>76</v>
      </c>
      <c r="BB1192" s="3" t="s">
        <v>14983</v>
      </c>
      <c r="BC1192" s="3" t="s">
        <v>14984</v>
      </c>
      <c r="BD1192" s="3" t="s">
        <v>14985</v>
      </c>
    </row>
    <row r="1193" spans="1:56" ht="52.5" customHeight="1" x14ac:dyDescent="0.25">
      <c r="A1193" s="7" t="s">
        <v>59</v>
      </c>
      <c r="B1193" s="2" t="s">
        <v>14986</v>
      </c>
      <c r="C1193" s="2" t="s">
        <v>14987</v>
      </c>
      <c r="D1193" s="2" t="s">
        <v>14988</v>
      </c>
      <c r="F1193" s="3" t="s">
        <v>59</v>
      </c>
      <c r="G1193" s="3" t="s">
        <v>60</v>
      </c>
      <c r="H1193" s="3" t="s">
        <v>59</v>
      </c>
      <c r="I1193" s="3" t="s">
        <v>59</v>
      </c>
      <c r="J1193" s="3" t="s">
        <v>61</v>
      </c>
      <c r="K1193" s="2" t="s">
        <v>14989</v>
      </c>
      <c r="L1193" s="2" t="s">
        <v>14990</v>
      </c>
      <c r="M1193" s="3" t="s">
        <v>549</v>
      </c>
      <c r="N1193" s="2" t="s">
        <v>1975</v>
      </c>
      <c r="O1193" s="3" t="s">
        <v>65</v>
      </c>
      <c r="P1193" s="3" t="s">
        <v>699</v>
      </c>
      <c r="R1193" s="3" t="s">
        <v>68</v>
      </c>
      <c r="S1193" s="4">
        <v>5</v>
      </c>
      <c r="T1193" s="4">
        <v>5</v>
      </c>
      <c r="U1193" s="5" t="s">
        <v>14991</v>
      </c>
      <c r="V1193" s="5" t="s">
        <v>14991</v>
      </c>
      <c r="W1193" s="5" t="s">
        <v>14992</v>
      </c>
      <c r="X1193" s="5" t="s">
        <v>14992</v>
      </c>
      <c r="Y1193" s="4">
        <v>156</v>
      </c>
      <c r="Z1193" s="4">
        <v>116</v>
      </c>
      <c r="AA1193" s="4">
        <v>456</v>
      </c>
      <c r="AB1193" s="4">
        <v>1</v>
      </c>
      <c r="AC1193" s="4">
        <v>3</v>
      </c>
      <c r="AD1193" s="4">
        <v>4</v>
      </c>
      <c r="AE1193" s="4">
        <v>12</v>
      </c>
      <c r="AF1193" s="4">
        <v>1</v>
      </c>
      <c r="AG1193" s="4">
        <v>6</v>
      </c>
      <c r="AH1193" s="4">
        <v>0</v>
      </c>
      <c r="AI1193" s="4">
        <v>1</v>
      </c>
      <c r="AJ1193" s="4">
        <v>3</v>
      </c>
      <c r="AK1193" s="4">
        <v>5</v>
      </c>
      <c r="AL1193" s="4">
        <v>0</v>
      </c>
      <c r="AM1193" s="4">
        <v>1</v>
      </c>
      <c r="AN1193" s="4">
        <v>0</v>
      </c>
      <c r="AO1193" s="4">
        <v>0</v>
      </c>
      <c r="AP1193" s="3" t="s">
        <v>59</v>
      </c>
      <c r="AQ1193" s="3" t="s">
        <v>71</v>
      </c>
      <c r="AR1193" s="6" t="str">
        <f>HYPERLINK("http://catalog.hathitrust.org/Record/000446974","HathiTrust Record")</f>
        <v>HathiTrust Record</v>
      </c>
      <c r="AS1193" s="6" t="str">
        <f>HYPERLINK("https://creighton-primo.hosted.exlibrisgroup.com/primo-explore/search?tab=default_tab&amp;search_scope=EVERYTHING&amp;vid=01CRU&amp;lang=en_US&amp;offset=0&amp;query=any,contains,991000752919702656","Catalog Record")</f>
        <v>Catalog Record</v>
      </c>
      <c r="AT1193" s="6" t="str">
        <f>HYPERLINK("http://www.worldcat.org/oclc/12943486","WorldCat Record")</f>
        <v>WorldCat Record</v>
      </c>
      <c r="AU1193" s="3" t="s">
        <v>14993</v>
      </c>
      <c r="AV1193" s="3" t="s">
        <v>14994</v>
      </c>
      <c r="AW1193" s="3" t="s">
        <v>14995</v>
      </c>
      <c r="AX1193" s="3" t="s">
        <v>14995</v>
      </c>
      <c r="AY1193" s="3" t="s">
        <v>14996</v>
      </c>
      <c r="AZ1193" s="3" t="s">
        <v>76</v>
      </c>
      <c r="BB1193" s="3" t="s">
        <v>14997</v>
      </c>
      <c r="BC1193" s="3" t="s">
        <v>14998</v>
      </c>
      <c r="BD1193" s="3" t="s">
        <v>14999</v>
      </c>
    </row>
    <row r="1194" spans="1:56" ht="52.5" customHeight="1" x14ac:dyDescent="0.25">
      <c r="A1194" s="7" t="s">
        <v>59</v>
      </c>
      <c r="B1194" s="2" t="s">
        <v>15000</v>
      </c>
      <c r="C1194" s="2" t="s">
        <v>15001</v>
      </c>
      <c r="D1194" s="2" t="s">
        <v>15002</v>
      </c>
      <c r="F1194" s="3" t="s">
        <v>59</v>
      </c>
      <c r="G1194" s="3" t="s">
        <v>60</v>
      </c>
      <c r="H1194" s="3" t="s">
        <v>59</v>
      </c>
      <c r="I1194" s="3" t="s">
        <v>71</v>
      </c>
      <c r="J1194" s="3" t="s">
        <v>61</v>
      </c>
      <c r="K1194" s="2" t="s">
        <v>15003</v>
      </c>
      <c r="L1194" s="2" t="s">
        <v>15004</v>
      </c>
      <c r="M1194" s="3" t="s">
        <v>1000</v>
      </c>
      <c r="N1194" s="2" t="s">
        <v>887</v>
      </c>
      <c r="O1194" s="3" t="s">
        <v>65</v>
      </c>
      <c r="P1194" s="3" t="s">
        <v>420</v>
      </c>
      <c r="R1194" s="3" t="s">
        <v>68</v>
      </c>
      <c r="S1194" s="4">
        <v>11</v>
      </c>
      <c r="T1194" s="4">
        <v>11</v>
      </c>
      <c r="U1194" s="5" t="s">
        <v>15005</v>
      </c>
      <c r="V1194" s="5" t="s">
        <v>15005</v>
      </c>
      <c r="W1194" s="5" t="s">
        <v>338</v>
      </c>
      <c r="X1194" s="5" t="s">
        <v>338</v>
      </c>
      <c r="Y1194" s="4">
        <v>267</v>
      </c>
      <c r="Z1194" s="4">
        <v>201</v>
      </c>
      <c r="AA1194" s="4">
        <v>325</v>
      </c>
      <c r="AB1194" s="4">
        <v>2</v>
      </c>
      <c r="AC1194" s="4">
        <v>4</v>
      </c>
      <c r="AD1194" s="4">
        <v>6</v>
      </c>
      <c r="AE1194" s="4">
        <v>13</v>
      </c>
      <c r="AF1194" s="4">
        <v>3</v>
      </c>
      <c r="AG1194" s="4">
        <v>5</v>
      </c>
      <c r="AH1194" s="4">
        <v>0</v>
      </c>
      <c r="AI1194" s="4">
        <v>2</v>
      </c>
      <c r="AJ1194" s="4">
        <v>4</v>
      </c>
      <c r="AK1194" s="4">
        <v>7</v>
      </c>
      <c r="AL1194" s="4">
        <v>1</v>
      </c>
      <c r="AM1194" s="4">
        <v>2</v>
      </c>
      <c r="AN1194" s="4">
        <v>0</v>
      </c>
      <c r="AO1194" s="4">
        <v>0</v>
      </c>
      <c r="AP1194" s="3" t="s">
        <v>59</v>
      </c>
      <c r="AQ1194" s="3" t="s">
        <v>71</v>
      </c>
      <c r="AR1194" s="6" t="str">
        <f>HYPERLINK("http://catalog.hathitrust.org/Record/000034955","HathiTrust Record")</f>
        <v>HathiTrust Record</v>
      </c>
      <c r="AS1194" s="6" t="str">
        <f>HYPERLINK("https://creighton-primo.hosted.exlibrisgroup.com/primo-explore/search?tab=default_tab&amp;search_scope=EVERYTHING&amp;vid=01CRU&amp;lang=en_US&amp;offset=0&amp;query=any,contains,991004768859702656","Catalog Record")</f>
        <v>Catalog Record</v>
      </c>
      <c r="AT1194" s="6" t="str">
        <f>HYPERLINK("http://www.worldcat.org/oclc/5046108","WorldCat Record")</f>
        <v>WorldCat Record</v>
      </c>
      <c r="AU1194" s="3" t="s">
        <v>15006</v>
      </c>
      <c r="AV1194" s="3" t="s">
        <v>15007</v>
      </c>
      <c r="AW1194" s="3" t="s">
        <v>15008</v>
      </c>
      <c r="AX1194" s="3" t="s">
        <v>15008</v>
      </c>
      <c r="AY1194" s="3" t="s">
        <v>15009</v>
      </c>
      <c r="AZ1194" s="3" t="s">
        <v>76</v>
      </c>
      <c r="BB1194" s="3" t="s">
        <v>15010</v>
      </c>
      <c r="BC1194" s="3" t="s">
        <v>15011</v>
      </c>
      <c r="BD1194" s="3" t="s">
        <v>15012</v>
      </c>
    </row>
    <row r="1195" spans="1:56" ht="52.5" customHeight="1" x14ac:dyDescent="0.25">
      <c r="A1195" s="7" t="s">
        <v>59</v>
      </c>
      <c r="B1195" s="2" t="s">
        <v>15013</v>
      </c>
      <c r="C1195" s="2" t="s">
        <v>15014</v>
      </c>
      <c r="D1195" s="2" t="s">
        <v>15015</v>
      </c>
      <c r="F1195" s="3" t="s">
        <v>59</v>
      </c>
      <c r="G1195" s="3" t="s">
        <v>60</v>
      </c>
      <c r="H1195" s="3" t="s">
        <v>59</v>
      </c>
      <c r="I1195" s="3" t="s">
        <v>59</v>
      </c>
      <c r="J1195" s="3" t="s">
        <v>61</v>
      </c>
      <c r="K1195" s="2" t="s">
        <v>3183</v>
      </c>
      <c r="L1195" s="2" t="s">
        <v>15016</v>
      </c>
      <c r="M1195" s="3" t="s">
        <v>434</v>
      </c>
      <c r="O1195" s="3" t="s">
        <v>65</v>
      </c>
      <c r="P1195" s="3" t="s">
        <v>66</v>
      </c>
      <c r="R1195" s="3" t="s">
        <v>68</v>
      </c>
      <c r="S1195" s="4">
        <v>4</v>
      </c>
      <c r="T1195" s="4">
        <v>4</v>
      </c>
      <c r="U1195" s="5" t="s">
        <v>15017</v>
      </c>
      <c r="V1195" s="5" t="s">
        <v>15017</v>
      </c>
      <c r="W1195" s="5" t="s">
        <v>269</v>
      </c>
      <c r="X1195" s="5" t="s">
        <v>269</v>
      </c>
      <c r="Y1195" s="4">
        <v>662</v>
      </c>
      <c r="Z1195" s="4">
        <v>589</v>
      </c>
      <c r="AA1195" s="4">
        <v>659</v>
      </c>
      <c r="AB1195" s="4">
        <v>5</v>
      </c>
      <c r="AC1195" s="4">
        <v>5</v>
      </c>
      <c r="AD1195" s="4">
        <v>24</v>
      </c>
      <c r="AE1195" s="4">
        <v>25</v>
      </c>
      <c r="AF1195" s="4">
        <v>9</v>
      </c>
      <c r="AG1195" s="4">
        <v>10</v>
      </c>
      <c r="AH1195" s="4">
        <v>3</v>
      </c>
      <c r="AI1195" s="4">
        <v>4</v>
      </c>
      <c r="AJ1195" s="4">
        <v>11</v>
      </c>
      <c r="AK1195" s="4">
        <v>11</v>
      </c>
      <c r="AL1195" s="4">
        <v>4</v>
      </c>
      <c r="AM1195" s="4">
        <v>4</v>
      </c>
      <c r="AN1195" s="4">
        <v>0</v>
      </c>
      <c r="AO1195" s="4">
        <v>0</v>
      </c>
      <c r="AP1195" s="3" t="s">
        <v>59</v>
      </c>
      <c r="AQ1195" s="3" t="s">
        <v>71</v>
      </c>
      <c r="AR1195" s="6" t="str">
        <f>HYPERLINK("http://catalog.hathitrust.org/Record/000429560","HathiTrust Record")</f>
        <v>HathiTrust Record</v>
      </c>
      <c r="AS1195" s="6" t="str">
        <f>HYPERLINK("https://creighton-primo.hosted.exlibrisgroup.com/primo-explore/search?tab=default_tab&amp;search_scope=EVERYTHING&amp;vid=01CRU&amp;lang=en_US&amp;offset=0&amp;query=any,contains,991001370299702656","Catalog Record")</f>
        <v>Catalog Record</v>
      </c>
      <c r="AT1195" s="6" t="str">
        <f>HYPERLINK("http://www.worldcat.org/oclc/223395","WorldCat Record")</f>
        <v>WorldCat Record</v>
      </c>
      <c r="AU1195" s="3" t="s">
        <v>15018</v>
      </c>
      <c r="AV1195" s="3" t="s">
        <v>15019</v>
      </c>
      <c r="AW1195" s="3" t="s">
        <v>15020</v>
      </c>
      <c r="AX1195" s="3" t="s">
        <v>15020</v>
      </c>
      <c r="AY1195" s="3" t="s">
        <v>15021</v>
      </c>
      <c r="AZ1195" s="3" t="s">
        <v>76</v>
      </c>
      <c r="BC1195" s="3" t="s">
        <v>15022</v>
      </c>
      <c r="BD1195" s="3" t="s">
        <v>15023</v>
      </c>
    </row>
    <row r="1196" spans="1:56" ht="52.5" customHeight="1" x14ac:dyDescent="0.25">
      <c r="A1196" s="7" t="s">
        <v>59</v>
      </c>
      <c r="B1196" s="2" t="s">
        <v>15024</v>
      </c>
      <c r="C1196" s="2" t="s">
        <v>15025</v>
      </c>
      <c r="D1196" s="2" t="s">
        <v>15026</v>
      </c>
      <c r="F1196" s="3" t="s">
        <v>59</v>
      </c>
      <c r="G1196" s="3" t="s">
        <v>60</v>
      </c>
      <c r="H1196" s="3" t="s">
        <v>59</v>
      </c>
      <c r="I1196" s="3" t="s">
        <v>59</v>
      </c>
      <c r="J1196" s="3" t="s">
        <v>61</v>
      </c>
      <c r="K1196" s="2" t="s">
        <v>15027</v>
      </c>
      <c r="L1196" s="2" t="s">
        <v>15028</v>
      </c>
      <c r="M1196" s="3" t="s">
        <v>1000</v>
      </c>
      <c r="O1196" s="3" t="s">
        <v>65</v>
      </c>
      <c r="P1196" s="3" t="s">
        <v>66</v>
      </c>
      <c r="R1196" s="3" t="s">
        <v>68</v>
      </c>
      <c r="S1196" s="4">
        <v>9</v>
      </c>
      <c r="T1196" s="4">
        <v>9</v>
      </c>
      <c r="U1196" s="5" t="s">
        <v>15005</v>
      </c>
      <c r="V1196" s="5" t="s">
        <v>15005</v>
      </c>
      <c r="W1196" s="5" t="s">
        <v>8643</v>
      </c>
      <c r="X1196" s="5" t="s">
        <v>8643</v>
      </c>
      <c r="Y1196" s="4">
        <v>307</v>
      </c>
      <c r="Z1196" s="4">
        <v>212</v>
      </c>
      <c r="AA1196" s="4">
        <v>546</v>
      </c>
      <c r="AB1196" s="4">
        <v>2</v>
      </c>
      <c r="AC1196" s="4">
        <v>4</v>
      </c>
      <c r="AD1196" s="4">
        <v>5</v>
      </c>
      <c r="AE1196" s="4">
        <v>22</v>
      </c>
      <c r="AF1196" s="4">
        <v>3</v>
      </c>
      <c r="AG1196" s="4">
        <v>7</v>
      </c>
      <c r="AH1196" s="4">
        <v>1</v>
      </c>
      <c r="AI1196" s="4">
        <v>5</v>
      </c>
      <c r="AJ1196" s="4">
        <v>0</v>
      </c>
      <c r="AK1196" s="4">
        <v>11</v>
      </c>
      <c r="AL1196" s="4">
        <v>1</v>
      </c>
      <c r="AM1196" s="4">
        <v>3</v>
      </c>
      <c r="AN1196" s="4">
        <v>0</v>
      </c>
      <c r="AO1196" s="4">
        <v>0</v>
      </c>
      <c r="AP1196" s="3" t="s">
        <v>59</v>
      </c>
      <c r="AQ1196" s="3" t="s">
        <v>71</v>
      </c>
      <c r="AR1196" s="6" t="str">
        <f>HYPERLINK("http://catalog.hathitrust.org/Record/000255841","HathiTrust Record")</f>
        <v>HathiTrust Record</v>
      </c>
      <c r="AS1196" s="6" t="str">
        <f>HYPERLINK("https://creighton-primo.hosted.exlibrisgroup.com/primo-explore/search?tab=default_tab&amp;search_scope=EVERYTHING&amp;vid=01CRU&amp;lang=en_US&amp;offset=0&amp;query=any,contains,991004650769702656","Catalog Record")</f>
        <v>Catalog Record</v>
      </c>
      <c r="AT1196" s="6" t="str">
        <f>HYPERLINK("http://www.worldcat.org/oclc/4493821","WorldCat Record")</f>
        <v>WorldCat Record</v>
      </c>
      <c r="AU1196" s="3" t="s">
        <v>15029</v>
      </c>
      <c r="AV1196" s="3" t="s">
        <v>15030</v>
      </c>
      <c r="AW1196" s="3" t="s">
        <v>15031</v>
      </c>
      <c r="AX1196" s="3" t="s">
        <v>15031</v>
      </c>
      <c r="AY1196" s="3" t="s">
        <v>15032</v>
      </c>
      <c r="AZ1196" s="3" t="s">
        <v>76</v>
      </c>
      <c r="BB1196" s="3" t="s">
        <v>15033</v>
      </c>
      <c r="BC1196" s="3" t="s">
        <v>15034</v>
      </c>
      <c r="BD1196" s="3" t="s">
        <v>15035</v>
      </c>
    </row>
    <row r="1197" spans="1:56" ht="52.5" customHeight="1" x14ac:dyDescent="0.25">
      <c r="A1197" s="7" t="s">
        <v>59</v>
      </c>
      <c r="B1197" s="2" t="s">
        <v>15036</v>
      </c>
      <c r="C1197" s="2" t="s">
        <v>15037</v>
      </c>
      <c r="D1197" s="2" t="s">
        <v>15038</v>
      </c>
      <c r="F1197" s="3" t="s">
        <v>59</v>
      </c>
      <c r="G1197" s="3" t="s">
        <v>60</v>
      </c>
      <c r="H1197" s="3" t="s">
        <v>59</v>
      </c>
      <c r="I1197" s="3" t="s">
        <v>59</v>
      </c>
      <c r="J1197" s="3" t="s">
        <v>61</v>
      </c>
      <c r="L1197" s="2" t="s">
        <v>15039</v>
      </c>
      <c r="M1197" s="3" t="s">
        <v>365</v>
      </c>
      <c r="O1197" s="3" t="s">
        <v>65</v>
      </c>
      <c r="P1197" s="3" t="s">
        <v>491</v>
      </c>
      <c r="R1197" s="3" t="s">
        <v>68</v>
      </c>
      <c r="S1197" s="4">
        <v>2</v>
      </c>
      <c r="T1197" s="4">
        <v>2</v>
      </c>
      <c r="U1197" s="5" t="s">
        <v>15040</v>
      </c>
      <c r="V1197" s="5" t="s">
        <v>15040</v>
      </c>
      <c r="W1197" s="5" t="s">
        <v>477</v>
      </c>
      <c r="X1197" s="5" t="s">
        <v>477</v>
      </c>
      <c r="Y1197" s="4">
        <v>291</v>
      </c>
      <c r="Z1197" s="4">
        <v>251</v>
      </c>
      <c r="AA1197" s="4">
        <v>257</v>
      </c>
      <c r="AB1197" s="4">
        <v>4</v>
      </c>
      <c r="AC1197" s="4">
        <v>4</v>
      </c>
      <c r="AD1197" s="4">
        <v>6</v>
      </c>
      <c r="AE1197" s="4">
        <v>6</v>
      </c>
      <c r="AF1197" s="4">
        <v>2</v>
      </c>
      <c r="AG1197" s="4">
        <v>2</v>
      </c>
      <c r="AH1197" s="4">
        <v>1</v>
      </c>
      <c r="AI1197" s="4">
        <v>1</v>
      </c>
      <c r="AJ1197" s="4">
        <v>1</v>
      </c>
      <c r="AK1197" s="4">
        <v>1</v>
      </c>
      <c r="AL1197" s="4">
        <v>3</v>
      </c>
      <c r="AM1197" s="4">
        <v>3</v>
      </c>
      <c r="AN1197" s="4">
        <v>0</v>
      </c>
      <c r="AO1197" s="4">
        <v>0</v>
      </c>
      <c r="AP1197" s="3" t="s">
        <v>59</v>
      </c>
      <c r="AQ1197" s="3" t="s">
        <v>71</v>
      </c>
      <c r="AR1197" s="6" t="str">
        <f>HYPERLINK("http://catalog.hathitrust.org/Record/001536097","HathiTrust Record")</f>
        <v>HathiTrust Record</v>
      </c>
      <c r="AS1197" s="6" t="str">
        <f>HYPERLINK("https://creighton-primo.hosted.exlibrisgroup.com/primo-explore/search?tab=default_tab&amp;search_scope=EVERYTHING&amp;vid=01CRU&amp;lang=en_US&amp;offset=0&amp;query=any,contains,991001429919702656","Catalog Record")</f>
        <v>Catalog Record</v>
      </c>
      <c r="AT1197" s="6" t="str">
        <f>HYPERLINK("http://www.worldcat.org/oclc/19083095","WorldCat Record")</f>
        <v>WorldCat Record</v>
      </c>
      <c r="AU1197" s="3" t="s">
        <v>15041</v>
      </c>
      <c r="AV1197" s="3" t="s">
        <v>15042</v>
      </c>
      <c r="AW1197" s="3" t="s">
        <v>15043</v>
      </c>
      <c r="AX1197" s="3" t="s">
        <v>15043</v>
      </c>
      <c r="AY1197" s="3" t="s">
        <v>15044</v>
      </c>
      <c r="AZ1197" s="3" t="s">
        <v>76</v>
      </c>
      <c r="BB1197" s="3" t="s">
        <v>15045</v>
      </c>
      <c r="BC1197" s="3" t="s">
        <v>15046</v>
      </c>
      <c r="BD1197" s="3" t="s">
        <v>15047</v>
      </c>
    </row>
    <row r="1198" spans="1:56" ht="52.5" customHeight="1" x14ac:dyDescent="0.25">
      <c r="A1198" s="7" t="s">
        <v>59</v>
      </c>
      <c r="B1198" s="2" t="s">
        <v>15048</v>
      </c>
      <c r="C1198" s="2" t="s">
        <v>15049</v>
      </c>
      <c r="D1198" s="2" t="s">
        <v>15050</v>
      </c>
      <c r="F1198" s="3" t="s">
        <v>59</v>
      </c>
      <c r="G1198" s="3" t="s">
        <v>60</v>
      </c>
      <c r="H1198" s="3" t="s">
        <v>71</v>
      </c>
      <c r="I1198" s="3" t="s">
        <v>59</v>
      </c>
      <c r="J1198" s="3" t="s">
        <v>61</v>
      </c>
      <c r="L1198" s="2" t="s">
        <v>15051</v>
      </c>
      <c r="M1198" s="3" t="s">
        <v>164</v>
      </c>
      <c r="O1198" s="3" t="s">
        <v>65</v>
      </c>
      <c r="P1198" s="3" t="s">
        <v>1218</v>
      </c>
      <c r="R1198" s="3" t="s">
        <v>68</v>
      </c>
      <c r="S1198" s="4">
        <v>7</v>
      </c>
      <c r="T1198" s="4">
        <v>7</v>
      </c>
      <c r="U1198" s="5" t="s">
        <v>15040</v>
      </c>
      <c r="V1198" s="5" t="s">
        <v>15040</v>
      </c>
      <c r="W1198" s="5" t="s">
        <v>477</v>
      </c>
      <c r="X1198" s="5" t="s">
        <v>477</v>
      </c>
      <c r="Y1198" s="4">
        <v>668</v>
      </c>
      <c r="Z1198" s="4">
        <v>562</v>
      </c>
      <c r="AA1198" s="4">
        <v>638</v>
      </c>
      <c r="AB1198" s="4">
        <v>4</v>
      </c>
      <c r="AC1198" s="4">
        <v>5</v>
      </c>
      <c r="AD1198" s="4">
        <v>26</v>
      </c>
      <c r="AE1198" s="4">
        <v>30</v>
      </c>
      <c r="AF1198" s="4">
        <v>10</v>
      </c>
      <c r="AG1198" s="4">
        <v>12</v>
      </c>
      <c r="AH1198" s="4">
        <v>6</v>
      </c>
      <c r="AI1198" s="4">
        <v>6</v>
      </c>
      <c r="AJ1198" s="4">
        <v>15</v>
      </c>
      <c r="AK1198" s="4">
        <v>16</v>
      </c>
      <c r="AL1198" s="4">
        <v>2</v>
      </c>
      <c r="AM1198" s="4">
        <v>3</v>
      </c>
      <c r="AN1198" s="4">
        <v>0</v>
      </c>
      <c r="AO1198" s="4">
        <v>0</v>
      </c>
      <c r="AP1198" s="3" t="s">
        <v>59</v>
      </c>
      <c r="AQ1198" s="3" t="s">
        <v>71</v>
      </c>
      <c r="AR1198" s="6" t="str">
        <f>HYPERLINK("http://catalog.hathitrust.org/Record/000710573","HathiTrust Record")</f>
        <v>HathiTrust Record</v>
      </c>
      <c r="AS1198" s="6" t="str">
        <f>HYPERLINK("https://creighton-primo.hosted.exlibrisgroup.com/primo-explore/search?tab=default_tab&amp;search_scope=EVERYTHING&amp;vid=01CRU&amp;lang=en_US&amp;offset=0&amp;query=any,contains,991004991129702656","Catalog Record")</f>
        <v>Catalog Record</v>
      </c>
      <c r="AT1198" s="6" t="str">
        <f>HYPERLINK("http://www.worldcat.org/oclc/6487347","WorldCat Record")</f>
        <v>WorldCat Record</v>
      </c>
      <c r="AU1198" s="3" t="s">
        <v>15052</v>
      </c>
      <c r="AV1198" s="3" t="s">
        <v>15053</v>
      </c>
      <c r="AW1198" s="3" t="s">
        <v>15054</v>
      </c>
      <c r="AX1198" s="3" t="s">
        <v>15054</v>
      </c>
      <c r="AY1198" s="3" t="s">
        <v>15055</v>
      </c>
      <c r="AZ1198" s="3" t="s">
        <v>76</v>
      </c>
      <c r="BB1198" s="3" t="s">
        <v>15056</v>
      </c>
      <c r="BC1198" s="3" t="s">
        <v>15057</v>
      </c>
      <c r="BD1198" s="3" t="s">
        <v>15058</v>
      </c>
    </row>
    <row r="1199" spans="1:56" ht="52.5" customHeight="1" x14ac:dyDescent="0.25">
      <c r="A1199" s="7" t="s">
        <v>59</v>
      </c>
      <c r="B1199" s="2" t="s">
        <v>15059</v>
      </c>
      <c r="C1199" s="2" t="s">
        <v>15060</v>
      </c>
      <c r="D1199" s="2" t="s">
        <v>15061</v>
      </c>
      <c r="F1199" s="3" t="s">
        <v>59</v>
      </c>
      <c r="G1199" s="3" t="s">
        <v>60</v>
      </c>
      <c r="H1199" s="3" t="s">
        <v>59</v>
      </c>
      <c r="I1199" s="3" t="s">
        <v>59</v>
      </c>
      <c r="J1199" s="3" t="s">
        <v>61</v>
      </c>
      <c r="K1199" s="2" t="s">
        <v>15062</v>
      </c>
      <c r="L1199" s="2" t="s">
        <v>15063</v>
      </c>
      <c r="M1199" s="3" t="s">
        <v>309</v>
      </c>
      <c r="O1199" s="3" t="s">
        <v>65</v>
      </c>
      <c r="P1199" s="3" t="s">
        <v>66</v>
      </c>
      <c r="R1199" s="3" t="s">
        <v>68</v>
      </c>
      <c r="S1199" s="4">
        <v>2</v>
      </c>
      <c r="T1199" s="4">
        <v>2</v>
      </c>
      <c r="U1199" s="5" t="s">
        <v>4150</v>
      </c>
      <c r="V1199" s="5" t="s">
        <v>4150</v>
      </c>
      <c r="W1199" s="5" t="s">
        <v>477</v>
      </c>
      <c r="X1199" s="5" t="s">
        <v>477</v>
      </c>
      <c r="Y1199" s="4">
        <v>713</v>
      </c>
      <c r="Z1199" s="4">
        <v>613</v>
      </c>
      <c r="AA1199" s="4">
        <v>615</v>
      </c>
      <c r="AB1199" s="4">
        <v>6</v>
      </c>
      <c r="AC1199" s="4">
        <v>6</v>
      </c>
      <c r="AD1199" s="4">
        <v>26</v>
      </c>
      <c r="AE1199" s="4">
        <v>26</v>
      </c>
      <c r="AF1199" s="4">
        <v>8</v>
      </c>
      <c r="AG1199" s="4">
        <v>8</v>
      </c>
      <c r="AH1199" s="4">
        <v>8</v>
      </c>
      <c r="AI1199" s="4">
        <v>8</v>
      </c>
      <c r="AJ1199" s="4">
        <v>12</v>
      </c>
      <c r="AK1199" s="4">
        <v>12</v>
      </c>
      <c r="AL1199" s="4">
        <v>4</v>
      </c>
      <c r="AM1199" s="4">
        <v>4</v>
      </c>
      <c r="AN1199" s="4">
        <v>0</v>
      </c>
      <c r="AO1199" s="4">
        <v>0</v>
      </c>
      <c r="AP1199" s="3" t="s">
        <v>59</v>
      </c>
      <c r="AQ1199" s="3" t="s">
        <v>71</v>
      </c>
      <c r="AR1199" s="6" t="str">
        <f>HYPERLINK("http://catalog.hathitrust.org/Record/000176661","HathiTrust Record")</f>
        <v>HathiTrust Record</v>
      </c>
      <c r="AS1199" s="6" t="str">
        <f>HYPERLINK("https://creighton-primo.hosted.exlibrisgroup.com/primo-explore/search?tab=default_tab&amp;search_scope=EVERYTHING&amp;vid=01CRU&amp;lang=en_US&amp;offset=0&amp;query=any,contains,991004565379702656","Catalog Record")</f>
        <v>Catalog Record</v>
      </c>
      <c r="AT1199" s="6" t="str">
        <f>HYPERLINK("http://www.worldcat.org/oclc/4004365","WorldCat Record")</f>
        <v>WorldCat Record</v>
      </c>
      <c r="AU1199" s="3" t="s">
        <v>15064</v>
      </c>
      <c r="AV1199" s="3" t="s">
        <v>15065</v>
      </c>
      <c r="AW1199" s="3" t="s">
        <v>15066</v>
      </c>
      <c r="AX1199" s="3" t="s">
        <v>15066</v>
      </c>
      <c r="AY1199" s="3" t="s">
        <v>15067</v>
      </c>
      <c r="AZ1199" s="3" t="s">
        <v>76</v>
      </c>
      <c r="BB1199" s="3" t="s">
        <v>15068</v>
      </c>
      <c r="BC1199" s="3" t="s">
        <v>15069</v>
      </c>
      <c r="BD1199" s="3" t="s">
        <v>15070</v>
      </c>
    </row>
    <row r="1200" spans="1:56" ht="52.5" customHeight="1" x14ac:dyDescent="0.25">
      <c r="A1200" s="7" t="s">
        <v>59</v>
      </c>
      <c r="B1200" s="2" t="s">
        <v>15071</v>
      </c>
      <c r="C1200" s="2" t="s">
        <v>15072</v>
      </c>
      <c r="D1200" s="2" t="s">
        <v>15073</v>
      </c>
      <c r="F1200" s="3" t="s">
        <v>59</v>
      </c>
      <c r="G1200" s="3" t="s">
        <v>60</v>
      </c>
      <c r="H1200" s="3" t="s">
        <v>71</v>
      </c>
      <c r="I1200" s="3" t="s">
        <v>59</v>
      </c>
      <c r="J1200" s="3" t="s">
        <v>61</v>
      </c>
      <c r="K1200" s="2" t="s">
        <v>15074</v>
      </c>
      <c r="L1200" s="2" t="s">
        <v>9855</v>
      </c>
      <c r="M1200" s="3" t="s">
        <v>1217</v>
      </c>
      <c r="N1200" s="2" t="s">
        <v>15075</v>
      </c>
      <c r="O1200" s="3" t="s">
        <v>65</v>
      </c>
      <c r="P1200" s="3" t="s">
        <v>66</v>
      </c>
      <c r="R1200" s="3" t="s">
        <v>68</v>
      </c>
      <c r="S1200" s="4">
        <v>2</v>
      </c>
      <c r="T1200" s="4">
        <v>2</v>
      </c>
      <c r="U1200" s="5" t="s">
        <v>7829</v>
      </c>
      <c r="V1200" s="5" t="s">
        <v>7829</v>
      </c>
      <c r="W1200" s="5" t="s">
        <v>477</v>
      </c>
      <c r="X1200" s="5" t="s">
        <v>477</v>
      </c>
      <c r="Y1200" s="4">
        <v>500</v>
      </c>
      <c r="Z1200" s="4">
        <v>432</v>
      </c>
      <c r="AA1200" s="4">
        <v>1026</v>
      </c>
      <c r="AB1200" s="4">
        <v>4</v>
      </c>
      <c r="AC1200" s="4">
        <v>7</v>
      </c>
      <c r="AD1200" s="4">
        <v>16</v>
      </c>
      <c r="AE1200" s="4">
        <v>35</v>
      </c>
      <c r="AF1200" s="4">
        <v>6</v>
      </c>
      <c r="AG1200" s="4">
        <v>17</v>
      </c>
      <c r="AH1200" s="4">
        <v>3</v>
      </c>
      <c r="AI1200" s="4">
        <v>7</v>
      </c>
      <c r="AJ1200" s="4">
        <v>9</v>
      </c>
      <c r="AK1200" s="4">
        <v>19</v>
      </c>
      <c r="AL1200" s="4">
        <v>2</v>
      </c>
      <c r="AM1200" s="4">
        <v>4</v>
      </c>
      <c r="AN1200" s="4">
        <v>0</v>
      </c>
      <c r="AO1200" s="4">
        <v>0</v>
      </c>
      <c r="AP1200" s="3" t="s">
        <v>59</v>
      </c>
      <c r="AQ1200" s="3" t="s">
        <v>71</v>
      </c>
      <c r="AR1200" s="6" t="str">
        <f>HYPERLINK("http://catalog.hathitrust.org/Record/000121394","HathiTrust Record")</f>
        <v>HathiTrust Record</v>
      </c>
      <c r="AS1200" s="6" t="str">
        <f>HYPERLINK("https://creighton-primo.hosted.exlibrisgroup.com/primo-explore/search?tab=default_tab&amp;search_scope=EVERYTHING&amp;vid=01CRU&amp;lang=en_US&amp;offset=0&amp;query=any,contains,991000379459702656","Catalog Record")</f>
        <v>Catalog Record</v>
      </c>
      <c r="AT1200" s="6" t="str">
        <f>HYPERLINK("http://www.worldcat.org/oclc/10483910","WorldCat Record")</f>
        <v>WorldCat Record</v>
      </c>
      <c r="AU1200" s="3" t="s">
        <v>15076</v>
      </c>
      <c r="AV1200" s="3" t="s">
        <v>15077</v>
      </c>
      <c r="AW1200" s="3" t="s">
        <v>15078</v>
      </c>
      <c r="AX1200" s="3" t="s">
        <v>15078</v>
      </c>
      <c r="AY1200" s="3" t="s">
        <v>15079</v>
      </c>
      <c r="AZ1200" s="3" t="s">
        <v>76</v>
      </c>
      <c r="BB1200" s="3" t="s">
        <v>15080</v>
      </c>
      <c r="BC1200" s="3" t="s">
        <v>15081</v>
      </c>
      <c r="BD1200" s="3" t="s">
        <v>15082</v>
      </c>
    </row>
    <row r="1201" spans="1:56" ht="52.5" customHeight="1" x14ac:dyDescent="0.25">
      <c r="A1201" s="7" t="s">
        <v>59</v>
      </c>
      <c r="B1201" s="2" t="s">
        <v>15083</v>
      </c>
      <c r="C1201" s="2" t="s">
        <v>15084</v>
      </c>
      <c r="D1201" s="2" t="s">
        <v>15085</v>
      </c>
      <c r="F1201" s="3" t="s">
        <v>59</v>
      </c>
      <c r="G1201" s="3" t="s">
        <v>60</v>
      </c>
      <c r="H1201" s="3" t="s">
        <v>59</v>
      </c>
      <c r="I1201" s="3" t="s">
        <v>59</v>
      </c>
      <c r="J1201" s="3" t="s">
        <v>61</v>
      </c>
      <c r="K1201" s="2" t="s">
        <v>15086</v>
      </c>
      <c r="L1201" s="2" t="s">
        <v>8679</v>
      </c>
      <c r="M1201" s="3" t="s">
        <v>195</v>
      </c>
      <c r="O1201" s="3" t="s">
        <v>65</v>
      </c>
      <c r="P1201" s="3" t="s">
        <v>66</v>
      </c>
      <c r="R1201" s="3" t="s">
        <v>68</v>
      </c>
      <c r="S1201" s="4">
        <v>2</v>
      </c>
      <c r="T1201" s="4">
        <v>2</v>
      </c>
      <c r="U1201" s="5" t="s">
        <v>15040</v>
      </c>
      <c r="V1201" s="5" t="s">
        <v>15040</v>
      </c>
      <c r="W1201" s="5" t="s">
        <v>14915</v>
      </c>
      <c r="X1201" s="5" t="s">
        <v>14915</v>
      </c>
      <c r="Y1201" s="4">
        <v>314</v>
      </c>
      <c r="Z1201" s="4">
        <v>210</v>
      </c>
      <c r="AA1201" s="4">
        <v>216</v>
      </c>
      <c r="AB1201" s="4">
        <v>2</v>
      </c>
      <c r="AC1201" s="4">
        <v>2</v>
      </c>
      <c r="AD1201" s="4">
        <v>6</v>
      </c>
      <c r="AE1201" s="4">
        <v>6</v>
      </c>
      <c r="AF1201" s="4">
        <v>1</v>
      </c>
      <c r="AG1201" s="4">
        <v>1</v>
      </c>
      <c r="AH1201" s="4">
        <v>2</v>
      </c>
      <c r="AI1201" s="4">
        <v>2</v>
      </c>
      <c r="AJ1201" s="4">
        <v>5</v>
      </c>
      <c r="AK1201" s="4">
        <v>5</v>
      </c>
      <c r="AL1201" s="4">
        <v>1</v>
      </c>
      <c r="AM1201" s="4">
        <v>1</v>
      </c>
      <c r="AN1201" s="4">
        <v>0</v>
      </c>
      <c r="AO1201" s="4">
        <v>0</v>
      </c>
      <c r="AP1201" s="3" t="s">
        <v>59</v>
      </c>
      <c r="AQ1201" s="3" t="s">
        <v>59</v>
      </c>
      <c r="AS1201" s="6" t="str">
        <f>HYPERLINK("https://creighton-primo.hosted.exlibrisgroup.com/primo-explore/search?tab=default_tab&amp;search_scope=EVERYTHING&amp;vid=01CRU&amp;lang=en_US&amp;offset=0&amp;query=any,contains,991005192979702656","Catalog Record")</f>
        <v>Catalog Record</v>
      </c>
      <c r="AT1201" s="6" t="str">
        <f>HYPERLINK("http://www.worldcat.org/oclc/8031756","WorldCat Record")</f>
        <v>WorldCat Record</v>
      </c>
      <c r="AU1201" s="3" t="s">
        <v>15087</v>
      </c>
      <c r="AV1201" s="3" t="s">
        <v>15088</v>
      </c>
      <c r="AW1201" s="3" t="s">
        <v>15089</v>
      </c>
      <c r="AX1201" s="3" t="s">
        <v>15089</v>
      </c>
      <c r="AY1201" s="3" t="s">
        <v>15090</v>
      </c>
      <c r="AZ1201" s="3" t="s">
        <v>76</v>
      </c>
      <c r="BB1201" s="3" t="s">
        <v>15091</v>
      </c>
      <c r="BC1201" s="3" t="s">
        <v>15092</v>
      </c>
      <c r="BD1201" s="3" t="s">
        <v>15093</v>
      </c>
    </row>
    <row r="1202" spans="1:56" ht="52.5" customHeight="1" x14ac:dyDescent="0.25">
      <c r="A1202" s="7" t="s">
        <v>59</v>
      </c>
      <c r="B1202" s="2" t="s">
        <v>15094</v>
      </c>
      <c r="C1202" s="2" t="s">
        <v>15095</v>
      </c>
      <c r="D1202" s="2" t="s">
        <v>15096</v>
      </c>
      <c r="F1202" s="3" t="s">
        <v>59</v>
      </c>
      <c r="G1202" s="3" t="s">
        <v>60</v>
      </c>
      <c r="H1202" s="3" t="s">
        <v>59</v>
      </c>
      <c r="I1202" s="3" t="s">
        <v>59</v>
      </c>
      <c r="J1202" s="3" t="s">
        <v>61</v>
      </c>
      <c r="K1202" s="2" t="s">
        <v>15097</v>
      </c>
      <c r="L1202" s="2" t="s">
        <v>15098</v>
      </c>
      <c r="M1202" s="3" t="s">
        <v>5648</v>
      </c>
      <c r="N1202" s="2" t="s">
        <v>887</v>
      </c>
      <c r="O1202" s="3" t="s">
        <v>65</v>
      </c>
      <c r="P1202" s="3" t="s">
        <v>420</v>
      </c>
      <c r="Q1202" s="2" t="s">
        <v>5723</v>
      </c>
      <c r="R1202" s="3" t="s">
        <v>68</v>
      </c>
      <c r="S1202" s="4">
        <v>1</v>
      </c>
      <c r="T1202" s="4">
        <v>1</v>
      </c>
      <c r="U1202" s="5" t="s">
        <v>15099</v>
      </c>
      <c r="V1202" s="5" t="s">
        <v>15099</v>
      </c>
      <c r="W1202" s="5" t="s">
        <v>2678</v>
      </c>
      <c r="X1202" s="5" t="s">
        <v>2678</v>
      </c>
      <c r="Y1202" s="4">
        <v>654</v>
      </c>
      <c r="Z1202" s="4">
        <v>568</v>
      </c>
      <c r="AA1202" s="4">
        <v>583</v>
      </c>
      <c r="AB1202" s="4">
        <v>5</v>
      </c>
      <c r="AC1202" s="4">
        <v>5</v>
      </c>
      <c r="AD1202" s="4">
        <v>30</v>
      </c>
      <c r="AE1202" s="4">
        <v>31</v>
      </c>
      <c r="AF1202" s="4">
        <v>13</v>
      </c>
      <c r="AG1202" s="4">
        <v>14</v>
      </c>
      <c r="AH1202" s="4">
        <v>6</v>
      </c>
      <c r="AI1202" s="4">
        <v>6</v>
      </c>
      <c r="AJ1202" s="4">
        <v>16</v>
      </c>
      <c r="AK1202" s="4">
        <v>16</v>
      </c>
      <c r="AL1202" s="4">
        <v>4</v>
      </c>
      <c r="AM1202" s="4">
        <v>4</v>
      </c>
      <c r="AN1202" s="4">
        <v>0</v>
      </c>
      <c r="AO1202" s="4">
        <v>0</v>
      </c>
      <c r="AP1202" s="3" t="s">
        <v>59</v>
      </c>
      <c r="AQ1202" s="3" t="s">
        <v>71</v>
      </c>
      <c r="AR1202" s="6" t="str">
        <f>HYPERLINK("http://catalog.hathitrust.org/Record/002229685","HathiTrust Record")</f>
        <v>HathiTrust Record</v>
      </c>
      <c r="AS1202" s="6" t="str">
        <f>HYPERLINK("https://creighton-primo.hosted.exlibrisgroup.com/primo-explore/search?tab=default_tab&amp;search_scope=EVERYTHING&amp;vid=01CRU&amp;lang=en_US&amp;offset=0&amp;query=any,contains,991001737239702656","Catalog Record")</f>
        <v>Catalog Record</v>
      </c>
      <c r="AT1202" s="6" t="str">
        <f>HYPERLINK("http://www.worldcat.org/oclc/21973696","WorldCat Record")</f>
        <v>WorldCat Record</v>
      </c>
      <c r="AU1202" s="3" t="s">
        <v>15100</v>
      </c>
      <c r="AV1202" s="3" t="s">
        <v>15101</v>
      </c>
      <c r="AW1202" s="3" t="s">
        <v>15102</v>
      </c>
      <c r="AX1202" s="3" t="s">
        <v>15102</v>
      </c>
      <c r="AY1202" s="3" t="s">
        <v>15103</v>
      </c>
      <c r="AZ1202" s="3" t="s">
        <v>76</v>
      </c>
      <c r="BB1202" s="3" t="s">
        <v>15104</v>
      </c>
      <c r="BC1202" s="3" t="s">
        <v>15105</v>
      </c>
      <c r="BD1202" s="3" t="s">
        <v>15106</v>
      </c>
    </row>
    <row r="1203" spans="1:56" ht="52.5" customHeight="1" x14ac:dyDescent="0.25">
      <c r="A1203" s="7" t="s">
        <v>59</v>
      </c>
      <c r="B1203" s="2" t="s">
        <v>15107</v>
      </c>
      <c r="C1203" s="2" t="s">
        <v>15108</v>
      </c>
      <c r="D1203" s="2" t="s">
        <v>15109</v>
      </c>
      <c r="F1203" s="3" t="s">
        <v>59</v>
      </c>
      <c r="G1203" s="3" t="s">
        <v>60</v>
      </c>
      <c r="H1203" s="3" t="s">
        <v>59</v>
      </c>
      <c r="I1203" s="3" t="s">
        <v>59</v>
      </c>
      <c r="J1203" s="3" t="s">
        <v>61</v>
      </c>
      <c r="K1203" s="2" t="s">
        <v>12049</v>
      </c>
      <c r="L1203" s="2" t="s">
        <v>15110</v>
      </c>
      <c r="M1203" s="3" t="s">
        <v>195</v>
      </c>
      <c r="O1203" s="3" t="s">
        <v>65</v>
      </c>
      <c r="P1203" s="3" t="s">
        <v>283</v>
      </c>
      <c r="R1203" s="3" t="s">
        <v>68</v>
      </c>
      <c r="S1203" s="4">
        <v>14</v>
      </c>
      <c r="T1203" s="4">
        <v>14</v>
      </c>
      <c r="U1203" s="5" t="s">
        <v>15111</v>
      </c>
      <c r="V1203" s="5" t="s">
        <v>15111</v>
      </c>
      <c r="W1203" s="5" t="s">
        <v>2795</v>
      </c>
      <c r="X1203" s="5" t="s">
        <v>2795</v>
      </c>
      <c r="Y1203" s="4">
        <v>204</v>
      </c>
      <c r="Z1203" s="4">
        <v>163</v>
      </c>
      <c r="AA1203" s="4">
        <v>397</v>
      </c>
      <c r="AB1203" s="4">
        <v>2</v>
      </c>
      <c r="AC1203" s="4">
        <v>4</v>
      </c>
      <c r="AD1203" s="4">
        <v>4</v>
      </c>
      <c r="AE1203" s="4">
        <v>18</v>
      </c>
      <c r="AF1203" s="4">
        <v>2</v>
      </c>
      <c r="AG1203" s="4">
        <v>9</v>
      </c>
      <c r="AH1203" s="4">
        <v>0</v>
      </c>
      <c r="AI1203" s="4">
        <v>2</v>
      </c>
      <c r="AJ1203" s="4">
        <v>1</v>
      </c>
      <c r="AK1203" s="4">
        <v>11</v>
      </c>
      <c r="AL1203" s="4">
        <v>1</v>
      </c>
      <c r="AM1203" s="4">
        <v>2</v>
      </c>
      <c r="AN1203" s="4">
        <v>0</v>
      </c>
      <c r="AO1203" s="4">
        <v>0</v>
      </c>
      <c r="AP1203" s="3" t="s">
        <v>59</v>
      </c>
      <c r="AQ1203" s="3" t="s">
        <v>59</v>
      </c>
      <c r="AS1203" s="6" t="str">
        <f>HYPERLINK("https://creighton-primo.hosted.exlibrisgroup.com/primo-explore/search?tab=default_tab&amp;search_scope=EVERYTHING&amp;vid=01CRU&amp;lang=en_US&amp;offset=0&amp;query=any,contains,991005248429702656","Catalog Record")</f>
        <v>Catalog Record</v>
      </c>
      <c r="AT1203" s="6" t="str">
        <f>HYPERLINK("http://www.worldcat.org/oclc/8475441","WorldCat Record")</f>
        <v>WorldCat Record</v>
      </c>
      <c r="AU1203" s="3" t="s">
        <v>15112</v>
      </c>
      <c r="AV1203" s="3" t="s">
        <v>15113</v>
      </c>
      <c r="AW1203" s="3" t="s">
        <v>15114</v>
      </c>
      <c r="AX1203" s="3" t="s">
        <v>15114</v>
      </c>
      <c r="AY1203" s="3" t="s">
        <v>15115</v>
      </c>
      <c r="AZ1203" s="3" t="s">
        <v>76</v>
      </c>
      <c r="BB1203" s="3" t="s">
        <v>15116</v>
      </c>
      <c r="BC1203" s="3" t="s">
        <v>15117</v>
      </c>
      <c r="BD1203" s="3" t="s">
        <v>15118</v>
      </c>
    </row>
    <row r="1204" spans="1:56" ht="52.5" customHeight="1" x14ac:dyDescent="0.25">
      <c r="A1204" s="7" t="s">
        <v>59</v>
      </c>
      <c r="B1204" s="2" t="s">
        <v>15119</v>
      </c>
      <c r="C1204" s="2" t="s">
        <v>15120</v>
      </c>
      <c r="D1204" s="2" t="s">
        <v>15121</v>
      </c>
      <c r="F1204" s="3" t="s">
        <v>59</v>
      </c>
      <c r="G1204" s="3" t="s">
        <v>60</v>
      </c>
      <c r="H1204" s="3" t="s">
        <v>59</v>
      </c>
      <c r="I1204" s="3" t="s">
        <v>59</v>
      </c>
      <c r="J1204" s="3" t="s">
        <v>61</v>
      </c>
      <c r="L1204" s="2" t="s">
        <v>7978</v>
      </c>
      <c r="M1204" s="3" t="s">
        <v>365</v>
      </c>
      <c r="O1204" s="3" t="s">
        <v>65</v>
      </c>
      <c r="P1204" s="3" t="s">
        <v>1262</v>
      </c>
      <c r="R1204" s="3" t="s">
        <v>68</v>
      </c>
      <c r="S1204" s="4">
        <v>4</v>
      </c>
      <c r="T1204" s="4">
        <v>4</v>
      </c>
      <c r="U1204" s="5" t="s">
        <v>15122</v>
      </c>
      <c r="V1204" s="5" t="s">
        <v>15122</v>
      </c>
      <c r="W1204" s="5" t="s">
        <v>15123</v>
      </c>
      <c r="X1204" s="5" t="s">
        <v>15123</v>
      </c>
      <c r="Y1204" s="4">
        <v>553</v>
      </c>
      <c r="Z1204" s="4">
        <v>430</v>
      </c>
      <c r="AA1204" s="4">
        <v>469</v>
      </c>
      <c r="AB1204" s="4">
        <v>5</v>
      </c>
      <c r="AC1204" s="4">
        <v>5</v>
      </c>
      <c r="AD1204" s="4">
        <v>26</v>
      </c>
      <c r="AE1204" s="4">
        <v>27</v>
      </c>
      <c r="AF1204" s="4">
        <v>12</v>
      </c>
      <c r="AG1204" s="4">
        <v>12</v>
      </c>
      <c r="AH1204" s="4">
        <v>4</v>
      </c>
      <c r="AI1204" s="4">
        <v>4</v>
      </c>
      <c r="AJ1204" s="4">
        <v>14</v>
      </c>
      <c r="AK1204" s="4">
        <v>15</v>
      </c>
      <c r="AL1204" s="4">
        <v>4</v>
      </c>
      <c r="AM1204" s="4">
        <v>4</v>
      </c>
      <c r="AN1204" s="4">
        <v>0</v>
      </c>
      <c r="AO1204" s="4">
        <v>0</v>
      </c>
      <c r="AP1204" s="3" t="s">
        <v>59</v>
      </c>
      <c r="AQ1204" s="3" t="s">
        <v>59</v>
      </c>
      <c r="AS1204" s="6" t="str">
        <f>HYPERLINK("https://creighton-primo.hosted.exlibrisgroup.com/primo-explore/search?tab=default_tab&amp;search_scope=EVERYTHING&amp;vid=01CRU&amp;lang=en_US&amp;offset=0&amp;query=any,contains,991001367089702656","Catalog Record")</f>
        <v>Catalog Record</v>
      </c>
      <c r="AT1204" s="6" t="str">
        <f>HYPERLINK("http://www.worldcat.org/oclc/18559281","WorldCat Record")</f>
        <v>WorldCat Record</v>
      </c>
      <c r="AU1204" s="3" t="s">
        <v>15124</v>
      </c>
      <c r="AV1204" s="3" t="s">
        <v>15125</v>
      </c>
      <c r="AW1204" s="3" t="s">
        <v>15126</v>
      </c>
      <c r="AX1204" s="3" t="s">
        <v>15126</v>
      </c>
      <c r="AY1204" s="3" t="s">
        <v>15127</v>
      </c>
      <c r="AZ1204" s="3" t="s">
        <v>76</v>
      </c>
      <c r="BB1204" s="3" t="s">
        <v>15128</v>
      </c>
      <c r="BC1204" s="3" t="s">
        <v>15129</v>
      </c>
      <c r="BD1204" s="3" t="s">
        <v>15130</v>
      </c>
    </row>
    <row r="1205" spans="1:56" ht="52.5" customHeight="1" x14ac:dyDescent="0.25">
      <c r="A1205" s="7" t="s">
        <v>59</v>
      </c>
      <c r="B1205" s="2" t="s">
        <v>15131</v>
      </c>
      <c r="C1205" s="2" t="s">
        <v>15132</v>
      </c>
      <c r="D1205" s="2" t="s">
        <v>15133</v>
      </c>
      <c r="F1205" s="3" t="s">
        <v>59</v>
      </c>
      <c r="G1205" s="3" t="s">
        <v>60</v>
      </c>
      <c r="H1205" s="3" t="s">
        <v>71</v>
      </c>
      <c r="I1205" s="3" t="s">
        <v>59</v>
      </c>
      <c r="J1205" s="3" t="s">
        <v>61</v>
      </c>
      <c r="K1205" s="2" t="s">
        <v>15134</v>
      </c>
      <c r="L1205" s="2" t="s">
        <v>9342</v>
      </c>
      <c r="M1205" s="3" t="s">
        <v>549</v>
      </c>
      <c r="O1205" s="3" t="s">
        <v>65</v>
      </c>
      <c r="P1205" s="3" t="s">
        <v>66</v>
      </c>
      <c r="Q1205" s="2" t="s">
        <v>15135</v>
      </c>
      <c r="R1205" s="3" t="s">
        <v>68</v>
      </c>
      <c r="S1205" s="4">
        <v>15</v>
      </c>
      <c r="T1205" s="4">
        <v>15</v>
      </c>
      <c r="U1205" s="5" t="s">
        <v>15136</v>
      </c>
      <c r="V1205" s="5" t="s">
        <v>15136</v>
      </c>
      <c r="W1205" s="5" t="s">
        <v>4686</v>
      </c>
      <c r="X1205" s="5" t="s">
        <v>4686</v>
      </c>
      <c r="Y1205" s="4">
        <v>613</v>
      </c>
      <c r="Z1205" s="4">
        <v>484</v>
      </c>
      <c r="AA1205" s="4">
        <v>486</v>
      </c>
      <c r="AB1205" s="4">
        <v>8</v>
      </c>
      <c r="AC1205" s="4">
        <v>8</v>
      </c>
      <c r="AD1205" s="4">
        <v>30</v>
      </c>
      <c r="AE1205" s="4">
        <v>30</v>
      </c>
      <c r="AF1205" s="4">
        <v>11</v>
      </c>
      <c r="AG1205" s="4">
        <v>11</v>
      </c>
      <c r="AH1205" s="4">
        <v>6</v>
      </c>
      <c r="AI1205" s="4">
        <v>6</v>
      </c>
      <c r="AJ1205" s="4">
        <v>16</v>
      </c>
      <c r="AK1205" s="4">
        <v>16</v>
      </c>
      <c r="AL1205" s="4">
        <v>6</v>
      </c>
      <c r="AM1205" s="4">
        <v>6</v>
      </c>
      <c r="AN1205" s="4">
        <v>0</v>
      </c>
      <c r="AO1205" s="4">
        <v>0</v>
      </c>
      <c r="AP1205" s="3" t="s">
        <v>59</v>
      </c>
      <c r="AQ1205" s="3" t="s">
        <v>71</v>
      </c>
      <c r="AR1205" s="6" t="str">
        <f>HYPERLINK("http://catalog.hathitrust.org/Record/000806073","HathiTrust Record")</f>
        <v>HathiTrust Record</v>
      </c>
      <c r="AS1205" s="6" t="str">
        <f>HYPERLINK("https://creighton-primo.hosted.exlibrisgroup.com/primo-explore/search?tab=default_tab&amp;search_scope=EVERYTHING&amp;vid=01CRU&amp;lang=en_US&amp;offset=0&amp;query=any,contains,991000839619702656","Catalog Record")</f>
        <v>Catalog Record</v>
      </c>
      <c r="AT1205" s="6" t="str">
        <f>HYPERLINK("http://www.worldcat.org/oclc/13524925","WorldCat Record")</f>
        <v>WorldCat Record</v>
      </c>
      <c r="AU1205" s="3" t="s">
        <v>15137</v>
      </c>
      <c r="AV1205" s="3" t="s">
        <v>15138</v>
      </c>
      <c r="AW1205" s="3" t="s">
        <v>15139</v>
      </c>
      <c r="AX1205" s="3" t="s">
        <v>15139</v>
      </c>
      <c r="AY1205" s="3" t="s">
        <v>15140</v>
      </c>
      <c r="AZ1205" s="3" t="s">
        <v>76</v>
      </c>
      <c r="BB1205" s="3" t="s">
        <v>15141</v>
      </c>
      <c r="BC1205" s="3" t="s">
        <v>15142</v>
      </c>
      <c r="BD1205" s="3" t="s">
        <v>15143</v>
      </c>
    </row>
    <row r="1206" spans="1:56" ht="52.5" customHeight="1" x14ac:dyDescent="0.25">
      <c r="A1206" s="7" t="s">
        <v>59</v>
      </c>
      <c r="B1206" s="2" t="s">
        <v>15144</v>
      </c>
      <c r="C1206" s="2" t="s">
        <v>15145</v>
      </c>
      <c r="D1206" s="2" t="s">
        <v>15146</v>
      </c>
      <c r="F1206" s="3" t="s">
        <v>59</v>
      </c>
      <c r="G1206" s="3" t="s">
        <v>60</v>
      </c>
      <c r="H1206" s="3" t="s">
        <v>59</v>
      </c>
      <c r="I1206" s="3" t="s">
        <v>59</v>
      </c>
      <c r="J1206" s="3" t="s">
        <v>61</v>
      </c>
      <c r="K1206" s="2" t="s">
        <v>15147</v>
      </c>
      <c r="L1206" s="2" t="s">
        <v>15148</v>
      </c>
      <c r="M1206" s="3" t="s">
        <v>1163</v>
      </c>
      <c r="O1206" s="3" t="s">
        <v>65</v>
      </c>
      <c r="P1206" s="3" t="s">
        <v>3610</v>
      </c>
      <c r="Q1206" s="2" t="s">
        <v>15149</v>
      </c>
      <c r="R1206" s="3" t="s">
        <v>68</v>
      </c>
      <c r="S1206" s="4">
        <v>7</v>
      </c>
      <c r="T1206" s="4">
        <v>7</v>
      </c>
      <c r="U1206" s="5" t="s">
        <v>15136</v>
      </c>
      <c r="V1206" s="5" t="s">
        <v>15136</v>
      </c>
      <c r="W1206" s="5" t="s">
        <v>14915</v>
      </c>
      <c r="X1206" s="5" t="s">
        <v>14915</v>
      </c>
      <c r="Y1206" s="4">
        <v>299</v>
      </c>
      <c r="Z1206" s="4">
        <v>195</v>
      </c>
      <c r="AA1206" s="4">
        <v>237</v>
      </c>
      <c r="AB1206" s="4">
        <v>4</v>
      </c>
      <c r="AC1206" s="4">
        <v>4</v>
      </c>
      <c r="AD1206" s="4">
        <v>8</v>
      </c>
      <c r="AE1206" s="4">
        <v>10</v>
      </c>
      <c r="AF1206" s="4">
        <v>0</v>
      </c>
      <c r="AG1206" s="4">
        <v>1</v>
      </c>
      <c r="AH1206" s="4">
        <v>3</v>
      </c>
      <c r="AI1206" s="4">
        <v>4</v>
      </c>
      <c r="AJ1206" s="4">
        <v>4</v>
      </c>
      <c r="AK1206" s="4">
        <v>4</v>
      </c>
      <c r="AL1206" s="4">
        <v>3</v>
      </c>
      <c r="AM1206" s="4">
        <v>3</v>
      </c>
      <c r="AN1206" s="4">
        <v>0</v>
      </c>
      <c r="AO1206" s="4">
        <v>0</v>
      </c>
      <c r="AP1206" s="3" t="s">
        <v>59</v>
      </c>
      <c r="AQ1206" s="3" t="s">
        <v>71</v>
      </c>
      <c r="AR1206" s="6" t="str">
        <f>HYPERLINK("http://catalog.hathitrust.org/Record/000584072","HathiTrust Record")</f>
        <v>HathiTrust Record</v>
      </c>
      <c r="AS1206" s="6" t="str">
        <f>HYPERLINK("https://creighton-primo.hosted.exlibrisgroup.com/primo-explore/search?tab=default_tab&amp;search_scope=EVERYTHING&amp;vid=01CRU&amp;lang=en_US&amp;offset=0&amp;query=any,contains,991000684169702656","Catalog Record")</f>
        <v>Catalog Record</v>
      </c>
      <c r="AT1206" s="6" t="str">
        <f>HYPERLINK("http://www.worldcat.org/oclc/12419753","WorldCat Record")</f>
        <v>WorldCat Record</v>
      </c>
      <c r="AU1206" s="3" t="s">
        <v>15150</v>
      </c>
      <c r="AV1206" s="3" t="s">
        <v>15151</v>
      </c>
      <c r="AW1206" s="3" t="s">
        <v>15152</v>
      </c>
      <c r="AX1206" s="3" t="s">
        <v>15152</v>
      </c>
      <c r="AY1206" s="3" t="s">
        <v>15153</v>
      </c>
      <c r="AZ1206" s="3" t="s">
        <v>76</v>
      </c>
      <c r="BB1206" s="3" t="s">
        <v>15154</v>
      </c>
      <c r="BC1206" s="3" t="s">
        <v>15155</v>
      </c>
      <c r="BD1206" s="3" t="s">
        <v>15156</v>
      </c>
    </row>
    <row r="1207" spans="1:56" ht="52.5" customHeight="1" x14ac:dyDescent="0.25">
      <c r="A1207" s="7" t="s">
        <v>59</v>
      </c>
      <c r="B1207" s="2" t="s">
        <v>15157</v>
      </c>
      <c r="C1207" s="2" t="s">
        <v>15158</v>
      </c>
      <c r="D1207" s="2" t="s">
        <v>15159</v>
      </c>
      <c r="F1207" s="3" t="s">
        <v>59</v>
      </c>
      <c r="G1207" s="3" t="s">
        <v>60</v>
      </c>
      <c r="H1207" s="3" t="s">
        <v>59</v>
      </c>
      <c r="I1207" s="3" t="s">
        <v>59</v>
      </c>
      <c r="J1207" s="3" t="s">
        <v>61</v>
      </c>
      <c r="K1207" s="2" t="s">
        <v>12049</v>
      </c>
      <c r="L1207" s="2" t="s">
        <v>15160</v>
      </c>
      <c r="M1207" s="3" t="s">
        <v>9841</v>
      </c>
      <c r="O1207" s="3" t="s">
        <v>65</v>
      </c>
      <c r="P1207" s="3" t="s">
        <v>1262</v>
      </c>
      <c r="R1207" s="3" t="s">
        <v>68</v>
      </c>
      <c r="S1207" s="4">
        <v>2</v>
      </c>
      <c r="T1207" s="4">
        <v>2</v>
      </c>
      <c r="U1207" s="5" t="s">
        <v>15161</v>
      </c>
      <c r="V1207" s="5" t="s">
        <v>15161</v>
      </c>
      <c r="W1207" s="5" t="s">
        <v>15162</v>
      </c>
      <c r="X1207" s="5" t="s">
        <v>15162</v>
      </c>
      <c r="Y1207" s="4">
        <v>409</v>
      </c>
      <c r="Z1207" s="4">
        <v>295</v>
      </c>
      <c r="AA1207" s="4">
        <v>302</v>
      </c>
      <c r="AB1207" s="4">
        <v>4</v>
      </c>
      <c r="AC1207" s="4">
        <v>4</v>
      </c>
      <c r="AD1207" s="4">
        <v>15</v>
      </c>
      <c r="AE1207" s="4">
        <v>15</v>
      </c>
      <c r="AF1207" s="4">
        <v>5</v>
      </c>
      <c r="AG1207" s="4">
        <v>5</v>
      </c>
      <c r="AH1207" s="4">
        <v>4</v>
      </c>
      <c r="AI1207" s="4">
        <v>4</v>
      </c>
      <c r="AJ1207" s="4">
        <v>8</v>
      </c>
      <c r="AK1207" s="4">
        <v>8</v>
      </c>
      <c r="AL1207" s="4">
        <v>3</v>
      </c>
      <c r="AM1207" s="4">
        <v>3</v>
      </c>
      <c r="AN1207" s="4">
        <v>0</v>
      </c>
      <c r="AO1207" s="4">
        <v>0</v>
      </c>
      <c r="AP1207" s="3" t="s">
        <v>59</v>
      </c>
      <c r="AQ1207" s="3" t="s">
        <v>59</v>
      </c>
      <c r="AS1207" s="6" t="str">
        <f>HYPERLINK("https://creighton-primo.hosted.exlibrisgroup.com/primo-explore/search?tab=default_tab&amp;search_scope=EVERYTHING&amp;vid=01CRU&amp;lang=en_US&amp;offset=0&amp;query=any,contains,991002477839702656","Catalog Record")</f>
        <v>Catalog Record</v>
      </c>
      <c r="AT1207" s="6" t="str">
        <f>HYPERLINK("http://www.worldcat.org/oclc/32272475","WorldCat Record")</f>
        <v>WorldCat Record</v>
      </c>
      <c r="AU1207" s="3" t="s">
        <v>15163</v>
      </c>
      <c r="AV1207" s="3" t="s">
        <v>15164</v>
      </c>
      <c r="AW1207" s="3" t="s">
        <v>15165</v>
      </c>
      <c r="AX1207" s="3" t="s">
        <v>15165</v>
      </c>
      <c r="AY1207" s="3" t="s">
        <v>15166</v>
      </c>
      <c r="AZ1207" s="3" t="s">
        <v>76</v>
      </c>
      <c r="BB1207" s="3" t="s">
        <v>15167</v>
      </c>
      <c r="BC1207" s="3" t="s">
        <v>15168</v>
      </c>
      <c r="BD1207" s="3" t="s">
        <v>15169</v>
      </c>
    </row>
    <row r="1208" spans="1:56" ht="52.5" customHeight="1" x14ac:dyDescent="0.25">
      <c r="A1208" s="7" t="s">
        <v>59</v>
      </c>
      <c r="B1208" s="2" t="s">
        <v>15170</v>
      </c>
      <c r="C1208" s="2" t="s">
        <v>15171</v>
      </c>
      <c r="D1208" s="2" t="s">
        <v>15172</v>
      </c>
      <c r="F1208" s="3" t="s">
        <v>59</v>
      </c>
      <c r="G1208" s="3" t="s">
        <v>60</v>
      </c>
      <c r="H1208" s="3" t="s">
        <v>59</v>
      </c>
      <c r="I1208" s="3" t="s">
        <v>59</v>
      </c>
      <c r="J1208" s="3" t="s">
        <v>61</v>
      </c>
      <c r="K1208" s="2" t="s">
        <v>15173</v>
      </c>
      <c r="L1208" s="2" t="s">
        <v>11104</v>
      </c>
      <c r="M1208" s="3" t="s">
        <v>64</v>
      </c>
      <c r="O1208" s="3" t="s">
        <v>65</v>
      </c>
      <c r="P1208" s="3" t="s">
        <v>699</v>
      </c>
      <c r="R1208" s="3" t="s">
        <v>68</v>
      </c>
      <c r="S1208" s="4">
        <v>3</v>
      </c>
      <c r="T1208" s="4">
        <v>3</v>
      </c>
      <c r="U1208" s="5" t="s">
        <v>15174</v>
      </c>
      <c r="V1208" s="5" t="s">
        <v>15174</v>
      </c>
      <c r="W1208" s="5" t="s">
        <v>269</v>
      </c>
      <c r="X1208" s="5" t="s">
        <v>269</v>
      </c>
      <c r="Y1208" s="4">
        <v>1089</v>
      </c>
      <c r="Z1208" s="4">
        <v>913</v>
      </c>
      <c r="AA1208" s="4">
        <v>921</v>
      </c>
      <c r="AB1208" s="4">
        <v>8</v>
      </c>
      <c r="AC1208" s="4">
        <v>8</v>
      </c>
      <c r="AD1208" s="4">
        <v>38</v>
      </c>
      <c r="AE1208" s="4">
        <v>38</v>
      </c>
      <c r="AF1208" s="4">
        <v>15</v>
      </c>
      <c r="AG1208" s="4">
        <v>15</v>
      </c>
      <c r="AH1208" s="4">
        <v>7</v>
      </c>
      <c r="AI1208" s="4">
        <v>7</v>
      </c>
      <c r="AJ1208" s="4">
        <v>15</v>
      </c>
      <c r="AK1208" s="4">
        <v>15</v>
      </c>
      <c r="AL1208" s="4">
        <v>7</v>
      </c>
      <c r="AM1208" s="4">
        <v>7</v>
      </c>
      <c r="AN1208" s="4">
        <v>0</v>
      </c>
      <c r="AO1208" s="4">
        <v>0</v>
      </c>
      <c r="AP1208" s="3" t="s">
        <v>59</v>
      </c>
      <c r="AQ1208" s="3" t="s">
        <v>71</v>
      </c>
      <c r="AR1208" s="6" t="str">
        <f>HYPERLINK("http://catalog.hathitrust.org/Record/000474092","HathiTrust Record")</f>
        <v>HathiTrust Record</v>
      </c>
      <c r="AS1208" s="6" t="str">
        <f>HYPERLINK("https://creighton-primo.hosted.exlibrisgroup.com/primo-explore/search?tab=default_tab&amp;search_scope=EVERYTHING&amp;vid=01CRU&amp;lang=en_US&amp;offset=0&amp;query=any,contains,991002218279702656","Catalog Record")</f>
        <v>Catalog Record</v>
      </c>
      <c r="AT1208" s="6" t="str">
        <f>HYPERLINK("http://www.worldcat.org/oclc/289395","WorldCat Record")</f>
        <v>WorldCat Record</v>
      </c>
      <c r="AU1208" s="3" t="s">
        <v>15175</v>
      </c>
      <c r="AV1208" s="3" t="s">
        <v>15176</v>
      </c>
      <c r="AW1208" s="3" t="s">
        <v>15177</v>
      </c>
      <c r="AX1208" s="3" t="s">
        <v>15177</v>
      </c>
      <c r="AY1208" s="3" t="s">
        <v>15178</v>
      </c>
      <c r="AZ1208" s="3" t="s">
        <v>76</v>
      </c>
      <c r="BC1208" s="3" t="s">
        <v>15179</v>
      </c>
      <c r="BD1208" s="3" t="s">
        <v>15180</v>
      </c>
    </row>
    <row r="1209" spans="1:56" ht="52.5" customHeight="1" x14ac:dyDescent="0.25">
      <c r="A1209" s="7" t="s">
        <v>59</v>
      </c>
      <c r="B1209" s="2" t="s">
        <v>15181</v>
      </c>
      <c r="C1209" s="2" t="s">
        <v>15182</v>
      </c>
      <c r="D1209" s="2" t="s">
        <v>15183</v>
      </c>
      <c r="F1209" s="3" t="s">
        <v>59</v>
      </c>
      <c r="G1209" s="3" t="s">
        <v>60</v>
      </c>
      <c r="H1209" s="3" t="s">
        <v>59</v>
      </c>
      <c r="I1209" s="3" t="s">
        <v>59</v>
      </c>
      <c r="J1209" s="3" t="s">
        <v>61</v>
      </c>
      <c r="L1209" s="2" t="s">
        <v>15184</v>
      </c>
      <c r="M1209" s="3" t="s">
        <v>309</v>
      </c>
      <c r="N1209" s="2" t="s">
        <v>887</v>
      </c>
      <c r="O1209" s="3" t="s">
        <v>65</v>
      </c>
      <c r="P1209" s="3" t="s">
        <v>66</v>
      </c>
      <c r="R1209" s="3" t="s">
        <v>68</v>
      </c>
      <c r="S1209" s="4">
        <v>19</v>
      </c>
      <c r="T1209" s="4">
        <v>19</v>
      </c>
      <c r="U1209" s="5" t="s">
        <v>7747</v>
      </c>
      <c r="V1209" s="5" t="s">
        <v>7747</v>
      </c>
      <c r="W1209" s="5" t="s">
        <v>15185</v>
      </c>
      <c r="X1209" s="5" t="s">
        <v>15185</v>
      </c>
      <c r="Y1209" s="4">
        <v>1903</v>
      </c>
      <c r="Z1209" s="4">
        <v>1720</v>
      </c>
      <c r="AA1209" s="4">
        <v>2122</v>
      </c>
      <c r="AB1209" s="4">
        <v>15</v>
      </c>
      <c r="AC1209" s="4">
        <v>17</v>
      </c>
      <c r="AD1209" s="4">
        <v>43</v>
      </c>
      <c r="AE1209" s="4">
        <v>55</v>
      </c>
      <c r="AF1209" s="4">
        <v>18</v>
      </c>
      <c r="AG1209" s="4">
        <v>25</v>
      </c>
      <c r="AH1209" s="4">
        <v>7</v>
      </c>
      <c r="AI1209" s="4">
        <v>10</v>
      </c>
      <c r="AJ1209" s="4">
        <v>17</v>
      </c>
      <c r="AK1209" s="4">
        <v>23</v>
      </c>
      <c r="AL1209" s="4">
        <v>9</v>
      </c>
      <c r="AM1209" s="4">
        <v>9</v>
      </c>
      <c r="AN1209" s="4">
        <v>0</v>
      </c>
      <c r="AO1209" s="4">
        <v>0</v>
      </c>
      <c r="AP1209" s="3" t="s">
        <v>59</v>
      </c>
      <c r="AQ1209" s="3" t="s">
        <v>71</v>
      </c>
      <c r="AR1209" s="6" t="str">
        <f>HYPERLINK("http://catalog.hathitrust.org/Record/000750195","HathiTrust Record")</f>
        <v>HathiTrust Record</v>
      </c>
      <c r="AS1209" s="6" t="str">
        <f>HYPERLINK("https://creighton-primo.hosted.exlibrisgroup.com/primo-explore/search?tab=default_tab&amp;search_scope=EVERYTHING&amp;vid=01CRU&amp;lang=en_US&amp;offset=0&amp;query=any,contains,991004415729702656","Catalog Record")</f>
        <v>Catalog Record</v>
      </c>
      <c r="AT1209" s="6" t="str">
        <f>HYPERLINK("http://www.worldcat.org/oclc/3361598","WorldCat Record")</f>
        <v>WorldCat Record</v>
      </c>
      <c r="AU1209" s="3" t="s">
        <v>15186</v>
      </c>
      <c r="AV1209" s="3" t="s">
        <v>15187</v>
      </c>
      <c r="AW1209" s="3" t="s">
        <v>15188</v>
      </c>
      <c r="AX1209" s="3" t="s">
        <v>15188</v>
      </c>
      <c r="AY1209" s="3" t="s">
        <v>15189</v>
      </c>
      <c r="AZ1209" s="3" t="s">
        <v>76</v>
      </c>
      <c r="BB1209" s="3" t="s">
        <v>15190</v>
      </c>
      <c r="BC1209" s="3" t="s">
        <v>15191</v>
      </c>
      <c r="BD1209" s="3" t="s">
        <v>15192</v>
      </c>
    </row>
    <row r="1210" spans="1:56" ht="52.5" customHeight="1" x14ac:dyDescent="0.25">
      <c r="A1210" s="7" t="s">
        <v>59</v>
      </c>
      <c r="B1210" s="2" t="s">
        <v>15193</v>
      </c>
      <c r="C1210" s="2" t="s">
        <v>15194</v>
      </c>
      <c r="D1210" s="2" t="s">
        <v>15195</v>
      </c>
      <c r="F1210" s="3" t="s">
        <v>59</v>
      </c>
      <c r="G1210" s="3" t="s">
        <v>60</v>
      </c>
      <c r="H1210" s="3" t="s">
        <v>59</v>
      </c>
      <c r="I1210" s="3" t="s">
        <v>59</v>
      </c>
      <c r="J1210" s="3" t="s">
        <v>61</v>
      </c>
      <c r="K1210" s="2" t="s">
        <v>15196</v>
      </c>
      <c r="L1210" s="2" t="s">
        <v>15197</v>
      </c>
      <c r="M1210" s="3" t="s">
        <v>1233</v>
      </c>
      <c r="O1210" s="3" t="s">
        <v>65</v>
      </c>
      <c r="P1210" s="3" t="s">
        <v>1218</v>
      </c>
      <c r="R1210" s="3" t="s">
        <v>68</v>
      </c>
      <c r="S1210" s="4">
        <v>5</v>
      </c>
      <c r="T1210" s="4">
        <v>5</v>
      </c>
      <c r="U1210" s="5" t="s">
        <v>15198</v>
      </c>
      <c r="V1210" s="5" t="s">
        <v>15198</v>
      </c>
      <c r="W1210" s="5" t="s">
        <v>13189</v>
      </c>
      <c r="X1210" s="5" t="s">
        <v>13189</v>
      </c>
      <c r="Y1210" s="4">
        <v>681</v>
      </c>
      <c r="Z1210" s="4">
        <v>565</v>
      </c>
      <c r="AA1210" s="4">
        <v>591</v>
      </c>
      <c r="AB1210" s="4">
        <v>7</v>
      </c>
      <c r="AC1210" s="4">
        <v>7</v>
      </c>
      <c r="AD1210" s="4">
        <v>26</v>
      </c>
      <c r="AE1210" s="4">
        <v>26</v>
      </c>
      <c r="AF1210" s="4">
        <v>5</v>
      </c>
      <c r="AG1210" s="4">
        <v>5</v>
      </c>
      <c r="AH1210" s="4">
        <v>6</v>
      </c>
      <c r="AI1210" s="4">
        <v>6</v>
      </c>
      <c r="AJ1210" s="4">
        <v>17</v>
      </c>
      <c r="AK1210" s="4">
        <v>17</v>
      </c>
      <c r="AL1210" s="4">
        <v>5</v>
      </c>
      <c r="AM1210" s="4">
        <v>5</v>
      </c>
      <c r="AN1210" s="4">
        <v>0</v>
      </c>
      <c r="AO1210" s="4">
        <v>0</v>
      </c>
      <c r="AP1210" s="3" t="s">
        <v>59</v>
      </c>
      <c r="AQ1210" s="3" t="s">
        <v>71</v>
      </c>
      <c r="AR1210" s="6" t="str">
        <f>HYPERLINK("http://catalog.hathitrust.org/Record/000430370","HathiTrust Record")</f>
        <v>HathiTrust Record</v>
      </c>
      <c r="AS1210" s="6" t="str">
        <f>HYPERLINK("https://creighton-primo.hosted.exlibrisgroup.com/primo-explore/search?tab=default_tab&amp;search_scope=EVERYTHING&amp;vid=01CRU&amp;lang=en_US&amp;offset=0&amp;query=any,contains,991005309289702656","Catalog Record")</f>
        <v>Catalog Record</v>
      </c>
      <c r="AT1210" s="6" t="str">
        <f>HYPERLINK("http://www.worldcat.org/oclc/707110","WorldCat Record")</f>
        <v>WorldCat Record</v>
      </c>
      <c r="AU1210" s="3" t="s">
        <v>15199</v>
      </c>
      <c r="AV1210" s="3" t="s">
        <v>15200</v>
      </c>
      <c r="AW1210" s="3" t="s">
        <v>15201</v>
      </c>
      <c r="AX1210" s="3" t="s">
        <v>15201</v>
      </c>
      <c r="AY1210" s="3" t="s">
        <v>15202</v>
      </c>
      <c r="AZ1210" s="3" t="s">
        <v>76</v>
      </c>
      <c r="BC1210" s="3" t="s">
        <v>15203</v>
      </c>
      <c r="BD1210" s="3" t="s">
        <v>15204</v>
      </c>
    </row>
    <row r="1211" spans="1:56" ht="52.5" customHeight="1" x14ac:dyDescent="0.25">
      <c r="A1211" s="7" t="s">
        <v>59</v>
      </c>
      <c r="B1211" s="2" t="s">
        <v>15205</v>
      </c>
      <c r="C1211" s="2" t="s">
        <v>15206</v>
      </c>
      <c r="D1211" s="2" t="s">
        <v>15207</v>
      </c>
      <c r="F1211" s="3" t="s">
        <v>59</v>
      </c>
      <c r="G1211" s="3" t="s">
        <v>60</v>
      </c>
      <c r="H1211" s="3" t="s">
        <v>59</v>
      </c>
      <c r="I1211" s="3" t="s">
        <v>59</v>
      </c>
      <c r="J1211" s="3" t="s">
        <v>61</v>
      </c>
      <c r="K1211" s="2" t="s">
        <v>15208</v>
      </c>
      <c r="L1211" s="2" t="s">
        <v>15209</v>
      </c>
      <c r="M1211" s="3" t="s">
        <v>514</v>
      </c>
      <c r="O1211" s="3" t="s">
        <v>65</v>
      </c>
      <c r="P1211" s="3" t="s">
        <v>1262</v>
      </c>
      <c r="Q1211" s="2" t="s">
        <v>15210</v>
      </c>
      <c r="R1211" s="3" t="s">
        <v>68</v>
      </c>
      <c r="S1211" s="4">
        <v>2</v>
      </c>
      <c r="T1211" s="4">
        <v>2</v>
      </c>
      <c r="U1211" s="5" t="s">
        <v>14953</v>
      </c>
      <c r="V1211" s="5" t="s">
        <v>14953</v>
      </c>
      <c r="W1211" s="5" t="s">
        <v>13189</v>
      </c>
      <c r="X1211" s="5" t="s">
        <v>13189</v>
      </c>
      <c r="Y1211" s="4">
        <v>201</v>
      </c>
      <c r="Z1211" s="4">
        <v>91</v>
      </c>
      <c r="AA1211" s="4">
        <v>579</v>
      </c>
      <c r="AB1211" s="4">
        <v>2</v>
      </c>
      <c r="AC1211" s="4">
        <v>4</v>
      </c>
      <c r="AD1211" s="4">
        <v>3</v>
      </c>
      <c r="AE1211" s="4">
        <v>21</v>
      </c>
      <c r="AF1211" s="4">
        <v>1</v>
      </c>
      <c r="AG1211" s="4">
        <v>6</v>
      </c>
      <c r="AH1211" s="4">
        <v>0</v>
      </c>
      <c r="AI1211" s="4">
        <v>4</v>
      </c>
      <c r="AJ1211" s="4">
        <v>1</v>
      </c>
      <c r="AK1211" s="4">
        <v>12</v>
      </c>
      <c r="AL1211" s="4">
        <v>1</v>
      </c>
      <c r="AM1211" s="4">
        <v>3</v>
      </c>
      <c r="AN1211" s="4">
        <v>0</v>
      </c>
      <c r="AO1211" s="4">
        <v>0</v>
      </c>
      <c r="AP1211" s="3" t="s">
        <v>59</v>
      </c>
      <c r="AQ1211" s="3" t="s">
        <v>71</v>
      </c>
      <c r="AR1211" s="6" t="str">
        <f>HYPERLINK("http://catalog.hathitrust.org/Record/000430006","HathiTrust Record")</f>
        <v>HathiTrust Record</v>
      </c>
      <c r="AS1211" s="6" t="str">
        <f>HYPERLINK("https://creighton-primo.hosted.exlibrisgroup.com/primo-explore/search?tab=default_tab&amp;search_scope=EVERYTHING&amp;vid=01CRU&amp;lang=en_US&amp;offset=0&amp;query=any,contains,991002416299702656","Catalog Record")</f>
        <v>Catalog Record</v>
      </c>
      <c r="AT1211" s="6" t="str">
        <f>HYPERLINK("http://www.worldcat.org/oclc/341872","WorldCat Record")</f>
        <v>WorldCat Record</v>
      </c>
      <c r="AU1211" s="3" t="s">
        <v>15211</v>
      </c>
      <c r="AV1211" s="3" t="s">
        <v>15212</v>
      </c>
      <c r="AW1211" s="3" t="s">
        <v>15213</v>
      </c>
      <c r="AX1211" s="3" t="s">
        <v>15213</v>
      </c>
      <c r="AY1211" s="3" t="s">
        <v>15214</v>
      </c>
      <c r="AZ1211" s="3" t="s">
        <v>76</v>
      </c>
      <c r="BC1211" s="3" t="s">
        <v>15215</v>
      </c>
      <c r="BD1211" s="3" t="s">
        <v>15216</v>
      </c>
    </row>
    <row r="1212" spans="1:56" ht="52.5" customHeight="1" x14ac:dyDescent="0.25">
      <c r="A1212" s="7" t="s">
        <v>59</v>
      </c>
      <c r="B1212" s="2" t="s">
        <v>15217</v>
      </c>
      <c r="C1212" s="2" t="s">
        <v>15218</v>
      </c>
      <c r="D1212" s="2" t="s">
        <v>15219</v>
      </c>
      <c r="F1212" s="3" t="s">
        <v>59</v>
      </c>
      <c r="G1212" s="3" t="s">
        <v>60</v>
      </c>
      <c r="H1212" s="3" t="s">
        <v>59</v>
      </c>
      <c r="I1212" s="3" t="s">
        <v>59</v>
      </c>
      <c r="J1212" s="3" t="s">
        <v>61</v>
      </c>
      <c r="K1212" s="2" t="s">
        <v>15220</v>
      </c>
      <c r="L1212" s="2" t="s">
        <v>15221</v>
      </c>
      <c r="M1212" s="3" t="s">
        <v>1015</v>
      </c>
      <c r="O1212" s="3" t="s">
        <v>65</v>
      </c>
      <c r="P1212" s="3" t="s">
        <v>603</v>
      </c>
      <c r="R1212" s="3" t="s">
        <v>68</v>
      </c>
      <c r="S1212" s="4">
        <v>2</v>
      </c>
      <c r="T1212" s="4">
        <v>2</v>
      </c>
      <c r="U1212" s="5" t="s">
        <v>15222</v>
      </c>
      <c r="V1212" s="5" t="s">
        <v>15222</v>
      </c>
      <c r="W1212" s="5" t="s">
        <v>4150</v>
      </c>
      <c r="X1212" s="5" t="s">
        <v>4150</v>
      </c>
      <c r="Y1212" s="4">
        <v>396</v>
      </c>
      <c r="Z1212" s="4">
        <v>336</v>
      </c>
      <c r="AA1212" s="4">
        <v>427</v>
      </c>
      <c r="AB1212" s="4">
        <v>2</v>
      </c>
      <c r="AC1212" s="4">
        <v>2</v>
      </c>
      <c r="AD1212" s="4">
        <v>13</v>
      </c>
      <c r="AE1212" s="4">
        <v>16</v>
      </c>
      <c r="AF1212" s="4">
        <v>3</v>
      </c>
      <c r="AG1212" s="4">
        <v>5</v>
      </c>
      <c r="AH1212" s="4">
        <v>2</v>
      </c>
      <c r="AI1212" s="4">
        <v>3</v>
      </c>
      <c r="AJ1212" s="4">
        <v>8</v>
      </c>
      <c r="AK1212" s="4">
        <v>11</v>
      </c>
      <c r="AL1212" s="4">
        <v>1</v>
      </c>
      <c r="AM1212" s="4">
        <v>1</v>
      </c>
      <c r="AN1212" s="4">
        <v>0</v>
      </c>
      <c r="AO1212" s="4">
        <v>0</v>
      </c>
      <c r="AP1212" s="3" t="s">
        <v>59</v>
      </c>
      <c r="AQ1212" s="3" t="s">
        <v>71</v>
      </c>
      <c r="AR1212" s="6" t="str">
        <f>HYPERLINK("http://catalog.hathitrust.org/Record/000430008","HathiTrust Record")</f>
        <v>HathiTrust Record</v>
      </c>
      <c r="AS1212" s="6" t="str">
        <f>HYPERLINK("https://creighton-primo.hosted.exlibrisgroup.com/primo-explore/search?tab=default_tab&amp;search_scope=EVERYTHING&amp;vid=01CRU&amp;lang=en_US&amp;offset=0&amp;query=any,contains,991005435089702656","Catalog Record")</f>
        <v>Catalog Record</v>
      </c>
      <c r="AT1212" s="6" t="str">
        <f>HYPERLINK("http://www.worldcat.org/oclc/2793","WorldCat Record")</f>
        <v>WorldCat Record</v>
      </c>
      <c r="AU1212" s="3" t="s">
        <v>15223</v>
      </c>
      <c r="AV1212" s="3" t="s">
        <v>15224</v>
      </c>
      <c r="AW1212" s="3" t="s">
        <v>15225</v>
      </c>
      <c r="AX1212" s="3" t="s">
        <v>15225</v>
      </c>
      <c r="AY1212" s="3" t="s">
        <v>15226</v>
      </c>
      <c r="AZ1212" s="3" t="s">
        <v>76</v>
      </c>
      <c r="BC1212" s="3" t="s">
        <v>15227</v>
      </c>
      <c r="BD1212" s="3" t="s">
        <v>15228</v>
      </c>
    </row>
    <row r="1213" spans="1:56" ht="52.5" customHeight="1" x14ac:dyDescent="0.25">
      <c r="A1213" s="7" t="s">
        <v>59</v>
      </c>
      <c r="B1213" s="2" t="s">
        <v>15229</v>
      </c>
      <c r="C1213" s="2" t="s">
        <v>15230</v>
      </c>
      <c r="D1213" s="2" t="s">
        <v>15231</v>
      </c>
      <c r="F1213" s="3" t="s">
        <v>59</v>
      </c>
      <c r="G1213" s="3" t="s">
        <v>60</v>
      </c>
      <c r="H1213" s="3" t="s">
        <v>71</v>
      </c>
      <c r="I1213" s="3" t="s">
        <v>59</v>
      </c>
      <c r="J1213" s="3" t="s">
        <v>61</v>
      </c>
      <c r="K1213" s="2" t="s">
        <v>15232</v>
      </c>
      <c r="L1213" s="2" t="s">
        <v>15233</v>
      </c>
      <c r="M1213" s="3" t="s">
        <v>1000</v>
      </c>
      <c r="O1213" s="3" t="s">
        <v>65</v>
      </c>
      <c r="P1213" s="3" t="s">
        <v>66</v>
      </c>
      <c r="Q1213" s="2" t="s">
        <v>15234</v>
      </c>
      <c r="R1213" s="3" t="s">
        <v>68</v>
      </c>
      <c r="S1213" s="4">
        <v>3</v>
      </c>
      <c r="T1213" s="4">
        <v>11</v>
      </c>
      <c r="U1213" s="5" t="s">
        <v>15235</v>
      </c>
      <c r="V1213" s="5" t="s">
        <v>15235</v>
      </c>
      <c r="W1213" s="5" t="s">
        <v>70</v>
      </c>
      <c r="X1213" s="5" t="s">
        <v>70</v>
      </c>
      <c r="Y1213" s="4">
        <v>779</v>
      </c>
      <c r="Z1213" s="4">
        <v>675</v>
      </c>
      <c r="AA1213" s="4">
        <v>682</v>
      </c>
      <c r="AB1213" s="4">
        <v>6</v>
      </c>
      <c r="AC1213" s="4">
        <v>6</v>
      </c>
      <c r="AD1213" s="4">
        <v>28</v>
      </c>
      <c r="AE1213" s="4">
        <v>28</v>
      </c>
      <c r="AF1213" s="4">
        <v>15</v>
      </c>
      <c r="AG1213" s="4">
        <v>15</v>
      </c>
      <c r="AH1213" s="4">
        <v>5</v>
      </c>
      <c r="AI1213" s="4">
        <v>5</v>
      </c>
      <c r="AJ1213" s="4">
        <v>12</v>
      </c>
      <c r="AK1213" s="4">
        <v>12</v>
      </c>
      <c r="AL1213" s="4">
        <v>4</v>
      </c>
      <c r="AM1213" s="4">
        <v>4</v>
      </c>
      <c r="AN1213" s="4">
        <v>0</v>
      </c>
      <c r="AO1213" s="4">
        <v>0</v>
      </c>
      <c r="AP1213" s="3" t="s">
        <v>59</v>
      </c>
      <c r="AQ1213" s="3" t="s">
        <v>71</v>
      </c>
      <c r="AR1213" s="6" t="str">
        <f>HYPERLINK("http://catalog.hathitrust.org/Record/000127129","HathiTrust Record")</f>
        <v>HathiTrust Record</v>
      </c>
      <c r="AS1213" s="6" t="str">
        <f>HYPERLINK("https://creighton-primo.hosted.exlibrisgroup.com/primo-explore/search?tab=default_tab&amp;search_scope=EVERYTHING&amp;vid=01CRU&amp;lang=en_US&amp;offset=0&amp;query=any,contains,991001782679702656","Catalog Record")</f>
        <v>Catalog Record</v>
      </c>
      <c r="AT1213" s="6" t="str">
        <f>HYPERLINK("http://www.worldcat.org/oclc/4493613","WorldCat Record")</f>
        <v>WorldCat Record</v>
      </c>
      <c r="AU1213" s="3" t="s">
        <v>15236</v>
      </c>
      <c r="AV1213" s="3" t="s">
        <v>15237</v>
      </c>
      <c r="AW1213" s="3" t="s">
        <v>15238</v>
      </c>
      <c r="AX1213" s="3" t="s">
        <v>15238</v>
      </c>
      <c r="AY1213" s="3" t="s">
        <v>15239</v>
      </c>
      <c r="AZ1213" s="3" t="s">
        <v>76</v>
      </c>
      <c r="BB1213" s="3" t="s">
        <v>15240</v>
      </c>
      <c r="BC1213" s="3" t="s">
        <v>15241</v>
      </c>
      <c r="BD1213" s="3" t="s">
        <v>15242</v>
      </c>
    </row>
    <row r="1214" spans="1:56" ht="52.5" customHeight="1" x14ac:dyDescent="0.25">
      <c r="A1214" s="7" t="s">
        <v>59</v>
      </c>
      <c r="B1214" s="2" t="s">
        <v>15243</v>
      </c>
      <c r="C1214" s="2" t="s">
        <v>15244</v>
      </c>
      <c r="D1214" s="2" t="s">
        <v>15245</v>
      </c>
      <c r="F1214" s="3" t="s">
        <v>59</v>
      </c>
      <c r="G1214" s="3" t="s">
        <v>60</v>
      </c>
      <c r="H1214" s="3" t="s">
        <v>59</v>
      </c>
      <c r="I1214" s="3" t="s">
        <v>59</v>
      </c>
      <c r="J1214" s="3" t="s">
        <v>61</v>
      </c>
      <c r="K1214" s="2" t="s">
        <v>15246</v>
      </c>
      <c r="L1214" s="2" t="s">
        <v>5212</v>
      </c>
      <c r="M1214" s="3" t="s">
        <v>64</v>
      </c>
      <c r="O1214" s="3" t="s">
        <v>65</v>
      </c>
      <c r="P1214" s="3" t="s">
        <v>66</v>
      </c>
      <c r="R1214" s="3" t="s">
        <v>68</v>
      </c>
      <c r="S1214" s="4">
        <v>2</v>
      </c>
      <c r="T1214" s="4">
        <v>2</v>
      </c>
      <c r="U1214" s="5" t="s">
        <v>14953</v>
      </c>
      <c r="V1214" s="5" t="s">
        <v>14953</v>
      </c>
      <c r="W1214" s="5" t="s">
        <v>269</v>
      </c>
      <c r="X1214" s="5" t="s">
        <v>269</v>
      </c>
      <c r="Y1214" s="4">
        <v>516</v>
      </c>
      <c r="Z1214" s="4">
        <v>470</v>
      </c>
      <c r="AA1214" s="4">
        <v>528</v>
      </c>
      <c r="AB1214" s="4">
        <v>3</v>
      </c>
      <c r="AC1214" s="4">
        <v>3</v>
      </c>
      <c r="AD1214" s="4">
        <v>23</v>
      </c>
      <c r="AE1214" s="4">
        <v>23</v>
      </c>
      <c r="AF1214" s="4">
        <v>6</v>
      </c>
      <c r="AG1214" s="4">
        <v>6</v>
      </c>
      <c r="AH1214" s="4">
        <v>4</v>
      </c>
      <c r="AI1214" s="4">
        <v>4</v>
      </c>
      <c r="AJ1214" s="4">
        <v>12</v>
      </c>
      <c r="AK1214" s="4">
        <v>12</v>
      </c>
      <c r="AL1214" s="4">
        <v>2</v>
      </c>
      <c r="AM1214" s="4">
        <v>2</v>
      </c>
      <c r="AN1214" s="4">
        <v>0</v>
      </c>
      <c r="AO1214" s="4">
        <v>0</v>
      </c>
      <c r="AP1214" s="3" t="s">
        <v>59</v>
      </c>
      <c r="AQ1214" s="3" t="s">
        <v>71</v>
      </c>
      <c r="AR1214" s="6" t="str">
        <f>HYPERLINK("http://catalog.hathitrust.org/Record/000430189","HathiTrust Record")</f>
        <v>HathiTrust Record</v>
      </c>
      <c r="AS1214" s="6" t="str">
        <f>HYPERLINK("https://creighton-primo.hosted.exlibrisgroup.com/primo-explore/search?tab=default_tab&amp;search_scope=EVERYTHING&amp;vid=01CRU&amp;lang=en_US&amp;offset=0&amp;query=any,contains,991001914229702656","Catalog Record")</f>
        <v>Catalog Record</v>
      </c>
      <c r="AT1214" s="6" t="str">
        <f>HYPERLINK("http://www.worldcat.org/oclc/243277","WorldCat Record")</f>
        <v>WorldCat Record</v>
      </c>
      <c r="AU1214" s="3" t="s">
        <v>15247</v>
      </c>
      <c r="AV1214" s="3" t="s">
        <v>15248</v>
      </c>
      <c r="AW1214" s="3" t="s">
        <v>15249</v>
      </c>
      <c r="AX1214" s="3" t="s">
        <v>15249</v>
      </c>
      <c r="AY1214" s="3" t="s">
        <v>15250</v>
      </c>
      <c r="AZ1214" s="3" t="s">
        <v>76</v>
      </c>
      <c r="BC1214" s="3" t="s">
        <v>15251</v>
      </c>
      <c r="BD1214" s="3" t="s">
        <v>15252</v>
      </c>
    </row>
    <row r="1215" spans="1:56" ht="52.5" customHeight="1" x14ac:dyDescent="0.25">
      <c r="A1215" s="7" t="s">
        <v>59</v>
      </c>
      <c r="B1215" s="2" t="s">
        <v>15253</v>
      </c>
      <c r="C1215" s="2" t="s">
        <v>15254</v>
      </c>
      <c r="D1215" s="2" t="s">
        <v>15255</v>
      </c>
      <c r="F1215" s="3" t="s">
        <v>59</v>
      </c>
      <c r="G1215" s="3" t="s">
        <v>60</v>
      </c>
      <c r="H1215" s="3" t="s">
        <v>59</v>
      </c>
      <c r="I1215" s="3" t="s">
        <v>59</v>
      </c>
      <c r="J1215" s="3" t="s">
        <v>61</v>
      </c>
      <c r="K1215" s="2" t="s">
        <v>15256</v>
      </c>
      <c r="L1215" s="2" t="s">
        <v>15257</v>
      </c>
      <c r="M1215" s="3" t="s">
        <v>1217</v>
      </c>
      <c r="O1215" s="3" t="s">
        <v>65</v>
      </c>
      <c r="P1215" s="3" t="s">
        <v>2845</v>
      </c>
      <c r="Q1215" s="2" t="s">
        <v>15258</v>
      </c>
      <c r="R1215" s="3" t="s">
        <v>68</v>
      </c>
      <c r="S1215" s="4">
        <v>2</v>
      </c>
      <c r="T1215" s="4">
        <v>2</v>
      </c>
      <c r="U1215" s="5" t="s">
        <v>15259</v>
      </c>
      <c r="V1215" s="5" t="s">
        <v>15259</v>
      </c>
      <c r="W1215" s="5" t="s">
        <v>8630</v>
      </c>
      <c r="X1215" s="5" t="s">
        <v>8630</v>
      </c>
      <c r="Y1215" s="4">
        <v>54</v>
      </c>
      <c r="Z1215" s="4">
        <v>54</v>
      </c>
      <c r="AA1215" s="4">
        <v>126</v>
      </c>
      <c r="AB1215" s="4">
        <v>1</v>
      </c>
      <c r="AC1215" s="4">
        <v>1</v>
      </c>
      <c r="AD1215" s="4">
        <v>1</v>
      </c>
      <c r="AE1215" s="4">
        <v>3</v>
      </c>
      <c r="AF1215" s="4">
        <v>0</v>
      </c>
      <c r="AG1215" s="4">
        <v>0</v>
      </c>
      <c r="AH1215" s="4">
        <v>1</v>
      </c>
      <c r="AI1215" s="4">
        <v>2</v>
      </c>
      <c r="AJ1215" s="4">
        <v>1</v>
      </c>
      <c r="AK1215" s="4">
        <v>2</v>
      </c>
      <c r="AL1215" s="4">
        <v>0</v>
      </c>
      <c r="AM1215" s="4">
        <v>0</v>
      </c>
      <c r="AN1215" s="4">
        <v>0</v>
      </c>
      <c r="AO1215" s="4">
        <v>0</v>
      </c>
      <c r="AP1215" s="3" t="s">
        <v>59</v>
      </c>
      <c r="AQ1215" s="3" t="s">
        <v>59</v>
      </c>
      <c r="AS1215" s="6" t="str">
        <f>HYPERLINK("https://creighton-primo.hosted.exlibrisgroup.com/primo-explore/search?tab=default_tab&amp;search_scope=EVERYTHING&amp;vid=01CRU&amp;lang=en_US&amp;offset=0&amp;query=any,contains,991000802159702656","Catalog Record")</f>
        <v>Catalog Record</v>
      </c>
      <c r="AT1215" s="6" t="str">
        <f>HYPERLINK("http://www.worldcat.org/oclc/14641843","WorldCat Record")</f>
        <v>WorldCat Record</v>
      </c>
      <c r="AU1215" s="3" t="s">
        <v>15260</v>
      </c>
      <c r="AV1215" s="3" t="s">
        <v>15261</v>
      </c>
      <c r="AW1215" s="3" t="s">
        <v>15262</v>
      </c>
      <c r="AX1215" s="3" t="s">
        <v>15262</v>
      </c>
      <c r="AY1215" s="3" t="s">
        <v>15263</v>
      </c>
      <c r="AZ1215" s="3" t="s">
        <v>76</v>
      </c>
      <c r="BC1215" s="3" t="s">
        <v>15264</v>
      </c>
      <c r="BD1215" s="3" t="s">
        <v>15265</v>
      </c>
    </row>
    <row r="1216" spans="1:56" ht="52.5" customHeight="1" x14ac:dyDescent="0.25">
      <c r="A1216" s="7" t="s">
        <v>59</v>
      </c>
      <c r="B1216" s="2" t="s">
        <v>15266</v>
      </c>
      <c r="C1216" s="2" t="s">
        <v>15267</v>
      </c>
      <c r="D1216" s="2" t="s">
        <v>15268</v>
      </c>
      <c r="F1216" s="3" t="s">
        <v>59</v>
      </c>
      <c r="G1216" s="3" t="s">
        <v>60</v>
      </c>
      <c r="H1216" s="3" t="s">
        <v>71</v>
      </c>
      <c r="I1216" s="3" t="s">
        <v>59</v>
      </c>
      <c r="J1216" s="3" t="s">
        <v>61</v>
      </c>
      <c r="K1216" s="2" t="s">
        <v>15269</v>
      </c>
      <c r="L1216" s="2" t="s">
        <v>15270</v>
      </c>
      <c r="M1216" s="3" t="s">
        <v>350</v>
      </c>
      <c r="O1216" s="3" t="s">
        <v>65</v>
      </c>
      <c r="P1216" s="3" t="s">
        <v>66</v>
      </c>
      <c r="Q1216" s="2" t="s">
        <v>15271</v>
      </c>
      <c r="R1216" s="3" t="s">
        <v>68</v>
      </c>
      <c r="S1216" s="4">
        <v>2</v>
      </c>
      <c r="T1216" s="4">
        <v>2</v>
      </c>
      <c r="U1216" s="5" t="s">
        <v>15259</v>
      </c>
      <c r="V1216" s="5" t="s">
        <v>15259</v>
      </c>
      <c r="W1216" s="5" t="s">
        <v>227</v>
      </c>
      <c r="X1216" s="5" t="s">
        <v>227</v>
      </c>
      <c r="Y1216" s="4">
        <v>573</v>
      </c>
      <c r="Z1216" s="4">
        <v>492</v>
      </c>
      <c r="AA1216" s="4">
        <v>500</v>
      </c>
      <c r="AB1216" s="4">
        <v>6</v>
      </c>
      <c r="AC1216" s="4">
        <v>6</v>
      </c>
      <c r="AD1216" s="4">
        <v>22</v>
      </c>
      <c r="AE1216" s="4">
        <v>22</v>
      </c>
      <c r="AF1216" s="4">
        <v>12</v>
      </c>
      <c r="AG1216" s="4">
        <v>12</v>
      </c>
      <c r="AH1216" s="4">
        <v>2</v>
      </c>
      <c r="AI1216" s="4">
        <v>2</v>
      </c>
      <c r="AJ1216" s="4">
        <v>11</v>
      </c>
      <c r="AK1216" s="4">
        <v>11</v>
      </c>
      <c r="AL1216" s="4">
        <v>4</v>
      </c>
      <c r="AM1216" s="4">
        <v>4</v>
      </c>
      <c r="AN1216" s="4">
        <v>0</v>
      </c>
      <c r="AO1216" s="4">
        <v>0</v>
      </c>
      <c r="AP1216" s="3" t="s">
        <v>59</v>
      </c>
      <c r="AQ1216" s="3" t="s">
        <v>71</v>
      </c>
      <c r="AR1216" s="6" t="str">
        <f>HYPERLINK("http://catalog.hathitrust.org/Record/000293697","HathiTrust Record")</f>
        <v>HathiTrust Record</v>
      </c>
      <c r="AS1216" s="6" t="str">
        <f>HYPERLINK("https://creighton-primo.hosted.exlibrisgroup.com/primo-explore/search?tab=default_tab&amp;search_scope=EVERYTHING&amp;vid=01CRU&amp;lang=en_US&amp;offset=0&amp;query=any,contains,991001772249702656","Catalog Record")</f>
        <v>Catalog Record</v>
      </c>
      <c r="AT1216" s="6" t="str">
        <f>HYPERLINK("http://www.worldcat.org/oclc/3168772","WorldCat Record")</f>
        <v>WorldCat Record</v>
      </c>
      <c r="AU1216" s="3" t="s">
        <v>15272</v>
      </c>
      <c r="AV1216" s="3" t="s">
        <v>15273</v>
      </c>
      <c r="AW1216" s="3" t="s">
        <v>15274</v>
      </c>
      <c r="AX1216" s="3" t="s">
        <v>15274</v>
      </c>
      <c r="AY1216" s="3" t="s">
        <v>15275</v>
      </c>
      <c r="AZ1216" s="3" t="s">
        <v>76</v>
      </c>
      <c r="BB1216" s="3" t="s">
        <v>15276</v>
      </c>
      <c r="BC1216" s="3" t="s">
        <v>15277</v>
      </c>
      <c r="BD1216" s="3" t="s">
        <v>15278</v>
      </c>
    </row>
    <row r="1217" spans="1:56" ht="52.5" customHeight="1" x14ac:dyDescent="0.25">
      <c r="A1217" s="7" t="s">
        <v>59</v>
      </c>
      <c r="B1217" s="2" t="s">
        <v>15279</v>
      </c>
      <c r="C1217" s="2" t="s">
        <v>15280</v>
      </c>
      <c r="D1217" s="2" t="s">
        <v>15281</v>
      </c>
      <c r="F1217" s="3" t="s">
        <v>59</v>
      </c>
      <c r="G1217" s="3" t="s">
        <v>60</v>
      </c>
      <c r="H1217" s="3" t="s">
        <v>59</v>
      </c>
      <c r="I1217" s="3" t="s">
        <v>59</v>
      </c>
      <c r="J1217" s="3" t="s">
        <v>61</v>
      </c>
      <c r="K1217" s="2" t="s">
        <v>15282</v>
      </c>
      <c r="L1217" s="2" t="s">
        <v>15283</v>
      </c>
      <c r="M1217" s="3" t="s">
        <v>295</v>
      </c>
      <c r="N1217" s="2" t="s">
        <v>435</v>
      </c>
      <c r="O1217" s="3" t="s">
        <v>65</v>
      </c>
      <c r="P1217" s="3" t="s">
        <v>66</v>
      </c>
      <c r="R1217" s="3" t="s">
        <v>68</v>
      </c>
      <c r="S1217" s="4">
        <v>1</v>
      </c>
      <c r="T1217" s="4">
        <v>1</v>
      </c>
      <c r="U1217" s="5" t="s">
        <v>6895</v>
      </c>
      <c r="V1217" s="5" t="s">
        <v>6895</v>
      </c>
      <c r="W1217" s="5" t="s">
        <v>227</v>
      </c>
      <c r="X1217" s="5" t="s">
        <v>227</v>
      </c>
      <c r="Y1217" s="4">
        <v>550</v>
      </c>
      <c r="Z1217" s="4">
        <v>499</v>
      </c>
      <c r="AA1217" s="4">
        <v>572</v>
      </c>
      <c r="AB1217" s="4">
        <v>4</v>
      </c>
      <c r="AC1217" s="4">
        <v>5</v>
      </c>
      <c r="AD1217" s="4">
        <v>25</v>
      </c>
      <c r="AE1217" s="4">
        <v>26</v>
      </c>
      <c r="AF1217" s="4">
        <v>10</v>
      </c>
      <c r="AG1217" s="4">
        <v>10</v>
      </c>
      <c r="AH1217" s="4">
        <v>3</v>
      </c>
      <c r="AI1217" s="4">
        <v>3</v>
      </c>
      <c r="AJ1217" s="4">
        <v>10</v>
      </c>
      <c r="AK1217" s="4">
        <v>10</v>
      </c>
      <c r="AL1217" s="4">
        <v>3</v>
      </c>
      <c r="AM1217" s="4">
        <v>4</v>
      </c>
      <c r="AN1217" s="4">
        <v>1</v>
      </c>
      <c r="AO1217" s="4">
        <v>1</v>
      </c>
      <c r="AP1217" s="3" t="s">
        <v>59</v>
      </c>
      <c r="AQ1217" s="3" t="s">
        <v>71</v>
      </c>
      <c r="AR1217" s="6" t="str">
        <f>HYPERLINK("http://catalog.hathitrust.org/Record/000472308","HathiTrust Record")</f>
        <v>HathiTrust Record</v>
      </c>
      <c r="AS1217" s="6" t="str">
        <f>HYPERLINK("https://creighton-primo.hosted.exlibrisgroup.com/primo-explore/search?tab=default_tab&amp;search_scope=EVERYTHING&amp;vid=01CRU&amp;lang=en_US&amp;offset=0&amp;query=any,contains,991001374539702656","Catalog Record")</f>
        <v>Catalog Record</v>
      </c>
      <c r="AT1217" s="6" t="str">
        <f>HYPERLINK("http://www.worldcat.org/oclc/224583","WorldCat Record")</f>
        <v>WorldCat Record</v>
      </c>
      <c r="AU1217" s="3" t="s">
        <v>15284</v>
      </c>
      <c r="AV1217" s="3" t="s">
        <v>15285</v>
      </c>
      <c r="AW1217" s="3" t="s">
        <v>15286</v>
      </c>
      <c r="AX1217" s="3" t="s">
        <v>15286</v>
      </c>
      <c r="AY1217" s="3" t="s">
        <v>15287</v>
      </c>
      <c r="AZ1217" s="3" t="s">
        <v>76</v>
      </c>
      <c r="BC1217" s="3" t="s">
        <v>15288</v>
      </c>
      <c r="BD1217" s="3" t="s">
        <v>15289</v>
      </c>
    </row>
    <row r="1218" spans="1:56" ht="52.5" customHeight="1" x14ac:dyDescent="0.25">
      <c r="A1218" s="7" t="s">
        <v>59</v>
      </c>
      <c r="B1218" s="2" t="s">
        <v>15290</v>
      </c>
      <c r="C1218" s="2" t="s">
        <v>15291</v>
      </c>
      <c r="D1218" s="2" t="s">
        <v>15292</v>
      </c>
      <c r="F1218" s="3" t="s">
        <v>59</v>
      </c>
      <c r="G1218" s="3" t="s">
        <v>60</v>
      </c>
      <c r="H1218" s="3" t="s">
        <v>59</v>
      </c>
      <c r="I1218" s="3" t="s">
        <v>59</v>
      </c>
      <c r="J1218" s="3" t="s">
        <v>61</v>
      </c>
      <c r="L1218" s="2" t="s">
        <v>15293</v>
      </c>
      <c r="M1218" s="3" t="s">
        <v>365</v>
      </c>
      <c r="O1218" s="3" t="s">
        <v>65</v>
      </c>
      <c r="P1218" s="3" t="s">
        <v>3610</v>
      </c>
      <c r="Q1218" s="2" t="s">
        <v>15294</v>
      </c>
      <c r="R1218" s="3" t="s">
        <v>68</v>
      </c>
      <c r="S1218" s="4">
        <v>2</v>
      </c>
      <c r="T1218" s="4">
        <v>2</v>
      </c>
      <c r="U1218" s="5" t="s">
        <v>15222</v>
      </c>
      <c r="V1218" s="5" t="s">
        <v>15222</v>
      </c>
      <c r="W1218" s="5" t="s">
        <v>832</v>
      </c>
      <c r="X1218" s="5" t="s">
        <v>832</v>
      </c>
      <c r="Y1218" s="4">
        <v>228</v>
      </c>
      <c r="Z1218" s="4">
        <v>134</v>
      </c>
      <c r="AA1218" s="4">
        <v>180</v>
      </c>
      <c r="AB1218" s="4">
        <v>2</v>
      </c>
      <c r="AC1218" s="4">
        <v>2</v>
      </c>
      <c r="AD1218" s="4">
        <v>6</v>
      </c>
      <c r="AE1218" s="4">
        <v>8</v>
      </c>
      <c r="AF1218" s="4">
        <v>1</v>
      </c>
      <c r="AG1218" s="4">
        <v>2</v>
      </c>
      <c r="AH1218" s="4">
        <v>2</v>
      </c>
      <c r="AI1218" s="4">
        <v>3</v>
      </c>
      <c r="AJ1218" s="4">
        <v>4</v>
      </c>
      <c r="AK1218" s="4">
        <v>4</v>
      </c>
      <c r="AL1218" s="4">
        <v>1</v>
      </c>
      <c r="AM1218" s="4">
        <v>1</v>
      </c>
      <c r="AN1218" s="4">
        <v>0</v>
      </c>
      <c r="AO1218" s="4">
        <v>0</v>
      </c>
      <c r="AP1218" s="3" t="s">
        <v>59</v>
      </c>
      <c r="AQ1218" s="3" t="s">
        <v>59</v>
      </c>
      <c r="AS1218" s="6" t="str">
        <f>HYPERLINK("https://creighton-primo.hosted.exlibrisgroup.com/primo-explore/search?tab=default_tab&amp;search_scope=EVERYTHING&amp;vid=01CRU&amp;lang=en_US&amp;offset=0&amp;query=any,contains,991001362609702656","Catalog Record")</f>
        <v>Catalog Record</v>
      </c>
      <c r="AT1218" s="6" t="str">
        <f>HYPERLINK("http://www.worldcat.org/oclc/18523143","WorldCat Record")</f>
        <v>WorldCat Record</v>
      </c>
      <c r="AU1218" s="3" t="s">
        <v>15295</v>
      </c>
      <c r="AV1218" s="3" t="s">
        <v>15296</v>
      </c>
      <c r="AW1218" s="3" t="s">
        <v>15297</v>
      </c>
      <c r="AX1218" s="3" t="s">
        <v>15297</v>
      </c>
      <c r="AY1218" s="3" t="s">
        <v>15298</v>
      </c>
      <c r="AZ1218" s="3" t="s">
        <v>76</v>
      </c>
      <c r="BB1218" s="3" t="s">
        <v>15299</v>
      </c>
      <c r="BC1218" s="3" t="s">
        <v>15300</v>
      </c>
      <c r="BD1218" s="3" t="s">
        <v>15301</v>
      </c>
    </row>
    <row r="1219" spans="1:56" ht="52.5" customHeight="1" x14ac:dyDescent="0.25">
      <c r="A1219" s="7" t="s">
        <v>59</v>
      </c>
      <c r="B1219" s="2" t="s">
        <v>15302</v>
      </c>
      <c r="C1219" s="2" t="s">
        <v>15303</v>
      </c>
      <c r="D1219" s="2" t="s">
        <v>15304</v>
      </c>
      <c r="F1219" s="3" t="s">
        <v>59</v>
      </c>
      <c r="G1219" s="3" t="s">
        <v>60</v>
      </c>
      <c r="H1219" s="3" t="s">
        <v>59</v>
      </c>
      <c r="I1219" s="3" t="s">
        <v>59</v>
      </c>
      <c r="J1219" s="3" t="s">
        <v>61</v>
      </c>
      <c r="L1219" s="2" t="s">
        <v>15305</v>
      </c>
      <c r="M1219" s="3" t="s">
        <v>365</v>
      </c>
      <c r="O1219" s="3" t="s">
        <v>65</v>
      </c>
      <c r="P1219" s="3" t="s">
        <v>66</v>
      </c>
      <c r="Q1219" s="2" t="s">
        <v>10559</v>
      </c>
      <c r="R1219" s="3" t="s">
        <v>68</v>
      </c>
      <c r="S1219" s="4">
        <v>6</v>
      </c>
      <c r="T1219" s="4">
        <v>6</v>
      </c>
      <c r="U1219" s="5" t="s">
        <v>15306</v>
      </c>
      <c r="V1219" s="5" t="s">
        <v>15306</v>
      </c>
      <c r="W1219" s="5" t="s">
        <v>15307</v>
      </c>
      <c r="X1219" s="5" t="s">
        <v>15307</v>
      </c>
      <c r="Y1219" s="4">
        <v>380</v>
      </c>
      <c r="Z1219" s="4">
        <v>290</v>
      </c>
      <c r="AA1219" s="4">
        <v>297</v>
      </c>
      <c r="AB1219" s="4">
        <v>4</v>
      </c>
      <c r="AC1219" s="4">
        <v>4</v>
      </c>
      <c r="AD1219" s="4">
        <v>10</v>
      </c>
      <c r="AE1219" s="4">
        <v>10</v>
      </c>
      <c r="AF1219" s="4">
        <v>2</v>
      </c>
      <c r="AG1219" s="4">
        <v>2</v>
      </c>
      <c r="AH1219" s="4">
        <v>1</v>
      </c>
      <c r="AI1219" s="4">
        <v>1</v>
      </c>
      <c r="AJ1219" s="4">
        <v>5</v>
      </c>
      <c r="AK1219" s="4">
        <v>5</v>
      </c>
      <c r="AL1219" s="4">
        <v>3</v>
      </c>
      <c r="AM1219" s="4">
        <v>3</v>
      </c>
      <c r="AN1219" s="4">
        <v>0</v>
      </c>
      <c r="AO1219" s="4">
        <v>0</v>
      </c>
      <c r="AP1219" s="3" t="s">
        <v>59</v>
      </c>
      <c r="AQ1219" s="3" t="s">
        <v>71</v>
      </c>
      <c r="AR1219" s="6" t="str">
        <f>HYPERLINK("http://catalog.hathitrust.org/Record/002528199","HathiTrust Record")</f>
        <v>HathiTrust Record</v>
      </c>
      <c r="AS1219" s="6" t="str">
        <f>HYPERLINK("https://creighton-primo.hosted.exlibrisgroup.com/primo-explore/search?tab=default_tab&amp;search_scope=EVERYTHING&amp;vid=01CRU&amp;lang=en_US&amp;offset=0&amp;query=any,contains,991001403309702656","Catalog Record")</f>
        <v>Catalog Record</v>
      </c>
      <c r="AT1219" s="6" t="str">
        <f>HYPERLINK("http://www.worldcat.org/oclc/18834016","WorldCat Record")</f>
        <v>WorldCat Record</v>
      </c>
      <c r="AU1219" s="3" t="s">
        <v>15308</v>
      </c>
      <c r="AV1219" s="3" t="s">
        <v>15309</v>
      </c>
      <c r="AW1219" s="3" t="s">
        <v>15310</v>
      </c>
      <c r="AX1219" s="3" t="s">
        <v>15310</v>
      </c>
      <c r="AY1219" s="3" t="s">
        <v>15311</v>
      </c>
      <c r="AZ1219" s="3" t="s">
        <v>76</v>
      </c>
      <c r="BB1219" s="3" t="s">
        <v>15312</v>
      </c>
      <c r="BC1219" s="3" t="s">
        <v>15313</v>
      </c>
      <c r="BD1219" s="3" t="s">
        <v>15314</v>
      </c>
    </row>
    <row r="1220" spans="1:56" ht="52.5" customHeight="1" x14ac:dyDescent="0.25">
      <c r="A1220" s="7" t="s">
        <v>59</v>
      </c>
      <c r="B1220" s="2" t="s">
        <v>15315</v>
      </c>
      <c r="C1220" s="2" t="s">
        <v>15316</v>
      </c>
      <c r="D1220" s="2" t="s">
        <v>15317</v>
      </c>
      <c r="F1220" s="3" t="s">
        <v>59</v>
      </c>
      <c r="G1220" s="3" t="s">
        <v>60</v>
      </c>
      <c r="H1220" s="3" t="s">
        <v>59</v>
      </c>
      <c r="I1220" s="3" t="s">
        <v>59</v>
      </c>
      <c r="J1220" s="3" t="s">
        <v>61</v>
      </c>
      <c r="L1220" s="2" t="s">
        <v>15318</v>
      </c>
      <c r="M1220" s="3" t="s">
        <v>549</v>
      </c>
      <c r="O1220" s="3" t="s">
        <v>65</v>
      </c>
      <c r="P1220" s="3" t="s">
        <v>4685</v>
      </c>
      <c r="R1220" s="3" t="s">
        <v>68</v>
      </c>
      <c r="S1220" s="4">
        <v>4</v>
      </c>
      <c r="T1220" s="4">
        <v>4</v>
      </c>
      <c r="U1220" s="5" t="s">
        <v>5472</v>
      </c>
      <c r="V1220" s="5" t="s">
        <v>5472</v>
      </c>
      <c r="W1220" s="5" t="s">
        <v>477</v>
      </c>
      <c r="X1220" s="5" t="s">
        <v>477</v>
      </c>
      <c r="Y1220" s="4">
        <v>576</v>
      </c>
      <c r="Z1220" s="4">
        <v>477</v>
      </c>
      <c r="AA1220" s="4">
        <v>510</v>
      </c>
      <c r="AB1220" s="4">
        <v>4</v>
      </c>
      <c r="AC1220" s="4">
        <v>4</v>
      </c>
      <c r="AD1220" s="4">
        <v>20</v>
      </c>
      <c r="AE1220" s="4">
        <v>22</v>
      </c>
      <c r="AF1220" s="4">
        <v>6</v>
      </c>
      <c r="AG1220" s="4">
        <v>7</v>
      </c>
      <c r="AH1220" s="4">
        <v>5</v>
      </c>
      <c r="AI1220" s="4">
        <v>6</v>
      </c>
      <c r="AJ1220" s="4">
        <v>12</v>
      </c>
      <c r="AK1220" s="4">
        <v>12</v>
      </c>
      <c r="AL1220" s="4">
        <v>3</v>
      </c>
      <c r="AM1220" s="4">
        <v>3</v>
      </c>
      <c r="AN1220" s="4">
        <v>0</v>
      </c>
      <c r="AO1220" s="4">
        <v>0</v>
      </c>
      <c r="AP1220" s="3" t="s">
        <v>59</v>
      </c>
      <c r="AQ1220" s="3" t="s">
        <v>71</v>
      </c>
      <c r="AR1220" s="6" t="str">
        <f>HYPERLINK("http://catalog.hathitrust.org/Record/000477031","HathiTrust Record")</f>
        <v>HathiTrust Record</v>
      </c>
      <c r="AS1220" s="6" t="str">
        <f>HYPERLINK("https://creighton-primo.hosted.exlibrisgroup.com/primo-explore/search?tab=default_tab&amp;search_scope=EVERYTHING&amp;vid=01CRU&amp;lang=en_US&amp;offset=0&amp;query=any,contains,991005405209702656","Catalog Record")</f>
        <v>Catalog Record</v>
      </c>
      <c r="AT1220" s="6" t="str">
        <f>HYPERLINK("http://www.worldcat.org/oclc/11972007","WorldCat Record")</f>
        <v>WorldCat Record</v>
      </c>
      <c r="AU1220" s="3" t="s">
        <v>15319</v>
      </c>
      <c r="AV1220" s="3" t="s">
        <v>15320</v>
      </c>
      <c r="AW1220" s="3" t="s">
        <v>15321</v>
      </c>
      <c r="AX1220" s="3" t="s">
        <v>15321</v>
      </c>
      <c r="AY1220" s="3" t="s">
        <v>15322</v>
      </c>
      <c r="AZ1220" s="3" t="s">
        <v>76</v>
      </c>
      <c r="BB1220" s="3" t="s">
        <v>15323</v>
      </c>
      <c r="BC1220" s="3" t="s">
        <v>15324</v>
      </c>
      <c r="BD1220" s="3" t="s">
        <v>15325</v>
      </c>
    </row>
    <row r="1221" spans="1:56" ht="52.5" customHeight="1" x14ac:dyDescent="0.25">
      <c r="A1221" s="7" t="s">
        <v>59</v>
      </c>
      <c r="B1221" s="2" t="s">
        <v>15326</v>
      </c>
      <c r="C1221" s="2" t="s">
        <v>15327</v>
      </c>
      <c r="D1221" s="2" t="s">
        <v>15328</v>
      </c>
      <c r="F1221" s="3" t="s">
        <v>59</v>
      </c>
      <c r="G1221" s="3" t="s">
        <v>60</v>
      </c>
      <c r="H1221" s="3" t="s">
        <v>59</v>
      </c>
      <c r="I1221" s="3" t="s">
        <v>59</v>
      </c>
      <c r="J1221" s="3" t="s">
        <v>61</v>
      </c>
      <c r="L1221" s="2" t="s">
        <v>15329</v>
      </c>
      <c r="M1221" s="3" t="s">
        <v>616</v>
      </c>
      <c r="O1221" s="3" t="s">
        <v>65</v>
      </c>
      <c r="P1221" s="3" t="s">
        <v>66</v>
      </c>
      <c r="R1221" s="3" t="s">
        <v>68</v>
      </c>
      <c r="S1221" s="4">
        <v>13</v>
      </c>
      <c r="T1221" s="4">
        <v>13</v>
      </c>
      <c r="U1221" s="5" t="s">
        <v>8959</v>
      </c>
      <c r="V1221" s="5" t="s">
        <v>8959</v>
      </c>
      <c r="W1221" s="5" t="s">
        <v>15330</v>
      </c>
      <c r="X1221" s="5" t="s">
        <v>15330</v>
      </c>
      <c r="Y1221" s="4">
        <v>751</v>
      </c>
      <c r="Z1221" s="4">
        <v>568</v>
      </c>
      <c r="AA1221" s="4">
        <v>598</v>
      </c>
      <c r="AB1221" s="4">
        <v>6</v>
      </c>
      <c r="AC1221" s="4">
        <v>6</v>
      </c>
      <c r="AD1221" s="4">
        <v>29</v>
      </c>
      <c r="AE1221" s="4">
        <v>30</v>
      </c>
      <c r="AF1221" s="4">
        <v>9</v>
      </c>
      <c r="AG1221" s="4">
        <v>9</v>
      </c>
      <c r="AH1221" s="4">
        <v>5</v>
      </c>
      <c r="AI1221" s="4">
        <v>6</v>
      </c>
      <c r="AJ1221" s="4">
        <v>18</v>
      </c>
      <c r="AK1221" s="4">
        <v>18</v>
      </c>
      <c r="AL1221" s="4">
        <v>5</v>
      </c>
      <c r="AM1221" s="4">
        <v>5</v>
      </c>
      <c r="AN1221" s="4">
        <v>0</v>
      </c>
      <c r="AO1221" s="4">
        <v>0</v>
      </c>
      <c r="AP1221" s="3" t="s">
        <v>59</v>
      </c>
      <c r="AQ1221" s="3" t="s">
        <v>59</v>
      </c>
      <c r="AS1221" s="6" t="str">
        <f>HYPERLINK("https://creighton-primo.hosted.exlibrisgroup.com/primo-explore/search?tab=default_tab&amp;search_scope=EVERYTHING&amp;vid=01CRU&amp;lang=en_US&amp;offset=0&amp;query=any,contains,991001217269702656","Catalog Record")</f>
        <v>Catalog Record</v>
      </c>
      <c r="AT1221" s="6" t="str">
        <f>HYPERLINK("http://www.worldcat.org/oclc/17439482","WorldCat Record")</f>
        <v>WorldCat Record</v>
      </c>
      <c r="AU1221" s="3" t="s">
        <v>15331</v>
      </c>
      <c r="AV1221" s="3" t="s">
        <v>15332</v>
      </c>
      <c r="AW1221" s="3" t="s">
        <v>15333</v>
      </c>
      <c r="AX1221" s="3" t="s">
        <v>15333</v>
      </c>
      <c r="AY1221" s="3" t="s">
        <v>15334</v>
      </c>
      <c r="AZ1221" s="3" t="s">
        <v>76</v>
      </c>
      <c r="BB1221" s="3" t="s">
        <v>15335</v>
      </c>
      <c r="BC1221" s="3" t="s">
        <v>15336</v>
      </c>
      <c r="BD1221" s="3" t="s">
        <v>15337</v>
      </c>
    </row>
    <row r="1222" spans="1:56" ht="52.5" customHeight="1" x14ac:dyDescent="0.25">
      <c r="A1222" s="7" t="s">
        <v>59</v>
      </c>
      <c r="B1222" s="2" t="s">
        <v>15338</v>
      </c>
      <c r="C1222" s="2" t="s">
        <v>15339</v>
      </c>
      <c r="D1222" s="2" t="s">
        <v>15340</v>
      </c>
      <c r="F1222" s="3" t="s">
        <v>59</v>
      </c>
      <c r="G1222" s="3" t="s">
        <v>60</v>
      </c>
      <c r="H1222" s="3" t="s">
        <v>59</v>
      </c>
      <c r="I1222" s="3" t="s">
        <v>59</v>
      </c>
      <c r="J1222" s="3" t="s">
        <v>61</v>
      </c>
      <c r="L1222" s="2" t="s">
        <v>13995</v>
      </c>
      <c r="M1222" s="3" t="s">
        <v>350</v>
      </c>
      <c r="O1222" s="3" t="s">
        <v>65</v>
      </c>
      <c r="P1222" s="3" t="s">
        <v>1262</v>
      </c>
      <c r="R1222" s="3" t="s">
        <v>68</v>
      </c>
      <c r="S1222" s="4">
        <v>1</v>
      </c>
      <c r="T1222" s="4">
        <v>1</v>
      </c>
      <c r="U1222" s="5" t="s">
        <v>15341</v>
      </c>
      <c r="V1222" s="5" t="s">
        <v>15341</v>
      </c>
      <c r="W1222" s="5" t="s">
        <v>477</v>
      </c>
      <c r="X1222" s="5" t="s">
        <v>477</v>
      </c>
      <c r="Y1222" s="4">
        <v>424</v>
      </c>
      <c r="Z1222" s="4">
        <v>298</v>
      </c>
      <c r="AA1222" s="4">
        <v>305</v>
      </c>
      <c r="AB1222" s="4">
        <v>2</v>
      </c>
      <c r="AC1222" s="4">
        <v>2</v>
      </c>
      <c r="AD1222" s="4">
        <v>12</v>
      </c>
      <c r="AE1222" s="4">
        <v>12</v>
      </c>
      <c r="AF1222" s="4">
        <v>3</v>
      </c>
      <c r="AG1222" s="4">
        <v>3</v>
      </c>
      <c r="AH1222" s="4">
        <v>2</v>
      </c>
      <c r="AI1222" s="4">
        <v>2</v>
      </c>
      <c r="AJ1222" s="4">
        <v>7</v>
      </c>
      <c r="AK1222" s="4">
        <v>7</v>
      </c>
      <c r="AL1222" s="4">
        <v>1</v>
      </c>
      <c r="AM1222" s="4">
        <v>1</v>
      </c>
      <c r="AN1222" s="4">
        <v>0</v>
      </c>
      <c r="AO1222" s="4">
        <v>0</v>
      </c>
      <c r="AP1222" s="3" t="s">
        <v>59</v>
      </c>
      <c r="AQ1222" s="3" t="s">
        <v>71</v>
      </c>
      <c r="AR1222" s="6" t="str">
        <f>HYPERLINK("http://catalog.hathitrust.org/Record/000226986","HathiTrust Record")</f>
        <v>HathiTrust Record</v>
      </c>
      <c r="AS1222" s="6" t="str">
        <f>HYPERLINK("https://creighton-primo.hosted.exlibrisgroup.com/primo-explore/search?tab=default_tab&amp;search_scope=EVERYTHING&amp;vid=01CRU&amp;lang=en_US&amp;offset=0&amp;query=any,contains,991004509989702656","Catalog Record")</f>
        <v>Catalog Record</v>
      </c>
      <c r="AT1222" s="6" t="str">
        <f>HYPERLINK("http://www.worldcat.org/oclc/3757504","WorldCat Record")</f>
        <v>WorldCat Record</v>
      </c>
      <c r="AU1222" s="3" t="s">
        <v>15342</v>
      </c>
      <c r="AV1222" s="3" t="s">
        <v>15343</v>
      </c>
      <c r="AW1222" s="3" t="s">
        <v>15344</v>
      </c>
      <c r="AX1222" s="3" t="s">
        <v>15344</v>
      </c>
      <c r="AY1222" s="3" t="s">
        <v>15345</v>
      </c>
      <c r="AZ1222" s="3" t="s">
        <v>76</v>
      </c>
      <c r="BB1222" s="3" t="s">
        <v>15346</v>
      </c>
      <c r="BC1222" s="3" t="s">
        <v>15347</v>
      </c>
      <c r="BD1222" s="3" t="s">
        <v>15348</v>
      </c>
    </row>
    <row r="1223" spans="1:56" ht="52.5" customHeight="1" x14ac:dyDescent="0.25">
      <c r="A1223" s="7" t="s">
        <v>59</v>
      </c>
      <c r="B1223" s="2" t="s">
        <v>15349</v>
      </c>
      <c r="C1223" s="2" t="s">
        <v>15350</v>
      </c>
      <c r="D1223" s="2" t="s">
        <v>15351</v>
      </c>
      <c r="F1223" s="3" t="s">
        <v>59</v>
      </c>
      <c r="G1223" s="3" t="s">
        <v>60</v>
      </c>
      <c r="H1223" s="3" t="s">
        <v>59</v>
      </c>
      <c r="I1223" s="3" t="s">
        <v>59</v>
      </c>
      <c r="J1223" s="3" t="s">
        <v>61</v>
      </c>
      <c r="K1223" s="2" t="s">
        <v>15352</v>
      </c>
      <c r="L1223" s="2" t="s">
        <v>15353</v>
      </c>
      <c r="M1223" s="3" t="s">
        <v>549</v>
      </c>
      <c r="O1223" s="3" t="s">
        <v>65</v>
      </c>
      <c r="P1223" s="3" t="s">
        <v>1262</v>
      </c>
      <c r="R1223" s="3" t="s">
        <v>68</v>
      </c>
      <c r="S1223" s="4">
        <v>5</v>
      </c>
      <c r="T1223" s="4">
        <v>5</v>
      </c>
      <c r="U1223" s="5" t="s">
        <v>15354</v>
      </c>
      <c r="V1223" s="5" t="s">
        <v>15354</v>
      </c>
      <c r="W1223" s="5" t="s">
        <v>1817</v>
      </c>
      <c r="X1223" s="5" t="s">
        <v>1817</v>
      </c>
      <c r="Y1223" s="4">
        <v>445</v>
      </c>
      <c r="Z1223" s="4">
        <v>302</v>
      </c>
      <c r="AA1223" s="4">
        <v>303</v>
      </c>
      <c r="AB1223" s="4">
        <v>4</v>
      </c>
      <c r="AC1223" s="4">
        <v>4</v>
      </c>
      <c r="AD1223" s="4">
        <v>16</v>
      </c>
      <c r="AE1223" s="4">
        <v>16</v>
      </c>
      <c r="AF1223" s="4">
        <v>6</v>
      </c>
      <c r="AG1223" s="4">
        <v>6</v>
      </c>
      <c r="AH1223" s="4">
        <v>3</v>
      </c>
      <c r="AI1223" s="4">
        <v>3</v>
      </c>
      <c r="AJ1223" s="4">
        <v>8</v>
      </c>
      <c r="AK1223" s="4">
        <v>8</v>
      </c>
      <c r="AL1223" s="4">
        <v>3</v>
      </c>
      <c r="AM1223" s="4">
        <v>3</v>
      </c>
      <c r="AN1223" s="4">
        <v>0</v>
      </c>
      <c r="AO1223" s="4">
        <v>0</v>
      </c>
      <c r="AP1223" s="3" t="s">
        <v>59</v>
      </c>
      <c r="AQ1223" s="3" t="s">
        <v>71</v>
      </c>
      <c r="AR1223" s="6" t="str">
        <f>HYPERLINK("http://catalog.hathitrust.org/Record/000813312","HathiTrust Record")</f>
        <v>HathiTrust Record</v>
      </c>
      <c r="AS1223" s="6" t="str">
        <f>HYPERLINK("https://creighton-primo.hosted.exlibrisgroup.com/primo-explore/search?tab=default_tab&amp;search_scope=EVERYTHING&amp;vid=01CRU&amp;lang=en_US&amp;offset=0&amp;query=any,contains,991005406749702656","Catalog Record")</f>
        <v>Catalog Record</v>
      </c>
      <c r="AT1223" s="6" t="str">
        <f>HYPERLINK("http://www.worldcat.org/oclc/13822907","WorldCat Record")</f>
        <v>WorldCat Record</v>
      </c>
      <c r="AU1223" s="3" t="s">
        <v>15355</v>
      </c>
      <c r="AV1223" s="3" t="s">
        <v>15356</v>
      </c>
      <c r="AW1223" s="3" t="s">
        <v>15357</v>
      </c>
      <c r="AX1223" s="3" t="s">
        <v>15357</v>
      </c>
      <c r="AY1223" s="3" t="s">
        <v>15358</v>
      </c>
      <c r="AZ1223" s="3" t="s">
        <v>76</v>
      </c>
      <c r="BB1223" s="3" t="s">
        <v>15359</v>
      </c>
      <c r="BC1223" s="3" t="s">
        <v>15360</v>
      </c>
      <c r="BD1223" s="3" t="s">
        <v>15361</v>
      </c>
    </row>
    <row r="1224" spans="1:56" ht="52.5" customHeight="1" x14ac:dyDescent="0.25">
      <c r="A1224" s="7" t="s">
        <v>59</v>
      </c>
      <c r="B1224" s="2" t="s">
        <v>15362</v>
      </c>
      <c r="C1224" s="2" t="s">
        <v>15363</v>
      </c>
      <c r="D1224" s="2" t="s">
        <v>15364</v>
      </c>
      <c r="F1224" s="3" t="s">
        <v>59</v>
      </c>
      <c r="G1224" s="3" t="s">
        <v>60</v>
      </c>
      <c r="H1224" s="3" t="s">
        <v>59</v>
      </c>
      <c r="I1224" s="3" t="s">
        <v>59</v>
      </c>
      <c r="J1224" s="3" t="s">
        <v>61</v>
      </c>
      <c r="K1224" s="2" t="s">
        <v>15365</v>
      </c>
      <c r="L1224" s="2" t="s">
        <v>15366</v>
      </c>
      <c r="M1224" s="3" t="s">
        <v>254</v>
      </c>
      <c r="O1224" s="3" t="s">
        <v>65</v>
      </c>
      <c r="P1224" s="3" t="s">
        <v>66</v>
      </c>
      <c r="Q1224" s="2" t="s">
        <v>14712</v>
      </c>
      <c r="R1224" s="3" t="s">
        <v>68</v>
      </c>
      <c r="S1224" s="4">
        <v>1</v>
      </c>
      <c r="T1224" s="4">
        <v>1</v>
      </c>
      <c r="U1224" s="5" t="s">
        <v>15367</v>
      </c>
      <c r="V1224" s="5" t="s">
        <v>15367</v>
      </c>
      <c r="W1224" s="5" t="s">
        <v>227</v>
      </c>
      <c r="X1224" s="5" t="s">
        <v>227</v>
      </c>
      <c r="Y1224" s="4">
        <v>542</v>
      </c>
      <c r="Z1224" s="4">
        <v>441</v>
      </c>
      <c r="AA1224" s="4">
        <v>587</v>
      </c>
      <c r="AB1224" s="4">
        <v>5</v>
      </c>
      <c r="AC1224" s="4">
        <v>7</v>
      </c>
      <c r="AD1224" s="4">
        <v>24</v>
      </c>
      <c r="AE1224" s="4">
        <v>30</v>
      </c>
      <c r="AF1224" s="4">
        <v>9</v>
      </c>
      <c r="AG1224" s="4">
        <v>12</v>
      </c>
      <c r="AH1224" s="4">
        <v>5</v>
      </c>
      <c r="AI1224" s="4">
        <v>5</v>
      </c>
      <c r="AJ1224" s="4">
        <v>12</v>
      </c>
      <c r="AK1224" s="4">
        <v>13</v>
      </c>
      <c r="AL1224" s="4">
        <v>4</v>
      </c>
      <c r="AM1224" s="4">
        <v>6</v>
      </c>
      <c r="AN1224" s="4">
        <v>0</v>
      </c>
      <c r="AO1224" s="4">
        <v>0</v>
      </c>
      <c r="AP1224" s="3" t="s">
        <v>59</v>
      </c>
      <c r="AQ1224" s="3" t="s">
        <v>71</v>
      </c>
      <c r="AR1224" s="6" t="str">
        <f>HYPERLINK("http://catalog.hathitrust.org/Record/000431072","HathiTrust Record")</f>
        <v>HathiTrust Record</v>
      </c>
      <c r="AS1224" s="6" t="str">
        <f>HYPERLINK("https://creighton-primo.hosted.exlibrisgroup.com/primo-explore/search?tab=default_tab&amp;search_scope=EVERYTHING&amp;vid=01CRU&amp;lang=en_US&amp;offset=0&amp;query=any,contains,991000190569702656","Catalog Record")</f>
        <v>Catalog Record</v>
      </c>
      <c r="AT1224" s="6" t="str">
        <f>HYPERLINK("http://www.worldcat.org/oclc/64000","WorldCat Record")</f>
        <v>WorldCat Record</v>
      </c>
      <c r="AU1224" s="3" t="s">
        <v>15368</v>
      </c>
      <c r="AV1224" s="3" t="s">
        <v>15369</v>
      </c>
      <c r="AW1224" s="3" t="s">
        <v>15370</v>
      </c>
      <c r="AX1224" s="3" t="s">
        <v>15370</v>
      </c>
      <c r="AY1224" s="3" t="s">
        <v>15371</v>
      </c>
      <c r="AZ1224" s="3" t="s">
        <v>76</v>
      </c>
      <c r="BB1224" s="3" t="s">
        <v>15372</v>
      </c>
      <c r="BC1224" s="3" t="s">
        <v>15373</v>
      </c>
      <c r="BD1224" s="3" t="s">
        <v>15374</v>
      </c>
    </row>
    <row r="1225" spans="1:56" ht="52.5" customHeight="1" x14ac:dyDescent="0.25">
      <c r="A1225" s="7" t="s">
        <v>59</v>
      </c>
      <c r="B1225" s="2" t="s">
        <v>15375</v>
      </c>
      <c r="C1225" s="2" t="s">
        <v>15376</v>
      </c>
      <c r="D1225" s="2" t="s">
        <v>15377</v>
      </c>
      <c r="F1225" s="3" t="s">
        <v>59</v>
      </c>
      <c r="G1225" s="3" t="s">
        <v>60</v>
      </c>
      <c r="H1225" s="3" t="s">
        <v>59</v>
      </c>
      <c r="I1225" s="3" t="s">
        <v>59</v>
      </c>
      <c r="J1225" s="3" t="s">
        <v>61</v>
      </c>
      <c r="L1225" s="2" t="s">
        <v>15378</v>
      </c>
      <c r="M1225" s="3" t="s">
        <v>100</v>
      </c>
      <c r="O1225" s="3" t="s">
        <v>65</v>
      </c>
      <c r="P1225" s="3" t="s">
        <v>66</v>
      </c>
      <c r="R1225" s="3" t="s">
        <v>68</v>
      </c>
      <c r="S1225" s="4">
        <v>2</v>
      </c>
      <c r="T1225" s="4">
        <v>2</v>
      </c>
      <c r="U1225" s="5" t="s">
        <v>15379</v>
      </c>
      <c r="V1225" s="5" t="s">
        <v>15379</v>
      </c>
      <c r="W1225" s="5" t="s">
        <v>269</v>
      </c>
      <c r="X1225" s="5" t="s">
        <v>269</v>
      </c>
      <c r="Y1225" s="4">
        <v>811</v>
      </c>
      <c r="Z1225" s="4">
        <v>700</v>
      </c>
      <c r="AA1225" s="4">
        <v>709</v>
      </c>
      <c r="AB1225" s="4">
        <v>4</v>
      </c>
      <c r="AC1225" s="4">
        <v>4</v>
      </c>
      <c r="AD1225" s="4">
        <v>27</v>
      </c>
      <c r="AE1225" s="4">
        <v>27</v>
      </c>
      <c r="AF1225" s="4">
        <v>10</v>
      </c>
      <c r="AG1225" s="4">
        <v>10</v>
      </c>
      <c r="AH1225" s="4">
        <v>5</v>
      </c>
      <c r="AI1225" s="4">
        <v>5</v>
      </c>
      <c r="AJ1225" s="4">
        <v>18</v>
      </c>
      <c r="AK1225" s="4">
        <v>18</v>
      </c>
      <c r="AL1225" s="4">
        <v>3</v>
      </c>
      <c r="AM1225" s="4">
        <v>3</v>
      </c>
      <c r="AN1225" s="4">
        <v>0</v>
      </c>
      <c r="AO1225" s="4">
        <v>0</v>
      </c>
      <c r="AP1225" s="3" t="s">
        <v>59</v>
      </c>
      <c r="AQ1225" s="3" t="s">
        <v>71</v>
      </c>
      <c r="AR1225" s="6" t="str">
        <f>HYPERLINK("http://catalog.hathitrust.org/Record/000430517","HathiTrust Record")</f>
        <v>HathiTrust Record</v>
      </c>
      <c r="AS1225" s="6" t="str">
        <f>HYPERLINK("https://creighton-primo.hosted.exlibrisgroup.com/primo-explore/search?tab=default_tab&amp;search_scope=EVERYTHING&amp;vid=01CRU&amp;lang=en_US&amp;offset=0&amp;query=any,contains,991001238499702656","Catalog Record")</f>
        <v>Catalog Record</v>
      </c>
      <c r="AT1225" s="6" t="str">
        <f>HYPERLINK("http://www.worldcat.org/oclc/207468","WorldCat Record")</f>
        <v>WorldCat Record</v>
      </c>
      <c r="AU1225" s="3" t="s">
        <v>15380</v>
      </c>
      <c r="AV1225" s="3" t="s">
        <v>15381</v>
      </c>
      <c r="AW1225" s="3" t="s">
        <v>15382</v>
      </c>
      <c r="AX1225" s="3" t="s">
        <v>15382</v>
      </c>
      <c r="AY1225" s="3" t="s">
        <v>15383</v>
      </c>
      <c r="AZ1225" s="3" t="s">
        <v>76</v>
      </c>
      <c r="BB1225" s="3" t="s">
        <v>15384</v>
      </c>
      <c r="BC1225" s="3" t="s">
        <v>15385</v>
      </c>
      <c r="BD1225" s="3" t="s">
        <v>15386</v>
      </c>
    </row>
    <row r="1226" spans="1:56" ht="52.5" customHeight="1" x14ac:dyDescent="0.25">
      <c r="A1226" s="7" t="s">
        <v>59</v>
      </c>
      <c r="B1226" s="2" t="s">
        <v>15387</v>
      </c>
      <c r="C1226" s="2" t="s">
        <v>15388</v>
      </c>
      <c r="D1226" s="2" t="s">
        <v>15389</v>
      </c>
      <c r="F1226" s="3" t="s">
        <v>59</v>
      </c>
      <c r="G1226" s="3" t="s">
        <v>60</v>
      </c>
      <c r="H1226" s="3" t="s">
        <v>59</v>
      </c>
      <c r="I1226" s="3" t="s">
        <v>59</v>
      </c>
      <c r="J1226" s="3" t="s">
        <v>61</v>
      </c>
      <c r="K1226" s="2" t="s">
        <v>15390</v>
      </c>
      <c r="L1226" s="2" t="s">
        <v>9189</v>
      </c>
      <c r="M1226" s="3" t="s">
        <v>405</v>
      </c>
      <c r="O1226" s="3" t="s">
        <v>65</v>
      </c>
      <c r="P1226" s="3" t="s">
        <v>66</v>
      </c>
      <c r="Q1226" s="2" t="s">
        <v>14553</v>
      </c>
      <c r="R1226" s="3" t="s">
        <v>68</v>
      </c>
      <c r="S1226" s="4">
        <v>6</v>
      </c>
      <c r="T1226" s="4">
        <v>6</v>
      </c>
      <c r="U1226" s="5" t="s">
        <v>15391</v>
      </c>
      <c r="V1226" s="5" t="s">
        <v>15391</v>
      </c>
      <c r="W1226" s="5" t="s">
        <v>15392</v>
      </c>
      <c r="X1226" s="5" t="s">
        <v>15392</v>
      </c>
      <c r="Y1226" s="4">
        <v>366</v>
      </c>
      <c r="Z1226" s="4">
        <v>295</v>
      </c>
      <c r="AA1226" s="4">
        <v>296</v>
      </c>
      <c r="AB1226" s="4">
        <v>3</v>
      </c>
      <c r="AC1226" s="4">
        <v>3</v>
      </c>
      <c r="AD1226" s="4">
        <v>14</v>
      </c>
      <c r="AE1226" s="4">
        <v>14</v>
      </c>
      <c r="AF1226" s="4">
        <v>3</v>
      </c>
      <c r="AG1226" s="4">
        <v>3</v>
      </c>
      <c r="AH1226" s="4">
        <v>2</v>
      </c>
      <c r="AI1226" s="4">
        <v>2</v>
      </c>
      <c r="AJ1226" s="4">
        <v>10</v>
      </c>
      <c r="AK1226" s="4">
        <v>10</v>
      </c>
      <c r="AL1226" s="4">
        <v>2</v>
      </c>
      <c r="AM1226" s="4">
        <v>2</v>
      </c>
      <c r="AN1226" s="4">
        <v>0</v>
      </c>
      <c r="AO1226" s="4">
        <v>0</v>
      </c>
      <c r="AP1226" s="3" t="s">
        <v>59</v>
      </c>
      <c r="AQ1226" s="3" t="s">
        <v>71</v>
      </c>
      <c r="AR1226" s="6" t="str">
        <f>HYPERLINK("http://catalog.hathitrust.org/Record/000855168","HathiTrust Record")</f>
        <v>HathiTrust Record</v>
      </c>
      <c r="AS1226" s="6" t="str">
        <f>HYPERLINK("https://creighton-primo.hosted.exlibrisgroup.com/primo-explore/search?tab=default_tab&amp;search_scope=EVERYTHING&amp;vid=01CRU&amp;lang=en_US&amp;offset=0&amp;query=any,contains,991000955119702656","Catalog Record")</f>
        <v>Catalog Record</v>
      </c>
      <c r="AT1226" s="6" t="str">
        <f>HYPERLINK("http://www.worldcat.org/oclc/14716519","WorldCat Record")</f>
        <v>WorldCat Record</v>
      </c>
      <c r="AU1226" s="3" t="s">
        <v>15393</v>
      </c>
      <c r="AV1226" s="3" t="s">
        <v>15394</v>
      </c>
      <c r="AW1226" s="3" t="s">
        <v>15395</v>
      </c>
      <c r="AX1226" s="3" t="s">
        <v>15395</v>
      </c>
      <c r="AY1226" s="3" t="s">
        <v>15396</v>
      </c>
      <c r="AZ1226" s="3" t="s">
        <v>76</v>
      </c>
      <c r="BB1226" s="3" t="s">
        <v>15397</v>
      </c>
      <c r="BC1226" s="3" t="s">
        <v>15398</v>
      </c>
      <c r="BD1226" s="3" t="s">
        <v>15399</v>
      </c>
    </row>
    <row r="1227" spans="1:56" ht="52.5" customHeight="1" x14ac:dyDescent="0.25">
      <c r="A1227" s="7" t="s">
        <v>59</v>
      </c>
      <c r="B1227" s="2" t="s">
        <v>15400</v>
      </c>
      <c r="C1227" s="2" t="s">
        <v>15401</v>
      </c>
      <c r="D1227" s="2" t="s">
        <v>15402</v>
      </c>
      <c r="F1227" s="3" t="s">
        <v>59</v>
      </c>
      <c r="G1227" s="3" t="s">
        <v>60</v>
      </c>
      <c r="H1227" s="3" t="s">
        <v>59</v>
      </c>
      <c r="I1227" s="3" t="s">
        <v>59</v>
      </c>
      <c r="J1227" s="3" t="s">
        <v>61</v>
      </c>
      <c r="K1227" s="2" t="s">
        <v>15403</v>
      </c>
      <c r="L1227" s="2" t="s">
        <v>15404</v>
      </c>
      <c r="M1227" s="3" t="s">
        <v>10267</v>
      </c>
      <c r="N1227" s="2" t="s">
        <v>887</v>
      </c>
      <c r="O1227" s="3" t="s">
        <v>65</v>
      </c>
      <c r="P1227" s="3" t="s">
        <v>1218</v>
      </c>
      <c r="R1227" s="3" t="s">
        <v>68</v>
      </c>
      <c r="S1227" s="4">
        <v>1</v>
      </c>
      <c r="T1227" s="4">
        <v>1</v>
      </c>
      <c r="U1227" s="5" t="s">
        <v>15391</v>
      </c>
      <c r="V1227" s="5" t="s">
        <v>15391</v>
      </c>
      <c r="W1227" s="5" t="s">
        <v>15405</v>
      </c>
      <c r="X1227" s="5" t="s">
        <v>15405</v>
      </c>
      <c r="Y1227" s="4">
        <v>255</v>
      </c>
      <c r="Z1227" s="4">
        <v>207</v>
      </c>
      <c r="AA1227" s="4">
        <v>267</v>
      </c>
      <c r="AB1227" s="4">
        <v>3</v>
      </c>
      <c r="AC1227" s="4">
        <v>4</v>
      </c>
      <c r="AD1227" s="4">
        <v>11</v>
      </c>
      <c r="AE1227" s="4">
        <v>15</v>
      </c>
      <c r="AF1227" s="4">
        <v>2</v>
      </c>
      <c r="AG1227" s="4">
        <v>4</v>
      </c>
      <c r="AH1227" s="4">
        <v>1</v>
      </c>
      <c r="AI1227" s="4">
        <v>1</v>
      </c>
      <c r="AJ1227" s="4">
        <v>9</v>
      </c>
      <c r="AK1227" s="4">
        <v>10</v>
      </c>
      <c r="AL1227" s="4">
        <v>2</v>
      </c>
      <c r="AM1227" s="4">
        <v>3</v>
      </c>
      <c r="AN1227" s="4">
        <v>0</v>
      </c>
      <c r="AO1227" s="4">
        <v>0</v>
      </c>
      <c r="AP1227" s="3" t="s">
        <v>59</v>
      </c>
      <c r="AQ1227" s="3" t="s">
        <v>59</v>
      </c>
      <c r="AS1227" s="6" t="str">
        <f>HYPERLINK("https://creighton-primo.hosted.exlibrisgroup.com/primo-explore/search?tab=default_tab&amp;search_scope=EVERYTHING&amp;vid=01CRU&amp;lang=en_US&amp;offset=0&amp;query=any,contains,991002294019702656","Catalog Record")</f>
        <v>Catalog Record</v>
      </c>
      <c r="AT1227" s="6" t="str">
        <f>HYPERLINK("http://www.worldcat.org/oclc/29753191","WorldCat Record")</f>
        <v>WorldCat Record</v>
      </c>
      <c r="AU1227" s="3" t="s">
        <v>15406</v>
      </c>
      <c r="AV1227" s="3" t="s">
        <v>15407</v>
      </c>
      <c r="AW1227" s="3" t="s">
        <v>15408</v>
      </c>
      <c r="AX1227" s="3" t="s">
        <v>15408</v>
      </c>
      <c r="AY1227" s="3" t="s">
        <v>15409</v>
      </c>
      <c r="AZ1227" s="3" t="s">
        <v>76</v>
      </c>
      <c r="BB1227" s="3" t="s">
        <v>15410</v>
      </c>
      <c r="BC1227" s="3" t="s">
        <v>15411</v>
      </c>
      <c r="BD1227" s="3" t="s">
        <v>15412</v>
      </c>
    </row>
    <row r="1228" spans="1:56" ht="52.5" customHeight="1" x14ac:dyDescent="0.25">
      <c r="A1228" s="7" t="s">
        <v>59</v>
      </c>
      <c r="B1228" s="2" t="s">
        <v>15413</v>
      </c>
      <c r="C1228" s="2" t="s">
        <v>15414</v>
      </c>
      <c r="D1228" s="2" t="s">
        <v>15415</v>
      </c>
      <c r="F1228" s="3" t="s">
        <v>59</v>
      </c>
      <c r="G1228" s="3" t="s">
        <v>60</v>
      </c>
      <c r="H1228" s="3" t="s">
        <v>59</v>
      </c>
      <c r="I1228" s="3" t="s">
        <v>59</v>
      </c>
      <c r="J1228" s="3" t="s">
        <v>61</v>
      </c>
      <c r="K1228" s="2" t="s">
        <v>15416</v>
      </c>
      <c r="L1228" s="2" t="s">
        <v>15417</v>
      </c>
      <c r="M1228" s="3" t="s">
        <v>514</v>
      </c>
      <c r="O1228" s="3" t="s">
        <v>65</v>
      </c>
      <c r="P1228" s="3" t="s">
        <v>66</v>
      </c>
      <c r="Q1228" s="2" t="s">
        <v>15418</v>
      </c>
      <c r="R1228" s="3" t="s">
        <v>68</v>
      </c>
      <c r="S1228" s="4">
        <v>3</v>
      </c>
      <c r="T1228" s="4">
        <v>3</v>
      </c>
      <c r="U1228" s="5" t="s">
        <v>9843</v>
      </c>
      <c r="V1228" s="5" t="s">
        <v>9843</v>
      </c>
      <c r="W1228" s="5" t="s">
        <v>227</v>
      </c>
      <c r="X1228" s="5" t="s">
        <v>227</v>
      </c>
      <c r="Y1228" s="4">
        <v>256</v>
      </c>
      <c r="Z1228" s="4">
        <v>236</v>
      </c>
      <c r="AA1228" s="4">
        <v>365</v>
      </c>
      <c r="AB1228" s="4">
        <v>3</v>
      </c>
      <c r="AC1228" s="4">
        <v>3</v>
      </c>
      <c r="AD1228" s="4">
        <v>16</v>
      </c>
      <c r="AE1228" s="4">
        <v>20</v>
      </c>
      <c r="AF1228" s="4">
        <v>7</v>
      </c>
      <c r="AG1228" s="4">
        <v>10</v>
      </c>
      <c r="AH1228" s="4">
        <v>3</v>
      </c>
      <c r="AI1228" s="4">
        <v>4</v>
      </c>
      <c r="AJ1228" s="4">
        <v>7</v>
      </c>
      <c r="AK1228" s="4">
        <v>9</v>
      </c>
      <c r="AL1228" s="4">
        <v>2</v>
      </c>
      <c r="AM1228" s="4">
        <v>2</v>
      </c>
      <c r="AN1228" s="4">
        <v>0</v>
      </c>
      <c r="AO1228" s="4">
        <v>0</v>
      </c>
      <c r="AP1228" s="3" t="s">
        <v>59</v>
      </c>
      <c r="AQ1228" s="3" t="s">
        <v>71</v>
      </c>
      <c r="AR1228" s="6" t="str">
        <f>HYPERLINK("http://catalog.hathitrust.org/Record/000472730","HathiTrust Record")</f>
        <v>HathiTrust Record</v>
      </c>
      <c r="AS1228" s="6" t="str">
        <f>HYPERLINK("https://creighton-primo.hosted.exlibrisgroup.com/primo-explore/search?tab=default_tab&amp;search_scope=EVERYTHING&amp;vid=01CRU&amp;lang=en_US&amp;offset=0&amp;query=any,contains,991002825779702656","Catalog Record")</f>
        <v>Catalog Record</v>
      </c>
      <c r="AT1228" s="6" t="str">
        <f>HYPERLINK("http://www.worldcat.org/oclc/475402","WorldCat Record")</f>
        <v>WorldCat Record</v>
      </c>
      <c r="AU1228" s="3" t="s">
        <v>15419</v>
      </c>
      <c r="AV1228" s="3" t="s">
        <v>15420</v>
      </c>
      <c r="AW1228" s="3" t="s">
        <v>15421</v>
      </c>
      <c r="AX1228" s="3" t="s">
        <v>15421</v>
      </c>
      <c r="AY1228" s="3" t="s">
        <v>15422</v>
      </c>
      <c r="AZ1228" s="3" t="s">
        <v>76</v>
      </c>
      <c r="BC1228" s="3" t="s">
        <v>15423</v>
      </c>
      <c r="BD1228" s="3" t="s">
        <v>15424</v>
      </c>
    </row>
    <row r="1229" spans="1:56" ht="52.5" customHeight="1" x14ac:dyDescent="0.25">
      <c r="A1229" s="7" t="s">
        <v>59</v>
      </c>
      <c r="B1229" s="2" t="s">
        <v>15425</v>
      </c>
      <c r="C1229" s="2" t="s">
        <v>15426</v>
      </c>
      <c r="D1229" s="2" t="s">
        <v>15427</v>
      </c>
      <c r="F1229" s="3" t="s">
        <v>59</v>
      </c>
      <c r="G1229" s="3" t="s">
        <v>60</v>
      </c>
      <c r="H1229" s="3" t="s">
        <v>59</v>
      </c>
      <c r="I1229" s="3" t="s">
        <v>59</v>
      </c>
      <c r="J1229" s="3" t="s">
        <v>61</v>
      </c>
      <c r="K1229" s="2" t="s">
        <v>15428</v>
      </c>
      <c r="L1229" s="2" t="s">
        <v>15429</v>
      </c>
      <c r="M1229" s="3" t="s">
        <v>2599</v>
      </c>
      <c r="O1229" s="3" t="s">
        <v>65</v>
      </c>
      <c r="P1229" s="3" t="s">
        <v>771</v>
      </c>
      <c r="Q1229" s="2" t="s">
        <v>15430</v>
      </c>
      <c r="R1229" s="3" t="s">
        <v>68</v>
      </c>
      <c r="S1229" s="4">
        <v>9</v>
      </c>
      <c r="T1229" s="4">
        <v>9</v>
      </c>
      <c r="U1229" s="5" t="s">
        <v>15431</v>
      </c>
      <c r="V1229" s="5" t="s">
        <v>15431</v>
      </c>
      <c r="W1229" s="5" t="s">
        <v>269</v>
      </c>
      <c r="X1229" s="5" t="s">
        <v>269</v>
      </c>
      <c r="Y1229" s="4">
        <v>1284</v>
      </c>
      <c r="Z1229" s="4">
        <v>1166</v>
      </c>
      <c r="AA1229" s="4">
        <v>2758</v>
      </c>
      <c r="AB1229" s="4">
        <v>5</v>
      </c>
      <c r="AC1229" s="4">
        <v>19</v>
      </c>
      <c r="AD1229" s="4">
        <v>25</v>
      </c>
      <c r="AE1229" s="4">
        <v>75</v>
      </c>
      <c r="AF1229" s="4">
        <v>8</v>
      </c>
      <c r="AG1229" s="4">
        <v>29</v>
      </c>
      <c r="AH1229" s="4">
        <v>5</v>
      </c>
      <c r="AI1229" s="4">
        <v>11</v>
      </c>
      <c r="AJ1229" s="4">
        <v>11</v>
      </c>
      <c r="AK1229" s="4">
        <v>29</v>
      </c>
      <c r="AL1229" s="4">
        <v>4</v>
      </c>
      <c r="AM1229" s="4">
        <v>14</v>
      </c>
      <c r="AN1229" s="4">
        <v>2</v>
      </c>
      <c r="AO1229" s="4">
        <v>6</v>
      </c>
      <c r="AP1229" s="3" t="s">
        <v>59</v>
      </c>
      <c r="AQ1229" s="3" t="s">
        <v>59</v>
      </c>
      <c r="AR1229" s="6" t="str">
        <f>HYPERLINK("http://catalog.hathitrust.org/Record/000473020","HathiTrust Record")</f>
        <v>HathiTrust Record</v>
      </c>
      <c r="AS1229" s="6" t="str">
        <f>HYPERLINK("https://creighton-primo.hosted.exlibrisgroup.com/primo-explore/search?tab=default_tab&amp;search_scope=EVERYTHING&amp;vid=01CRU&amp;lang=en_US&amp;offset=0&amp;query=any,contains,991003082129702656","Catalog Record")</f>
        <v>Catalog Record</v>
      </c>
      <c r="AT1229" s="6" t="str">
        <f>HYPERLINK("http://www.worldcat.org/oclc/634095","WorldCat Record")</f>
        <v>WorldCat Record</v>
      </c>
      <c r="AU1229" s="3" t="s">
        <v>15432</v>
      </c>
      <c r="AV1229" s="3" t="s">
        <v>15433</v>
      </c>
      <c r="AW1229" s="3" t="s">
        <v>15434</v>
      </c>
      <c r="AX1229" s="3" t="s">
        <v>15434</v>
      </c>
      <c r="AY1229" s="3" t="s">
        <v>15435</v>
      </c>
      <c r="AZ1229" s="3" t="s">
        <v>76</v>
      </c>
      <c r="BC1229" s="3" t="s">
        <v>15436</v>
      </c>
      <c r="BD1229" s="3" t="s">
        <v>15437</v>
      </c>
    </row>
    <row r="1230" spans="1:56" ht="52.5" customHeight="1" x14ac:dyDescent="0.25">
      <c r="A1230" s="7" t="s">
        <v>59</v>
      </c>
      <c r="B1230" s="2" t="s">
        <v>15438</v>
      </c>
      <c r="C1230" s="2" t="s">
        <v>15439</v>
      </c>
      <c r="D1230" s="2" t="s">
        <v>15440</v>
      </c>
      <c r="F1230" s="3" t="s">
        <v>59</v>
      </c>
      <c r="G1230" s="3" t="s">
        <v>60</v>
      </c>
      <c r="H1230" s="3" t="s">
        <v>59</v>
      </c>
      <c r="I1230" s="3" t="s">
        <v>59</v>
      </c>
      <c r="J1230" s="3" t="s">
        <v>61</v>
      </c>
      <c r="K1230" s="2" t="s">
        <v>15441</v>
      </c>
      <c r="L1230" s="2" t="s">
        <v>15442</v>
      </c>
      <c r="M1230" s="3" t="s">
        <v>224</v>
      </c>
      <c r="N1230" s="2" t="s">
        <v>887</v>
      </c>
      <c r="O1230" s="3" t="s">
        <v>65</v>
      </c>
      <c r="P1230" s="3" t="s">
        <v>15443</v>
      </c>
      <c r="R1230" s="3" t="s">
        <v>68</v>
      </c>
      <c r="S1230" s="4">
        <v>2</v>
      </c>
      <c r="T1230" s="4">
        <v>2</v>
      </c>
      <c r="U1230" s="5" t="s">
        <v>2139</v>
      </c>
      <c r="V1230" s="5" t="s">
        <v>2139</v>
      </c>
      <c r="W1230" s="5" t="s">
        <v>13469</v>
      </c>
      <c r="X1230" s="5" t="s">
        <v>13469</v>
      </c>
      <c r="Y1230" s="4">
        <v>325</v>
      </c>
      <c r="Z1230" s="4">
        <v>248</v>
      </c>
      <c r="AA1230" s="4">
        <v>414</v>
      </c>
      <c r="AB1230" s="4">
        <v>2</v>
      </c>
      <c r="AC1230" s="4">
        <v>2</v>
      </c>
      <c r="AD1230" s="4">
        <v>6</v>
      </c>
      <c r="AE1230" s="4">
        <v>17</v>
      </c>
      <c r="AF1230" s="4">
        <v>3</v>
      </c>
      <c r="AG1230" s="4">
        <v>10</v>
      </c>
      <c r="AH1230" s="4">
        <v>0</v>
      </c>
      <c r="AI1230" s="4">
        <v>1</v>
      </c>
      <c r="AJ1230" s="4">
        <v>2</v>
      </c>
      <c r="AK1230" s="4">
        <v>9</v>
      </c>
      <c r="AL1230" s="4">
        <v>1</v>
      </c>
      <c r="AM1230" s="4">
        <v>1</v>
      </c>
      <c r="AN1230" s="4">
        <v>0</v>
      </c>
      <c r="AO1230" s="4">
        <v>0</v>
      </c>
      <c r="AP1230" s="3" t="s">
        <v>59</v>
      </c>
      <c r="AQ1230" s="3" t="s">
        <v>59</v>
      </c>
      <c r="AS1230" s="6" t="str">
        <f>HYPERLINK("https://creighton-primo.hosted.exlibrisgroup.com/primo-explore/search?tab=default_tab&amp;search_scope=EVERYTHING&amp;vid=01CRU&amp;lang=en_US&amp;offset=0&amp;query=any,contains,991003897229702656","Catalog Record")</f>
        <v>Catalog Record</v>
      </c>
      <c r="AT1230" s="6" t="str">
        <f>HYPERLINK("http://www.worldcat.org/oclc/1813304","WorldCat Record")</f>
        <v>WorldCat Record</v>
      </c>
      <c r="AU1230" s="3" t="s">
        <v>15444</v>
      </c>
      <c r="AV1230" s="3" t="s">
        <v>15445</v>
      </c>
      <c r="AW1230" s="3" t="s">
        <v>15446</v>
      </c>
      <c r="AX1230" s="3" t="s">
        <v>15446</v>
      </c>
      <c r="AY1230" s="3" t="s">
        <v>15447</v>
      </c>
      <c r="AZ1230" s="3" t="s">
        <v>76</v>
      </c>
      <c r="BC1230" s="3" t="s">
        <v>15448</v>
      </c>
      <c r="BD1230" s="3" t="s">
        <v>15449</v>
      </c>
    </row>
    <row r="1231" spans="1:56" ht="52.5" customHeight="1" x14ac:dyDescent="0.25">
      <c r="A1231" s="7" t="s">
        <v>59</v>
      </c>
      <c r="B1231" s="2" t="s">
        <v>15450</v>
      </c>
      <c r="C1231" s="2" t="s">
        <v>15451</v>
      </c>
      <c r="D1231" s="2" t="s">
        <v>15452</v>
      </c>
      <c r="F1231" s="3" t="s">
        <v>59</v>
      </c>
      <c r="G1231" s="3" t="s">
        <v>60</v>
      </c>
      <c r="H1231" s="3" t="s">
        <v>59</v>
      </c>
      <c r="I1231" s="3" t="s">
        <v>59</v>
      </c>
      <c r="J1231" s="3" t="s">
        <v>61</v>
      </c>
      <c r="K1231" s="2" t="s">
        <v>15453</v>
      </c>
      <c r="L1231" s="2" t="s">
        <v>15454</v>
      </c>
      <c r="M1231" s="3" t="s">
        <v>2389</v>
      </c>
      <c r="O1231" s="3" t="s">
        <v>65</v>
      </c>
      <c r="P1231" s="3" t="s">
        <v>66</v>
      </c>
      <c r="R1231" s="3" t="s">
        <v>68</v>
      </c>
      <c r="S1231" s="4">
        <v>1</v>
      </c>
      <c r="T1231" s="4">
        <v>1</v>
      </c>
      <c r="U1231" s="5" t="s">
        <v>15455</v>
      </c>
      <c r="V1231" s="5" t="s">
        <v>15455</v>
      </c>
      <c r="W1231" s="5" t="s">
        <v>3458</v>
      </c>
      <c r="X1231" s="5" t="s">
        <v>3458</v>
      </c>
      <c r="Y1231" s="4">
        <v>447</v>
      </c>
      <c r="Z1231" s="4">
        <v>377</v>
      </c>
      <c r="AA1231" s="4">
        <v>387</v>
      </c>
      <c r="AB1231" s="4">
        <v>2</v>
      </c>
      <c r="AC1231" s="4">
        <v>2</v>
      </c>
      <c r="AD1231" s="4">
        <v>18</v>
      </c>
      <c r="AE1231" s="4">
        <v>18</v>
      </c>
      <c r="AF1231" s="4">
        <v>7</v>
      </c>
      <c r="AG1231" s="4">
        <v>7</v>
      </c>
      <c r="AH1231" s="4">
        <v>4</v>
      </c>
      <c r="AI1231" s="4">
        <v>4</v>
      </c>
      <c r="AJ1231" s="4">
        <v>12</v>
      </c>
      <c r="AK1231" s="4">
        <v>12</v>
      </c>
      <c r="AL1231" s="4">
        <v>1</v>
      </c>
      <c r="AM1231" s="4">
        <v>1</v>
      </c>
      <c r="AN1231" s="4">
        <v>0</v>
      </c>
      <c r="AO1231" s="4">
        <v>0</v>
      </c>
      <c r="AP1231" s="3" t="s">
        <v>59</v>
      </c>
      <c r="AQ1231" s="3" t="s">
        <v>71</v>
      </c>
      <c r="AR1231" s="6" t="str">
        <f>HYPERLINK("http://catalog.hathitrust.org/Record/000581263","HathiTrust Record")</f>
        <v>HathiTrust Record</v>
      </c>
      <c r="AS1231" s="6" t="str">
        <f>HYPERLINK("https://creighton-primo.hosted.exlibrisgroup.com/primo-explore/search?tab=default_tab&amp;search_scope=EVERYTHING&amp;vid=01CRU&amp;lang=en_US&amp;offset=0&amp;query=any,contains,991001179869702656","Catalog Record")</f>
        <v>Catalog Record</v>
      </c>
      <c r="AT1231" s="6" t="str">
        <f>HYPERLINK("http://www.worldcat.org/oclc/189872","WorldCat Record")</f>
        <v>WorldCat Record</v>
      </c>
      <c r="AU1231" s="3" t="s">
        <v>15456</v>
      </c>
      <c r="AV1231" s="3" t="s">
        <v>15457</v>
      </c>
      <c r="AW1231" s="3" t="s">
        <v>15458</v>
      </c>
      <c r="AX1231" s="3" t="s">
        <v>15458</v>
      </c>
      <c r="AY1231" s="3" t="s">
        <v>15459</v>
      </c>
      <c r="AZ1231" s="3" t="s">
        <v>76</v>
      </c>
      <c r="BC1231" s="3" t="s">
        <v>15460</v>
      </c>
      <c r="BD1231" s="3" t="s">
        <v>15461</v>
      </c>
    </row>
    <row r="1232" spans="1:56" ht="52.5" customHeight="1" x14ac:dyDescent="0.25">
      <c r="A1232" s="7" t="s">
        <v>59</v>
      </c>
      <c r="B1232" s="2" t="s">
        <v>15462</v>
      </c>
      <c r="C1232" s="2" t="s">
        <v>15463</v>
      </c>
      <c r="D1232" s="2" t="s">
        <v>15464</v>
      </c>
      <c r="F1232" s="3" t="s">
        <v>59</v>
      </c>
      <c r="G1232" s="3" t="s">
        <v>60</v>
      </c>
      <c r="H1232" s="3" t="s">
        <v>59</v>
      </c>
      <c r="I1232" s="3" t="s">
        <v>59</v>
      </c>
      <c r="J1232" s="3" t="s">
        <v>61</v>
      </c>
      <c r="K1232" s="2" t="s">
        <v>15465</v>
      </c>
      <c r="L1232" s="2" t="s">
        <v>15466</v>
      </c>
      <c r="M1232" s="3" t="s">
        <v>115</v>
      </c>
      <c r="O1232" s="3" t="s">
        <v>65</v>
      </c>
      <c r="P1232" s="3" t="s">
        <v>66</v>
      </c>
      <c r="R1232" s="3" t="s">
        <v>68</v>
      </c>
      <c r="S1232" s="4">
        <v>2</v>
      </c>
      <c r="T1232" s="4">
        <v>2</v>
      </c>
      <c r="U1232" s="5" t="s">
        <v>4095</v>
      </c>
      <c r="V1232" s="5" t="s">
        <v>4095</v>
      </c>
      <c r="W1232" s="5" t="s">
        <v>974</v>
      </c>
      <c r="X1232" s="5" t="s">
        <v>974</v>
      </c>
      <c r="Y1232" s="4">
        <v>335</v>
      </c>
      <c r="Z1232" s="4">
        <v>235</v>
      </c>
      <c r="AA1232" s="4">
        <v>437</v>
      </c>
      <c r="AB1232" s="4">
        <v>3</v>
      </c>
      <c r="AC1232" s="4">
        <v>4</v>
      </c>
      <c r="AD1232" s="4">
        <v>3</v>
      </c>
      <c r="AE1232" s="4">
        <v>14</v>
      </c>
      <c r="AF1232" s="4">
        <v>0</v>
      </c>
      <c r="AG1232" s="4">
        <v>6</v>
      </c>
      <c r="AH1232" s="4">
        <v>0</v>
      </c>
      <c r="AI1232" s="4">
        <v>3</v>
      </c>
      <c r="AJ1232" s="4">
        <v>2</v>
      </c>
      <c r="AK1232" s="4">
        <v>6</v>
      </c>
      <c r="AL1232" s="4">
        <v>1</v>
      </c>
      <c r="AM1232" s="4">
        <v>2</v>
      </c>
      <c r="AN1232" s="4">
        <v>0</v>
      </c>
      <c r="AO1232" s="4">
        <v>0</v>
      </c>
      <c r="AP1232" s="3" t="s">
        <v>59</v>
      </c>
      <c r="AQ1232" s="3" t="s">
        <v>71</v>
      </c>
      <c r="AR1232" s="6" t="str">
        <f>HYPERLINK("http://catalog.hathitrust.org/Record/000580660","HathiTrust Record")</f>
        <v>HathiTrust Record</v>
      </c>
      <c r="AS1232" s="6" t="str">
        <f>HYPERLINK("https://creighton-primo.hosted.exlibrisgroup.com/primo-explore/search?tab=default_tab&amp;search_scope=EVERYTHING&amp;vid=01CRU&amp;lang=en_US&amp;offset=0&amp;query=any,contains,991002260079702656","Catalog Record")</f>
        <v>Catalog Record</v>
      </c>
      <c r="AT1232" s="6" t="str">
        <f>HYPERLINK("http://www.worldcat.org/oclc/303853","WorldCat Record")</f>
        <v>WorldCat Record</v>
      </c>
      <c r="AU1232" s="3" t="s">
        <v>15467</v>
      </c>
      <c r="AV1232" s="3" t="s">
        <v>15468</v>
      </c>
      <c r="AW1232" s="3" t="s">
        <v>15469</v>
      </c>
      <c r="AX1232" s="3" t="s">
        <v>15469</v>
      </c>
      <c r="AY1232" s="3" t="s">
        <v>15470</v>
      </c>
      <c r="AZ1232" s="3" t="s">
        <v>76</v>
      </c>
      <c r="BB1232" s="3" t="s">
        <v>15471</v>
      </c>
      <c r="BC1232" s="3" t="s">
        <v>15472</v>
      </c>
      <c r="BD1232" s="3" t="s">
        <v>15473</v>
      </c>
    </row>
    <row r="1233" spans="1:56" ht="52.5" customHeight="1" x14ac:dyDescent="0.25">
      <c r="A1233" s="7" t="s">
        <v>59</v>
      </c>
      <c r="B1233" s="2" t="s">
        <v>15474</v>
      </c>
      <c r="C1233" s="2" t="s">
        <v>15475</v>
      </c>
      <c r="D1233" s="2" t="s">
        <v>15476</v>
      </c>
      <c r="F1233" s="3" t="s">
        <v>59</v>
      </c>
      <c r="G1233" s="3" t="s">
        <v>60</v>
      </c>
      <c r="H1233" s="3" t="s">
        <v>59</v>
      </c>
      <c r="I1233" s="3" t="s">
        <v>59</v>
      </c>
      <c r="J1233" s="3" t="s">
        <v>61</v>
      </c>
      <c r="K1233" s="2" t="s">
        <v>15477</v>
      </c>
      <c r="L1233" s="2" t="s">
        <v>15478</v>
      </c>
      <c r="M1233" s="3" t="s">
        <v>1467</v>
      </c>
      <c r="O1233" s="3" t="s">
        <v>65</v>
      </c>
      <c r="P1233" s="3" t="s">
        <v>66</v>
      </c>
      <c r="Q1233" s="2" t="s">
        <v>15479</v>
      </c>
      <c r="R1233" s="3" t="s">
        <v>68</v>
      </c>
      <c r="S1233" s="4">
        <v>5</v>
      </c>
      <c r="T1233" s="4">
        <v>5</v>
      </c>
      <c r="U1233" s="5" t="s">
        <v>15480</v>
      </c>
      <c r="V1233" s="5" t="s">
        <v>15480</v>
      </c>
      <c r="W1233" s="5" t="s">
        <v>13407</v>
      </c>
      <c r="X1233" s="5" t="s">
        <v>13407</v>
      </c>
      <c r="Y1233" s="4">
        <v>554</v>
      </c>
      <c r="Z1233" s="4">
        <v>488</v>
      </c>
      <c r="AA1233" s="4">
        <v>561</v>
      </c>
      <c r="AB1233" s="4">
        <v>6</v>
      </c>
      <c r="AC1233" s="4">
        <v>6</v>
      </c>
      <c r="AD1233" s="4">
        <v>23</v>
      </c>
      <c r="AE1233" s="4">
        <v>25</v>
      </c>
      <c r="AF1233" s="4">
        <v>7</v>
      </c>
      <c r="AG1233" s="4">
        <v>9</v>
      </c>
      <c r="AH1233" s="4">
        <v>6</v>
      </c>
      <c r="AI1233" s="4">
        <v>6</v>
      </c>
      <c r="AJ1233" s="4">
        <v>12</v>
      </c>
      <c r="AK1233" s="4">
        <v>12</v>
      </c>
      <c r="AL1233" s="4">
        <v>5</v>
      </c>
      <c r="AM1233" s="4">
        <v>5</v>
      </c>
      <c r="AN1233" s="4">
        <v>0</v>
      </c>
      <c r="AO1233" s="4">
        <v>0</v>
      </c>
      <c r="AP1233" s="3" t="s">
        <v>59</v>
      </c>
      <c r="AQ1233" s="3" t="s">
        <v>59</v>
      </c>
      <c r="AR1233" s="6" t="str">
        <f>HYPERLINK("http://catalog.hathitrust.org/Record/000615143","HathiTrust Record")</f>
        <v>HathiTrust Record</v>
      </c>
      <c r="AS1233" s="6" t="str">
        <f>HYPERLINK("https://creighton-primo.hosted.exlibrisgroup.com/primo-explore/search?tab=default_tab&amp;search_scope=EVERYTHING&amp;vid=01CRU&amp;lang=en_US&amp;offset=0&amp;query=any,contains,991001197759702656","Catalog Record")</f>
        <v>Catalog Record</v>
      </c>
      <c r="AT1233" s="6" t="str">
        <f>HYPERLINK("http://www.worldcat.org/oclc/191348","WorldCat Record")</f>
        <v>WorldCat Record</v>
      </c>
      <c r="AU1233" s="3" t="s">
        <v>15481</v>
      </c>
      <c r="AV1233" s="3" t="s">
        <v>15482</v>
      </c>
      <c r="AW1233" s="3" t="s">
        <v>15483</v>
      </c>
      <c r="AX1233" s="3" t="s">
        <v>15483</v>
      </c>
      <c r="AY1233" s="3" t="s">
        <v>15484</v>
      </c>
      <c r="AZ1233" s="3" t="s">
        <v>76</v>
      </c>
      <c r="BC1233" s="3" t="s">
        <v>15485</v>
      </c>
      <c r="BD1233" s="3" t="s">
        <v>15486</v>
      </c>
    </row>
    <row r="1234" spans="1:56" ht="52.5" customHeight="1" x14ac:dyDescent="0.25">
      <c r="A1234" s="7" t="s">
        <v>59</v>
      </c>
      <c r="B1234" s="2" t="s">
        <v>15487</v>
      </c>
      <c r="C1234" s="2" t="s">
        <v>15488</v>
      </c>
      <c r="D1234" s="2" t="s">
        <v>15489</v>
      </c>
      <c r="F1234" s="3" t="s">
        <v>59</v>
      </c>
      <c r="G1234" s="3" t="s">
        <v>60</v>
      </c>
      <c r="H1234" s="3" t="s">
        <v>59</v>
      </c>
      <c r="I1234" s="3" t="s">
        <v>59</v>
      </c>
      <c r="J1234" s="3" t="s">
        <v>61</v>
      </c>
      <c r="L1234" s="2" t="s">
        <v>15490</v>
      </c>
      <c r="M1234" s="3" t="s">
        <v>148</v>
      </c>
      <c r="O1234" s="3" t="s">
        <v>65</v>
      </c>
      <c r="P1234" s="3" t="s">
        <v>66</v>
      </c>
      <c r="R1234" s="3" t="s">
        <v>68</v>
      </c>
      <c r="S1234" s="4">
        <v>1</v>
      </c>
      <c r="T1234" s="4">
        <v>1</v>
      </c>
      <c r="U1234" s="5" t="s">
        <v>2297</v>
      </c>
      <c r="V1234" s="5" t="s">
        <v>2297</v>
      </c>
      <c r="W1234" s="5" t="s">
        <v>974</v>
      </c>
      <c r="X1234" s="5" t="s">
        <v>974</v>
      </c>
      <c r="Y1234" s="4">
        <v>332</v>
      </c>
      <c r="Z1234" s="4">
        <v>273</v>
      </c>
      <c r="AA1234" s="4">
        <v>273</v>
      </c>
      <c r="AB1234" s="4">
        <v>3</v>
      </c>
      <c r="AC1234" s="4">
        <v>3</v>
      </c>
      <c r="AD1234" s="4">
        <v>13</v>
      </c>
      <c r="AE1234" s="4">
        <v>13</v>
      </c>
      <c r="AF1234" s="4">
        <v>5</v>
      </c>
      <c r="AG1234" s="4">
        <v>5</v>
      </c>
      <c r="AH1234" s="4">
        <v>5</v>
      </c>
      <c r="AI1234" s="4">
        <v>5</v>
      </c>
      <c r="AJ1234" s="4">
        <v>6</v>
      </c>
      <c r="AK1234" s="4">
        <v>6</v>
      </c>
      <c r="AL1234" s="4">
        <v>2</v>
      </c>
      <c r="AM1234" s="4">
        <v>2</v>
      </c>
      <c r="AN1234" s="4">
        <v>0</v>
      </c>
      <c r="AO1234" s="4">
        <v>0</v>
      </c>
      <c r="AP1234" s="3" t="s">
        <v>59</v>
      </c>
      <c r="AQ1234" s="3" t="s">
        <v>59</v>
      </c>
      <c r="AS1234" s="6" t="str">
        <f>HYPERLINK("https://creighton-primo.hosted.exlibrisgroup.com/primo-explore/search?tab=default_tab&amp;search_scope=EVERYTHING&amp;vid=01CRU&amp;lang=en_US&amp;offset=0&amp;query=any,contains,991004225069702656","Catalog Record")</f>
        <v>Catalog Record</v>
      </c>
      <c r="AT1234" s="6" t="str">
        <f>HYPERLINK("http://www.worldcat.org/oclc/2726595","WorldCat Record")</f>
        <v>WorldCat Record</v>
      </c>
      <c r="AU1234" s="3" t="s">
        <v>15491</v>
      </c>
      <c r="AV1234" s="3" t="s">
        <v>15492</v>
      </c>
      <c r="AW1234" s="3" t="s">
        <v>15493</v>
      </c>
      <c r="AX1234" s="3" t="s">
        <v>15493</v>
      </c>
      <c r="AY1234" s="3" t="s">
        <v>15494</v>
      </c>
      <c r="AZ1234" s="3" t="s">
        <v>76</v>
      </c>
      <c r="BB1234" s="3" t="s">
        <v>15495</v>
      </c>
      <c r="BC1234" s="3" t="s">
        <v>15496</v>
      </c>
      <c r="BD1234" s="3" t="s">
        <v>15497</v>
      </c>
    </row>
    <row r="1235" spans="1:56" ht="52.5" customHeight="1" x14ac:dyDescent="0.25">
      <c r="A1235" s="7" t="s">
        <v>59</v>
      </c>
      <c r="B1235" s="2" t="s">
        <v>15498</v>
      </c>
      <c r="C1235" s="2" t="s">
        <v>15499</v>
      </c>
      <c r="D1235" s="2" t="s">
        <v>15500</v>
      </c>
      <c r="F1235" s="3" t="s">
        <v>59</v>
      </c>
      <c r="G1235" s="3" t="s">
        <v>60</v>
      </c>
      <c r="H1235" s="3" t="s">
        <v>59</v>
      </c>
      <c r="I1235" s="3" t="s">
        <v>59</v>
      </c>
      <c r="J1235" s="3" t="s">
        <v>61</v>
      </c>
      <c r="K1235" s="2" t="s">
        <v>15501</v>
      </c>
      <c r="L1235" s="2" t="s">
        <v>9504</v>
      </c>
      <c r="M1235" s="3" t="s">
        <v>148</v>
      </c>
      <c r="N1235" s="2" t="s">
        <v>887</v>
      </c>
      <c r="O1235" s="3" t="s">
        <v>65</v>
      </c>
      <c r="P1235" s="3" t="s">
        <v>66</v>
      </c>
      <c r="Q1235" s="2" t="s">
        <v>15502</v>
      </c>
      <c r="R1235" s="3" t="s">
        <v>68</v>
      </c>
      <c r="S1235" s="4">
        <v>3</v>
      </c>
      <c r="T1235" s="4">
        <v>3</v>
      </c>
      <c r="U1235" s="5" t="s">
        <v>7843</v>
      </c>
      <c r="V1235" s="5" t="s">
        <v>7843</v>
      </c>
      <c r="W1235" s="5" t="s">
        <v>974</v>
      </c>
      <c r="X1235" s="5" t="s">
        <v>974</v>
      </c>
      <c r="Y1235" s="4">
        <v>568</v>
      </c>
      <c r="Z1235" s="4">
        <v>426</v>
      </c>
      <c r="AA1235" s="4">
        <v>626</v>
      </c>
      <c r="AB1235" s="4">
        <v>2</v>
      </c>
      <c r="AC1235" s="4">
        <v>3</v>
      </c>
      <c r="AD1235" s="4">
        <v>15</v>
      </c>
      <c r="AE1235" s="4">
        <v>26</v>
      </c>
      <c r="AF1235" s="4">
        <v>5</v>
      </c>
      <c r="AG1235" s="4">
        <v>10</v>
      </c>
      <c r="AH1235" s="4">
        <v>5</v>
      </c>
      <c r="AI1235" s="4">
        <v>8</v>
      </c>
      <c r="AJ1235" s="4">
        <v>10</v>
      </c>
      <c r="AK1235" s="4">
        <v>15</v>
      </c>
      <c r="AL1235" s="4">
        <v>0</v>
      </c>
      <c r="AM1235" s="4">
        <v>1</v>
      </c>
      <c r="AN1235" s="4">
        <v>0</v>
      </c>
      <c r="AO1235" s="4">
        <v>0</v>
      </c>
      <c r="AP1235" s="3" t="s">
        <v>59</v>
      </c>
      <c r="AQ1235" s="3" t="s">
        <v>71</v>
      </c>
      <c r="AR1235" s="6" t="str">
        <f>HYPERLINK("http://catalog.hathitrust.org/Record/000211950","HathiTrust Record")</f>
        <v>HathiTrust Record</v>
      </c>
      <c r="AS1235" s="6" t="str">
        <f>HYPERLINK("https://creighton-primo.hosted.exlibrisgroup.com/primo-explore/search?tab=default_tab&amp;search_scope=EVERYTHING&amp;vid=01CRU&amp;lang=en_US&amp;offset=0&amp;query=any,contains,991003627929702656","Catalog Record")</f>
        <v>Catalog Record</v>
      </c>
      <c r="AT1235" s="6" t="str">
        <f>HYPERLINK("http://www.worldcat.org/oclc/1218461","WorldCat Record")</f>
        <v>WorldCat Record</v>
      </c>
      <c r="AU1235" s="3" t="s">
        <v>15503</v>
      </c>
      <c r="AV1235" s="3" t="s">
        <v>15504</v>
      </c>
      <c r="AW1235" s="3" t="s">
        <v>15505</v>
      </c>
      <c r="AX1235" s="3" t="s">
        <v>15505</v>
      </c>
      <c r="AY1235" s="3" t="s">
        <v>15506</v>
      </c>
      <c r="AZ1235" s="3" t="s">
        <v>76</v>
      </c>
      <c r="BB1235" s="3" t="s">
        <v>15507</v>
      </c>
      <c r="BC1235" s="3" t="s">
        <v>15508</v>
      </c>
      <c r="BD1235" s="3" t="s">
        <v>15509</v>
      </c>
    </row>
    <row r="1236" spans="1:56" ht="52.5" customHeight="1" x14ac:dyDescent="0.25">
      <c r="A1236" s="7" t="s">
        <v>59</v>
      </c>
      <c r="B1236" s="2" t="s">
        <v>15510</v>
      </c>
      <c r="C1236" s="2" t="s">
        <v>15511</v>
      </c>
      <c r="D1236" s="2" t="s">
        <v>15512</v>
      </c>
      <c r="F1236" s="3" t="s">
        <v>59</v>
      </c>
      <c r="G1236" s="3" t="s">
        <v>60</v>
      </c>
      <c r="H1236" s="3" t="s">
        <v>59</v>
      </c>
      <c r="I1236" s="3" t="s">
        <v>59</v>
      </c>
      <c r="J1236" s="3" t="s">
        <v>61</v>
      </c>
      <c r="K1236" s="2" t="s">
        <v>15513</v>
      </c>
      <c r="L1236" s="2" t="s">
        <v>15514</v>
      </c>
      <c r="M1236" s="3" t="s">
        <v>684</v>
      </c>
      <c r="N1236" s="2" t="s">
        <v>3938</v>
      </c>
      <c r="O1236" s="3" t="s">
        <v>65</v>
      </c>
      <c r="P1236" s="3" t="s">
        <v>420</v>
      </c>
      <c r="R1236" s="3" t="s">
        <v>68</v>
      </c>
      <c r="S1236" s="4">
        <v>6</v>
      </c>
      <c r="T1236" s="4">
        <v>6</v>
      </c>
      <c r="U1236" s="5" t="s">
        <v>15515</v>
      </c>
      <c r="V1236" s="5" t="s">
        <v>15515</v>
      </c>
      <c r="W1236" s="5" t="s">
        <v>1454</v>
      </c>
      <c r="X1236" s="5" t="s">
        <v>1454</v>
      </c>
      <c r="Y1236" s="4">
        <v>606</v>
      </c>
      <c r="Z1236" s="4">
        <v>508</v>
      </c>
      <c r="AA1236" s="4">
        <v>972</v>
      </c>
      <c r="AB1236" s="4">
        <v>4</v>
      </c>
      <c r="AC1236" s="4">
        <v>10</v>
      </c>
      <c r="AD1236" s="4">
        <v>27</v>
      </c>
      <c r="AE1236" s="4">
        <v>43</v>
      </c>
      <c r="AF1236" s="4">
        <v>11</v>
      </c>
      <c r="AG1236" s="4">
        <v>20</v>
      </c>
      <c r="AH1236" s="4">
        <v>5</v>
      </c>
      <c r="AI1236" s="4">
        <v>8</v>
      </c>
      <c r="AJ1236" s="4">
        <v>14</v>
      </c>
      <c r="AK1236" s="4">
        <v>19</v>
      </c>
      <c r="AL1236" s="4">
        <v>3</v>
      </c>
      <c r="AM1236" s="4">
        <v>7</v>
      </c>
      <c r="AN1236" s="4">
        <v>0</v>
      </c>
      <c r="AO1236" s="4">
        <v>0</v>
      </c>
      <c r="AP1236" s="3" t="s">
        <v>59</v>
      </c>
      <c r="AQ1236" s="3" t="s">
        <v>71</v>
      </c>
      <c r="AR1236" s="6" t="str">
        <f>HYPERLINK("http://catalog.hathitrust.org/Record/000342275","HathiTrust Record")</f>
        <v>HathiTrust Record</v>
      </c>
      <c r="AS1236" s="6" t="str">
        <f>HYPERLINK("https://creighton-primo.hosted.exlibrisgroup.com/primo-explore/search?tab=default_tab&amp;search_scope=EVERYTHING&amp;vid=01CRU&amp;lang=en_US&amp;offset=0&amp;query=any,contains,991005160689702656","Catalog Record")</f>
        <v>Catalog Record</v>
      </c>
      <c r="AT1236" s="6" t="str">
        <f>HYPERLINK("http://www.worldcat.org/oclc/7782773","WorldCat Record")</f>
        <v>WorldCat Record</v>
      </c>
      <c r="AU1236" s="3" t="s">
        <v>15516</v>
      </c>
      <c r="AV1236" s="3" t="s">
        <v>15517</v>
      </c>
      <c r="AW1236" s="3" t="s">
        <v>15518</v>
      </c>
      <c r="AX1236" s="3" t="s">
        <v>15518</v>
      </c>
      <c r="AY1236" s="3" t="s">
        <v>15519</v>
      </c>
      <c r="AZ1236" s="3" t="s">
        <v>76</v>
      </c>
      <c r="BB1236" s="3" t="s">
        <v>15520</v>
      </c>
      <c r="BC1236" s="3" t="s">
        <v>15521</v>
      </c>
      <c r="BD1236" s="3" t="s">
        <v>15522</v>
      </c>
    </row>
    <row r="1237" spans="1:56" ht="52.5" customHeight="1" x14ac:dyDescent="0.25">
      <c r="A1237" s="7" t="s">
        <v>59</v>
      </c>
      <c r="B1237" s="2" t="s">
        <v>15523</v>
      </c>
      <c r="C1237" s="2" t="s">
        <v>15524</v>
      </c>
      <c r="D1237" s="2" t="s">
        <v>15525</v>
      </c>
      <c r="F1237" s="3" t="s">
        <v>59</v>
      </c>
      <c r="G1237" s="3" t="s">
        <v>60</v>
      </c>
      <c r="H1237" s="3" t="s">
        <v>59</v>
      </c>
      <c r="I1237" s="3" t="s">
        <v>59</v>
      </c>
      <c r="J1237" s="3" t="s">
        <v>61</v>
      </c>
      <c r="K1237" s="2" t="s">
        <v>9354</v>
      </c>
      <c r="L1237" s="2" t="s">
        <v>2741</v>
      </c>
      <c r="M1237" s="3" t="s">
        <v>164</v>
      </c>
      <c r="O1237" s="3" t="s">
        <v>65</v>
      </c>
      <c r="P1237" s="3" t="s">
        <v>66</v>
      </c>
      <c r="R1237" s="3" t="s">
        <v>68</v>
      </c>
      <c r="S1237" s="4">
        <v>1</v>
      </c>
      <c r="T1237" s="4">
        <v>1</v>
      </c>
      <c r="U1237" s="5" t="s">
        <v>15526</v>
      </c>
      <c r="V1237" s="5" t="s">
        <v>15526</v>
      </c>
      <c r="W1237" s="5" t="s">
        <v>15527</v>
      </c>
      <c r="X1237" s="5" t="s">
        <v>15527</v>
      </c>
      <c r="Y1237" s="4">
        <v>344</v>
      </c>
      <c r="Z1237" s="4">
        <v>240</v>
      </c>
      <c r="AA1237" s="4">
        <v>501</v>
      </c>
      <c r="AB1237" s="4">
        <v>2</v>
      </c>
      <c r="AC1237" s="4">
        <v>2</v>
      </c>
      <c r="AD1237" s="4">
        <v>11</v>
      </c>
      <c r="AE1237" s="4">
        <v>22</v>
      </c>
      <c r="AF1237" s="4">
        <v>2</v>
      </c>
      <c r="AG1237" s="4">
        <v>7</v>
      </c>
      <c r="AH1237" s="4">
        <v>4</v>
      </c>
      <c r="AI1237" s="4">
        <v>6</v>
      </c>
      <c r="AJ1237" s="4">
        <v>8</v>
      </c>
      <c r="AK1237" s="4">
        <v>16</v>
      </c>
      <c r="AL1237" s="4">
        <v>1</v>
      </c>
      <c r="AM1237" s="4">
        <v>1</v>
      </c>
      <c r="AN1237" s="4">
        <v>0</v>
      </c>
      <c r="AO1237" s="4">
        <v>0</v>
      </c>
      <c r="AP1237" s="3" t="s">
        <v>59</v>
      </c>
      <c r="AQ1237" s="3" t="s">
        <v>71</v>
      </c>
      <c r="AR1237" s="6" t="str">
        <f>HYPERLINK("http://catalog.hathitrust.org/Record/000691757","HathiTrust Record")</f>
        <v>HathiTrust Record</v>
      </c>
      <c r="AS1237" s="6" t="str">
        <f>HYPERLINK("https://creighton-primo.hosted.exlibrisgroup.com/primo-explore/search?tab=default_tab&amp;search_scope=EVERYTHING&amp;vid=01CRU&amp;lang=en_US&amp;offset=0&amp;query=any,contains,991004831509702656","Catalog Record")</f>
        <v>Catalog Record</v>
      </c>
      <c r="AT1237" s="6" t="str">
        <f>HYPERLINK("http://www.worldcat.org/oclc/5411357","WorldCat Record")</f>
        <v>WorldCat Record</v>
      </c>
      <c r="AU1237" s="3" t="s">
        <v>15528</v>
      </c>
      <c r="AV1237" s="3" t="s">
        <v>15529</v>
      </c>
      <c r="AW1237" s="3" t="s">
        <v>15530</v>
      </c>
      <c r="AX1237" s="3" t="s">
        <v>15530</v>
      </c>
      <c r="AY1237" s="3" t="s">
        <v>15531</v>
      </c>
      <c r="AZ1237" s="3" t="s">
        <v>76</v>
      </c>
      <c r="BB1237" s="3" t="s">
        <v>15532</v>
      </c>
      <c r="BC1237" s="3" t="s">
        <v>15533</v>
      </c>
      <c r="BD1237" s="3" t="s">
        <v>15534</v>
      </c>
    </row>
    <row r="1238" spans="1:56" ht="52.5" customHeight="1" x14ac:dyDescent="0.25">
      <c r="A1238" s="7" t="s">
        <v>59</v>
      </c>
      <c r="B1238" s="2" t="s">
        <v>15535</v>
      </c>
      <c r="C1238" s="2" t="s">
        <v>15536</v>
      </c>
      <c r="D1238" s="2" t="s">
        <v>15537</v>
      </c>
      <c r="F1238" s="3" t="s">
        <v>59</v>
      </c>
      <c r="G1238" s="3" t="s">
        <v>60</v>
      </c>
      <c r="H1238" s="3" t="s">
        <v>59</v>
      </c>
      <c r="I1238" s="3" t="s">
        <v>59</v>
      </c>
      <c r="J1238" s="3" t="s">
        <v>61</v>
      </c>
      <c r="K1238" s="2" t="s">
        <v>9354</v>
      </c>
      <c r="L1238" s="2" t="s">
        <v>5160</v>
      </c>
      <c r="M1238" s="3" t="s">
        <v>195</v>
      </c>
      <c r="O1238" s="3" t="s">
        <v>65</v>
      </c>
      <c r="P1238" s="3" t="s">
        <v>66</v>
      </c>
      <c r="R1238" s="3" t="s">
        <v>68</v>
      </c>
      <c r="S1238" s="4">
        <v>3</v>
      </c>
      <c r="T1238" s="4">
        <v>3</v>
      </c>
      <c r="U1238" s="5" t="s">
        <v>15538</v>
      </c>
      <c r="V1238" s="5" t="s">
        <v>15538</v>
      </c>
      <c r="W1238" s="5" t="s">
        <v>15527</v>
      </c>
      <c r="X1238" s="5" t="s">
        <v>15527</v>
      </c>
      <c r="Y1238" s="4">
        <v>495</v>
      </c>
      <c r="Z1238" s="4">
        <v>344</v>
      </c>
      <c r="AA1238" s="4">
        <v>473</v>
      </c>
      <c r="AB1238" s="4">
        <v>4</v>
      </c>
      <c r="AC1238" s="4">
        <v>4</v>
      </c>
      <c r="AD1238" s="4">
        <v>13</v>
      </c>
      <c r="AE1238" s="4">
        <v>21</v>
      </c>
      <c r="AF1238" s="4">
        <v>4</v>
      </c>
      <c r="AG1238" s="4">
        <v>6</v>
      </c>
      <c r="AH1238" s="4">
        <v>2</v>
      </c>
      <c r="AI1238" s="4">
        <v>4</v>
      </c>
      <c r="AJ1238" s="4">
        <v>7</v>
      </c>
      <c r="AK1238" s="4">
        <v>13</v>
      </c>
      <c r="AL1238" s="4">
        <v>3</v>
      </c>
      <c r="AM1238" s="4">
        <v>3</v>
      </c>
      <c r="AN1238" s="4">
        <v>0</v>
      </c>
      <c r="AO1238" s="4">
        <v>0</v>
      </c>
      <c r="AP1238" s="3" t="s">
        <v>59</v>
      </c>
      <c r="AQ1238" s="3" t="s">
        <v>59</v>
      </c>
      <c r="AS1238" s="6" t="str">
        <f>HYPERLINK("https://creighton-primo.hosted.exlibrisgroup.com/primo-explore/search?tab=default_tab&amp;search_scope=EVERYTHING&amp;vid=01CRU&amp;lang=en_US&amp;offset=0&amp;query=any,contains,991005186489702656","Catalog Record")</f>
        <v>Catalog Record</v>
      </c>
      <c r="AT1238" s="6" t="str">
        <f>HYPERLINK("http://www.worldcat.org/oclc/7976550","WorldCat Record")</f>
        <v>WorldCat Record</v>
      </c>
      <c r="AU1238" s="3" t="s">
        <v>15539</v>
      </c>
      <c r="AV1238" s="3" t="s">
        <v>15540</v>
      </c>
      <c r="AW1238" s="3" t="s">
        <v>15541</v>
      </c>
      <c r="AX1238" s="3" t="s">
        <v>15541</v>
      </c>
      <c r="AY1238" s="3" t="s">
        <v>15542</v>
      </c>
      <c r="AZ1238" s="3" t="s">
        <v>76</v>
      </c>
      <c r="BB1238" s="3" t="s">
        <v>15543</v>
      </c>
      <c r="BC1238" s="3" t="s">
        <v>15544</v>
      </c>
      <c r="BD1238" s="3" t="s">
        <v>15545</v>
      </c>
    </row>
    <row r="1239" spans="1:56" ht="52.5" customHeight="1" x14ac:dyDescent="0.25">
      <c r="A1239" s="7" t="s">
        <v>59</v>
      </c>
      <c r="B1239" s="2" t="s">
        <v>15546</v>
      </c>
      <c r="C1239" s="2" t="s">
        <v>15547</v>
      </c>
      <c r="D1239" s="2" t="s">
        <v>15548</v>
      </c>
      <c r="F1239" s="3" t="s">
        <v>59</v>
      </c>
      <c r="G1239" s="3" t="s">
        <v>60</v>
      </c>
      <c r="H1239" s="3" t="s">
        <v>59</v>
      </c>
      <c r="I1239" s="3" t="s">
        <v>59</v>
      </c>
      <c r="J1239" s="3" t="s">
        <v>61</v>
      </c>
      <c r="K1239" s="2" t="s">
        <v>15549</v>
      </c>
      <c r="L1239" s="2" t="s">
        <v>13468</v>
      </c>
      <c r="M1239" s="3" t="s">
        <v>1000</v>
      </c>
      <c r="O1239" s="3" t="s">
        <v>65</v>
      </c>
      <c r="P1239" s="3" t="s">
        <v>66</v>
      </c>
      <c r="R1239" s="3" t="s">
        <v>68</v>
      </c>
      <c r="S1239" s="4">
        <v>4</v>
      </c>
      <c r="T1239" s="4">
        <v>4</v>
      </c>
      <c r="U1239" s="5" t="s">
        <v>7709</v>
      </c>
      <c r="V1239" s="5" t="s">
        <v>7709</v>
      </c>
      <c r="W1239" s="5" t="s">
        <v>15527</v>
      </c>
      <c r="X1239" s="5" t="s">
        <v>15527</v>
      </c>
      <c r="Y1239" s="4">
        <v>397</v>
      </c>
      <c r="Z1239" s="4">
        <v>280</v>
      </c>
      <c r="AA1239" s="4">
        <v>341</v>
      </c>
      <c r="AB1239" s="4">
        <v>3</v>
      </c>
      <c r="AC1239" s="4">
        <v>3</v>
      </c>
      <c r="AD1239" s="4">
        <v>8</v>
      </c>
      <c r="AE1239" s="4">
        <v>12</v>
      </c>
      <c r="AF1239" s="4">
        <v>3</v>
      </c>
      <c r="AG1239" s="4">
        <v>6</v>
      </c>
      <c r="AH1239" s="4">
        <v>0</v>
      </c>
      <c r="AI1239" s="4">
        <v>0</v>
      </c>
      <c r="AJ1239" s="4">
        <v>6</v>
      </c>
      <c r="AK1239" s="4">
        <v>7</v>
      </c>
      <c r="AL1239" s="4">
        <v>1</v>
      </c>
      <c r="AM1239" s="4">
        <v>1</v>
      </c>
      <c r="AN1239" s="4">
        <v>0</v>
      </c>
      <c r="AO1239" s="4">
        <v>0</v>
      </c>
      <c r="AP1239" s="3" t="s">
        <v>59</v>
      </c>
      <c r="AQ1239" s="3" t="s">
        <v>59</v>
      </c>
      <c r="AS1239" s="6" t="str">
        <f>HYPERLINK("https://creighton-primo.hosted.exlibrisgroup.com/primo-explore/search?tab=default_tab&amp;search_scope=EVERYTHING&amp;vid=01CRU&amp;lang=en_US&amp;offset=0&amp;query=any,contains,991004678929702656","Catalog Record")</f>
        <v>Catalog Record</v>
      </c>
      <c r="AT1239" s="6" t="str">
        <f>HYPERLINK("http://www.worldcat.org/oclc/4549940","WorldCat Record")</f>
        <v>WorldCat Record</v>
      </c>
      <c r="AU1239" s="3" t="s">
        <v>15550</v>
      </c>
      <c r="AV1239" s="3" t="s">
        <v>15551</v>
      </c>
      <c r="AW1239" s="3" t="s">
        <v>15552</v>
      </c>
      <c r="AX1239" s="3" t="s">
        <v>15552</v>
      </c>
      <c r="AY1239" s="3" t="s">
        <v>15553</v>
      </c>
      <c r="AZ1239" s="3" t="s">
        <v>76</v>
      </c>
      <c r="BB1239" s="3" t="s">
        <v>15554</v>
      </c>
      <c r="BC1239" s="3" t="s">
        <v>15555</v>
      </c>
      <c r="BD1239" s="3" t="s">
        <v>15556</v>
      </c>
    </row>
    <row r="1240" spans="1:56" ht="52.5" customHeight="1" x14ac:dyDescent="0.25">
      <c r="A1240" s="7" t="s">
        <v>59</v>
      </c>
      <c r="B1240" s="2" t="s">
        <v>15557</v>
      </c>
      <c r="C1240" s="2" t="s">
        <v>15558</v>
      </c>
      <c r="D1240" s="2" t="s">
        <v>15559</v>
      </c>
      <c r="F1240" s="3" t="s">
        <v>59</v>
      </c>
      <c r="G1240" s="3" t="s">
        <v>60</v>
      </c>
      <c r="H1240" s="3" t="s">
        <v>59</v>
      </c>
      <c r="I1240" s="3" t="s">
        <v>59</v>
      </c>
      <c r="J1240" s="3" t="s">
        <v>61</v>
      </c>
      <c r="L1240" s="2" t="s">
        <v>6042</v>
      </c>
      <c r="M1240" s="3" t="s">
        <v>1000</v>
      </c>
      <c r="O1240" s="3" t="s">
        <v>65</v>
      </c>
      <c r="P1240" s="3" t="s">
        <v>66</v>
      </c>
      <c r="R1240" s="3" t="s">
        <v>68</v>
      </c>
      <c r="S1240" s="4">
        <v>2</v>
      </c>
      <c r="T1240" s="4">
        <v>2</v>
      </c>
      <c r="U1240" s="5" t="s">
        <v>15560</v>
      </c>
      <c r="V1240" s="5" t="s">
        <v>15560</v>
      </c>
      <c r="W1240" s="5" t="s">
        <v>15527</v>
      </c>
      <c r="X1240" s="5" t="s">
        <v>15527</v>
      </c>
      <c r="Y1240" s="4">
        <v>481</v>
      </c>
      <c r="Z1240" s="4">
        <v>328</v>
      </c>
      <c r="AA1240" s="4">
        <v>336</v>
      </c>
      <c r="AB1240" s="4">
        <v>5</v>
      </c>
      <c r="AC1240" s="4">
        <v>5</v>
      </c>
      <c r="AD1240" s="4">
        <v>18</v>
      </c>
      <c r="AE1240" s="4">
        <v>18</v>
      </c>
      <c r="AF1240" s="4">
        <v>4</v>
      </c>
      <c r="AG1240" s="4">
        <v>4</v>
      </c>
      <c r="AH1240" s="4">
        <v>5</v>
      </c>
      <c r="AI1240" s="4">
        <v>5</v>
      </c>
      <c r="AJ1240" s="4">
        <v>11</v>
      </c>
      <c r="AK1240" s="4">
        <v>11</v>
      </c>
      <c r="AL1240" s="4">
        <v>3</v>
      </c>
      <c r="AM1240" s="4">
        <v>3</v>
      </c>
      <c r="AN1240" s="4">
        <v>0</v>
      </c>
      <c r="AO1240" s="4">
        <v>0</v>
      </c>
      <c r="AP1240" s="3" t="s">
        <v>71</v>
      </c>
      <c r="AQ1240" s="3" t="s">
        <v>59</v>
      </c>
      <c r="AR1240" s="6" t="str">
        <f>HYPERLINK("http://catalog.hathitrust.org/Record/000029077","HathiTrust Record")</f>
        <v>HathiTrust Record</v>
      </c>
      <c r="AS1240" s="6" t="str">
        <f>HYPERLINK("https://creighton-primo.hosted.exlibrisgroup.com/primo-explore/search?tab=default_tab&amp;search_scope=EVERYTHING&amp;vid=01CRU&amp;lang=en_US&amp;offset=0&amp;query=any,contains,991004847129702656","Catalog Record")</f>
        <v>Catalog Record</v>
      </c>
      <c r="AT1240" s="6" t="str">
        <f>HYPERLINK("http://www.worldcat.org/oclc/5565023","WorldCat Record")</f>
        <v>WorldCat Record</v>
      </c>
      <c r="AU1240" s="3" t="s">
        <v>15561</v>
      </c>
      <c r="AV1240" s="3" t="s">
        <v>15562</v>
      </c>
      <c r="AW1240" s="3" t="s">
        <v>15563</v>
      </c>
      <c r="AX1240" s="3" t="s">
        <v>15563</v>
      </c>
      <c r="AY1240" s="3" t="s">
        <v>15564</v>
      </c>
      <c r="AZ1240" s="3" t="s">
        <v>76</v>
      </c>
      <c r="BB1240" s="3" t="s">
        <v>15565</v>
      </c>
      <c r="BC1240" s="3" t="s">
        <v>15566</v>
      </c>
      <c r="BD1240" s="3" t="s">
        <v>15567</v>
      </c>
    </row>
    <row r="1241" spans="1:56" ht="52.5" customHeight="1" x14ac:dyDescent="0.25">
      <c r="A1241" s="7" t="s">
        <v>59</v>
      </c>
      <c r="B1241" s="2" t="s">
        <v>15568</v>
      </c>
      <c r="C1241" s="2" t="s">
        <v>15569</v>
      </c>
      <c r="D1241" s="2" t="s">
        <v>15570</v>
      </c>
      <c r="F1241" s="3" t="s">
        <v>59</v>
      </c>
      <c r="G1241" s="3" t="s">
        <v>60</v>
      </c>
      <c r="H1241" s="3" t="s">
        <v>59</v>
      </c>
      <c r="I1241" s="3" t="s">
        <v>59</v>
      </c>
      <c r="J1241" s="3" t="s">
        <v>61</v>
      </c>
      <c r="K1241" s="2" t="s">
        <v>15571</v>
      </c>
      <c r="L1241" s="2" t="s">
        <v>15572</v>
      </c>
      <c r="M1241" s="3" t="s">
        <v>684</v>
      </c>
      <c r="O1241" s="3" t="s">
        <v>65</v>
      </c>
      <c r="P1241" s="3" t="s">
        <v>66</v>
      </c>
      <c r="Q1241" s="2" t="s">
        <v>15573</v>
      </c>
      <c r="R1241" s="3" t="s">
        <v>68</v>
      </c>
      <c r="S1241" s="4">
        <v>2</v>
      </c>
      <c r="T1241" s="4">
        <v>2</v>
      </c>
      <c r="U1241" s="5" t="s">
        <v>15574</v>
      </c>
      <c r="V1241" s="5" t="s">
        <v>15574</v>
      </c>
      <c r="W1241" s="5" t="s">
        <v>15527</v>
      </c>
      <c r="X1241" s="5" t="s">
        <v>15527</v>
      </c>
      <c r="Y1241" s="4">
        <v>223</v>
      </c>
      <c r="Z1241" s="4">
        <v>170</v>
      </c>
      <c r="AA1241" s="4">
        <v>210</v>
      </c>
      <c r="AB1241" s="4">
        <v>2</v>
      </c>
      <c r="AC1241" s="4">
        <v>3</v>
      </c>
      <c r="AD1241" s="4">
        <v>5</v>
      </c>
      <c r="AE1241" s="4">
        <v>9</v>
      </c>
      <c r="AF1241" s="4">
        <v>0</v>
      </c>
      <c r="AG1241" s="4">
        <v>2</v>
      </c>
      <c r="AH1241" s="4">
        <v>2</v>
      </c>
      <c r="AI1241" s="4">
        <v>4</v>
      </c>
      <c r="AJ1241" s="4">
        <v>3</v>
      </c>
      <c r="AK1241" s="4">
        <v>3</v>
      </c>
      <c r="AL1241" s="4">
        <v>1</v>
      </c>
      <c r="AM1241" s="4">
        <v>2</v>
      </c>
      <c r="AN1241" s="4">
        <v>0</v>
      </c>
      <c r="AO1241" s="4">
        <v>0</v>
      </c>
      <c r="AP1241" s="3" t="s">
        <v>59</v>
      </c>
      <c r="AQ1241" s="3" t="s">
        <v>71</v>
      </c>
      <c r="AR1241" s="6" t="str">
        <f>HYPERLINK("http://catalog.hathitrust.org/Record/000182996","HathiTrust Record")</f>
        <v>HathiTrust Record</v>
      </c>
      <c r="AS1241" s="6" t="str">
        <f>HYPERLINK("https://creighton-primo.hosted.exlibrisgroup.com/primo-explore/search?tab=default_tab&amp;search_scope=EVERYTHING&amp;vid=01CRU&amp;lang=en_US&amp;offset=0&amp;query=any,contains,991005129109702656","Catalog Record")</f>
        <v>Catalog Record</v>
      </c>
      <c r="AT1241" s="6" t="str">
        <f>HYPERLINK("http://www.worldcat.org/oclc/7555847","WorldCat Record")</f>
        <v>WorldCat Record</v>
      </c>
      <c r="AU1241" s="3" t="s">
        <v>15575</v>
      </c>
      <c r="AV1241" s="3" t="s">
        <v>15576</v>
      </c>
      <c r="AW1241" s="3" t="s">
        <v>15577</v>
      </c>
      <c r="AX1241" s="3" t="s">
        <v>15577</v>
      </c>
      <c r="AY1241" s="3" t="s">
        <v>15578</v>
      </c>
      <c r="AZ1241" s="3" t="s">
        <v>76</v>
      </c>
      <c r="BB1241" s="3" t="s">
        <v>15579</v>
      </c>
      <c r="BC1241" s="3" t="s">
        <v>15580</v>
      </c>
      <c r="BD1241" s="3" t="s">
        <v>15581</v>
      </c>
    </row>
    <row r="1242" spans="1:56" ht="52.5" customHeight="1" x14ac:dyDescent="0.25">
      <c r="A1242" s="7" t="s">
        <v>59</v>
      </c>
      <c r="B1242" s="2" t="s">
        <v>15582</v>
      </c>
      <c r="C1242" s="2" t="s">
        <v>15583</v>
      </c>
      <c r="D1242" s="2" t="s">
        <v>15584</v>
      </c>
      <c r="F1242" s="3" t="s">
        <v>59</v>
      </c>
      <c r="G1242" s="3" t="s">
        <v>60</v>
      </c>
      <c r="H1242" s="3" t="s">
        <v>59</v>
      </c>
      <c r="I1242" s="3" t="s">
        <v>59</v>
      </c>
      <c r="J1242" s="3" t="s">
        <v>61</v>
      </c>
      <c r="K1242" s="2" t="s">
        <v>15585</v>
      </c>
      <c r="L1242" s="2" t="s">
        <v>5091</v>
      </c>
      <c r="M1242" s="3" t="s">
        <v>309</v>
      </c>
      <c r="N1242" s="2" t="s">
        <v>1289</v>
      </c>
      <c r="O1242" s="3" t="s">
        <v>65</v>
      </c>
      <c r="P1242" s="3" t="s">
        <v>420</v>
      </c>
      <c r="Q1242" s="2" t="s">
        <v>4107</v>
      </c>
      <c r="R1242" s="3" t="s">
        <v>68</v>
      </c>
      <c r="S1242" s="4">
        <v>4</v>
      </c>
      <c r="T1242" s="4">
        <v>4</v>
      </c>
      <c r="U1242" s="5" t="s">
        <v>15586</v>
      </c>
      <c r="V1242" s="5" t="s">
        <v>15586</v>
      </c>
      <c r="W1242" s="5" t="s">
        <v>15527</v>
      </c>
      <c r="X1242" s="5" t="s">
        <v>15527</v>
      </c>
      <c r="Y1242" s="4">
        <v>277</v>
      </c>
      <c r="Z1242" s="4">
        <v>188</v>
      </c>
      <c r="AA1242" s="4">
        <v>462</v>
      </c>
      <c r="AB1242" s="4">
        <v>1</v>
      </c>
      <c r="AC1242" s="4">
        <v>3</v>
      </c>
      <c r="AD1242" s="4">
        <v>6</v>
      </c>
      <c r="AE1242" s="4">
        <v>15</v>
      </c>
      <c r="AF1242" s="4">
        <v>2</v>
      </c>
      <c r="AG1242" s="4">
        <v>3</v>
      </c>
      <c r="AH1242" s="4">
        <v>1</v>
      </c>
      <c r="AI1242" s="4">
        <v>2</v>
      </c>
      <c r="AJ1242" s="4">
        <v>5</v>
      </c>
      <c r="AK1242" s="4">
        <v>12</v>
      </c>
      <c r="AL1242" s="4">
        <v>0</v>
      </c>
      <c r="AM1242" s="4">
        <v>2</v>
      </c>
      <c r="AN1242" s="4">
        <v>0</v>
      </c>
      <c r="AO1242" s="4">
        <v>0</v>
      </c>
      <c r="AP1242" s="3" t="s">
        <v>59</v>
      </c>
      <c r="AQ1242" s="3" t="s">
        <v>59</v>
      </c>
      <c r="AS1242" s="6" t="str">
        <f>HYPERLINK("https://creighton-primo.hosted.exlibrisgroup.com/primo-explore/search?tab=default_tab&amp;search_scope=EVERYTHING&amp;vid=01CRU&amp;lang=en_US&amp;offset=0&amp;query=any,contains,991004498159702656","Catalog Record")</f>
        <v>Catalog Record</v>
      </c>
      <c r="AT1242" s="6" t="str">
        <f>HYPERLINK("http://www.worldcat.org/oclc/3706790","WorldCat Record")</f>
        <v>WorldCat Record</v>
      </c>
      <c r="AU1242" s="3" t="s">
        <v>15587</v>
      </c>
      <c r="AV1242" s="3" t="s">
        <v>15588</v>
      </c>
      <c r="AW1242" s="3" t="s">
        <v>15589</v>
      </c>
      <c r="AX1242" s="3" t="s">
        <v>15589</v>
      </c>
      <c r="AY1242" s="3" t="s">
        <v>15590</v>
      </c>
      <c r="AZ1242" s="3" t="s">
        <v>76</v>
      </c>
      <c r="BB1242" s="3" t="s">
        <v>15591</v>
      </c>
      <c r="BC1242" s="3" t="s">
        <v>15592</v>
      </c>
      <c r="BD1242" s="3" t="s">
        <v>15593</v>
      </c>
    </row>
    <row r="1243" spans="1:56" ht="52.5" customHeight="1" x14ac:dyDescent="0.25">
      <c r="A1243" s="7" t="s">
        <v>59</v>
      </c>
      <c r="B1243" s="2" t="s">
        <v>15594</v>
      </c>
      <c r="C1243" s="2" t="s">
        <v>15595</v>
      </c>
      <c r="D1243" s="2" t="s">
        <v>15596</v>
      </c>
      <c r="F1243" s="3" t="s">
        <v>59</v>
      </c>
      <c r="G1243" s="3" t="s">
        <v>60</v>
      </c>
      <c r="H1243" s="3" t="s">
        <v>59</v>
      </c>
      <c r="I1243" s="3" t="s">
        <v>59</v>
      </c>
      <c r="J1243" s="3" t="s">
        <v>61</v>
      </c>
      <c r="K1243" s="2" t="s">
        <v>3400</v>
      </c>
      <c r="L1243" s="2" t="s">
        <v>15597</v>
      </c>
      <c r="M1243" s="3" t="s">
        <v>514</v>
      </c>
      <c r="O1243" s="3" t="s">
        <v>65</v>
      </c>
      <c r="P1243" s="3" t="s">
        <v>66</v>
      </c>
      <c r="Q1243" s="2" t="s">
        <v>1602</v>
      </c>
      <c r="R1243" s="3" t="s">
        <v>68</v>
      </c>
      <c r="S1243" s="4">
        <v>3</v>
      </c>
      <c r="T1243" s="4">
        <v>3</v>
      </c>
      <c r="U1243" s="5" t="s">
        <v>15598</v>
      </c>
      <c r="V1243" s="5" t="s">
        <v>15598</v>
      </c>
      <c r="W1243" s="5" t="s">
        <v>974</v>
      </c>
      <c r="X1243" s="5" t="s">
        <v>974</v>
      </c>
      <c r="Y1243" s="4">
        <v>605</v>
      </c>
      <c r="Z1243" s="4">
        <v>479</v>
      </c>
      <c r="AA1243" s="4">
        <v>728</v>
      </c>
      <c r="AB1243" s="4">
        <v>2</v>
      </c>
      <c r="AC1243" s="4">
        <v>4</v>
      </c>
      <c r="AD1243" s="4">
        <v>21</v>
      </c>
      <c r="AE1243" s="4">
        <v>31</v>
      </c>
      <c r="AF1243" s="4">
        <v>9</v>
      </c>
      <c r="AG1243" s="4">
        <v>14</v>
      </c>
      <c r="AH1243" s="4">
        <v>7</v>
      </c>
      <c r="AI1243" s="4">
        <v>9</v>
      </c>
      <c r="AJ1243" s="4">
        <v>13</v>
      </c>
      <c r="AK1243" s="4">
        <v>17</v>
      </c>
      <c r="AL1243" s="4">
        <v>1</v>
      </c>
      <c r="AM1243" s="4">
        <v>2</v>
      </c>
      <c r="AN1243" s="4">
        <v>0</v>
      </c>
      <c r="AO1243" s="4">
        <v>0</v>
      </c>
      <c r="AP1243" s="3" t="s">
        <v>59</v>
      </c>
      <c r="AQ1243" s="3" t="s">
        <v>71</v>
      </c>
      <c r="AR1243" s="6" t="str">
        <f>HYPERLINK("http://catalog.hathitrust.org/Record/000002780","HathiTrust Record")</f>
        <v>HathiTrust Record</v>
      </c>
      <c r="AS1243" s="6" t="str">
        <f>HYPERLINK("https://creighton-primo.hosted.exlibrisgroup.com/primo-explore/search?tab=default_tab&amp;search_scope=EVERYTHING&amp;vid=01CRU&amp;lang=en_US&amp;offset=0&amp;query=any,contains,991001197329702656","Catalog Record")</f>
        <v>Catalog Record</v>
      </c>
      <c r="AT1243" s="6" t="str">
        <f>HYPERLINK("http://www.worldcat.org/oclc/191335","WorldCat Record")</f>
        <v>WorldCat Record</v>
      </c>
      <c r="AU1243" s="3" t="s">
        <v>15599</v>
      </c>
      <c r="AV1243" s="3" t="s">
        <v>15600</v>
      </c>
      <c r="AW1243" s="3" t="s">
        <v>15601</v>
      </c>
      <c r="AX1243" s="3" t="s">
        <v>15601</v>
      </c>
      <c r="AY1243" s="3" t="s">
        <v>15602</v>
      </c>
      <c r="AZ1243" s="3" t="s">
        <v>76</v>
      </c>
      <c r="BC1243" s="3" t="s">
        <v>15603</v>
      </c>
      <c r="BD1243" s="3" t="s">
        <v>15604</v>
      </c>
    </row>
    <row r="1244" spans="1:56" ht="52.5" customHeight="1" x14ac:dyDescent="0.25">
      <c r="A1244" s="7" t="s">
        <v>59</v>
      </c>
      <c r="B1244" s="2" t="s">
        <v>15605</v>
      </c>
      <c r="C1244" s="2" t="s">
        <v>15606</v>
      </c>
      <c r="D1244" s="2" t="s">
        <v>15607</v>
      </c>
      <c r="F1244" s="3" t="s">
        <v>59</v>
      </c>
      <c r="G1244" s="3" t="s">
        <v>60</v>
      </c>
      <c r="H1244" s="3" t="s">
        <v>59</v>
      </c>
      <c r="I1244" s="3" t="s">
        <v>59</v>
      </c>
      <c r="J1244" s="3" t="s">
        <v>61</v>
      </c>
      <c r="K1244" s="2" t="s">
        <v>15608</v>
      </c>
      <c r="L1244" s="2" t="s">
        <v>15609</v>
      </c>
      <c r="M1244" s="3" t="s">
        <v>9011</v>
      </c>
      <c r="O1244" s="3" t="s">
        <v>65</v>
      </c>
      <c r="P1244" s="3" t="s">
        <v>420</v>
      </c>
      <c r="R1244" s="3" t="s">
        <v>68</v>
      </c>
      <c r="S1244" s="4">
        <v>4</v>
      </c>
      <c r="T1244" s="4">
        <v>4</v>
      </c>
      <c r="U1244" s="5" t="s">
        <v>15610</v>
      </c>
      <c r="V1244" s="5" t="s">
        <v>15610</v>
      </c>
      <c r="W1244" s="5" t="s">
        <v>15611</v>
      </c>
      <c r="X1244" s="5" t="s">
        <v>15611</v>
      </c>
      <c r="Y1244" s="4">
        <v>98</v>
      </c>
      <c r="Z1244" s="4">
        <v>58</v>
      </c>
      <c r="AA1244" s="4">
        <v>62</v>
      </c>
      <c r="AB1244" s="4">
        <v>1</v>
      </c>
      <c r="AC1244" s="4">
        <v>1</v>
      </c>
      <c r="AD1244" s="4">
        <v>3</v>
      </c>
      <c r="AE1244" s="4">
        <v>3</v>
      </c>
      <c r="AF1244" s="4">
        <v>1</v>
      </c>
      <c r="AG1244" s="4">
        <v>1</v>
      </c>
      <c r="AH1244" s="4">
        <v>0</v>
      </c>
      <c r="AI1244" s="4">
        <v>0</v>
      </c>
      <c r="AJ1244" s="4">
        <v>2</v>
      </c>
      <c r="AK1244" s="4">
        <v>2</v>
      </c>
      <c r="AL1244" s="4">
        <v>0</v>
      </c>
      <c r="AM1244" s="4">
        <v>0</v>
      </c>
      <c r="AN1244" s="4">
        <v>0</v>
      </c>
      <c r="AO1244" s="4">
        <v>0</v>
      </c>
      <c r="AP1244" s="3" t="s">
        <v>59</v>
      </c>
      <c r="AQ1244" s="3" t="s">
        <v>59</v>
      </c>
      <c r="AS1244" s="6" t="str">
        <f>HYPERLINK("https://creighton-primo.hosted.exlibrisgroup.com/primo-explore/search?tab=default_tab&amp;search_scope=EVERYTHING&amp;vid=01CRU&amp;lang=en_US&amp;offset=0&amp;query=any,contains,991004662209702656","Catalog Record")</f>
        <v>Catalog Record</v>
      </c>
      <c r="AT1244" s="6" t="str">
        <f>HYPERLINK("http://www.worldcat.org/oclc/39946428","WorldCat Record")</f>
        <v>WorldCat Record</v>
      </c>
      <c r="AU1244" s="3" t="s">
        <v>15612</v>
      </c>
      <c r="AV1244" s="3" t="s">
        <v>15613</v>
      </c>
      <c r="AW1244" s="3" t="s">
        <v>15614</v>
      </c>
      <c r="AX1244" s="3" t="s">
        <v>15614</v>
      </c>
      <c r="AY1244" s="3" t="s">
        <v>15615</v>
      </c>
      <c r="AZ1244" s="3" t="s">
        <v>76</v>
      </c>
      <c r="BB1244" s="3" t="s">
        <v>15616</v>
      </c>
      <c r="BC1244" s="3" t="s">
        <v>15617</v>
      </c>
      <c r="BD1244" s="3" t="s">
        <v>15618</v>
      </c>
    </row>
    <row r="1245" spans="1:56" ht="52.5" customHeight="1" x14ac:dyDescent="0.25">
      <c r="A1245" s="7" t="s">
        <v>59</v>
      </c>
      <c r="B1245" s="2" t="s">
        <v>15619</v>
      </c>
      <c r="C1245" s="2" t="s">
        <v>15620</v>
      </c>
      <c r="D1245" s="2" t="s">
        <v>15621</v>
      </c>
      <c r="F1245" s="3" t="s">
        <v>59</v>
      </c>
      <c r="G1245" s="3" t="s">
        <v>60</v>
      </c>
      <c r="H1245" s="3" t="s">
        <v>59</v>
      </c>
      <c r="I1245" s="3" t="s">
        <v>59</v>
      </c>
      <c r="J1245" s="3" t="s">
        <v>61</v>
      </c>
      <c r="K1245" s="2" t="s">
        <v>15622</v>
      </c>
      <c r="L1245" s="2" t="s">
        <v>15623</v>
      </c>
      <c r="M1245" s="3" t="s">
        <v>15624</v>
      </c>
      <c r="O1245" s="3" t="s">
        <v>65</v>
      </c>
      <c r="P1245" s="3" t="s">
        <v>66</v>
      </c>
      <c r="Q1245" s="2" t="s">
        <v>15625</v>
      </c>
      <c r="R1245" s="3" t="s">
        <v>68</v>
      </c>
      <c r="S1245" s="4">
        <v>2</v>
      </c>
      <c r="T1245" s="4">
        <v>2</v>
      </c>
      <c r="U1245" s="5" t="s">
        <v>15626</v>
      </c>
      <c r="V1245" s="5" t="s">
        <v>15626</v>
      </c>
      <c r="W1245" s="5" t="s">
        <v>15627</v>
      </c>
      <c r="X1245" s="5" t="s">
        <v>15627</v>
      </c>
      <c r="Y1245" s="4">
        <v>396</v>
      </c>
      <c r="Z1245" s="4">
        <v>326</v>
      </c>
      <c r="AA1245" s="4">
        <v>345</v>
      </c>
      <c r="AB1245" s="4">
        <v>3</v>
      </c>
      <c r="AC1245" s="4">
        <v>3</v>
      </c>
      <c r="AD1245" s="4">
        <v>17</v>
      </c>
      <c r="AE1245" s="4">
        <v>17</v>
      </c>
      <c r="AF1245" s="4">
        <v>7</v>
      </c>
      <c r="AG1245" s="4">
        <v>7</v>
      </c>
      <c r="AH1245" s="4">
        <v>4</v>
      </c>
      <c r="AI1245" s="4">
        <v>4</v>
      </c>
      <c r="AJ1245" s="4">
        <v>11</v>
      </c>
      <c r="AK1245" s="4">
        <v>11</v>
      </c>
      <c r="AL1245" s="4">
        <v>2</v>
      </c>
      <c r="AM1245" s="4">
        <v>2</v>
      </c>
      <c r="AN1245" s="4">
        <v>0</v>
      </c>
      <c r="AO1245" s="4">
        <v>0</v>
      </c>
      <c r="AP1245" s="3" t="s">
        <v>59</v>
      </c>
      <c r="AQ1245" s="3" t="s">
        <v>59</v>
      </c>
      <c r="AS1245" s="6" t="str">
        <f>HYPERLINK("https://creighton-primo.hosted.exlibrisgroup.com/primo-explore/search?tab=default_tab&amp;search_scope=EVERYTHING&amp;vid=01CRU&amp;lang=en_US&amp;offset=0&amp;query=any,contains,991004361209702656","Catalog Record")</f>
        <v>Catalog Record</v>
      </c>
      <c r="AT1245" s="6" t="str">
        <f>HYPERLINK("http://www.worldcat.org/oclc/53954180","WorldCat Record")</f>
        <v>WorldCat Record</v>
      </c>
      <c r="AU1245" s="3" t="s">
        <v>15628</v>
      </c>
      <c r="AV1245" s="3" t="s">
        <v>15629</v>
      </c>
      <c r="AW1245" s="3" t="s">
        <v>15630</v>
      </c>
      <c r="AX1245" s="3" t="s">
        <v>15630</v>
      </c>
      <c r="AY1245" s="3" t="s">
        <v>15631</v>
      </c>
      <c r="AZ1245" s="3" t="s">
        <v>76</v>
      </c>
      <c r="BB1245" s="3" t="s">
        <v>15632</v>
      </c>
      <c r="BC1245" s="3" t="s">
        <v>15633</v>
      </c>
      <c r="BD1245" s="3" t="s">
        <v>15634</v>
      </c>
    </row>
    <row r="1246" spans="1:56" ht="52.5" customHeight="1" x14ac:dyDescent="0.25">
      <c r="A1246" s="7" t="s">
        <v>59</v>
      </c>
      <c r="B1246" s="2" t="s">
        <v>15635</v>
      </c>
      <c r="C1246" s="2" t="s">
        <v>15636</v>
      </c>
      <c r="D1246" s="2" t="s">
        <v>15637</v>
      </c>
      <c r="F1246" s="3" t="s">
        <v>59</v>
      </c>
      <c r="G1246" s="3" t="s">
        <v>60</v>
      </c>
      <c r="H1246" s="3" t="s">
        <v>59</v>
      </c>
      <c r="I1246" s="3" t="s">
        <v>59</v>
      </c>
      <c r="J1246" s="3" t="s">
        <v>61</v>
      </c>
      <c r="K1246" s="2" t="s">
        <v>15638</v>
      </c>
      <c r="L1246" s="2" t="s">
        <v>15639</v>
      </c>
      <c r="M1246" s="3" t="s">
        <v>365</v>
      </c>
      <c r="O1246" s="3" t="s">
        <v>65</v>
      </c>
      <c r="P1246" s="3" t="s">
        <v>699</v>
      </c>
      <c r="R1246" s="3" t="s">
        <v>68</v>
      </c>
      <c r="S1246" s="4">
        <v>2</v>
      </c>
      <c r="T1246" s="4">
        <v>2</v>
      </c>
      <c r="U1246" s="5" t="s">
        <v>15405</v>
      </c>
      <c r="V1246" s="5" t="s">
        <v>15405</v>
      </c>
      <c r="W1246" s="5" t="s">
        <v>15640</v>
      </c>
      <c r="X1246" s="5" t="s">
        <v>15640</v>
      </c>
      <c r="Y1246" s="4">
        <v>315</v>
      </c>
      <c r="Z1246" s="4">
        <v>256</v>
      </c>
      <c r="AA1246" s="4">
        <v>293</v>
      </c>
      <c r="AB1246" s="4">
        <v>3</v>
      </c>
      <c r="AC1246" s="4">
        <v>3</v>
      </c>
      <c r="AD1246" s="4">
        <v>13</v>
      </c>
      <c r="AE1246" s="4">
        <v>13</v>
      </c>
      <c r="AF1246" s="4">
        <v>3</v>
      </c>
      <c r="AG1246" s="4">
        <v>3</v>
      </c>
      <c r="AH1246" s="4">
        <v>3</v>
      </c>
      <c r="AI1246" s="4">
        <v>3</v>
      </c>
      <c r="AJ1246" s="4">
        <v>10</v>
      </c>
      <c r="AK1246" s="4">
        <v>10</v>
      </c>
      <c r="AL1246" s="4">
        <v>2</v>
      </c>
      <c r="AM1246" s="4">
        <v>2</v>
      </c>
      <c r="AN1246" s="4">
        <v>0</v>
      </c>
      <c r="AO1246" s="4">
        <v>0</v>
      </c>
      <c r="AP1246" s="3" t="s">
        <v>59</v>
      </c>
      <c r="AQ1246" s="3" t="s">
        <v>71</v>
      </c>
      <c r="AR1246" s="6" t="str">
        <f>HYPERLINK("http://catalog.hathitrust.org/Record/001289495","HathiTrust Record")</f>
        <v>HathiTrust Record</v>
      </c>
      <c r="AS1246" s="6" t="str">
        <f>HYPERLINK("https://creighton-primo.hosted.exlibrisgroup.com/primo-explore/search?tab=default_tab&amp;search_scope=EVERYTHING&amp;vid=01CRU&amp;lang=en_US&amp;offset=0&amp;query=any,contains,991001229979702656","Catalog Record")</f>
        <v>Catalog Record</v>
      </c>
      <c r="AT1246" s="6" t="str">
        <f>HYPERLINK("http://www.worldcat.org/oclc/17546141","WorldCat Record")</f>
        <v>WorldCat Record</v>
      </c>
      <c r="AU1246" s="3" t="s">
        <v>15641</v>
      </c>
      <c r="AV1246" s="3" t="s">
        <v>15642</v>
      </c>
      <c r="AW1246" s="3" t="s">
        <v>15643</v>
      </c>
      <c r="AX1246" s="3" t="s">
        <v>15643</v>
      </c>
      <c r="AY1246" s="3" t="s">
        <v>15644</v>
      </c>
      <c r="AZ1246" s="3" t="s">
        <v>76</v>
      </c>
      <c r="BB1246" s="3" t="s">
        <v>15645</v>
      </c>
      <c r="BC1246" s="3" t="s">
        <v>15646</v>
      </c>
      <c r="BD1246" s="3" t="s">
        <v>15647</v>
      </c>
    </row>
    <row r="1247" spans="1:56" ht="52.5" customHeight="1" x14ac:dyDescent="0.25">
      <c r="A1247" s="7" t="s">
        <v>59</v>
      </c>
      <c r="B1247" s="2" t="s">
        <v>15648</v>
      </c>
      <c r="C1247" s="2" t="s">
        <v>15649</v>
      </c>
      <c r="D1247" s="2" t="s">
        <v>15650</v>
      </c>
      <c r="F1247" s="3" t="s">
        <v>59</v>
      </c>
      <c r="G1247" s="3" t="s">
        <v>60</v>
      </c>
      <c r="H1247" s="3" t="s">
        <v>59</v>
      </c>
      <c r="I1247" s="3" t="s">
        <v>59</v>
      </c>
      <c r="J1247" s="3" t="s">
        <v>61</v>
      </c>
      <c r="K1247" s="2" t="s">
        <v>15651</v>
      </c>
      <c r="L1247" s="2" t="s">
        <v>15652</v>
      </c>
      <c r="M1247" s="3" t="s">
        <v>100</v>
      </c>
      <c r="O1247" s="3" t="s">
        <v>65</v>
      </c>
      <c r="P1247" s="3" t="s">
        <v>771</v>
      </c>
      <c r="R1247" s="3" t="s">
        <v>68</v>
      </c>
      <c r="S1247" s="4">
        <v>1</v>
      </c>
      <c r="T1247" s="4">
        <v>1</v>
      </c>
      <c r="U1247" s="5" t="s">
        <v>15653</v>
      </c>
      <c r="V1247" s="5" t="s">
        <v>15653</v>
      </c>
      <c r="W1247" s="5" t="s">
        <v>974</v>
      </c>
      <c r="X1247" s="5" t="s">
        <v>974</v>
      </c>
      <c r="Y1247" s="4">
        <v>258</v>
      </c>
      <c r="Z1247" s="4">
        <v>219</v>
      </c>
      <c r="AA1247" s="4">
        <v>272</v>
      </c>
      <c r="AB1247" s="4">
        <v>3</v>
      </c>
      <c r="AC1247" s="4">
        <v>3</v>
      </c>
      <c r="AD1247" s="4">
        <v>10</v>
      </c>
      <c r="AE1247" s="4">
        <v>12</v>
      </c>
      <c r="AF1247" s="4">
        <v>2</v>
      </c>
      <c r="AG1247" s="4">
        <v>3</v>
      </c>
      <c r="AH1247" s="4">
        <v>2</v>
      </c>
      <c r="AI1247" s="4">
        <v>2</v>
      </c>
      <c r="AJ1247" s="4">
        <v>4</v>
      </c>
      <c r="AK1247" s="4">
        <v>6</v>
      </c>
      <c r="AL1247" s="4">
        <v>2</v>
      </c>
      <c r="AM1247" s="4">
        <v>2</v>
      </c>
      <c r="AN1247" s="4">
        <v>0</v>
      </c>
      <c r="AO1247" s="4">
        <v>0</v>
      </c>
      <c r="AP1247" s="3" t="s">
        <v>59</v>
      </c>
      <c r="AQ1247" s="3" t="s">
        <v>71</v>
      </c>
      <c r="AR1247" s="6" t="str">
        <f>HYPERLINK("http://catalog.hathitrust.org/Record/001767294","HathiTrust Record")</f>
        <v>HathiTrust Record</v>
      </c>
      <c r="AS1247" s="6" t="str">
        <f>HYPERLINK("https://creighton-primo.hosted.exlibrisgroup.com/primo-explore/search?tab=default_tab&amp;search_scope=EVERYTHING&amp;vid=01CRU&amp;lang=en_US&amp;offset=0&amp;query=any,contains,991001230039702656","Catalog Record")</f>
        <v>Catalog Record</v>
      </c>
      <c r="AT1247" s="6" t="str">
        <f>HYPERLINK("http://www.worldcat.org/oclc/202816","WorldCat Record")</f>
        <v>WorldCat Record</v>
      </c>
      <c r="AU1247" s="3" t="s">
        <v>15654</v>
      </c>
      <c r="AV1247" s="3" t="s">
        <v>15655</v>
      </c>
      <c r="AW1247" s="3" t="s">
        <v>15656</v>
      </c>
      <c r="AX1247" s="3" t="s">
        <v>15656</v>
      </c>
      <c r="AY1247" s="3" t="s">
        <v>15657</v>
      </c>
      <c r="AZ1247" s="3" t="s">
        <v>76</v>
      </c>
      <c r="BB1247" s="3" t="s">
        <v>15658</v>
      </c>
      <c r="BC1247" s="3" t="s">
        <v>15659</v>
      </c>
      <c r="BD1247" s="3" t="s">
        <v>15660</v>
      </c>
    </row>
    <row r="1248" spans="1:56" ht="52.5" customHeight="1" x14ac:dyDescent="0.25">
      <c r="A1248" s="7" t="s">
        <v>59</v>
      </c>
      <c r="B1248" s="2" t="s">
        <v>15661</v>
      </c>
      <c r="C1248" s="2" t="s">
        <v>15662</v>
      </c>
      <c r="D1248" s="2" t="s">
        <v>15663</v>
      </c>
      <c r="F1248" s="3" t="s">
        <v>59</v>
      </c>
      <c r="G1248" s="3" t="s">
        <v>60</v>
      </c>
      <c r="H1248" s="3" t="s">
        <v>59</v>
      </c>
      <c r="I1248" s="3" t="s">
        <v>59</v>
      </c>
      <c r="J1248" s="3" t="s">
        <v>61</v>
      </c>
      <c r="K1248" s="2" t="s">
        <v>15664</v>
      </c>
      <c r="L1248" s="2" t="s">
        <v>15665</v>
      </c>
      <c r="M1248" s="3" t="s">
        <v>538</v>
      </c>
      <c r="O1248" s="3" t="s">
        <v>65</v>
      </c>
      <c r="P1248" s="3" t="s">
        <v>66</v>
      </c>
      <c r="R1248" s="3" t="s">
        <v>68</v>
      </c>
      <c r="S1248" s="4">
        <v>1</v>
      </c>
      <c r="T1248" s="4">
        <v>1</v>
      </c>
      <c r="U1248" s="5" t="s">
        <v>10494</v>
      </c>
      <c r="V1248" s="5" t="s">
        <v>10494</v>
      </c>
      <c r="W1248" s="5" t="s">
        <v>2032</v>
      </c>
      <c r="X1248" s="5" t="s">
        <v>2032</v>
      </c>
      <c r="Y1248" s="4">
        <v>1022</v>
      </c>
      <c r="Z1248" s="4">
        <v>794</v>
      </c>
      <c r="AA1248" s="4">
        <v>840</v>
      </c>
      <c r="AB1248" s="4">
        <v>4</v>
      </c>
      <c r="AC1248" s="4">
        <v>7</v>
      </c>
      <c r="AD1248" s="4">
        <v>29</v>
      </c>
      <c r="AE1248" s="4">
        <v>32</v>
      </c>
      <c r="AF1248" s="4">
        <v>11</v>
      </c>
      <c r="AG1248" s="4">
        <v>11</v>
      </c>
      <c r="AH1248" s="4">
        <v>5</v>
      </c>
      <c r="AI1248" s="4">
        <v>5</v>
      </c>
      <c r="AJ1248" s="4">
        <v>16</v>
      </c>
      <c r="AK1248" s="4">
        <v>16</v>
      </c>
      <c r="AL1248" s="4">
        <v>2</v>
      </c>
      <c r="AM1248" s="4">
        <v>4</v>
      </c>
      <c r="AN1248" s="4">
        <v>0</v>
      </c>
      <c r="AO1248" s="4">
        <v>1</v>
      </c>
      <c r="AP1248" s="3" t="s">
        <v>59</v>
      </c>
      <c r="AQ1248" s="3" t="s">
        <v>71</v>
      </c>
      <c r="AR1248" s="6" t="str">
        <f>HYPERLINK("http://catalog.hathitrust.org/Record/000471272","HathiTrust Record")</f>
        <v>HathiTrust Record</v>
      </c>
      <c r="AS1248" s="6" t="str">
        <f>HYPERLINK("https://creighton-primo.hosted.exlibrisgroup.com/primo-explore/search?tab=default_tab&amp;search_scope=EVERYTHING&amp;vid=01CRU&amp;lang=en_US&amp;offset=0&amp;query=any,contains,991003425989702656","Catalog Record")</f>
        <v>Catalog Record</v>
      </c>
      <c r="AT1248" s="6" t="str">
        <f>HYPERLINK("http://www.worldcat.org/oclc/964621","WorldCat Record")</f>
        <v>WorldCat Record</v>
      </c>
      <c r="AU1248" s="3" t="s">
        <v>15666</v>
      </c>
      <c r="AV1248" s="3" t="s">
        <v>15667</v>
      </c>
      <c r="AW1248" s="3" t="s">
        <v>15668</v>
      </c>
      <c r="AX1248" s="3" t="s">
        <v>15668</v>
      </c>
      <c r="AY1248" s="3" t="s">
        <v>15669</v>
      </c>
      <c r="AZ1248" s="3" t="s">
        <v>76</v>
      </c>
      <c r="BC1248" s="3" t="s">
        <v>15670</v>
      </c>
      <c r="BD1248" s="3" t="s">
        <v>15671</v>
      </c>
    </row>
    <row r="1249" spans="1:56" ht="52.5" customHeight="1" x14ac:dyDescent="0.25">
      <c r="A1249" s="7" t="s">
        <v>59</v>
      </c>
      <c r="B1249" s="2" t="s">
        <v>15672</v>
      </c>
      <c r="C1249" s="2" t="s">
        <v>15673</v>
      </c>
      <c r="D1249" s="2" t="s">
        <v>15674</v>
      </c>
      <c r="F1249" s="3" t="s">
        <v>59</v>
      </c>
      <c r="G1249" s="3" t="s">
        <v>60</v>
      </c>
      <c r="H1249" s="3" t="s">
        <v>59</v>
      </c>
      <c r="I1249" s="3" t="s">
        <v>59</v>
      </c>
      <c r="J1249" s="3" t="s">
        <v>61</v>
      </c>
      <c r="L1249" s="2" t="s">
        <v>15675</v>
      </c>
      <c r="M1249" s="3" t="s">
        <v>616</v>
      </c>
      <c r="O1249" s="3" t="s">
        <v>65</v>
      </c>
      <c r="P1249" s="3" t="s">
        <v>1218</v>
      </c>
      <c r="R1249" s="3" t="s">
        <v>68</v>
      </c>
      <c r="S1249" s="4">
        <v>8</v>
      </c>
      <c r="T1249" s="4">
        <v>8</v>
      </c>
      <c r="U1249" s="5" t="s">
        <v>15676</v>
      </c>
      <c r="V1249" s="5" t="s">
        <v>15676</v>
      </c>
      <c r="W1249" s="5" t="s">
        <v>15677</v>
      </c>
      <c r="X1249" s="5" t="s">
        <v>15677</v>
      </c>
      <c r="Y1249" s="4">
        <v>357</v>
      </c>
      <c r="Z1249" s="4">
        <v>304</v>
      </c>
      <c r="AA1249" s="4">
        <v>390</v>
      </c>
      <c r="AB1249" s="4">
        <v>4</v>
      </c>
      <c r="AC1249" s="4">
        <v>5</v>
      </c>
      <c r="AD1249" s="4">
        <v>18</v>
      </c>
      <c r="AE1249" s="4">
        <v>23</v>
      </c>
      <c r="AF1249" s="4">
        <v>6</v>
      </c>
      <c r="AG1249" s="4">
        <v>8</v>
      </c>
      <c r="AH1249" s="4">
        <v>3</v>
      </c>
      <c r="AI1249" s="4">
        <v>4</v>
      </c>
      <c r="AJ1249" s="4">
        <v>9</v>
      </c>
      <c r="AK1249" s="4">
        <v>10</v>
      </c>
      <c r="AL1249" s="4">
        <v>3</v>
      </c>
      <c r="AM1249" s="4">
        <v>4</v>
      </c>
      <c r="AN1249" s="4">
        <v>0</v>
      </c>
      <c r="AO1249" s="4">
        <v>0</v>
      </c>
      <c r="AP1249" s="3" t="s">
        <v>59</v>
      </c>
      <c r="AQ1249" s="3" t="s">
        <v>59</v>
      </c>
      <c r="AS1249" s="6" t="str">
        <f>HYPERLINK("https://creighton-primo.hosted.exlibrisgroup.com/primo-explore/search?tab=default_tab&amp;search_scope=EVERYTHING&amp;vid=01CRU&amp;lang=en_US&amp;offset=0&amp;query=any,contains,991001303419702656","Catalog Record")</f>
        <v>Catalog Record</v>
      </c>
      <c r="AT1249" s="6" t="str">
        <f>HYPERLINK("http://www.worldcat.org/oclc/18072711","WorldCat Record")</f>
        <v>WorldCat Record</v>
      </c>
      <c r="AU1249" s="3" t="s">
        <v>15678</v>
      </c>
      <c r="AV1249" s="3" t="s">
        <v>15679</v>
      </c>
      <c r="AW1249" s="3" t="s">
        <v>15680</v>
      </c>
      <c r="AX1249" s="3" t="s">
        <v>15680</v>
      </c>
      <c r="AY1249" s="3" t="s">
        <v>15681</v>
      </c>
      <c r="AZ1249" s="3" t="s">
        <v>76</v>
      </c>
      <c r="BB1249" s="3" t="s">
        <v>15682</v>
      </c>
      <c r="BC1249" s="3" t="s">
        <v>15683</v>
      </c>
      <c r="BD1249" s="3" t="s">
        <v>15684</v>
      </c>
    </row>
    <row r="1250" spans="1:56" ht="52.5" customHeight="1" x14ac:dyDescent="0.25">
      <c r="A1250" s="7" t="s">
        <v>59</v>
      </c>
      <c r="B1250" s="2" t="s">
        <v>15685</v>
      </c>
      <c r="C1250" s="2" t="s">
        <v>15686</v>
      </c>
      <c r="D1250" s="2" t="s">
        <v>15687</v>
      </c>
      <c r="F1250" s="3" t="s">
        <v>59</v>
      </c>
      <c r="G1250" s="3" t="s">
        <v>60</v>
      </c>
      <c r="H1250" s="3" t="s">
        <v>71</v>
      </c>
      <c r="I1250" s="3" t="s">
        <v>59</v>
      </c>
      <c r="J1250" s="3" t="s">
        <v>61</v>
      </c>
      <c r="K1250" s="2" t="s">
        <v>6152</v>
      </c>
      <c r="L1250" s="2" t="s">
        <v>15688</v>
      </c>
      <c r="M1250" s="3" t="s">
        <v>1015</v>
      </c>
      <c r="N1250" s="2" t="s">
        <v>435</v>
      </c>
      <c r="O1250" s="3" t="s">
        <v>65</v>
      </c>
      <c r="P1250" s="3" t="s">
        <v>420</v>
      </c>
      <c r="Q1250" s="2" t="s">
        <v>7816</v>
      </c>
      <c r="R1250" s="3" t="s">
        <v>68</v>
      </c>
      <c r="S1250" s="4">
        <v>13</v>
      </c>
      <c r="T1250" s="4">
        <v>28</v>
      </c>
      <c r="U1250" s="5" t="s">
        <v>5472</v>
      </c>
      <c r="V1250" s="5" t="s">
        <v>5472</v>
      </c>
      <c r="W1250" s="5" t="s">
        <v>227</v>
      </c>
      <c r="X1250" s="5" t="s">
        <v>227</v>
      </c>
      <c r="Y1250" s="4">
        <v>1096</v>
      </c>
      <c r="Z1250" s="4">
        <v>942</v>
      </c>
      <c r="AA1250" s="4">
        <v>957</v>
      </c>
      <c r="AB1250" s="4">
        <v>9</v>
      </c>
      <c r="AC1250" s="4">
        <v>9</v>
      </c>
      <c r="AD1250" s="4">
        <v>42</v>
      </c>
      <c r="AE1250" s="4">
        <v>43</v>
      </c>
      <c r="AF1250" s="4">
        <v>18</v>
      </c>
      <c r="AG1250" s="4">
        <v>18</v>
      </c>
      <c r="AH1250" s="4">
        <v>6</v>
      </c>
      <c r="AI1250" s="4">
        <v>7</v>
      </c>
      <c r="AJ1250" s="4">
        <v>18</v>
      </c>
      <c r="AK1250" s="4">
        <v>18</v>
      </c>
      <c r="AL1250" s="4">
        <v>7</v>
      </c>
      <c r="AM1250" s="4">
        <v>7</v>
      </c>
      <c r="AN1250" s="4">
        <v>0</v>
      </c>
      <c r="AO1250" s="4">
        <v>0</v>
      </c>
      <c r="AP1250" s="3" t="s">
        <v>59</v>
      </c>
      <c r="AQ1250" s="3" t="s">
        <v>71</v>
      </c>
      <c r="AR1250" s="6" t="str">
        <f>HYPERLINK("http://catalog.hathitrust.org/Record/000472670","HathiTrust Record")</f>
        <v>HathiTrust Record</v>
      </c>
      <c r="AS1250" s="6" t="str">
        <f>HYPERLINK("https://creighton-primo.hosted.exlibrisgroup.com/primo-explore/search?tab=default_tab&amp;search_scope=EVERYTHING&amp;vid=01CRU&amp;lang=en_US&amp;offset=0&amp;query=any,contains,991001762659702656","Catalog Record")</f>
        <v>Catalog Record</v>
      </c>
      <c r="AT1250" s="6" t="str">
        <f>HYPERLINK("http://www.worldcat.org/oclc/223048","WorldCat Record")</f>
        <v>WorldCat Record</v>
      </c>
      <c r="AU1250" s="3" t="s">
        <v>15689</v>
      </c>
      <c r="AV1250" s="3" t="s">
        <v>15690</v>
      </c>
      <c r="AW1250" s="3" t="s">
        <v>15691</v>
      </c>
      <c r="AX1250" s="3" t="s">
        <v>15691</v>
      </c>
      <c r="AY1250" s="3" t="s">
        <v>15692</v>
      </c>
      <c r="AZ1250" s="3" t="s">
        <v>76</v>
      </c>
      <c r="BC1250" s="3" t="s">
        <v>15693</v>
      </c>
      <c r="BD1250" s="3" t="s">
        <v>15694</v>
      </c>
    </row>
    <row r="1251" spans="1:56" ht="52.5" customHeight="1" x14ac:dyDescent="0.25">
      <c r="A1251" s="7" t="s">
        <v>59</v>
      </c>
      <c r="B1251" s="2" t="s">
        <v>15695</v>
      </c>
      <c r="C1251" s="2" t="s">
        <v>15696</v>
      </c>
      <c r="D1251" s="2" t="s">
        <v>15697</v>
      </c>
      <c r="F1251" s="3" t="s">
        <v>59</v>
      </c>
      <c r="G1251" s="3" t="s">
        <v>60</v>
      </c>
      <c r="H1251" s="3" t="s">
        <v>59</v>
      </c>
      <c r="I1251" s="3" t="s">
        <v>59</v>
      </c>
      <c r="J1251" s="3" t="s">
        <v>61</v>
      </c>
      <c r="K1251" s="2" t="s">
        <v>15698</v>
      </c>
      <c r="L1251" s="2" t="s">
        <v>15699</v>
      </c>
      <c r="M1251" s="3" t="s">
        <v>987</v>
      </c>
      <c r="O1251" s="3" t="s">
        <v>65</v>
      </c>
      <c r="P1251" s="3" t="s">
        <v>66</v>
      </c>
      <c r="Q1251" s="2" t="s">
        <v>11256</v>
      </c>
      <c r="R1251" s="3" t="s">
        <v>68</v>
      </c>
      <c r="S1251" s="4">
        <v>3</v>
      </c>
      <c r="T1251" s="4">
        <v>3</v>
      </c>
      <c r="U1251" s="5" t="s">
        <v>15700</v>
      </c>
      <c r="V1251" s="5" t="s">
        <v>15700</v>
      </c>
      <c r="W1251" s="5" t="s">
        <v>227</v>
      </c>
      <c r="X1251" s="5" t="s">
        <v>227</v>
      </c>
      <c r="Y1251" s="4">
        <v>491</v>
      </c>
      <c r="Z1251" s="4">
        <v>386</v>
      </c>
      <c r="AA1251" s="4">
        <v>393</v>
      </c>
      <c r="AB1251" s="4">
        <v>6</v>
      </c>
      <c r="AC1251" s="4">
        <v>6</v>
      </c>
      <c r="AD1251" s="4">
        <v>21</v>
      </c>
      <c r="AE1251" s="4">
        <v>21</v>
      </c>
      <c r="AF1251" s="4">
        <v>6</v>
      </c>
      <c r="AG1251" s="4">
        <v>6</v>
      </c>
      <c r="AH1251" s="4">
        <v>5</v>
      </c>
      <c r="AI1251" s="4">
        <v>5</v>
      </c>
      <c r="AJ1251" s="4">
        <v>11</v>
      </c>
      <c r="AK1251" s="4">
        <v>11</v>
      </c>
      <c r="AL1251" s="4">
        <v>5</v>
      </c>
      <c r="AM1251" s="4">
        <v>5</v>
      </c>
      <c r="AN1251" s="4">
        <v>0</v>
      </c>
      <c r="AO1251" s="4">
        <v>0</v>
      </c>
      <c r="AP1251" s="3" t="s">
        <v>59</v>
      </c>
      <c r="AQ1251" s="3" t="s">
        <v>71</v>
      </c>
      <c r="AR1251" s="6" t="str">
        <f>HYPERLINK("http://catalog.hathitrust.org/Record/000000735","HathiTrust Record")</f>
        <v>HathiTrust Record</v>
      </c>
      <c r="AS1251" s="6" t="str">
        <f>HYPERLINK("https://creighton-primo.hosted.exlibrisgroup.com/primo-explore/search?tab=default_tab&amp;search_scope=EVERYTHING&amp;vid=01CRU&amp;lang=en_US&amp;offset=0&amp;query=any,contains,991000190279702656","Catalog Record")</f>
        <v>Catalog Record</v>
      </c>
      <c r="AT1251" s="6" t="str">
        <f>HYPERLINK("http://www.worldcat.org/oclc/63916","WorldCat Record")</f>
        <v>WorldCat Record</v>
      </c>
      <c r="AU1251" s="3" t="s">
        <v>15701</v>
      </c>
      <c r="AV1251" s="3" t="s">
        <v>15702</v>
      </c>
      <c r="AW1251" s="3" t="s">
        <v>15703</v>
      </c>
      <c r="AX1251" s="3" t="s">
        <v>15703</v>
      </c>
      <c r="AY1251" s="3" t="s">
        <v>15704</v>
      </c>
      <c r="AZ1251" s="3" t="s">
        <v>76</v>
      </c>
      <c r="BB1251" s="3" t="s">
        <v>15705</v>
      </c>
      <c r="BC1251" s="3" t="s">
        <v>15706</v>
      </c>
      <c r="BD1251" s="3" t="s">
        <v>15707</v>
      </c>
    </row>
    <row r="1252" spans="1:56" ht="52.5" customHeight="1" x14ac:dyDescent="0.25">
      <c r="A1252" s="7" t="s">
        <v>59</v>
      </c>
      <c r="B1252" s="2" t="s">
        <v>15708</v>
      </c>
      <c r="C1252" s="2" t="s">
        <v>15709</v>
      </c>
      <c r="D1252" s="2" t="s">
        <v>15710</v>
      </c>
      <c r="F1252" s="3" t="s">
        <v>59</v>
      </c>
      <c r="G1252" s="3" t="s">
        <v>60</v>
      </c>
      <c r="H1252" s="3" t="s">
        <v>59</v>
      </c>
      <c r="I1252" s="3" t="s">
        <v>59</v>
      </c>
      <c r="J1252" s="3" t="s">
        <v>61</v>
      </c>
      <c r="K1252" s="2" t="s">
        <v>15711</v>
      </c>
      <c r="L1252" s="2" t="s">
        <v>10990</v>
      </c>
      <c r="M1252" s="3" t="s">
        <v>514</v>
      </c>
      <c r="O1252" s="3" t="s">
        <v>65</v>
      </c>
      <c r="P1252" s="3" t="s">
        <v>66</v>
      </c>
      <c r="R1252" s="3" t="s">
        <v>68</v>
      </c>
      <c r="S1252" s="4">
        <v>8</v>
      </c>
      <c r="T1252" s="4">
        <v>8</v>
      </c>
      <c r="U1252" s="5" t="s">
        <v>3250</v>
      </c>
      <c r="V1252" s="5" t="s">
        <v>3250</v>
      </c>
      <c r="W1252" s="5" t="s">
        <v>15712</v>
      </c>
      <c r="X1252" s="5" t="s">
        <v>15712</v>
      </c>
      <c r="Y1252" s="4">
        <v>1033</v>
      </c>
      <c r="Z1252" s="4">
        <v>803</v>
      </c>
      <c r="AA1252" s="4">
        <v>867</v>
      </c>
      <c r="AB1252" s="4">
        <v>6</v>
      </c>
      <c r="AC1252" s="4">
        <v>6</v>
      </c>
      <c r="AD1252" s="4">
        <v>39</v>
      </c>
      <c r="AE1252" s="4">
        <v>42</v>
      </c>
      <c r="AF1252" s="4">
        <v>17</v>
      </c>
      <c r="AG1252" s="4">
        <v>18</v>
      </c>
      <c r="AH1252" s="4">
        <v>9</v>
      </c>
      <c r="AI1252" s="4">
        <v>9</v>
      </c>
      <c r="AJ1252" s="4">
        <v>19</v>
      </c>
      <c r="AK1252" s="4">
        <v>21</v>
      </c>
      <c r="AL1252" s="4">
        <v>5</v>
      </c>
      <c r="AM1252" s="4">
        <v>5</v>
      </c>
      <c r="AN1252" s="4">
        <v>0</v>
      </c>
      <c r="AO1252" s="4">
        <v>0</v>
      </c>
      <c r="AP1252" s="3" t="s">
        <v>59</v>
      </c>
      <c r="AQ1252" s="3" t="s">
        <v>71</v>
      </c>
      <c r="AR1252" s="6" t="str">
        <f>HYPERLINK("http://catalog.hathitrust.org/Record/000965151","HathiTrust Record")</f>
        <v>HathiTrust Record</v>
      </c>
      <c r="AS1252" s="6" t="str">
        <f>HYPERLINK("https://creighton-primo.hosted.exlibrisgroup.com/primo-explore/search?tab=default_tab&amp;search_scope=EVERYTHING&amp;vid=01CRU&amp;lang=en_US&amp;offset=0&amp;query=any,contains,991003181139702656","Catalog Record")</f>
        <v>Catalog Record</v>
      </c>
      <c r="AT1252" s="6" t="str">
        <f>HYPERLINK("http://www.worldcat.org/oclc/711798","WorldCat Record")</f>
        <v>WorldCat Record</v>
      </c>
      <c r="AU1252" s="3" t="s">
        <v>15713</v>
      </c>
      <c r="AV1252" s="3" t="s">
        <v>15714</v>
      </c>
      <c r="AW1252" s="3" t="s">
        <v>15715</v>
      </c>
      <c r="AX1252" s="3" t="s">
        <v>15715</v>
      </c>
      <c r="AY1252" s="3" t="s">
        <v>15716</v>
      </c>
      <c r="AZ1252" s="3" t="s">
        <v>76</v>
      </c>
      <c r="BC1252" s="3" t="s">
        <v>15717</v>
      </c>
      <c r="BD1252" s="3" t="s">
        <v>15718</v>
      </c>
    </row>
    <row r="1253" spans="1:56" ht="52.5" customHeight="1" x14ac:dyDescent="0.25">
      <c r="A1253" s="7" t="s">
        <v>59</v>
      </c>
      <c r="B1253" s="2" t="s">
        <v>15719</v>
      </c>
      <c r="C1253" s="2" t="s">
        <v>15720</v>
      </c>
      <c r="D1253" s="2" t="s">
        <v>15721</v>
      </c>
      <c r="F1253" s="3" t="s">
        <v>59</v>
      </c>
      <c r="G1253" s="3" t="s">
        <v>60</v>
      </c>
      <c r="H1253" s="3" t="s">
        <v>59</v>
      </c>
      <c r="I1253" s="3" t="s">
        <v>59</v>
      </c>
      <c r="J1253" s="3" t="s">
        <v>61</v>
      </c>
      <c r="K1253" s="2" t="s">
        <v>15722</v>
      </c>
      <c r="L1253" s="2" t="s">
        <v>6042</v>
      </c>
      <c r="M1253" s="3" t="s">
        <v>1000</v>
      </c>
      <c r="O1253" s="3" t="s">
        <v>65</v>
      </c>
      <c r="P1253" s="3" t="s">
        <v>66</v>
      </c>
      <c r="R1253" s="3" t="s">
        <v>68</v>
      </c>
      <c r="S1253" s="4">
        <v>12</v>
      </c>
      <c r="T1253" s="4">
        <v>12</v>
      </c>
      <c r="U1253" s="5" t="s">
        <v>15723</v>
      </c>
      <c r="V1253" s="5" t="s">
        <v>15723</v>
      </c>
      <c r="W1253" s="5" t="s">
        <v>4712</v>
      </c>
      <c r="X1253" s="5" t="s">
        <v>4712</v>
      </c>
      <c r="Y1253" s="4">
        <v>529</v>
      </c>
      <c r="Z1253" s="4">
        <v>370</v>
      </c>
      <c r="AA1253" s="4">
        <v>408</v>
      </c>
      <c r="AB1253" s="4">
        <v>2</v>
      </c>
      <c r="AC1253" s="4">
        <v>3</v>
      </c>
      <c r="AD1253" s="4">
        <v>18</v>
      </c>
      <c r="AE1253" s="4">
        <v>20</v>
      </c>
      <c r="AF1253" s="4">
        <v>7</v>
      </c>
      <c r="AG1253" s="4">
        <v>7</v>
      </c>
      <c r="AH1253" s="4">
        <v>5</v>
      </c>
      <c r="AI1253" s="4">
        <v>6</v>
      </c>
      <c r="AJ1253" s="4">
        <v>12</v>
      </c>
      <c r="AK1253" s="4">
        <v>12</v>
      </c>
      <c r="AL1253" s="4">
        <v>1</v>
      </c>
      <c r="AM1253" s="4">
        <v>2</v>
      </c>
      <c r="AN1253" s="4">
        <v>0</v>
      </c>
      <c r="AO1253" s="4">
        <v>0</v>
      </c>
      <c r="AP1253" s="3" t="s">
        <v>59</v>
      </c>
      <c r="AQ1253" s="3" t="s">
        <v>71</v>
      </c>
      <c r="AR1253" s="6" t="str">
        <f>HYPERLINK("http://catalog.hathitrust.org/Record/000020626","HathiTrust Record")</f>
        <v>HathiTrust Record</v>
      </c>
      <c r="AS1253" s="6" t="str">
        <f>HYPERLINK("https://creighton-primo.hosted.exlibrisgroup.com/primo-explore/search?tab=default_tab&amp;search_scope=EVERYTHING&amp;vid=01CRU&amp;lang=en_US&amp;offset=0&amp;query=any,contains,991004792979702656","Catalog Record")</f>
        <v>Catalog Record</v>
      </c>
      <c r="AT1253" s="6" t="str">
        <f>HYPERLINK("http://www.worldcat.org/oclc/5171868","WorldCat Record")</f>
        <v>WorldCat Record</v>
      </c>
      <c r="AU1253" s="3" t="s">
        <v>15724</v>
      </c>
      <c r="AV1253" s="3" t="s">
        <v>15725</v>
      </c>
      <c r="AW1253" s="3" t="s">
        <v>15726</v>
      </c>
      <c r="AX1253" s="3" t="s">
        <v>15726</v>
      </c>
      <c r="AY1253" s="3" t="s">
        <v>15727</v>
      </c>
      <c r="AZ1253" s="3" t="s">
        <v>76</v>
      </c>
      <c r="BB1253" s="3" t="s">
        <v>15728</v>
      </c>
      <c r="BC1253" s="3" t="s">
        <v>15729</v>
      </c>
      <c r="BD1253" s="3" t="s">
        <v>15730</v>
      </c>
    </row>
    <row r="1254" spans="1:56" ht="52.5" customHeight="1" x14ac:dyDescent="0.25">
      <c r="A1254" s="7" t="s">
        <v>59</v>
      </c>
      <c r="B1254" s="2" t="s">
        <v>15731</v>
      </c>
      <c r="C1254" s="2" t="s">
        <v>15732</v>
      </c>
      <c r="D1254" s="2" t="s">
        <v>15733</v>
      </c>
      <c r="F1254" s="3" t="s">
        <v>59</v>
      </c>
      <c r="G1254" s="3" t="s">
        <v>60</v>
      </c>
      <c r="H1254" s="3" t="s">
        <v>59</v>
      </c>
      <c r="I1254" s="3" t="s">
        <v>59</v>
      </c>
      <c r="J1254" s="3" t="s">
        <v>61</v>
      </c>
      <c r="K1254" s="2" t="s">
        <v>15734</v>
      </c>
      <c r="L1254" s="2" t="s">
        <v>15735</v>
      </c>
      <c r="M1254" s="3" t="s">
        <v>224</v>
      </c>
      <c r="O1254" s="3" t="s">
        <v>65</v>
      </c>
      <c r="P1254" s="3" t="s">
        <v>3610</v>
      </c>
      <c r="Q1254" s="2" t="s">
        <v>15736</v>
      </c>
      <c r="R1254" s="3" t="s">
        <v>68</v>
      </c>
      <c r="S1254" s="4">
        <v>3</v>
      </c>
      <c r="T1254" s="4">
        <v>3</v>
      </c>
      <c r="U1254" s="5" t="s">
        <v>11823</v>
      </c>
      <c r="V1254" s="5" t="s">
        <v>11823</v>
      </c>
      <c r="W1254" s="5" t="s">
        <v>269</v>
      </c>
      <c r="X1254" s="5" t="s">
        <v>269</v>
      </c>
      <c r="Y1254" s="4">
        <v>335</v>
      </c>
      <c r="Z1254" s="4">
        <v>226</v>
      </c>
      <c r="AA1254" s="4">
        <v>235</v>
      </c>
      <c r="AB1254" s="4">
        <v>5</v>
      </c>
      <c r="AC1254" s="4">
        <v>5</v>
      </c>
      <c r="AD1254" s="4">
        <v>11</v>
      </c>
      <c r="AE1254" s="4">
        <v>12</v>
      </c>
      <c r="AF1254" s="4">
        <v>3</v>
      </c>
      <c r="AG1254" s="4">
        <v>4</v>
      </c>
      <c r="AH1254" s="4">
        <v>1</v>
      </c>
      <c r="AI1254" s="4">
        <v>1</v>
      </c>
      <c r="AJ1254" s="4">
        <v>6</v>
      </c>
      <c r="AK1254" s="4">
        <v>7</v>
      </c>
      <c r="AL1254" s="4">
        <v>3</v>
      </c>
      <c r="AM1254" s="4">
        <v>3</v>
      </c>
      <c r="AN1254" s="4">
        <v>0</v>
      </c>
      <c r="AO1254" s="4">
        <v>0</v>
      </c>
      <c r="AP1254" s="3" t="s">
        <v>59</v>
      </c>
      <c r="AQ1254" s="3" t="s">
        <v>71</v>
      </c>
      <c r="AR1254" s="6" t="str">
        <f>HYPERLINK("http://catalog.hathitrust.org/Record/000032599","HathiTrust Record")</f>
        <v>HathiTrust Record</v>
      </c>
      <c r="AS1254" s="6" t="str">
        <f>HYPERLINK("https://creighton-primo.hosted.exlibrisgroup.com/primo-explore/search?tab=default_tab&amp;search_scope=EVERYTHING&amp;vid=01CRU&amp;lang=en_US&amp;offset=0&amp;query=any,contains,991003828139702656","Catalog Record")</f>
        <v>Catalog Record</v>
      </c>
      <c r="AT1254" s="6" t="str">
        <f>HYPERLINK("http://www.worldcat.org/oclc/1582361","WorldCat Record")</f>
        <v>WorldCat Record</v>
      </c>
      <c r="AU1254" s="3" t="s">
        <v>15737</v>
      </c>
      <c r="AV1254" s="3" t="s">
        <v>15738</v>
      </c>
      <c r="AW1254" s="3" t="s">
        <v>15739</v>
      </c>
      <c r="AX1254" s="3" t="s">
        <v>15739</v>
      </c>
      <c r="AY1254" s="3" t="s">
        <v>15740</v>
      </c>
      <c r="AZ1254" s="3" t="s">
        <v>76</v>
      </c>
      <c r="BB1254" s="3" t="s">
        <v>15741</v>
      </c>
      <c r="BC1254" s="3" t="s">
        <v>15742</v>
      </c>
      <c r="BD1254" s="3" t="s">
        <v>15743</v>
      </c>
    </row>
    <row r="1255" spans="1:56" ht="52.5" customHeight="1" x14ac:dyDescent="0.25">
      <c r="A1255" s="7" t="s">
        <v>59</v>
      </c>
      <c r="B1255" s="2" t="s">
        <v>15744</v>
      </c>
      <c r="C1255" s="2" t="s">
        <v>15745</v>
      </c>
      <c r="D1255" s="2" t="s">
        <v>15746</v>
      </c>
      <c r="F1255" s="3" t="s">
        <v>59</v>
      </c>
      <c r="G1255" s="3" t="s">
        <v>60</v>
      </c>
      <c r="H1255" s="3" t="s">
        <v>59</v>
      </c>
      <c r="I1255" s="3" t="s">
        <v>59</v>
      </c>
      <c r="J1255" s="3" t="s">
        <v>61</v>
      </c>
      <c r="K1255" s="2" t="s">
        <v>15747</v>
      </c>
      <c r="L1255" s="2" t="s">
        <v>15466</v>
      </c>
      <c r="M1255" s="3" t="s">
        <v>115</v>
      </c>
      <c r="O1255" s="3" t="s">
        <v>65</v>
      </c>
      <c r="P1255" s="3" t="s">
        <v>66</v>
      </c>
      <c r="R1255" s="3" t="s">
        <v>68</v>
      </c>
      <c r="S1255" s="4">
        <v>2</v>
      </c>
      <c r="T1255" s="4">
        <v>2</v>
      </c>
      <c r="U1255" s="5" t="s">
        <v>11823</v>
      </c>
      <c r="V1255" s="5" t="s">
        <v>11823</v>
      </c>
      <c r="W1255" s="5" t="s">
        <v>227</v>
      </c>
      <c r="X1255" s="5" t="s">
        <v>227</v>
      </c>
      <c r="Y1255" s="4">
        <v>352</v>
      </c>
      <c r="Z1255" s="4">
        <v>266</v>
      </c>
      <c r="AA1255" s="4">
        <v>273</v>
      </c>
      <c r="AB1255" s="4">
        <v>2</v>
      </c>
      <c r="AC1255" s="4">
        <v>2</v>
      </c>
      <c r="AD1255" s="4">
        <v>11</v>
      </c>
      <c r="AE1255" s="4">
        <v>11</v>
      </c>
      <c r="AF1255" s="4">
        <v>3</v>
      </c>
      <c r="AG1255" s="4">
        <v>3</v>
      </c>
      <c r="AH1255" s="4">
        <v>5</v>
      </c>
      <c r="AI1255" s="4">
        <v>5</v>
      </c>
      <c r="AJ1255" s="4">
        <v>5</v>
      </c>
      <c r="AK1255" s="4">
        <v>5</v>
      </c>
      <c r="AL1255" s="4">
        <v>1</v>
      </c>
      <c r="AM1255" s="4">
        <v>1</v>
      </c>
      <c r="AN1255" s="4">
        <v>0</v>
      </c>
      <c r="AO1255" s="4">
        <v>0</v>
      </c>
      <c r="AP1255" s="3" t="s">
        <v>59</v>
      </c>
      <c r="AQ1255" s="3" t="s">
        <v>71</v>
      </c>
      <c r="AR1255" s="6" t="str">
        <f>HYPERLINK("http://catalog.hathitrust.org/Record/000471288","HathiTrust Record")</f>
        <v>HathiTrust Record</v>
      </c>
      <c r="AS1255" s="6" t="str">
        <f>HYPERLINK("https://creighton-primo.hosted.exlibrisgroup.com/primo-explore/search?tab=default_tab&amp;search_scope=EVERYTHING&amp;vid=01CRU&amp;lang=en_US&amp;offset=0&amp;query=any,contains,991002107869702656","Catalog Record")</f>
        <v>Catalog Record</v>
      </c>
      <c r="AT1255" s="6" t="str">
        <f>HYPERLINK("http://www.worldcat.org/oclc/266759","WorldCat Record")</f>
        <v>WorldCat Record</v>
      </c>
      <c r="AU1255" s="3" t="s">
        <v>15748</v>
      </c>
      <c r="AV1255" s="3" t="s">
        <v>15749</v>
      </c>
      <c r="AW1255" s="3" t="s">
        <v>15750</v>
      </c>
      <c r="AX1255" s="3" t="s">
        <v>15750</v>
      </c>
      <c r="AY1255" s="3" t="s">
        <v>15751</v>
      </c>
      <c r="AZ1255" s="3" t="s">
        <v>76</v>
      </c>
      <c r="BB1255" s="3" t="s">
        <v>15752</v>
      </c>
      <c r="BC1255" s="3" t="s">
        <v>15753</v>
      </c>
      <c r="BD1255" s="3" t="s">
        <v>15754</v>
      </c>
    </row>
    <row r="1256" spans="1:56" ht="52.5" customHeight="1" x14ac:dyDescent="0.25">
      <c r="A1256" s="7" t="s">
        <v>59</v>
      </c>
      <c r="B1256" s="2" t="s">
        <v>15755</v>
      </c>
      <c r="C1256" s="2" t="s">
        <v>15756</v>
      </c>
      <c r="D1256" s="2" t="s">
        <v>15757</v>
      </c>
      <c r="F1256" s="3" t="s">
        <v>59</v>
      </c>
      <c r="G1256" s="3" t="s">
        <v>60</v>
      </c>
      <c r="H1256" s="3" t="s">
        <v>59</v>
      </c>
      <c r="I1256" s="3" t="s">
        <v>59</v>
      </c>
      <c r="J1256" s="3" t="s">
        <v>61</v>
      </c>
      <c r="K1256" s="2" t="s">
        <v>15758</v>
      </c>
      <c r="L1256" s="2" t="s">
        <v>5078</v>
      </c>
      <c r="M1256" s="3" t="s">
        <v>684</v>
      </c>
      <c r="O1256" s="3" t="s">
        <v>65</v>
      </c>
      <c r="P1256" s="3" t="s">
        <v>420</v>
      </c>
      <c r="R1256" s="3" t="s">
        <v>68</v>
      </c>
      <c r="S1256" s="4">
        <v>9</v>
      </c>
      <c r="T1256" s="4">
        <v>9</v>
      </c>
      <c r="U1256" s="5" t="s">
        <v>15759</v>
      </c>
      <c r="V1256" s="5" t="s">
        <v>15759</v>
      </c>
      <c r="W1256" s="5" t="s">
        <v>477</v>
      </c>
      <c r="X1256" s="5" t="s">
        <v>477</v>
      </c>
      <c r="Y1256" s="4">
        <v>188</v>
      </c>
      <c r="Z1256" s="4">
        <v>151</v>
      </c>
      <c r="AA1256" s="4">
        <v>154</v>
      </c>
      <c r="AB1256" s="4">
        <v>2</v>
      </c>
      <c r="AC1256" s="4">
        <v>2</v>
      </c>
      <c r="AD1256" s="4">
        <v>6</v>
      </c>
      <c r="AE1256" s="4">
        <v>6</v>
      </c>
      <c r="AF1256" s="4">
        <v>4</v>
      </c>
      <c r="AG1256" s="4">
        <v>4</v>
      </c>
      <c r="AH1256" s="4">
        <v>1</v>
      </c>
      <c r="AI1256" s="4">
        <v>1</v>
      </c>
      <c r="AJ1256" s="4">
        <v>2</v>
      </c>
      <c r="AK1256" s="4">
        <v>2</v>
      </c>
      <c r="AL1256" s="4">
        <v>1</v>
      </c>
      <c r="AM1256" s="4">
        <v>1</v>
      </c>
      <c r="AN1256" s="4">
        <v>0</v>
      </c>
      <c r="AO1256" s="4">
        <v>0</v>
      </c>
      <c r="AP1256" s="3" t="s">
        <v>59</v>
      </c>
      <c r="AQ1256" s="3" t="s">
        <v>59</v>
      </c>
      <c r="AS1256" s="6" t="str">
        <f>HYPERLINK("https://creighton-primo.hosted.exlibrisgroup.com/primo-explore/search?tab=default_tab&amp;search_scope=EVERYTHING&amp;vid=01CRU&amp;lang=en_US&amp;offset=0&amp;query=any,contains,991005028729702656","Catalog Record")</f>
        <v>Catalog Record</v>
      </c>
      <c r="AT1256" s="6" t="str">
        <f>HYPERLINK("http://www.worldcat.org/oclc/6708521","WorldCat Record")</f>
        <v>WorldCat Record</v>
      </c>
      <c r="AU1256" s="3" t="s">
        <v>15760</v>
      </c>
      <c r="AV1256" s="3" t="s">
        <v>15761</v>
      </c>
      <c r="AW1256" s="3" t="s">
        <v>15762</v>
      </c>
      <c r="AX1256" s="3" t="s">
        <v>15762</v>
      </c>
      <c r="AY1256" s="3" t="s">
        <v>15763</v>
      </c>
      <c r="AZ1256" s="3" t="s">
        <v>76</v>
      </c>
      <c r="BB1256" s="3" t="s">
        <v>15764</v>
      </c>
      <c r="BC1256" s="3" t="s">
        <v>15765</v>
      </c>
      <c r="BD1256" s="3" t="s">
        <v>15766</v>
      </c>
    </row>
    <row r="1257" spans="1:56" ht="52.5" customHeight="1" x14ac:dyDescent="0.25">
      <c r="A1257" s="7" t="s">
        <v>59</v>
      </c>
      <c r="B1257" s="2" t="s">
        <v>15767</v>
      </c>
      <c r="C1257" s="2" t="s">
        <v>15768</v>
      </c>
      <c r="D1257" s="2" t="s">
        <v>15769</v>
      </c>
      <c r="F1257" s="3" t="s">
        <v>59</v>
      </c>
      <c r="G1257" s="3" t="s">
        <v>60</v>
      </c>
      <c r="H1257" s="3" t="s">
        <v>71</v>
      </c>
      <c r="I1257" s="3" t="s">
        <v>59</v>
      </c>
      <c r="J1257" s="3" t="s">
        <v>61</v>
      </c>
      <c r="L1257" s="2" t="s">
        <v>15233</v>
      </c>
      <c r="M1257" s="3" t="s">
        <v>1000</v>
      </c>
      <c r="O1257" s="3" t="s">
        <v>65</v>
      </c>
      <c r="P1257" s="3" t="s">
        <v>66</v>
      </c>
      <c r="Q1257" s="2" t="s">
        <v>15770</v>
      </c>
      <c r="R1257" s="3" t="s">
        <v>68</v>
      </c>
      <c r="S1257" s="4">
        <v>2</v>
      </c>
      <c r="T1257" s="4">
        <v>8</v>
      </c>
      <c r="U1257" s="5" t="s">
        <v>15771</v>
      </c>
      <c r="V1257" s="5" t="s">
        <v>15771</v>
      </c>
      <c r="W1257" s="5" t="s">
        <v>15772</v>
      </c>
      <c r="X1257" s="5" t="s">
        <v>15772</v>
      </c>
      <c r="Y1257" s="4">
        <v>435</v>
      </c>
      <c r="Z1257" s="4">
        <v>381</v>
      </c>
      <c r="AA1257" s="4">
        <v>388</v>
      </c>
      <c r="AB1257" s="4">
        <v>4</v>
      </c>
      <c r="AC1257" s="4">
        <v>4</v>
      </c>
      <c r="AD1257" s="4">
        <v>10</v>
      </c>
      <c r="AE1257" s="4">
        <v>10</v>
      </c>
      <c r="AF1257" s="4">
        <v>1</v>
      </c>
      <c r="AG1257" s="4">
        <v>1</v>
      </c>
      <c r="AH1257" s="4">
        <v>4</v>
      </c>
      <c r="AI1257" s="4">
        <v>4</v>
      </c>
      <c r="AJ1257" s="4">
        <v>7</v>
      </c>
      <c r="AK1257" s="4">
        <v>7</v>
      </c>
      <c r="AL1257" s="4">
        <v>2</v>
      </c>
      <c r="AM1257" s="4">
        <v>2</v>
      </c>
      <c r="AN1257" s="4">
        <v>0</v>
      </c>
      <c r="AO1257" s="4">
        <v>0</v>
      </c>
      <c r="AP1257" s="3" t="s">
        <v>59</v>
      </c>
      <c r="AQ1257" s="3" t="s">
        <v>71</v>
      </c>
      <c r="AR1257" s="6" t="str">
        <f>HYPERLINK("http://catalog.hathitrust.org/Record/000729630","HathiTrust Record")</f>
        <v>HathiTrust Record</v>
      </c>
      <c r="AS1257" s="6" t="str">
        <f>HYPERLINK("https://creighton-primo.hosted.exlibrisgroup.com/primo-explore/search?tab=default_tab&amp;search_scope=EVERYTHING&amp;vid=01CRU&amp;lang=en_US&amp;offset=0&amp;query=any,contains,991001762639702656","Catalog Record")</f>
        <v>Catalog Record</v>
      </c>
      <c r="AT1257" s="6" t="str">
        <f>HYPERLINK("http://www.worldcat.org/oclc/5239852","WorldCat Record")</f>
        <v>WorldCat Record</v>
      </c>
      <c r="AU1257" s="3" t="s">
        <v>15773</v>
      </c>
      <c r="AV1257" s="3" t="s">
        <v>15774</v>
      </c>
      <c r="AW1257" s="3" t="s">
        <v>15775</v>
      </c>
      <c r="AX1257" s="3" t="s">
        <v>15775</v>
      </c>
      <c r="AY1257" s="3" t="s">
        <v>15776</v>
      </c>
      <c r="AZ1257" s="3" t="s">
        <v>76</v>
      </c>
      <c r="BB1257" s="3" t="s">
        <v>15777</v>
      </c>
      <c r="BC1257" s="3" t="s">
        <v>15778</v>
      </c>
      <c r="BD1257" s="3" t="s">
        <v>15779</v>
      </c>
    </row>
    <row r="1258" spans="1:56" ht="52.5" customHeight="1" x14ac:dyDescent="0.25">
      <c r="A1258" s="7" t="s">
        <v>59</v>
      </c>
      <c r="B1258" s="2" t="s">
        <v>15780</v>
      </c>
      <c r="C1258" s="2" t="s">
        <v>15781</v>
      </c>
      <c r="D1258" s="2" t="s">
        <v>15782</v>
      </c>
      <c r="F1258" s="3" t="s">
        <v>59</v>
      </c>
      <c r="G1258" s="3" t="s">
        <v>60</v>
      </c>
      <c r="H1258" s="3" t="s">
        <v>59</v>
      </c>
      <c r="I1258" s="3" t="s">
        <v>59</v>
      </c>
      <c r="J1258" s="3" t="s">
        <v>61</v>
      </c>
      <c r="K1258" s="2" t="s">
        <v>15783</v>
      </c>
      <c r="L1258" s="2" t="s">
        <v>15784</v>
      </c>
      <c r="M1258" s="3" t="s">
        <v>131</v>
      </c>
      <c r="O1258" s="3" t="s">
        <v>65</v>
      </c>
      <c r="P1258" s="3" t="s">
        <v>296</v>
      </c>
      <c r="R1258" s="3" t="s">
        <v>68</v>
      </c>
      <c r="S1258" s="4">
        <v>13</v>
      </c>
      <c r="T1258" s="4">
        <v>13</v>
      </c>
      <c r="U1258" s="5" t="s">
        <v>15785</v>
      </c>
      <c r="V1258" s="5" t="s">
        <v>15785</v>
      </c>
      <c r="W1258" s="5" t="s">
        <v>269</v>
      </c>
      <c r="X1258" s="5" t="s">
        <v>269</v>
      </c>
      <c r="Y1258" s="4">
        <v>628</v>
      </c>
      <c r="Z1258" s="4">
        <v>591</v>
      </c>
      <c r="AA1258" s="4">
        <v>597</v>
      </c>
      <c r="AB1258" s="4">
        <v>4</v>
      </c>
      <c r="AC1258" s="4">
        <v>4</v>
      </c>
      <c r="AD1258" s="4">
        <v>17</v>
      </c>
      <c r="AE1258" s="4">
        <v>17</v>
      </c>
      <c r="AF1258" s="4">
        <v>6</v>
      </c>
      <c r="AG1258" s="4">
        <v>6</v>
      </c>
      <c r="AH1258" s="4">
        <v>2</v>
      </c>
      <c r="AI1258" s="4">
        <v>2</v>
      </c>
      <c r="AJ1258" s="4">
        <v>10</v>
      </c>
      <c r="AK1258" s="4">
        <v>10</v>
      </c>
      <c r="AL1258" s="4">
        <v>3</v>
      </c>
      <c r="AM1258" s="4">
        <v>3</v>
      </c>
      <c r="AN1258" s="4">
        <v>0</v>
      </c>
      <c r="AO1258" s="4">
        <v>0</v>
      </c>
      <c r="AP1258" s="3" t="s">
        <v>59</v>
      </c>
      <c r="AQ1258" s="3" t="s">
        <v>71</v>
      </c>
      <c r="AR1258" s="6" t="str">
        <f>HYPERLINK("http://catalog.hathitrust.org/Record/000431315","HathiTrust Record")</f>
        <v>HathiTrust Record</v>
      </c>
      <c r="AS1258" s="6" t="str">
        <f>HYPERLINK("https://creighton-primo.hosted.exlibrisgroup.com/primo-explore/search?tab=default_tab&amp;search_scope=EVERYTHING&amp;vid=01CRU&amp;lang=en_US&amp;offset=0&amp;query=any,contains,991003362619702656","Catalog Record")</f>
        <v>Catalog Record</v>
      </c>
      <c r="AT1258" s="6" t="str">
        <f>HYPERLINK("http://www.worldcat.org/oclc/898187","WorldCat Record")</f>
        <v>WorldCat Record</v>
      </c>
      <c r="AU1258" s="3" t="s">
        <v>15786</v>
      </c>
      <c r="AV1258" s="3" t="s">
        <v>15787</v>
      </c>
      <c r="AW1258" s="3" t="s">
        <v>15788</v>
      </c>
      <c r="AX1258" s="3" t="s">
        <v>15788</v>
      </c>
      <c r="AY1258" s="3" t="s">
        <v>15789</v>
      </c>
      <c r="AZ1258" s="3" t="s">
        <v>76</v>
      </c>
      <c r="BB1258" s="3" t="s">
        <v>15790</v>
      </c>
      <c r="BC1258" s="3" t="s">
        <v>15791</v>
      </c>
      <c r="BD1258" s="3" t="s">
        <v>15792</v>
      </c>
    </row>
    <row r="1259" spans="1:56" ht="52.5" customHeight="1" x14ac:dyDescent="0.25">
      <c r="A1259" s="7" t="s">
        <v>59</v>
      </c>
      <c r="B1259" s="2" t="s">
        <v>15793</v>
      </c>
      <c r="C1259" s="2" t="s">
        <v>15794</v>
      </c>
      <c r="D1259" s="2" t="s">
        <v>15795</v>
      </c>
      <c r="F1259" s="3" t="s">
        <v>59</v>
      </c>
      <c r="G1259" s="3" t="s">
        <v>60</v>
      </c>
      <c r="H1259" s="3" t="s">
        <v>59</v>
      </c>
      <c r="I1259" s="3" t="s">
        <v>71</v>
      </c>
      <c r="J1259" s="3" t="s">
        <v>61</v>
      </c>
      <c r="K1259" s="2" t="s">
        <v>15796</v>
      </c>
      <c r="L1259" s="2" t="s">
        <v>15797</v>
      </c>
      <c r="M1259" s="3" t="s">
        <v>224</v>
      </c>
      <c r="O1259" s="3" t="s">
        <v>65</v>
      </c>
      <c r="P1259" s="3" t="s">
        <v>699</v>
      </c>
      <c r="Q1259" s="2" t="s">
        <v>2938</v>
      </c>
      <c r="R1259" s="3" t="s">
        <v>68</v>
      </c>
      <c r="S1259" s="4">
        <v>23</v>
      </c>
      <c r="T1259" s="4">
        <v>23</v>
      </c>
      <c r="U1259" s="5" t="s">
        <v>15798</v>
      </c>
      <c r="V1259" s="5" t="s">
        <v>15798</v>
      </c>
      <c r="W1259" s="5" t="s">
        <v>2859</v>
      </c>
      <c r="X1259" s="5" t="s">
        <v>2859</v>
      </c>
      <c r="Y1259" s="4">
        <v>708</v>
      </c>
      <c r="Z1259" s="4">
        <v>561</v>
      </c>
      <c r="AA1259" s="4">
        <v>2974</v>
      </c>
      <c r="AB1259" s="4">
        <v>4</v>
      </c>
      <c r="AC1259" s="4">
        <v>25</v>
      </c>
      <c r="AD1259" s="4">
        <v>16</v>
      </c>
      <c r="AE1259" s="4">
        <v>61</v>
      </c>
      <c r="AF1259" s="4">
        <v>8</v>
      </c>
      <c r="AG1259" s="4">
        <v>25</v>
      </c>
      <c r="AH1259" s="4">
        <v>3</v>
      </c>
      <c r="AI1259" s="4">
        <v>10</v>
      </c>
      <c r="AJ1259" s="4">
        <v>4</v>
      </c>
      <c r="AK1259" s="4">
        <v>29</v>
      </c>
      <c r="AL1259" s="4">
        <v>2</v>
      </c>
      <c r="AM1259" s="4">
        <v>10</v>
      </c>
      <c r="AN1259" s="4">
        <v>0</v>
      </c>
      <c r="AO1259" s="4">
        <v>0</v>
      </c>
      <c r="AP1259" s="3" t="s">
        <v>59</v>
      </c>
      <c r="AQ1259" s="3" t="s">
        <v>71</v>
      </c>
      <c r="AR1259" s="6" t="str">
        <f>HYPERLINK("http://catalog.hathitrust.org/Record/000029348","HathiTrust Record")</f>
        <v>HathiTrust Record</v>
      </c>
      <c r="AS1259" s="6" t="str">
        <f>HYPERLINK("https://creighton-primo.hosted.exlibrisgroup.com/primo-explore/search?tab=default_tab&amp;search_scope=EVERYTHING&amp;vid=01CRU&amp;lang=en_US&amp;offset=0&amp;query=any,contains,991001650559702656","Catalog Record")</f>
        <v>Catalog Record</v>
      </c>
      <c r="AT1259" s="6" t="str">
        <f>HYPERLINK("http://www.worldcat.org/oclc/1670197","WorldCat Record")</f>
        <v>WorldCat Record</v>
      </c>
      <c r="AU1259" s="3" t="s">
        <v>15799</v>
      </c>
      <c r="AV1259" s="3" t="s">
        <v>15800</v>
      </c>
      <c r="AW1259" s="3" t="s">
        <v>15801</v>
      </c>
      <c r="AX1259" s="3" t="s">
        <v>15801</v>
      </c>
      <c r="AY1259" s="3" t="s">
        <v>15802</v>
      </c>
      <c r="AZ1259" s="3" t="s">
        <v>76</v>
      </c>
      <c r="BB1259" s="3" t="s">
        <v>15803</v>
      </c>
      <c r="BC1259" s="3" t="s">
        <v>15804</v>
      </c>
      <c r="BD1259" s="3" t="s">
        <v>15805</v>
      </c>
    </row>
    <row r="1260" spans="1:56" ht="52.5" customHeight="1" x14ac:dyDescent="0.25">
      <c r="A1260" s="7" t="s">
        <v>59</v>
      </c>
      <c r="B1260" s="2" t="s">
        <v>15806</v>
      </c>
      <c r="C1260" s="2" t="s">
        <v>15807</v>
      </c>
      <c r="D1260" s="2" t="s">
        <v>15808</v>
      </c>
      <c r="F1260" s="3" t="s">
        <v>59</v>
      </c>
      <c r="G1260" s="3" t="s">
        <v>60</v>
      </c>
      <c r="H1260" s="3" t="s">
        <v>59</v>
      </c>
      <c r="I1260" s="3" t="s">
        <v>59</v>
      </c>
      <c r="J1260" s="3" t="s">
        <v>61</v>
      </c>
      <c r="K1260" s="2" t="s">
        <v>15809</v>
      </c>
      <c r="L1260" s="2" t="s">
        <v>15810</v>
      </c>
      <c r="M1260" s="3" t="s">
        <v>164</v>
      </c>
      <c r="O1260" s="3" t="s">
        <v>65</v>
      </c>
      <c r="P1260" s="3" t="s">
        <v>296</v>
      </c>
      <c r="R1260" s="3" t="s">
        <v>68</v>
      </c>
      <c r="S1260" s="4">
        <v>11</v>
      </c>
      <c r="T1260" s="4">
        <v>11</v>
      </c>
      <c r="U1260" s="5" t="s">
        <v>15811</v>
      </c>
      <c r="V1260" s="5" t="s">
        <v>15811</v>
      </c>
      <c r="W1260" s="5" t="s">
        <v>12555</v>
      </c>
      <c r="X1260" s="5" t="s">
        <v>12555</v>
      </c>
      <c r="Y1260" s="4">
        <v>308</v>
      </c>
      <c r="Z1260" s="4">
        <v>266</v>
      </c>
      <c r="AA1260" s="4">
        <v>266</v>
      </c>
      <c r="AB1260" s="4">
        <v>2</v>
      </c>
      <c r="AC1260" s="4">
        <v>2</v>
      </c>
      <c r="AD1260" s="4">
        <v>6</v>
      </c>
      <c r="AE1260" s="4">
        <v>6</v>
      </c>
      <c r="AF1260" s="4">
        <v>3</v>
      </c>
      <c r="AG1260" s="4">
        <v>3</v>
      </c>
      <c r="AH1260" s="4">
        <v>0</v>
      </c>
      <c r="AI1260" s="4">
        <v>0</v>
      </c>
      <c r="AJ1260" s="4">
        <v>5</v>
      </c>
      <c r="AK1260" s="4">
        <v>5</v>
      </c>
      <c r="AL1260" s="4">
        <v>1</v>
      </c>
      <c r="AM1260" s="4">
        <v>1</v>
      </c>
      <c r="AN1260" s="4">
        <v>0</v>
      </c>
      <c r="AO1260" s="4">
        <v>0</v>
      </c>
      <c r="AP1260" s="3" t="s">
        <v>59</v>
      </c>
      <c r="AQ1260" s="3" t="s">
        <v>59</v>
      </c>
      <c r="AS1260" s="6" t="str">
        <f>HYPERLINK("https://creighton-primo.hosted.exlibrisgroup.com/primo-explore/search?tab=default_tab&amp;search_scope=EVERYTHING&amp;vid=01CRU&amp;lang=en_US&amp;offset=0&amp;query=any,contains,991004905319702656","Catalog Record")</f>
        <v>Catalog Record</v>
      </c>
      <c r="AT1260" s="6" t="str">
        <f>HYPERLINK("http://www.worldcat.org/oclc/5946483","WorldCat Record")</f>
        <v>WorldCat Record</v>
      </c>
      <c r="AU1260" s="3" t="s">
        <v>15812</v>
      </c>
      <c r="AV1260" s="3" t="s">
        <v>15813</v>
      </c>
      <c r="AW1260" s="3" t="s">
        <v>15814</v>
      </c>
      <c r="AX1260" s="3" t="s">
        <v>15814</v>
      </c>
      <c r="AY1260" s="3" t="s">
        <v>15815</v>
      </c>
      <c r="AZ1260" s="3" t="s">
        <v>76</v>
      </c>
      <c r="BB1260" s="3" t="s">
        <v>15816</v>
      </c>
      <c r="BC1260" s="3" t="s">
        <v>15817</v>
      </c>
      <c r="BD1260" s="3" t="s">
        <v>15818</v>
      </c>
    </row>
    <row r="1261" spans="1:56" ht="52.5" customHeight="1" x14ac:dyDescent="0.25">
      <c r="A1261" s="7" t="s">
        <v>59</v>
      </c>
      <c r="B1261" s="2" t="s">
        <v>15819</v>
      </c>
      <c r="C1261" s="2" t="s">
        <v>15820</v>
      </c>
      <c r="D1261" s="2" t="s">
        <v>15821</v>
      </c>
      <c r="F1261" s="3" t="s">
        <v>59</v>
      </c>
      <c r="G1261" s="3" t="s">
        <v>60</v>
      </c>
      <c r="H1261" s="3" t="s">
        <v>59</v>
      </c>
      <c r="I1261" s="3" t="s">
        <v>59</v>
      </c>
      <c r="J1261" s="3" t="s">
        <v>61</v>
      </c>
      <c r="K1261" s="2" t="s">
        <v>15822</v>
      </c>
      <c r="L1261" s="2" t="s">
        <v>15823</v>
      </c>
      <c r="M1261" s="3" t="s">
        <v>115</v>
      </c>
      <c r="O1261" s="3" t="s">
        <v>65</v>
      </c>
      <c r="P1261" s="3" t="s">
        <v>283</v>
      </c>
      <c r="R1261" s="3" t="s">
        <v>68</v>
      </c>
      <c r="S1261" s="4">
        <v>9</v>
      </c>
      <c r="T1261" s="4">
        <v>9</v>
      </c>
      <c r="U1261" s="5" t="s">
        <v>7433</v>
      </c>
      <c r="V1261" s="5" t="s">
        <v>7433</v>
      </c>
      <c r="W1261" s="5" t="s">
        <v>3926</v>
      </c>
      <c r="X1261" s="5" t="s">
        <v>3926</v>
      </c>
      <c r="Y1261" s="4">
        <v>498</v>
      </c>
      <c r="Z1261" s="4">
        <v>449</v>
      </c>
      <c r="AA1261" s="4">
        <v>462</v>
      </c>
      <c r="AB1261" s="4">
        <v>3</v>
      </c>
      <c r="AC1261" s="4">
        <v>4</v>
      </c>
      <c r="AD1261" s="4">
        <v>11</v>
      </c>
      <c r="AE1261" s="4">
        <v>12</v>
      </c>
      <c r="AF1261" s="4">
        <v>3</v>
      </c>
      <c r="AG1261" s="4">
        <v>3</v>
      </c>
      <c r="AH1261" s="4">
        <v>2</v>
      </c>
      <c r="AI1261" s="4">
        <v>2</v>
      </c>
      <c r="AJ1261" s="4">
        <v>5</v>
      </c>
      <c r="AK1261" s="4">
        <v>5</v>
      </c>
      <c r="AL1261" s="4">
        <v>2</v>
      </c>
      <c r="AM1261" s="4">
        <v>3</v>
      </c>
      <c r="AN1261" s="4">
        <v>0</v>
      </c>
      <c r="AO1261" s="4">
        <v>0</v>
      </c>
      <c r="AP1261" s="3" t="s">
        <v>59</v>
      </c>
      <c r="AQ1261" s="3" t="s">
        <v>71</v>
      </c>
      <c r="AR1261" s="6" t="str">
        <f>HYPERLINK("http://catalog.hathitrust.org/Record/000431319","HathiTrust Record")</f>
        <v>HathiTrust Record</v>
      </c>
      <c r="AS1261" s="6" t="str">
        <f>HYPERLINK("https://creighton-primo.hosted.exlibrisgroup.com/primo-explore/search?tab=default_tab&amp;search_scope=EVERYTHING&amp;vid=01CRU&amp;lang=en_US&amp;offset=0&amp;query=any,contains,991002732899702656","Catalog Record")</f>
        <v>Catalog Record</v>
      </c>
      <c r="AT1261" s="6" t="str">
        <f>HYPERLINK("http://www.worldcat.org/oclc/417919","WorldCat Record")</f>
        <v>WorldCat Record</v>
      </c>
      <c r="AU1261" s="3" t="s">
        <v>15824</v>
      </c>
      <c r="AV1261" s="3" t="s">
        <v>15825</v>
      </c>
      <c r="AW1261" s="3" t="s">
        <v>15826</v>
      </c>
      <c r="AX1261" s="3" t="s">
        <v>15826</v>
      </c>
      <c r="AY1261" s="3" t="s">
        <v>15827</v>
      </c>
      <c r="AZ1261" s="3" t="s">
        <v>76</v>
      </c>
      <c r="BC1261" s="3" t="s">
        <v>15828</v>
      </c>
      <c r="BD1261" s="3" t="s">
        <v>15829</v>
      </c>
    </row>
    <row r="1262" spans="1:56" ht="52.5" customHeight="1" x14ac:dyDescent="0.25">
      <c r="A1262" s="7" t="s">
        <v>59</v>
      </c>
      <c r="B1262" s="2" t="s">
        <v>15830</v>
      </c>
      <c r="C1262" s="2" t="s">
        <v>15831</v>
      </c>
      <c r="D1262" s="2" t="s">
        <v>15832</v>
      </c>
      <c r="F1262" s="3" t="s">
        <v>59</v>
      </c>
      <c r="G1262" s="3" t="s">
        <v>60</v>
      </c>
      <c r="H1262" s="3" t="s">
        <v>59</v>
      </c>
      <c r="I1262" s="3" t="s">
        <v>59</v>
      </c>
      <c r="J1262" s="3" t="s">
        <v>61</v>
      </c>
      <c r="L1262" s="2" t="s">
        <v>15833</v>
      </c>
      <c r="M1262" s="3" t="s">
        <v>131</v>
      </c>
      <c r="O1262" s="3" t="s">
        <v>65</v>
      </c>
      <c r="P1262" s="3" t="s">
        <v>66</v>
      </c>
      <c r="Q1262" s="2" t="s">
        <v>15834</v>
      </c>
      <c r="R1262" s="3" t="s">
        <v>68</v>
      </c>
      <c r="S1262" s="4">
        <v>1</v>
      </c>
      <c r="T1262" s="4">
        <v>1</v>
      </c>
      <c r="U1262" s="5" t="s">
        <v>831</v>
      </c>
      <c r="V1262" s="5" t="s">
        <v>831</v>
      </c>
      <c r="W1262" s="5" t="s">
        <v>134</v>
      </c>
      <c r="X1262" s="5" t="s">
        <v>134</v>
      </c>
      <c r="Y1262" s="4">
        <v>244</v>
      </c>
      <c r="Z1262" s="4">
        <v>215</v>
      </c>
      <c r="AA1262" s="4">
        <v>216</v>
      </c>
      <c r="AB1262" s="4">
        <v>1</v>
      </c>
      <c r="AC1262" s="4">
        <v>1</v>
      </c>
      <c r="AD1262" s="4">
        <v>7</v>
      </c>
      <c r="AE1262" s="4">
        <v>7</v>
      </c>
      <c r="AF1262" s="4">
        <v>3</v>
      </c>
      <c r="AG1262" s="4">
        <v>3</v>
      </c>
      <c r="AH1262" s="4">
        <v>1</v>
      </c>
      <c r="AI1262" s="4">
        <v>1</v>
      </c>
      <c r="AJ1262" s="4">
        <v>5</v>
      </c>
      <c r="AK1262" s="4">
        <v>5</v>
      </c>
      <c r="AL1262" s="4">
        <v>1</v>
      </c>
      <c r="AM1262" s="4">
        <v>1</v>
      </c>
      <c r="AN1262" s="4">
        <v>0</v>
      </c>
      <c r="AO1262" s="4">
        <v>0</v>
      </c>
      <c r="AP1262" s="3" t="s">
        <v>59</v>
      </c>
      <c r="AQ1262" s="3" t="s">
        <v>71</v>
      </c>
      <c r="AR1262" s="6" t="str">
        <f>HYPERLINK("http://catalog.hathitrust.org/Record/000009776","HathiTrust Record")</f>
        <v>HathiTrust Record</v>
      </c>
      <c r="AS1262" s="6" t="str">
        <f>HYPERLINK("https://creighton-primo.hosted.exlibrisgroup.com/primo-explore/search?tab=default_tab&amp;search_scope=EVERYTHING&amp;vid=01CRU&amp;lang=en_US&amp;offset=0&amp;query=any,contains,991003090849702656","Catalog Record")</f>
        <v>Catalog Record</v>
      </c>
      <c r="AT1262" s="6" t="str">
        <f>HYPERLINK("http://www.worldcat.org/oclc/694021","WorldCat Record")</f>
        <v>WorldCat Record</v>
      </c>
      <c r="AU1262" s="3" t="s">
        <v>15835</v>
      </c>
      <c r="AV1262" s="3" t="s">
        <v>15836</v>
      </c>
      <c r="AW1262" s="3" t="s">
        <v>15837</v>
      </c>
      <c r="AX1262" s="3" t="s">
        <v>15837</v>
      </c>
      <c r="AY1262" s="3" t="s">
        <v>15838</v>
      </c>
      <c r="AZ1262" s="3" t="s">
        <v>76</v>
      </c>
      <c r="BB1262" s="3" t="s">
        <v>15839</v>
      </c>
      <c r="BC1262" s="3" t="s">
        <v>15840</v>
      </c>
      <c r="BD1262" s="3" t="s">
        <v>15841</v>
      </c>
    </row>
    <row r="1263" spans="1:56" ht="52.5" customHeight="1" x14ac:dyDescent="0.25">
      <c r="A1263" s="7" t="s">
        <v>59</v>
      </c>
      <c r="B1263" s="2" t="s">
        <v>15842</v>
      </c>
      <c r="C1263" s="2" t="s">
        <v>15843</v>
      </c>
      <c r="D1263" s="2" t="s">
        <v>15844</v>
      </c>
      <c r="F1263" s="3" t="s">
        <v>59</v>
      </c>
      <c r="G1263" s="3" t="s">
        <v>60</v>
      </c>
      <c r="H1263" s="3" t="s">
        <v>71</v>
      </c>
      <c r="I1263" s="3" t="s">
        <v>59</v>
      </c>
      <c r="J1263" s="3" t="s">
        <v>61</v>
      </c>
      <c r="K1263" s="2" t="s">
        <v>15845</v>
      </c>
      <c r="L1263" s="2" t="s">
        <v>15846</v>
      </c>
      <c r="M1263" s="3" t="s">
        <v>148</v>
      </c>
      <c r="N1263" s="2" t="s">
        <v>1587</v>
      </c>
      <c r="O1263" s="3" t="s">
        <v>65</v>
      </c>
      <c r="P1263" s="3" t="s">
        <v>829</v>
      </c>
      <c r="R1263" s="3" t="s">
        <v>68</v>
      </c>
      <c r="S1263" s="4">
        <v>3</v>
      </c>
      <c r="T1263" s="4">
        <v>4</v>
      </c>
      <c r="U1263" s="5" t="s">
        <v>15847</v>
      </c>
      <c r="V1263" s="5" t="s">
        <v>15847</v>
      </c>
      <c r="W1263" s="5" t="s">
        <v>7406</v>
      </c>
      <c r="X1263" s="5" t="s">
        <v>7406</v>
      </c>
      <c r="Y1263" s="4">
        <v>473</v>
      </c>
      <c r="Z1263" s="4">
        <v>421</v>
      </c>
      <c r="AA1263" s="4">
        <v>1021</v>
      </c>
      <c r="AB1263" s="4">
        <v>4</v>
      </c>
      <c r="AC1263" s="4">
        <v>9</v>
      </c>
      <c r="AD1263" s="4">
        <v>21</v>
      </c>
      <c r="AE1263" s="4">
        <v>38</v>
      </c>
      <c r="AF1263" s="4">
        <v>9</v>
      </c>
      <c r="AG1263" s="4">
        <v>13</v>
      </c>
      <c r="AH1263" s="4">
        <v>4</v>
      </c>
      <c r="AI1263" s="4">
        <v>6</v>
      </c>
      <c r="AJ1263" s="4">
        <v>11</v>
      </c>
      <c r="AK1263" s="4">
        <v>22</v>
      </c>
      <c r="AL1263" s="4">
        <v>2</v>
      </c>
      <c r="AM1263" s="4">
        <v>6</v>
      </c>
      <c r="AN1263" s="4">
        <v>0</v>
      </c>
      <c r="AO1263" s="4">
        <v>1</v>
      </c>
      <c r="AP1263" s="3" t="s">
        <v>59</v>
      </c>
      <c r="AQ1263" s="3" t="s">
        <v>71</v>
      </c>
      <c r="AR1263" s="6" t="str">
        <f>HYPERLINK("http://catalog.hathitrust.org/Record/007550926","HathiTrust Record")</f>
        <v>HathiTrust Record</v>
      </c>
      <c r="AS1263" s="6" t="str">
        <f>HYPERLINK("https://creighton-primo.hosted.exlibrisgroup.com/primo-explore/search?tab=default_tab&amp;search_scope=EVERYTHING&amp;vid=01CRU&amp;lang=en_US&amp;offset=0&amp;query=any,contains,991001761829702656","Catalog Record")</f>
        <v>Catalog Record</v>
      </c>
      <c r="AT1263" s="6" t="str">
        <f>HYPERLINK("http://www.worldcat.org/oclc/2318294","WorldCat Record")</f>
        <v>WorldCat Record</v>
      </c>
      <c r="AU1263" s="3" t="s">
        <v>15848</v>
      </c>
      <c r="AV1263" s="3" t="s">
        <v>15849</v>
      </c>
      <c r="AW1263" s="3" t="s">
        <v>15850</v>
      </c>
      <c r="AX1263" s="3" t="s">
        <v>15850</v>
      </c>
      <c r="AY1263" s="3" t="s">
        <v>15851</v>
      </c>
      <c r="AZ1263" s="3" t="s">
        <v>76</v>
      </c>
      <c r="BB1263" s="3" t="s">
        <v>15852</v>
      </c>
      <c r="BC1263" s="3" t="s">
        <v>15853</v>
      </c>
      <c r="BD1263" s="3" t="s">
        <v>15854</v>
      </c>
    </row>
    <row r="1264" spans="1:56" ht="52.5" customHeight="1" x14ac:dyDescent="0.25">
      <c r="A1264" s="7" t="s">
        <v>59</v>
      </c>
      <c r="B1264" s="2" t="s">
        <v>15855</v>
      </c>
      <c r="C1264" s="2" t="s">
        <v>15856</v>
      </c>
      <c r="D1264" s="2" t="s">
        <v>15857</v>
      </c>
      <c r="F1264" s="3" t="s">
        <v>59</v>
      </c>
      <c r="G1264" s="3" t="s">
        <v>60</v>
      </c>
      <c r="H1264" s="3" t="s">
        <v>59</v>
      </c>
      <c r="I1264" s="3" t="s">
        <v>59</v>
      </c>
      <c r="J1264" s="3" t="s">
        <v>61</v>
      </c>
      <c r="K1264" s="2" t="s">
        <v>15858</v>
      </c>
      <c r="L1264" s="2" t="s">
        <v>15859</v>
      </c>
      <c r="M1264" s="3" t="s">
        <v>295</v>
      </c>
      <c r="O1264" s="3" t="s">
        <v>65</v>
      </c>
      <c r="P1264" s="3" t="s">
        <v>296</v>
      </c>
      <c r="Q1264" s="2" t="s">
        <v>15860</v>
      </c>
      <c r="R1264" s="3" t="s">
        <v>68</v>
      </c>
      <c r="S1264" s="4">
        <v>6</v>
      </c>
      <c r="T1264" s="4">
        <v>6</v>
      </c>
      <c r="U1264" s="5" t="s">
        <v>15861</v>
      </c>
      <c r="V1264" s="5" t="s">
        <v>15861</v>
      </c>
      <c r="W1264" s="5" t="s">
        <v>15862</v>
      </c>
      <c r="X1264" s="5" t="s">
        <v>15862</v>
      </c>
      <c r="Y1264" s="4">
        <v>1065</v>
      </c>
      <c r="Z1264" s="4">
        <v>944</v>
      </c>
      <c r="AA1264" s="4">
        <v>1062</v>
      </c>
      <c r="AB1264" s="4">
        <v>3</v>
      </c>
      <c r="AC1264" s="4">
        <v>4</v>
      </c>
      <c r="AD1264" s="4">
        <v>28</v>
      </c>
      <c r="AE1264" s="4">
        <v>33</v>
      </c>
      <c r="AF1264" s="4">
        <v>10</v>
      </c>
      <c r="AG1264" s="4">
        <v>11</v>
      </c>
      <c r="AH1264" s="4">
        <v>8</v>
      </c>
      <c r="AI1264" s="4">
        <v>9</v>
      </c>
      <c r="AJ1264" s="4">
        <v>16</v>
      </c>
      <c r="AK1264" s="4">
        <v>19</v>
      </c>
      <c r="AL1264" s="4">
        <v>2</v>
      </c>
      <c r="AM1264" s="4">
        <v>3</v>
      </c>
      <c r="AN1264" s="4">
        <v>0</v>
      </c>
      <c r="AO1264" s="4">
        <v>0</v>
      </c>
      <c r="AP1264" s="3" t="s">
        <v>59</v>
      </c>
      <c r="AQ1264" s="3" t="s">
        <v>59</v>
      </c>
      <c r="AS1264" s="6" t="str">
        <f>HYPERLINK("https://creighton-primo.hosted.exlibrisgroup.com/primo-explore/search?tab=default_tab&amp;search_scope=EVERYTHING&amp;vid=01CRU&amp;lang=en_US&amp;offset=0&amp;query=any,contains,991001369379702656","Catalog Record")</f>
        <v>Catalog Record</v>
      </c>
      <c r="AT1264" s="6" t="str">
        <f>HYPERLINK("http://www.worldcat.org/oclc/223063","WorldCat Record")</f>
        <v>WorldCat Record</v>
      </c>
      <c r="AU1264" s="3" t="s">
        <v>15863</v>
      </c>
      <c r="AV1264" s="3" t="s">
        <v>15864</v>
      </c>
      <c r="AW1264" s="3" t="s">
        <v>15865</v>
      </c>
      <c r="AX1264" s="3" t="s">
        <v>15865</v>
      </c>
      <c r="AY1264" s="3" t="s">
        <v>15866</v>
      </c>
      <c r="AZ1264" s="3" t="s">
        <v>76</v>
      </c>
      <c r="BB1264" s="3" t="s">
        <v>15867</v>
      </c>
      <c r="BC1264" s="3" t="s">
        <v>15868</v>
      </c>
      <c r="BD1264" s="3" t="s">
        <v>15869</v>
      </c>
    </row>
    <row r="1265" spans="1:56" ht="52.5" customHeight="1" x14ac:dyDescent="0.25">
      <c r="A1265" s="7" t="s">
        <v>59</v>
      </c>
      <c r="B1265" s="2" t="s">
        <v>15870</v>
      </c>
      <c r="C1265" s="2" t="s">
        <v>15871</v>
      </c>
      <c r="D1265" s="2" t="s">
        <v>15872</v>
      </c>
      <c r="F1265" s="3" t="s">
        <v>59</v>
      </c>
      <c r="G1265" s="3" t="s">
        <v>60</v>
      </c>
      <c r="H1265" s="3" t="s">
        <v>59</v>
      </c>
      <c r="I1265" s="3" t="s">
        <v>71</v>
      </c>
      <c r="J1265" s="3" t="s">
        <v>61</v>
      </c>
      <c r="K1265" s="2" t="s">
        <v>12268</v>
      </c>
      <c r="L1265" s="2" t="s">
        <v>15873</v>
      </c>
      <c r="M1265" s="3" t="s">
        <v>350</v>
      </c>
      <c r="O1265" s="3" t="s">
        <v>65</v>
      </c>
      <c r="P1265" s="3" t="s">
        <v>603</v>
      </c>
      <c r="R1265" s="3" t="s">
        <v>68</v>
      </c>
      <c r="S1265" s="4">
        <v>4</v>
      </c>
      <c r="T1265" s="4">
        <v>4</v>
      </c>
      <c r="U1265" s="5" t="s">
        <v>15874</v>
      </c>
      <c r="V1265" s="5" t="s">
        <v>15874</v>
      </c>
      <c r="W1265" s="5" t="s">
        <v>269</v>
      </c>
      <c r="X1265" s="5" t="s">
        <v>269</v>
      </c>
      <c r="Y1265" s="4">
        <v>523</v>
      </c>
      <c r="Z1265" s="4">
        <v>426</v>
      </c>
      <c r="AA1265" s="4">
        <v>1201</v>
      </c>
      <c r="AB1265" s="4">
        <v>4</v>
      </c>
      <c r="AC1265" s="4">
        <v>10</v>
      </c>
      <c r="AD1265" s="4">
        <v>21</v>
      </c>
      <c r="AE1265" s="4">
        <v>44</v>
      </c>
      <c r="AF1265" s="4">
        <v>9</v>
      </c>
      <c r="AG1265" s="4">
        <v>21</v>
      </c>
      <c r="AH1265" s="4">
        <v>5</v>
      </c>
      <c r="AI1265" s="4">
        <v>9</v>
      </c>
      <c r="AJ1265" s="4">
        <v>9</v>
      </c>
      <c r="AK1265" s="4">
        <v>18</v>
      </c>
      <c r="AL1265" s="4">
        <v>3</v>
      </c>
      <c r="AM1265" s="4">
        <v>7</v>
      </c>
      <c r="AN1265" s="4">
        <v>0</v>
      </c>
      <c r="AO1265" s="4">
        <v>1</v>
      </c>
      <c r="AP1265" s="3" t="s">
        <v>59</v>
      </c>
      <c r="AQ1265" s="3" t="s">
        <v>71</v>
      </c>
      <c r="AR1265" s="6" t="str">
        <f>HYPERLINK("http://catalog.hathitrust.org/Record/000018552","HathiTrust Record")</f>
        <v>HathiTrust Record</v>
      </c>
      <c r="AS1265" s="6" t="str">
        <f>HYPERLINK("https://creighton-primo.hosted.exlibrisgroup.com/primo-explore/search?tab=default_tab&amp;search_scope=EVERYTHING&amp;vid=01CRU&amp;lang=en_US&amp;offset=0&amp;query=any,contains,991005253819702656","Catalog Record")</f>
        <v>Catalog Record</v>
      </c>
      <c r="AT1265" s="6" t="str">
        <f>HYPERLINK("http://www.worldcat.org/oclc/2645371","WorldCat Record")</f>
        <v>WorldCat Record</v>
      </c>
      <c r="AU1265" s="3" t="s">
        <v>15875</v>
      </c>
      <c r="AV1265" s="3" t="s">
        <v>15876</v>
      </c>
      <c r="AW1265" s="3" t="s">
        <v>15877</v>
      </c>
      <c r="AX1265" s="3" t="s">
        <v>15877</v>
      </c>
      <c r="AY1265" s="3" t="s">
        <v>15878</v>
      </c>
      <c r="AZ1265" s="3" t="s">
        <v>76</v>
      </c>
      <c r="BB1265" s="3" t="s">
        <v>15879</v>
      </c>
      <c r="BC1265" s="3" t="s">
        <v>15880</v>
      </c>
      <c r="BD1265" s="3" t="s">
        <v>15881</v>
      </c>
    </row>
    <row r="1266" spans="1:56" ht="52.5" customHeight="1" x14ac:dyDescent="0.25">
      <c r="A1266" s="7" t="s">
        <v>59</v>
      </c>
      <c r="B1266" s="2" t="s">
        <v>15882</v>
      </c>
      <c r="C1266" s="2" t="s">
        <v>15883</v>
      </c>
      <c r="D1266" s="2" t="s">
        <v>15884</v>
      </c>
      <c r="F1266" s="3" t="s">
        <v>59</v>
      </c>
      <c r="G1266" s="3" t="s">
        <v>60</v>
      </c>
      <c r="H1266" s="3" t="s">
        <v>59</v>
      </c>
      <c r="I1266" s="3" t="s">
        <v>59</v>
      </c>
      <c r="J1266" s="3" t="s">
        <v>61</v>
      </c>
      <c r="K1266" s="2" t="s">
        <v>15885</v>
      </c>
      <c r="L1266" s="2" t="s">
        <v>15886</v>
      </c>
      <c r="M1266" s="3" t="s">
        <v>1000</v>
      </c>
      <c r="O1266" s="3" t="s">
        <v>65</v>
      </c>
      <c r="P1266" s="3" t="s">
        <v>771</v>
      </c>
      <c r="R1266" s="3" t="s">
        <v>68</v>
      </c>
      <c r="S1266" s="4">
        <v>2</v>
      </c>
      <c r="T1266" s="4">
        <v>2</v>
      </c>
      <c r="U1266" s="5" t="s">
        <v>7433</v>
      </c>
      <c r="V1266" s="5" t="s">
        <v>7433</v>
      </c>
      <c r="W1266" s="5" t="s">
        <v>477</v>
      </c>
      <c r="X1266" s="5" t="s">
        <v>477</v>
      </c>
      <c r="Y1266" s="4">
        <v>718</v>
      </c>
      <c r="Z1266" s="4">
        <v>590</v>
      </c>
      <c r="AA1266" s="4">
        <v>591</v>
      </c>
      <c r="AB1266" s="4">
        <v>5</v>
      </c>
      <c r="AC1266" s="4">
        <v>5</v>
      </c>
      <c r="AD1266" s="4">
        <v>29</v>
      </c>
      <c r="AE1266" s="4">
        <v>29</v>
      </c>
      <c r="AF1266" s="4">
        <v>10</v>
      </c>
      <c r="AG1266" s="4">
        <v>10</v>
      </c>
      <c r="AH1266" s="4">
        <v>8</v>
      </c>
      <c r="AI1266" s="4">
        <v>8</v>
      </c>
      <c r="AJ1266" s="4">
        <v>16</v>
      </c>
      <c r="AK1266" s="4">
        <v>16</v>
      </c>
      <c r="AL1266" s="4">
        <v>3</v>
      </c>
      <c r="AM1266" s="4">
        <v>3</v>
      </c>
      <c r="AN1266" s="4">
        <v>0</v>
      </c>
      <c r="AO1266" s="4">
        <v>0</v>
      </c>
      <c r="AP1266" s="3" t="s">
        <v>59</v>
      </c>
      <c r="AQ1266" s="3" t="s">
        <v>59</v>
      </c>
      <c r="AS1266" s="6" t="str">
        <f>HYPERLINK("https://creighton-primo.hosted.exlibrisgroup.com/primo-explore/search?tab=default_tab&amp;search_scope=EVERYTHING&amp;vid=01CRU&amp;lang=en_US&amp;offset=0&amp;query=any,contains,991004662239702656","Catalog Record")</f>
        <v>Catalog Record</v>
      </c>
      <c r="AT1266" s="6" t="str">
        <f>HYPERLINK("http://www.worldcat.org/oclc/4497595","WorldCat Record")</f>
        <v>WorldCat Record</v>
      </c>
      <c r="AU1266" s="3" t="s">
        <v>15887</v>
      </c>
      <c r="AV1266" s="3" t="s">
        <v>15888</v>
      </c>
      <c r="AW1266" s="3" t="s">
        <v>15889</v>
      </c>
      <c r="AX1266" s="3" t="s">
        <v>15889</v>
      </c>
      <c r="AY1266" s="3" t="s">
        <v>15890</v>
      </c>
      <c r="AZ1266" s="3" t="s">
        <v>76</v>
      </c>
      <c r="BB1266" s="3" t="s">
        <v>15891</v>
      </c>
      <c r="BC1266" s="3" t="s">
        <v>15892</v>
      </c>
      <c r="BD1266" s="3" t="s">
        <v>15893</v>
      </c>
    </row>
    <row r="1267" spans="1:56" ht="52.5" customHeight="1" x14ac:dyDescent="0.25">
      <c r="A1267" s="7" t="s">
        <v>59</v>
      </c>
      <c r="B1267" s="2" t="s">
        <v>15894</v>
      </c>
      <c r="C1267" s="2" t="s">
        <v>15895</v>
      </c>
      <c r="D1267" s="2" t="s">
        <v>15896</v>
      </c>
      <c r="F1267" s="3" t="s">
        <v>59</v>
      </c>
      <c r="G1267" s="3" t="s">
        <v>60</v>
      </c>
      <c r="H1267" s="3" t="s">
        <v>59</v>
      </c>
      <c r="I1267" s="3" t="s">
        <v>59</v>
      </c>
      <c r="J1267" s="3" t="s">
        <v>61</v>
      </c>
      <c r="K1267" s="2" t="s">
        <v>15897</v>
      </c>
      <c r="L1267" s="2" t="s">
        <v>15898</v>
      </c>
      <c r="M1267" s="3" t="s">
        <v>309</v>
      </c>
      <c r="O1267" s="3" t="s">
        <v>65</v>
      </c>
      <c r="P1267" s="3" t="s">
        <v>420</v>
      </c>
      <c r="R1267" s="3" t="s">
        <v>68</v>
      </c>
      <c r="S1267" s="4">
        <v>10</v>
      </c>
      <c r="T1267" s="4">
        <v>10</v>
      </c>
      <c r="U1267" s="5" t="s">
        <v>15899</v>
      </c>
      <c r="V1267" s="5" t="s">
        <v>15899</v>
      </c>
      <c r="W1267" s="5" t="s">
        <v>15900</v>
      </c>
      <c r="X1267" s="5" t="s">
        <v>15900</v>
      </c>
      <c r="Y1267" s="4">
        <v>475</v>
      </c>
      <c r="Z1267" s="4">
        <v>419</v>
      </c>
      <c r="AA1267" s="4">
        <v>425</v>
      </c>
      <c r="AB1267" s="4">
        <v>3</v>
      </c>
      <c r="AC1267" s="4">
        <v>3</v>
      </c>
      <c r="AD1267" s="4">
        <v>17</v>
      </c>
      <c r="AE1267" s="4">
        <v>17</v>
      </c>
      <c r="AF1267" s="4">
        <v>4</v>
      </c>
      <c r="AG1267" s="4">
        <v>4</v>
      </c>
      <c r="AH1267" s="4">
        <v>4</v>
      </c>
      <c r="AI1267" s="4">
        <v>4</v>
      </c>
      <c r="AJ1267" s="4">
        <v>11</v>
      </c>
      <c r="AK1267" s="4">
        <v>11</v>
      </c>
      <c r="AL1267" s="4">
        <v>2</v>
      </c>
      <c r="AM1267" s="4">
        <v>2</v>
      </c>
      <c r="AN1267" s="4">
        <v>0</v>
      </c>
      <c r="AO1267" s="4">
        <v>0</v>
      </c>
      <c r="AP1267" s="3" t="s">
        <v>59</v>
      </c>
      <c r="AQ1267" s="3" t="s">
        <v>71</v>
      </c>
      <c r="AR1267" s="6" t="str">
        <f>HYPERLINK("http://catalog.hathitrust.org/Record/000256259","HathiTrust Record")</f>
        <v>HathiTrust Record</v>
      </c>
      <c r="AS1267" s="6" t="str">
        <f>HYPERLINK("https://creighton-primo.hosted.exlibrisgroup.com/primo-explore/search?tab=default_tab&amp;search_scope=EVERYTHING&amp;vid=01CRU&amp;lang=en_US&amp;offset=0&amp;query=any,contains,991004656729702656","Catalog Record")</f>
        <v>Catalog Record</v>
      </c>
      <c r="AT1267" s="6" t="str">
        <f>HYPERLINK("http://www.worldcat.org/oclc/4495591","WorldCat Record")</f>
        <v>WorldCat Record</v>
      </c>
      <c r="AU1267" s="3" t="s">
        <v>15901</v>
      </c>
      <c r="AV1267" s="3" t="s">
        <v>15902</v>
      </c>
      <c r="AW1267" s="3" t="s">
        <v>15903</v>
      </c>
      <c r="AX1267" s="3" t="s">
        <v>15903</v>
      </c>
      <c r="AY1267" s="3" t="s">
        <v>15904</v>
      </c>
      <c r="AZ1267" s="3" t="s">
        <v>76</v>
      </c>
      <c r="BB1267" s="3" t="s">
        <v>15905</v>
      </c>
      <c r="BC1267" s="3" t="s">
        <v>15906</v>
      </c>
      <c r="BD1267" s="3" t="s">
        <v>15907</v>
      </c>
    </row>
    <row r="1268" spans="1:56" ht="52.5" customHeight="1" x14ac:dyDescent="0.25">
      <c r="A1268" s="7" t="s">
        <v>59</v>
      </c>
      <c r="B1268" s="2" t="s">
        <v>15908</v>
      </c>
      <c r="C1268" s="2" t="s">
        <v>15909</v>
      </c>
      <c r="D1268" s="2" t="s">
        <v>15910</v>
      </c>
      <c r="F1268" s="3" t="s">
        <v>59</v>
      </c>
      <c r="G1268" s="3" t="s">
        <v>60</v>
      </c>
      <c r="H1268" s="3" t="s">
        <v>59</v>
      </c>
      <c r="I1268" s="3" t="s">
        <v>59</v>
      </c>
      <c r="J1268" s="3" t="s">
        <v>61</v>
      </c>
      <c r="K1268" s="2" t="s">
        <v>13809</v>
      </c>
      <c r="L1268" s="2" t="s">
        <v>15911</v>
      </c>
      <c r="M1268" s="3" t="s">
        <v>549</v>
      </c>
      <c r="O1268" s="3" t="s">
        <v>65</v>
      </c>
      <c r="P1268" s="3" t="s">
        <v>14374</v>
      </c>
      <c r="Q1268" s="2" t="s">
        <v>15912</v>
      </c>
      <c r="R1268" s="3" t="s">
        <v>68</v>
      </c>
      <c r="S1268" s="4">
        <v>19</v>
      </c>
      <c r="T1268" s="4">
        <v>19</v>
      </c>
      <c r="U1268" s="5" t="s">
        <v>15913</v>
      </c>
      <c r="V1268" s="5" t="s">
        <v>15913</v>
      </c>
      <c r="W1268" s="5" t="s">
        <v>15914</v>
      </c>
      <c r="X1268" s="5" t="s">
        <v>15914</v>
      </c>
      <c r="Y1268" s="4">
        <v>380</v>
      </c>
      <c r="Z1268" s="4">
        <v>326</v>
      </c>
      <c r="AA1268" s="4">
        <v>333</v>
      </c>
      <c r="AB1268" s="4">
        <v>3</v>
      </c>
      <c r="AC1268" s="4">
        <v>3</v>
      </c>
      <c r="AD1268" s="4">
        <v>12</v>
      </c>
      <c r="AE1268" s="4">
        <v>12</v>
      </c>
      <c r="AF1268" s="4">
        <v>2</v>
      </c>
      <c r="AG1268" s="4">
        <v>2</v>
      </c>
      <c r="AH1268" s="4">
        <v>2</v>
      </c>
      <c r="AI1268" s="4">
        <v>2</v>
      </c>
      <c r="AJ1268" s="4">
        <v>6</v>
      </c>
      <c r="AK1268" s="4">
        <v>6</v>
      </c>
      <c r="AL1268" s="4">
        <v>2</v>
      </c>
      <c r="AM1268" s="4">
        <v>2</v>
      </c>
      <c r="AN1268" s="4">
        <v>0</v>
      </c>
      <c r="AO1268" s="4">
        <v>0</v>
      </c>
      <c r="AP1268" s="3" t="s">
        <v>59</v>
      </c>
      <c r="AQ1268" s="3" t="s">
        <v>71</v>
      </c>
      <c r="AR1268" s="6" t="str">
        <f>HYPERLINK("http://catalog.hathitrust.org/Record/000489350","HathiTrust Record")</f>
        <v>HathiTrust Record</v>
      </c>
      <c r="AS1268" s="6" t="str">
        <f>HYPERLINK("https://creighton-primo.hosted.exlibrisgroup.com/primo-explore/search?tab=default_tab&amp;search_scope=EVERYTHING&amp;vid=01CRU&amp;lang=en_US&amp;offset=0&amp;query=any,contains,991000799099702656","Catalog Record")</f>
        <v>Catalog Record</v>
      </c>
      <c r="AT1268" s="6" t="str">
        <f>HYPERLINK("http://www.worldcat.org/oclc/13216404","WorldCat Record")</f>
        <v>WorldCat Record</v>
      </c>
      <c r="AU1268" s="3" t="s">
        <v>15915</v>
      </c>
      <c r="AV1268" s="3" t="s">
        <v>15916</v>
      </c>
      <c r="AW1268" s="3" t="s">
        <v>15917</v>
      </c>
      <c r="AX1268" s="3" t="s">
        <v>15917</v>
      </c>
      <c r="AY1268" s="3" t="s">
        <v>15918</v>
      </c>
      <c r="AZ1268" s="3" t="s">
        <v>76</v>
      </c>
      <c r="BB1268" s="3" t="s">
        <v>15919</v>
      </c>
      <c r="BC1268" s="3" t="s">
        <v>15920</v>
      </c>
      <c r="BD1268" s="3" t="s">
        <v>15921</v>
      </c>
    </row>
    <row r="1269" spans="1:56" ht="52.5" customHeight="1" x14ac:dyDescent="0.25">
      <c r="A1269" s="7" t="s">
        <v>59</v>
      </c>
      <c r="B1269" s="2" t="s">
        <v>15922</v>
      </c>
      <c r="C1269" s="2" t="s">
        <v>15923</v>
      </c>
      <c r="D1269" s="2" t="s">
        <v>15924</v>
      </c>
      <c r="F1269" s="3" t="s">
        <v>59</v>
      </c>
      <c r="G1269" s="3" t="s">
        <v>60</v>
      </c>
      <c r="H1269" s="3" t="s">
        <v>59</v>
      </c>
      <c r="I1269" s="3" t="s">
        <v>59</v>
      </c>
      <c r="J1269" s="3" t="s">
        <v>61</v>
      </c>
      <c r="L1269" s="2" t="s">
        <v>15925</v>
      </c>
      <c r="M1269" s="3" t="s">
        <v>1217</v>
      </c>
      <c r="O1269" s="3" t="s">
        <v>65</v>
      </c>
      <c r="P1269" s="3" t="s">
        <v>296</v>
      </c>
      <c r="R1269" s="3" t="s">
        <v>68</v>
      </c>
      <c r="S1269" s="4">
        <v>12</v>
      </c>
      <c r="T1269" s="4">
        <v>12</v>
      </c>
      <c r="U1269" s="5" t="s">
        <v>5712</v>
      </c>
      <c r="V1269" s="5" t="s">
        <v>5712</v>
      </c>
      <c r="W1269" s="5" t="s">
        <v>324</v>
      </c>
      <c r="X1269" s="5" t="s">
        <v>324</v>
      </c>
      <c r="Y1269" s="4">
        <v>260</v>
      </c>
      <c r="Z1269" s="4">
        <v>206</v>
      </c>
      <c r="AA1269" s="4">
        <v>207</v>
      </c>
      <c r="AB1269" s="4">
        <v>5</v>
      </c>
      <c r="AC1269" s="4">
        <v>5</v>
      </c>
      <c r="AD1269" s="4">
        <v>11</v>
      </c>
      <c r="AE1269" s="4">
        <v>11</v>
      </c>
      <c r="AF1269" s="4">
        <v>1</v>
      </c>
      <c r="AG1269" s="4">
        <v>1</v>
      </c>
      <c r="AH1269" s="4">
        <v>4</v>
      </c>
      <c r="AI1269" s="4">
        <v>4</v>
      </c>
      <c r="AJ1269" s="4">
        <v>6</v>
      </c>
      <c r="AK1269" s="4">
        <v>6</v>
      </c>
      <c r="AL1269" s="4">
        <v>3</v>
      </c>
      <c r="AM1269" s="4">
        <v>3</v>
      </c>
      <c r="AN1269" s="4">
        <v>0</v>
      </c>
      <c r="AO1269" s="4">
        <v>0</v>
      </c>
      <c r="AP1269" s="3" t="s">
        <v>59</v>
      </c>
      <c r="AQ1269" s="3" t="s">
        <v>71</v>
      </c>
      <c r="AR1269" s="6" t="str">
        <f>HYPERLINK("http://catalog.hathitrust.org/Record/000609415","HathiTrust Record")</f>
        <v>HathiTrust Record</v>
      </c>
      <c r="AS1269" s="6" t="str">
        <f>HYPERLINK("https://creighton-primo.hosted.exlibrisgroup.com/primo-explore/search?tab=default_tab&amp;search_scope=EVERYTHING&amp;vid=01CRU&amp;lang=en_US&amp;offset=0&amp;query=any,contains,991000375409702656","Catalog Record")</f>
        <v>Catalog Record</v>
      </c>
      <c r="AT1269" s="6" t="str">
        <f>HYPERLINK("http://www.worldcat.org/oclc/10458252","WorldCat Record")</f>
        <v>WorldCat Record</v>
      </c>
      <c r="AU1269" s="3" t="s">
        <v>15926</v>
      </c>
      <c r="AV1269" s="3" t="s">
        <v>15927</v>
      </c>
      <c r="AW1269" s="3" t="s">
        <v>15928</v>
      </c>
      <c r="AX1269" s="3" t="s">
        <v>15928</v>
      </c>
      <c r="AY1269" s="3" t="s">
        <v>15929</v>
      </c>
      <c r="AZ1269" s="3" t="s">
        <v>76</v>
      </c>
      <c r="BB1269" s="3" t="s">
        <v>15930</v>
      </c>
      <c r="BC1269" s="3" t="s">
        <v>15931</v>
      </c>
      <c r="BD1269" s="3" t="s">
        <v>15932</v>
      </c>
    </row>
    <row r="1270" spans="1:56" ht="52.5" customHeight="1" x14ac:dyDescent="0.25">
      <c r="A1270" s="7" t="s">
        <v>59</v>
      </c>
      <c r="B1270" s="2" t="s">
        <v>15933</v>
      </c>
      <c r="C1270" s="2" t="s">
        <v>15934</v>
      </c>
      <c r="D1270" s="2" t="s">
        <v>15935</v>
      </c>
      <c r="F1270" s="3" t="s">
        <v>59</v>
      </c>
      <c r="G1270" s="3" t="s">
        <v>60</v>
      </c>
      <c r="H1270" s="3" t="s">
        <v>59</v>
      </c>
      <c r="I1270" s="3" t="s">
        <v>59</v>
      </c>
      <c r="J1270" s="3" t="s">
        <v>61</v>
      </c>
      <c r="L1270" s="2" t="s">
        <v>15936</v>
      </c>
      <c r="M1270" s="3" t="s">
        <v>1217</v>
      </c>
      <c r="O1270" s="3" t="s">
        <v>65</v>
      </c>
      <c r="P1270" s="3" t="s">
        <v>1218</v>
      </c>
      <c r="Q1270" s="2" t="s">
        <v>13785</v>
      </c>
      <c r="R1270" s="3" t="s">
        <v>68</v>
      </c>
      <c r="S1270" s="4">
        <v>4</v>
      </c>
      <c r="T1270" s="4">
        <v>4</v>
      </c>
      <c r="U1270" s="5" t="s">
        <v>15937</v>
      </c>
      <c r="V1270" s="5" t="s">
        <v>15937</v>
      </c>
      <c r="W1270" s="5" t="s">
        <v>477</v>
      </c>
      <c r="X1270" s="5" t="s">
        <v>477</v>
      </c>
      <c r="Y1270" s="4">
        <v>256</v>
      </c>
      <c r="Z1270" s="4">
        <v>204</v>
      </c>
      <c r="AA1270" s="4">
        <v>216</v>
      </c>
      <c r="AB1270" s="4">
        <v>2</v>
      </c>
      <c r="AC1270" s="4">
        <v>2</v>
      </c>
      <c r="AD1270" s="4">
        <v>8</v>
      </c>
      <c r="AE1270" s="4">
        <v>9</v>
      </c>
      <c r="AF1270" s="4">
        <v>2</v>
      </c>
      <c r="AG1270" s="4">
        <v>2</v>
      </c>
      <c r="AH1270" s="4">
        <v>2</v>
      </c>
      <c r="AI1270" s="4">
        <v>3</v>
      </c>
      <c r="AJ1270" s="4">
        <v>3</v>
      </c>
      <c r="AK1270" s="4">
        <v>3</v>
      </c>
      <c r="AL1270" s="4">
        <v>1</v>
      </c>
      <c r="AM1270" s="4">
        <v>1</v>
      </c>
      <c r="AN1270" s="4">
        <v>0</v>
      </c>
      <c r="AO1270" s="4">
        <v>0</v>
      </c>
      <c r="AP1270" s="3" t="s">
        <v>59</v>
      </c>
      <c r="AQ1270" s="3" t="s">
        <v>71</v>
      </c>
      <c r="AR1270" s="6" t="str">
        <f>HYPERLINK("http://catalog.hathitrust.org/Record/000124426","HathiTrust Record")</f>
        <v>HathiTrust Record</v>
      </c>
      <c r="AS1270" s="6" t="str">
        <f>HYPERLINK("https://creighton-primo.hosted.exlibrisgroup.com/primo-explore/search?tab=default_tab&amp;search_scope=EVERYTHING&amp;vid=01CRU&amp;lang=en_US&amp;offset=0&amp;query=any,contains,991000216249702656","Catalog Record")</f>
        <v>Catalog Record</v>
      </c>
      <c r="AT1270" s="6" t="str">
        <f>HYPERLINK("http://www.worldcat.org/oclc/9557799","WorldCat Record")</f>
        <v>WorldCat Record</v>
      </c>
      <c r="AU1270" s="3" t="s">
        <v>15938</v>
      </c>
      <c r="AV1270" s="3" t="s">
        <v>15939</v>
      </c>
      <c r="AW1270" s="3" t="s">
        <v>15940</v>
      </c>
      <c r="AX1270" s="3" t="s">
        <v>15940</v>
      </c>
      <c r="AY1270" s="3" t="s">
        <v>15941</v>
      </c>
      <c r="AZ1270" s="3" t="s">
        <v>76</v>
      </c>
      <c r="BB1270" s="3" t="s">
        <v>15942</v>
      </c>
      <c r="BC1270" s="3" t="s">
        <v>15943</v>
      </c>
      <c r="BD1270" s="3" t="s">
        <v>15944</v>
      </c>
    </row>
    <row r="1271" spans="1:56" ht="52.5" customHeight="1" x14ac:dyDescent="0.25">
      <c r="A1271" s="7" t="s">
        <v>59</v>
      </c>
      <c r="B1271" s="2" t="s">
        <v>15945</v>
      </c>
      <c r="C1271" s="2" t="s">
        <v>15946</v>
      </c>
      <c r="D1271" s="2" t="s">
        <v>15947</v>
      </c>
      <c r="F1271" s="3" t="s">
        <v>59</v>
      </c>
      <c r="G1271" s="3" t="s">
        <v>60</v>
      </c>
      <c r="H1271" s="3" t="s">
        <v>59</v>
      </c>
      <c r="I1271" s="3" t="s">
        <v>59</v>
      </c>
      <c r="J1271" s="3" t="s">
        <v>61</v>
      </c>
      <c r="L1271" s="2" t="s">
        <v>15948</v>
      </c>
      <c r="M1271" s="3" t="s">
        <v>365</v>
      </c>
      <c r="O1271" s="3" t="s">
        <v>65</v>
      </c>
      <c r="P1271" s="3" t="s">
        <v>323</v>
      </c>
      <c r="R1271" s="3" t="s">
        <v>68</v>
      </c>
      <c r="S1271" s="4">
        <v>11</v>
      </c>
      <c r="T1271" s="4">
        <v>11</v>
      </c>
      <c r="U1271" s="5" t="s">
        <v>15949</v>
      </c>
      <c r="V1271" s="5" t="s">
        <v>15949</v>
      </c>
      <c r="W1271" s="5" t="s">
        <v>12492</v>
      </c>
      <c r="X1271" s="5" t="s">
        <v>12492</v>
      </c>
      <c r="Y1271" s="4">
        <v>500</v>
      </c>
      <c r="Z1271" s="4">
        <v>441</v>
      </c>
      <c r="AA1271" s="4">
        <v>447</v>
      </c>
      <c r="AB1271" s="4">
        <v>4</v>
      </c>
      <c r="AC1271" s="4">
        <v>4</v>
      </c>
      <c r="AD1271" s="4">
        <v>20</v>
      </c>
      <c r="AE1271" s="4">
        <v>20</v>
      </c>
      <c r="AF1271" s="4">
        <v>8</v>
      </c>
      <c r="AG1271" s="4">
        <v>8</v>
      </c>
      <c r="AH1271" s="4">
        <v>4</v>
      </c>
      <c r="AI1271" s="4">
        <v>4</v>
      </c>
      <c r="AJ1271" s="4">
        <v>8</v>
      </c>
      <c r="AK1271" s="4">
        <v>8</v>
      </c>
      <c r="AL1271" s="4">
        <v>3</v>
      </c>
      <c r="AM1271" s="4">
        <v>3</v>
      </c>
      <c r="AN1271" s="4">
        <v>1</v>
      </c>
      <c r="AO1271" s="4">
        <v>1</v>
      </c>
      <c r="AP1271" s="3" t="s">
        <v>59</v>
      </c>
      <c r="AQ1271" s="3" t="s">
        <v>71</v>
      </c>
      <c r="AR1271" s="6" t="str">
        <f>HYPERLINK("http://catalog.hathitrust.org/Record/001290809","HathiTrust Record")</f>
        <v>HathiTrust Record</v>
      </c>
      <c r="AS1271" s="6" t="str">
        <f>HYPERLINK("https://creighton-primo.hosted.exlibrisgroup.com/primo-explore/search?tab=default_tab&amp;search_scope=EVERYTHING&amp;vid=01CRU&amp;lang=en_US&amp;offset=0&amp;query=any,contains,991001488729702656","Catalog Record")</f>
        <v>Catalog Record</v>
      </c>
      <c r="AT1271" s="6" t="str">
        <f>HYPERLINK("http://www.worldcat.org/oclc/19676104","WorldCat Record")</f>
        <v>WorldCat Record</v>
      </c>
      <c r="AU1271" s="3" t="s">
        <v>15950</v>
      </c>
      <c r="AV1271" s="3" t="s">
        <v>15951</v>
      </c>
      <c r="AW1271" s="3" t="s">
        <v>15952</v>
      </c>
      <c r="AX1271" s="3" t="s">
        <v>15952</v>
      </c>
      <c r="AY1271" s="3" t="s">
        <v>15953</v>
      </c>
      <c r="AZ1271" s="3" t="s">
        <v>76</v>
      </c>
      <c r="BB1271" s="3" t="s">
        <v>15954</v>
      </c>
      <c r="BC1271" s="3" t="s">
        <v>15955</v>
      </c>
      <c r="BD1271" s="3" t="s">
        <v>15956</v>
      </c>
    </row>
    <row r="1272" spans="1:56" ht="52.5" customHeight="1" x14ac:dyDescent="0.25">
      <c r="A1272" s="7" t="s">
        <v>59</v>
      </c>
      <c r="B1272" s="2" t="s">
        <v>15957</v>
      </c>
      <c r="C1272" s="2" t="s">
        <v>15958</v>
      </c>
      <c r="D1272" s="2" t="s">
        <v>15959</v>
      </c>
      <c r="F1272" s="3" t="s">
        <v>59</v>
      </c>
      <c r="G1272" s="3" t="s">
        <v>60</v>
      </c>
      <c r="H1272" s="3" t="s">
        <v>59</v>
      </c>
      <c r="I1272" s="3" t="s">
        <v>59</v>
      </c>
      <c r="J1272" s="3" t="s">
        <v>61</v>
      </c>
      <c r="K1272" s="2" t="s">
        <v>15960</v>
      </c>
      <c r="L1272" s="2" t="s">
        <v>15961</v>
      </c>
      <c r="M1272" s="3" t="s">
        <v>756</v>
      </c>
      <c r="N1272" s="2" t="s">
        <v>435</v>
      </c>
      <c r="O1272" s="3" t="s">
        <v>65</v>
      </c>
      <c r="P1272" s="3" t="s">
        <v>283</v>
      </c>
      <c r="R1272" s="3" t="s">
        <v>68</v>
      </c>
      <c r="S1272" s="4">
        <v>1</v>
      </c>
      <c r="T1272" s="4">
        <v>1</v>
      </c>
      <c r="U1272" s="5" t="s">
        <v>15962</v>
      </c>
      <c r="V1272" s="5" t="s">
        <v>15962</v>
      </c>
      <c r="W1272" s="5" t="s">
        <v>716</v>
      </c>
      <c r="X1272" s="5" t="s">
        <v>716</v>
      </c>
      <c r="Y1272" s="4">
        <v>374</v>
      </c>
      <c r="Z1272" s="4">
        <v>334</v>
      </c>
      <c r="AA1272" s="4">
        <v>347</v>
      </c>
      <c r="AB1272" s="4">
        <v>1</v>
      </c>
      <c r="AC1272" s="4">
        <v>1</v>
      </c>
      <c r="AD1272" s="4">
        <v>15</v>
      </c>
      <c r="AE1272" s="4">
        <v>15</v>
      </c>
      <c r="AF1272" s="4">
        <v>5</v>
      </c>
      <c r="AG1272" s="4">
        <v>5</v>
      </c>
      <c r="AH1272" s="4">
        <v>3</v>
      </c>
      <c r="AI1272" s="4">
        <v>3</v>
      </c>
      <c r="AJ1272" s="4">
        <v>8</v>
      </c>
      <c r="AK1272" s="4">
        <v>8</v>
      </c>
      <c r="AL1272" s="4">
        <v>0</v>
      </c>
      <c r="AM1272" s="4">
        <v>0</v>
      </c>
      <c r="AN1272" s="4">
        <v>0</v>
      </c>
      <c r="AO1272" s="4">
        <v>0</v>
      </c>
      <c r="AP1272" s="3" t="s">
        <v>59</v>
      </c>
      <c r="AQ1272" s="3" t="s">
        <v>71</v>
      </c>
      <c r="AR1272" s="6" t="str">
        <f>HYPERLINK("http://catalog.hathitrust.org/Record/000431348","HathiTrust Record")</f>
        <v>HathiTrust Record</v>
      </c>
      <c r="AS1272" s="6" t="str">
        <f>HYPERLINK("https://creighton-primo.hosted.exlibrisgroup.com/primo-explore/search?tab=default_tab&amp;search_scope=EVERYTHING&amp;vid=01CRU&amp;lang=en_US&amp;offset=0&amp;query=any,contains,991002681859702656","Catalog Record")</f>
        <v>Catalog Record</v>
      </c>
      <c r="AT1272" s="6" t="str">
        <f>HYPERLINK("http://www.worldcat.org/oclc/398654","WorldCat Record")</f>
        <v>WorldCat Record</v>
      </c>
      <c r="AU1272" s="3" t="s">
        <v>15963</v>
      </c>
      <c r="AV1272" s="3" t="s">
        <v>15964</v>
      </c>
      <c r="AW1272" s="3" t="s">
        <v>15965</v>
      </c>
      <c r="AX1272" s="3" t="s">
        <v>15965</v>
      </c>
      <c r="AY1272" s="3" t="s">
        <v>15966</v>
      </c>
      <c r="AZ1272" s="3" t="s">
        <v>76</v>
      </c>
      <c r="BC1272" s="3" t="s">
        <v>15967</v>
      </c>
      <c r="BD1272" s="3" t="s">
        <v>15968</v>
      </c>
    </row>
    <row r="1273" spans="1:56" ht="52.5" customHeight="1" x14ac:dyDescent="0.25">
      <c r="A1273" s="7" t="s">
        <v>59</v>
      </c>
      <c r="B1273" s="2" t="s">
        <v>15969</v>
      </c>
      <c r="C1273" s="2" t="s">
        <v>15970</v>
      </c>
      <c r="D1273" s="2" t="s">
        <v>15971</v>
      </c>
      <c r="F1273" s="3" t="s">
        <v>59</v>
      </c>
      <c r="G1273" s="3" t="s">
        <v>60</v>
      </c>
      <c r="H1273" s="3" t="s">
        <v>59</v>
      </c>
      <c r="I1273" s="3" t="s">
        <v>59</v>
      </c>
      <c r="J1273" s="3" t="s">
        <v>61</v>
      </c>
      <c r="K1273" s="2" t="s">
        <v>15972</v>
      </c>
      <c r="L1273" s="2" t="s">
        <v>15973</v>
      </c>
      <c r="M1273" s="3" t="s">
        <v>1163</v>
      </c>
      <c r="N1273" s="2" t="s">
        <v>15974</v>
      </c>
      <c r="O1273" s="3" t="s">
        <v>65</v>
      </c>
      <c r="P1273" s="3" t="s">
        <v>66</v>
      </c>
      <c r="R1273" s="3" t="s">
        <v>68</v>
      </c>
      <c r="S1273" s="4">
        <v>13</v>
      </c>
      <c r="T1273" s="4">
        <v>13</v>
      </c>
      <c r="U1273" s="5" t="s">
        <v>15975</v>
      </c>
      <c r="V1273" s="5" t="s">
        <v>15975</v>
      </c>
      <c r="W1273" s="5" t="s">
        <v>716</v>
      </c>
      <c r="X1273" s="5" t="s">
        <v>716</v>
      </c>
      <c r="Y1273" s="4">
        <v>129</v>
      </c>
      <c r="Z1273" s="4">
        <v>125</v>
      </c>
      <c r="AA1273" s="4">
        <v>799</v>
      </c>
      <c r="AB1273" s="4">
        <v>1</v>
      </c>
      <c r="AC1273" s="4">
        <v>5</v>
      </c>
      <c r="AD1273" s="4">
        <v>4</v>
      </c>
      <c r="AE1273" s="4">
        <v>25</v>
      </c>
      <c r="AF1273" s="4">
        <v>2</v>
      </c>
      <c r="AG1273" s="4">
        <v>9</v>
      </c>
      <c r="AH1273" s="4">
        <v>1</v>
      </c>
      <c r="AI1273" s="4">
        <v>5</v>
      </c>
      <c r="AJ1273" s="4">
        <v>2</v>
      </c>
      <c r="AK1273" s="4">
        <v>14</v>
      </c>
      <c r="AL1273" s="4">
        <v>0</v>
      </c>
      <c r="AM1273" s="4">
        <v>3</v>
      </c>
      <c r="AN1273" s="4">
        <v>0</v>
      </c>
      <c r="AO1273" s="4">
        <v>0</v>
      </c>
      <c r="AP1273" s="3" t="s">
        <v>59</v>
      </c>
      <c r="AQ1273" s="3" t="s">
        <v>59</v>
      </c>
      <c r="AS1273" s="6" t="str">
        <f>HYPERLINK("https://creighton-primo.hosted.exlibrisgroup.com/primo-explore/search?tab=default_tab&amp;search_scope=EVERYTHING&amp;vid=01CRU&amp;lang=en_US&amp;offset=0&amp;query=any,contains,991000751099702656","Catalog Record")</f>
        <v>Catalog Record</v>
      </c>
      <c r="AT1273" s="6" t="str">
        <f>HYPERLINK("http://www.worldcat.org/oclc/12929384","WorldCat Record")</f>
        <v>WorldCat Record</v>
      </c>
      <c r="AU1273" s="3" t="s">
        <v>15976</v>
      </c>
      <c r="AV1273" s="3" t="s">
        <v>15977</v>
      </c>
      <c r="AW1273" s="3" t="s">
        <v>15978</v>
      </c>
      <c r="AX1273" s="3" t="s">
        <v>15978</v>
      </c>
      <c r="AY1273" s="3" t="s">
        <v>15979</v>
      </c>
      <c r="AZ1273" s="3" t="s">
        <v>76</v>
      </c>
      <c r="BB1273" s="3" t="s">
        <v>15980</v>
      </c>
      <c r="BC1273" s="3" t="s">
        <v>15981</v>
      </c>
      <c r="BD1273" s="3" t="s">
        <v>15982</v>
      </c>
    </row>
    <row r="1274" spans="1:56" ht="52.5" customHeight="1" x14ac:dyDescent="0.25">
      <c r="A1274" s="7" t="s">
        <v>59</v>
      </c>
      <c r="B1274" s="2" t="s">
        <v>15983</v>
      </c>
      <c r="C1274" s="2" t="s">
        <v>15984</v>
      </c>
      <c r="D1274" s="2" t="s">
        <v>15985</v>
      </c>
      <c r="F1274" s="3" t="s">
        <v>59</v>
      </c>
      <c r="G1274" s="3" t="s">
        <v>60</v>
      </c>
      <c r="H1274" s="3" t="s">
        <v>59</v>
      </c>
      <c r="I1274" s="3" t="s">
        <v>59</v>
      </c>
      <c r="J1274" s="3" t="s">
        <v>61</v>
      </c>
      <c r="K1274" s="2" t="s">
        <v>15972</v>
      </c>
      <c r="L1274" s="2" t="s">
        <v>15986</v>
      </c>
      <c r="M1274" s="3" t="s">
        <v>164</v>
      </c>
      <c r="O1274" s="3" t="s">
        <v>65</v>
      </c>
      <c r="P1274" s="3" t="s">
        <v>66</v>
      </c>
      <c r="R1274" s="3" t="s">
        <v>68</v>
      </c>
      <c r="S1274" s="4">
        <v>8</v>
      </c>
      <c r="T1274" s="4">
        <v>8</v>
      </c>
      <c r="U1274" s="5" t="s">
        <v>15987</v>
      </c>
      <c r="V1274" s="5" t="s">
        <v>15987</v>
      </c>
      <c r="W1274" s="5" t="s">
        <v>716</v>
      </c>
      <c r="X1274" s="5" t="s">
        <v>716</v>
      </c>
      <c r="Y1274" s="4">
        <v>1119</v>
      </c>
      <c r="Z1274" s="4">
        <v>1037</v>
      </c>
      <c r="AA1274" s="4">
        <v>1193</v>
      </c>
      <c r="AB1274" s="4">
        <v>5</v>
      </c>
      <c r="AC1274" s="4">
        <v>7</v>
      </c>
      <c r="AD1274" s="4">
        <v>28</v>
      </c>
      <c r="AE1274" s="4">
        <v>35</v>
      </c>
      <c r="AF1274" s="4">
        <v>13</v>
      </c>
      <c r="AG1274" s="4">
        <v>16</v>
      </c>
      <c r="AH1274" s="4">
        <v>6</v>
      </c>
      <c r="AI1274" s="4">
        <v>7</v>
      </c>
      <c r="AJ1274" s="4">
        <v>14</v>
      </c>
      <c r="AK1274" s="4">
        <v>15</v>
      </c>
      <c r="AL1274" s="4">
        <v>2</v>
      </c>
      <c r="AM1274" s="4">
        <v>4</v>
      </c>
      <c r="AN1274" s="4">
        <v>0</v>
      </c>
      <c r="AO1274" s="4">
        <v>0</v>
      </c>
      <c r="AP1274" s="3" t="s">
        <v>59</v>
      </c>
      <c r="AQ1274" s="3" t="s">
        <v>59</v>
      </c>
      <c r="AS1274" s="6" t="str">
        <f>HYPERLINK("https://creighton-primo.hosted.exlibrisgroup.com/primo-explore/search?tab=default_tab&amp;search_scope=EVERYTHING&amp;vid=01CRU&amp;lang=en_US&amp;offset=0&amp;query=any,contains,991004896379702656","Catalog Record")</f>
        <v>Catalog Record</v>
      </c>
      <c r="AT1274" s="6" t="str">
        <f>HYPERLINK("http://www.worldcat.org/oclc/5894206","WorldCat Record")</f>
        <v>WorldCat Record</v>
      </c>
      <c r="AU1274" s="3" t="s">
        <v>15988</v>
      </c>
      <c r="AV1274" s="3" t="s">
        <v>15989</v>
      </c>
      <c r="AW1274" s="3" t="s">
        <v>15990</v>
      </c>
      <c r="AX1274" s="3" t="s">
        <v>15990</v>
      </c>
      <c r="AY1274" s="3" t="s">
        <v>15991</v>
      </c>
      <c r="AZ1274" s="3" t="s">
        <v>76</v>
      </c>
      <c r="BB1274" s="3" t="s">
        <v>15992</v>
      </c>
      <c r="BC1274" s="3" t="s">
        <v>15993</v>
      </c>
      <c r="BD1274" s="3" t="s">
        <v>15994</v>
      </c>
    </row>
    <row r="1275" spans="1:56" ht="52.5" customHeight="1" x14ac:dyDescent="0.25">
      <c r="A1275" s="7" t="s">
        <v>59</v>
      </c>
      <c r="B1275" s="2" t="s">
        <v>15995</v>
      </c>
      <c r="C1275" s="2" t="s">
        <v>15996</v>
      </c>
      <c r="D1275" s="2" t="s">
        <v>15997</v>
      </c>
      <c r="F1275" s="3" t="s">
        <v>59</v>
      </c>
      <c r="G1275" s="3" t="s">
        <v>60</v>
      </c>
      <c r="H1275" s="3" t="s">
        <v>59</v>
      </c>
      <c r="I1275" s="3" t="s">
        <v>59</v>
      </c>
      <c r="J1275" s="3" t="s">
        <v>61</v>
      </c>
      <c r="K1275" s="2" t="s">
        <v>15998</v>
      </c>
      <c r="L1275" s="2" t="s">
        <v>5282</v>
      </c>
      <c r="M1275" s="3" t="s">
        <v>309</v>
      </c>
      <c r="O1275" s="3" t="s">
        <v>65</v>
      </c>
      <c r="P1275" s="3" t="s">
        <v>283</v>
      </c>
      <c r="R1275" s="3" t="s">
        <v>68</v>
      </c>
      <c r="S1275" s="4">
        <v>15</v>
      </c>
      <c r="T1275" s="4">
        <v>15</v>
      </c>
      <c r="U1275" s="5" t="s">
        <v>15999</v>
      </c>
      <c r="V1275" s="5" t="s">
        <v>15999</v>
      </c>
      <c r="W1275" s="5" t="s">
        <v>2859</v>
      </c>
      <c r="X1275" s="5" t="s">
        <v>2859</v>
      </c>
      <c r="Y1275" s="4">
        <v>786</v>
      </c>
      <c r="Z1275" s="4">
        <v>661</v>
      </c>
      <c r="AA1275" s="4">
        <v>662</v>
      </c>
      <c r="AB1275" s="4">
        <v>6</v>
      </c>
      <c r="AC1275" s="4">
        <v>6</v>
      </c>
      <c r="AD1275" s="4">
        <v>27</v>
      </c>
      <c r="AE1275" s="4">
        <v>27</v>
      </c>
      <c r="AF1275" s="4">
        <v>12</v>
      </c>
      <c r="AG1275" s="4">
        <v>12</v>
      </c>
      <c r="AH1275" s="4">
        <v>5</v>
      </c>
      <c r="AI1275" s="4">
        <v>5</v>
      </c>
      <c r="AJ1275" s="4">
        <v>11</v>
      </c>
      <c r="AK1275" s="4">
        <v>11</v>
      </c>
      <c r="AL1275" s="4">
        <v>4</v>
      </c>
      <c r="AM1275" s="4">
        <v>4</v>
      </c>
      <c r="AN1275" s="4">
        <v>0</v>
      </c>
      <c r="AO1275" s="4">
        <v>0</v>
      </c>
      <c r="AP1275" s="3" t="s">
        <v>59</v>
      </c>
      <c r="AQ1275" s="3" t="s">
        <v>71</v>
      </c>
      <c r="AR1275" s="6" t="str">
        <f>HYPERLINK("http://catalog.hathitrust.org/Record/000134312","HathiTrust Record")</f>
        <v>HathiTrust Record</v>
      </c>
      <c r="AS1275" s="6" t="str">
        <f>HYPERLINK("https://creighton-primo.hosted.exlibrisgroup.com/primo-explore/search?tab=default_tab&amp;search_scope=EVERYTHING&amp;vid=01CRU&amp;lang=en_US&amp;offset=0&amp;query=any,contains,991005253809702656","Catalog Record")</f>
        <v>Catalog Record</v>
      </c>
      <c r="AT1275" s="6" t="str">
        <f>HYPERLINK("http://www.worldcat.org/oclc/3806909","WorldCat Record")</f>
        <v>WorldCat Record</v>
      </c>
      <c r="AU1275" s="3" t="s">
        <v>16000</v>
      </c>
      <c r="AV1275" s="3" t="s">
        <v>16001</v>
      </c>
      <c r="AW1275" s="3" t="s">
        <v>16002</v>
      </c>
      <c r="AX1275" s="3" t="s">
        <v>16002</v>
      </c>
      <c r="AY1275" s="3" t="s">
        <v>16003</v>
      </c>
      <c r="AZ1275" s="3" t="s">
        <v>76</v>
      </c>
      <c r="BB1275" s="3" t="s">
        <v>16004</v>
      </c>
      <c r="BC1275" s="3" t="s">
        <v>16005</v>
      </c>
      <c r="BD1275" s="3" t="s">
        <v>16006</v>
      </c>
    </row>
    <row r="1276" spans="1:56" ht="52.5" customHeight="1" x14ac:dyDescent="0.25">
      <c r="A1276" s="7" t="s">
        <v>59</v>
      </c>
      <c r="B1276" s="2" t="s">
        <v>16007</v>
      </c>
      <c r="C1276" s="2" t="s">
        <v>16008</v>
      </c>
      <c r="D1276" s="2" t="s">
        <v>16009</v>
      </c>
      <c r="F1276" s="3" t="s">
        <v>59</v>
      </c>
      <c r="G1276" s="3" t="s">
        <v>60</v>
      </c>
      <c r="H1276" s="3" t="s">
        <v>71</v>
      </c>
      <c r="I1276" s="3" t="s">
        <v>59</v>
      </c>
      <c r="J1276" s="3" t="s">
        <v>61</v>
      </c>
      <c r="K1276" s="2" t="s">
        <v>16010</v>
      </c>
      <c r="L1276" s="2" t="s">
        <v>16011</v>
      </c>
      <c r="M1276" s="3" t="s">
        <v>1163</v>
      </c>
      <c r="O1276" s="3" t="s">
        <v>65</v>
      </c>
      <c r="P1276" s="3" t="s">
        <v>66</v>
      </c>
      <c r="R1276" s="3" t="s">
        <v>68</v>
      </c>
      <c r="S1276" s="4">
        <v>12</v>
      </c>
      <c r="T1276" s="4">
        <v>12</v>
      </c>
      <c r="U1276" s="5" t="s">
        <v>16012</v>
      </c>
      <c r="V1276" s="5" t="s">
        <v>16012</v>
      </c>
      <c r="W1276" s="5" t="s">
        <v>2859</v>
      </c>
      <c r="X1276" s="5" t="s">
        <v>16013</v>
      </c>
      <c r="Y1276" s="4">
        <v>348</v>
      </c>
      <c r="Z1276" s="4">
        <v>288</v>
      </c>
      <c r="AA1276" s="4">
        <v>290</v>
      </c>
      <c r="AB1276" s="4">
        <v>5</v>
      </c>
      <c r="AC1276" s="4">
        <v>5</v>
      </c>
      <c r="AD1276" s="4">
        <v>14</v>
      </c>
      <c r="AE1276" s="4">
        <v>14</v>
      </c>
      <c r="AF1276" s="4">
        <v>5</v>
      </c>
      <c r="AG1276" s="4">
        <v>5</v>
      </c>
      <c r="AH1276" s="4">
        <v>3</v>
      </c>
      <c r="AI1276" s="4">
        <v>3</v>
      </c>
      <c r="AJ1276" s="4">
        <v>11</v>
      </c>
      <c r="AK1276" s="4">
        <v>11</v>
      </c>
      <c r="AL1276" s="4">
        <v>2</v>
      </c>
      <c r="AM1276" s="4">
        <v>2</v>
      </c>
      <c r="AN1276" s="4">
        <v>0</v>
      </c>
      <c r="AO1276" s="4">
        <v>0</v>
      </c>
      <c r="AP1276" s="3" t="s">
        <v>59</v>
      </c>
      <c r="AQ1276" s="3" t="s">
        <v>71</v>
      </c>
      <c r="AR1276" s="6" t="str">
        <f>HYPERLINK("http://catalog.hathitrust.org/Record/000616176","HathiTrust Record")</f>
        <v>HathiTrust Record</v>
      </c>
      <c r="AS1276" s="6" t="str">
        <f>HYPERLINK("https://creighton-primo.hosted.exlibrisgroup.com/primo-explore/search?tab=default_tab&amp;search_scope=EVERYTHING&amp;vid=01CRU&amp;lang=en_US&amp;offset=0&amp;query=any,contains,991001630079702656","Catalog Record")</f>
        <v>Catalog Record</v>
      </c>
      <c r="AT1276" s="6" t="str">
        <f>HYPERLINK("http://www.worldcat.org/oclc/11867244","WorldCat Record")</f>
        <v>WorldCat Record</v>
      </c>
      <c r="AU1276" s="3" t="s">
        <v>16014</v>
      </c>
      <c r="AV1276" s="3" t="s">
        <v>16015</v>
      </c>
      <c r="AW1276" s="3" t="s">
        <v>16016</v>
      </c>
      <c r="AX1276" s="3" t="s">
        <v>16016</v>
      </c>
      <c r="AY1276" s="3" t="s">
        <v>16017</v>
      </c>
      <c r="AZ1276" s="3" t="s">
        <v>76</v>
      </c>
      <c r="BB1276" s="3" t="s">
        <v>16018</v>
      </c>
      <c r="BC1276" s="3" t="s">
        <v>16019</v>
      </c>
      <c r="BD1276" s="3" t="s">
        <v>16020</v>
      </c>
    </row>
    <row r="1277" spans="1:56" ht="52.5" customHeight="1" x14ac:dyDescent="0.25">
      <c r="A1277" s="7" t="s">
        <v>59</v>
      </c>
      <c r="B1277" s="2" t="s">
        <v>16021</v>
      </c>
      <c r="C1277" s="2" t="s">
        <v>16022</v>
      </c>
      <c r="D1277" s="2" t="s">
        <v>16023</v>
      </c>
      <c r="F1277" s="3" t="s">
        <v>59</v>
      </c>
      <c r="G1277" s="3" t="s">
        <v>60</v>
      </c>
      <c r="H1277" s="3" t="s">
        <v>71</v>
      </c>
      <c r="I1277" s="3" t="s">
        <v>59</v>
      </c>
      <c r="J1277" s="3" t="s">
        <v>61</v>
      </c>
      <c r="K1277" s="2" t="s">
        <v>16024</v>
      </c>
      <c r="L1277" s="2" t="s">
        <v>16025</v>
      </c>
      <c r="M1277" s="3" t="s">
        <v>1163</v>
      </c>
      <c r="O1277" s="3" t="s">
        <v>65</v>
      </c>
      <c r="P1277" s="3" t="s">
        <v>66</v>
      </c>
      <c r="R1277" s="3" t="s">
        <v>68</v>
      </c>
      <c r="S1277" s="4">
        <v>21</v>
      </c>
      <c r="T1277" s="4">
        <v>21</v>
      </c>
      <c r="U1277" s="5" t="s">
        <v>16026</v>
      </c>
      <c r="V1277" s="5" t="s">
        <v>16026</v>
      </c>
      <c r="W1277" s="5" t="s">
        <v>5460</v>
      </c>
      <c r="X1277" s="5" t="s">
        <v>16013</v>
      </c>
      <c r="Y1277" s="4">
        <v>518</v>
      </c>
      <c r="Z1277" s="4">
        <v>467</v>
      </c>
      <c r="AA1277" s="4">
        <v>482</v>
      </c>
      <c r="AB1277" s="4">
        <v>6</v>
      </c>
      <c r="AC1277" s="4">
        <v>6</v>
      </c>
      <c r="AD1277" s="4">
        <v>17</v>
      </c>
      <c r="AE1277" s="4">
        <v>17</v>
      </c>
      <c r="AF1277" s="4">
        <v>5</v>
      </c>
      <c r="AG1277" s="4">
        <v>5</v>
      </c>
      <c r="AH1277" s="4">
        <v>5</v>
      </c>
      <c r="AI1277" s="4">
        <v>5</v>
      </c>
      <c r="AJ1277" s="4">
        <v>6</v>
      </c>
      <c r="AK1277" s="4">
        <v>6</v>
      </c>
      <c r="AL1277" s="4">
        <v>3</v>
      </c>
      <c r="AM1277" s="4">
        <v>3</v>
      </c>
      <c r="AN1277" s="4">
        <v>1</v>
      </c>
      <c r="AO1277" s="4">
        <v>1</v>
      </c>
      <c r="AP1277" s="3" t="s">
        <v>59</v>
      </c>
      <c r="AQ1277" s="3" t="s">
        <v>71</v>
      </c>
      <c r="AR1277" s="6" t="str">
        <f>HYPERLINK("http://catalog.hathitrust.org/Record/000380751","HathiTrust Record")</f>
        <v>HathiTrust Record</v>
      </c>
      <c r="AS1277" s="6" t="str">
        <f>HYPERLINK("https://creighton-primo.hosted.exlibrisgroup.com/primo-explore/search?tab=default_tab&amp;search_scope=EVERYTHING&amp;vid=01CRU&amp;lang=en_US&amp;offset=0&amp;query=any,contains,991001629669702656","Catalog Record")</f>
        <v>Catalog Record</v>
      </c>
      <c r="AT1277" s="6" t="str">
        <f>HYPERLINK("http://www.worldcat.org/oclc/11677467","WorldCat Record")</f>
        <v>WorldCat Record</v>
      </c>
      <c r="AU1277" s="3" t="s">
        <v>16027</v>
      </c>
      <c r="AV1277" s="3" t="s">
        <v>16028</v>
      </c>
      <c r="AW1277" s="3" t="s">
        <v>16029</v>
      </c>
      <c r="AX1277" s="3" t="s">
        <v>16029</v>
      </c>
      <c r="AY1277" s="3" t="s">
        <v>16030</v>
      </c>
      <c r="AZ1277" s="3" t="s">
        <v>76</v>
      </c>
      <c r="BB1277" s="3" t="s">
        <v>16031</v>
      </c>
      <c r="BC1277" s="3" t="s">
        <v>16032</v>
      </c>
      <c r="BD1277" s="3" t="s">
        <v>16033</v>
      </c>
    </row>
    <row r="1278" spans="1:56" ht="52.5" customHeight="1" x14ac:dyDescent="0.25">
      <c r="A1278" s="7" t="s">
        <v>59</v>
      </c>
      <c r="B1278" s="2" t="s">
        <v>16034</v>
      </c>
      <c r="C1278" s="2" t="s">
        <v>16035</v>
      </c>
      <c r="D1278" s="2" t="s">
        <v>16036</v>
      </c>
      <c r="F1278" s="3" t="s">
        <v>59</v>
      </c>
      <c r="G1278" s="3" t="s">
        <v>60</v>
      </c>
      <c r="H1278" s="3" t="s">
        <v>59</v>
      </c>
      <c r="I1278" s="3" t="s">
        <v>59</v>
      </c>
      <c r="J1278" s="3" t="s">
        <v>61</v>
      </c>
      <c r="K1278" s="2" t="s">
        <v>16037</v>
      </c>
      <c r="L1278" s="2" t="s">
        <v>16038</v>
      </c>
      <c r="M1278" s="3" t="s">
        <v>1163</v>
      </c>
      <c r="O1278" s="3" t="s">
        <v>65</v>
      </c>
      <c r="P1278" s="3" t="s">
        <v>1218</v>
      </c>
      <c r="Q1278" s="2" t="s">
        <v>13785</v>
      </c>
      <c r="R1278" s="3" t="s">
        <v>68</v>
      </c>
      <c r="S1278" s="4">
        <v>2</v>
      </c>
      <c r="T1278" s="4">
        <v>2</v>
      </c>
      <c r="U1278" s="5" t="s">
        <v>15913</v>
      </c>
      <c r="V1278" s="5" t="s">
        <v>15913</v>
      </c>
      <c r="W1278" s="5" t="s">
        <v>16039</v>
      </c>
      <c r="X1278" s="5" t="s">
        <v>16039</v>
      </c>
      <c r="Y1278" s="4">
        <v>578</v>
      </c>
      <c r="Z1278" s="4">
        <v>518</v>
      </c>
      <c r="AA1278" s="4">
        <v>521</v>
      </c>
      <c r="AB1278" s="4">
        <v>4</v>
      </c>
      <c r="AC1278" s="4">
        <v>4</v>
      </c>
      <c r="AD1278" s="4">
        <v>23</v>
      </c>
      <c r="AE1278" s="4">
        <v>23</v>
      </c>
      <c r="AF1278" s="4">
        <v>6</v>
      </c>
      <c r="AG1278" s="4">
        <v>6</v>
      </c>
      <c r="AH1278" s="4">
        <v>7</v>
      </c>
      <c r="AI1278" s="4">
        <v>7</v>
      </c>
      <c r="AJ1278" s="4">
        <v>13</v>
      </c>
      <c r="AK1278" s="4">
        <v>13</v>
      </c>
      <c r="AL1278" s="4">
        <v>3</v>
      </c>
      <c r="AM1278" s="4">
        <v>3</v>
      </c>
      <c r="AN1278" s="4">
        <v>0</v>
      </c>
      <c r="AO1278" s="4">
        <v>0</v>
      </c>
      <c r="AP1278" s="3" t="s">
        <v>59</v>
      </c>
      <c r="AQ1278" s="3" t="s">
        <v>71</v>
      </c>
      <c r="AR1278" s="6" t="str">
        <f>HYPERLINK("http://catalog.hathitrust.org/Record/000350807","HathiTrust Record")</f>
        <v>HathiTrust Record</v>
      </c>
      <c r="AS1278" s="6" t="str">
        <f>HYPERLINK("https://creighton-primo.hosted.exlibrisgroup.com/primo-explore/search?tab=default_tab&amp;search_scope=EVERYTHING&amp;vid=01CRU&amp;lang=en_US&amp;offset=0&amp;query=any,contains,991005253799702656","Catalog Record")</f>
        <v>Catalog Record</v>
      </c>
      <c r="AT1278" s="6" t="str">
        <f>HYPERLINK("http://www.worldcat.org/oclc/10780473","WorldCat Record")</f>
        <v>WorldCat Record</v>
      </c>
      <c r="AU1278" s="3" t="s">
        <v>16040</v>
      </c>
      <c r="AV1278" s="3" t="s">
        <v>16041</v>
      </c>
      <c r="AW1278" s="3" t="s">
        <v>16042</v>
      </c>
      <c r="AX1278" s="3" t="s">
        <v>16042</v>
      </c>
      <c r="AY1278" s="3" t="s">
        <v>16043</v>
      </c>
      <c r="AZ1278" s="3" t="s">
        <v>76</v>
      </c>
      <c r="BB1278" s="3" t="s">
        <v>16044</v>
      </c>
      <c r="BC1278" s="3" t="s">
        <v>16045</v>
      </c>
      <c r="BD1278" s="3" t="s">
        <v>16046</v>
      </c>
    </row>
    <row r="1279" spans="1:56" ht="52.5" customHeight="1" x14ac:dyDescent="0.25">
      <c r="A1279" s="7" t="s">
        <v>59</v>
      </c>
      <c r="B1279" s="2" t="s">
        <v>16047</v>
      </c>
      <c r="C1279" s="2" t="s">
        <v>16048</v>
      </c>
      <c r="D1279" s="2" t="s">
        <v>16049</v>
      </c>
      <c r="F1279" s="3" t="s">
        <v>59</v>
      </c>
      <c r="G1279" s="3" t="s">
        <v>60</v>
      </c>
      <c r="H1279" s="3" t="s">
        <v>59</v>
      </c>
      <c r="I1279" s="3" t="s">
        <v>59</v>
      </c>
      <c r="J1279" s="3" t="s">
        <v>61</v>
      </c>
      <c r="K1279" s="2" t="s">
        <v>16050</v>
      </c>
      <c r="L1279" s="2" t="s">
        <v>16051</v>
      </c>
      <c r="M1279" s="3" t="s">
        <v>1163</v>
      </c>
      <c r="O1279" s="3" t="s">
        <v>65</v>
      </c>
      <c r="P1279" s="3" t="s">
        <v>66</v>
      </c>
      <c r="R1279" s="3" t="s">
        <v>68</v>
      </c>
      <c r="S1279" s="4">
        <v>21</v>
      </c>
      <c r="T1279" s="4">
        <v>21</v>
      </c>
      <c r="U1279" s="5" t="s">
        <v>16052</v>
      </c>
      <c r="V1279" s="5" t="s">
        <v>16052</v>
      </c>
      <c r="W1279" s="5" t="s">
        <v>1454</v>
      </c>
      <c r="X1279" s="5" t="s">
        <v>1454</v>
      </c>
      <c r="Y1279" s="4">
        <v>552</v>
      </c>
      <c r="Z1279" s="4">
        <v>499</v>
      </c>
      <c r="AA1279" s="4">
        <v>548</v>
      </c>
      <c r="AB1279" s="4">
        <v>5</v>
      </c>
      <c r="AC1279" s="4">
        <v>5</v>
      </c>
      <c r="AD1279" s="4">
        <v>19</v>
      </c>
      <c r="AE1279" s="4">
        <v>19</v>
      </c>
      <c r="AF1279" s="4">
        <v>5</v>
      </c>
      <c r="AG1279" s="4">
        <v>5</v>
      </c>
      <c r="AH1279" s="4">
        <v>5</v>
      </c>
      <c r="AI1279" s="4">
        <v>5</v>
      </c>
      <c r="AJ1279" s="4">
        <v>8</v>
      </c>
      <c r="AK1279" s="4">
        <v>8</v>
      </c>
      <c r="AL1279" s="4">
        <v>4</v>
      </c>
      <c r="AM1279" s="4">
        <v>4</v>
      </c>
      <c r="AN1279" s="4">
        <v>1</v>
      </c>
      <c r="AO1279" s="4">
        <v>1</v>
      </c>
      <c r="AP1279" s="3" t="s">
        <v>59</v>
      </c>
      <c r="AQ1279" s="3" t="s">
        <v>71</v>
      </c>
      <c r="AR1279" s="6" t="str">
        <f>HYPERLINK("http://catalog.hathitrust.org/Record/000386831","HathiTrust Record")</f>
        <v>HathiTrust Record</v>
      </c>
      <c r="AS1279" s="6" t="str">
        <f>HYPERLINK("https://creighton-primo.hosted.exlibrisgroup.com/primo-explore/search?tab=default_tab&amp;search_scope=EVERYTHING&amp;vid=01CRU&amp;lang=en_US&amp;offset=0&amp;query=any,contains,991000242779702656","Catalog Record")</f>
        <v>Catalog Record</v>
      </c>
      <c r="AT1279" s="6" t="str">
        <f>HYPERLINK("http://www.worldcat.org/oclc/9685704","WorldCat Record")</f>
        <v>WorldCat Record</v>
      </c>
      <c r="AU1279" s="3" t="s">
        <v>16053</v>
      </c>
      <c r="AV1279" s="3" t="s">
        <v>16054</v>
      </c>
      <c r="AW1279" s="3" t="s">
        <v>16055</v>
      </c>
      <c r="AX1279" s="3" t="s">
        <v>16055</v>
      </c>
      <c r="AY1279" s="3" t="s">
        <v>16056</v>
      </c>
      <c r="AZ1279" s="3" t="s">
        <v>76</v>
      </c>
      <c r="BB1279" s="3" t="s">
        <v>16057</v>
      </c>
      <c r="BC1279" s="3" t="s">
        <v>16058</v>
      </c>
      <c r="BD1279" s="3" t="s">
        <v>16059</v>
      </c>
    </row>
    <row r="1280" spans="1:56" ht="52.5" customHeight="1" x14ac:dyDescent="0.25">
      <c r="A1280" s="7" t="s">
        <v>59</v>
      </c>
      <c r="B1280" s="2" t="s">
        <v>16060</v>
      </c>
      <c r="C1280" s="2" t="s">
        <v>16061</v>
      </c>
      <c r="D1280" s="2" t="s">
        <v>16062</v>
      </c>
      <c r="F1280" s="3" t="s">
        <v>59</v>
      </c>
      <c r="G1280" s="3" t="s">
        <v>60</v>
      </c>
      <c r="H1280" s="3" t="s">
        <v>59</v>
      </c>
      <c r="I1280" s="3" t="s">
        <v>59</v>
      </c>
      <c r="J1280" s="3" t="s">
        <v>61</v>
      </c>
      <c r="K1280" s="2" t="s">
        <v>16063</v>
      </c>
      <c r="L1280" s="2" t="s">
        <v>16064</v>
      </c>
      <c r="M1280" s="3" t="s">
        <v>115</v>
      </c>
      <c r="O1280" s="3" t="s">
        <v>65</v>
      </c>
      <c r="P1280" s="3" t="s">
        <v>66</v>
      </c>
      <c r="Q1280" s="2" t="s">
        <v>16065</v>
      </c>
      <c r="R1280" s="3" t="s">
        <v>68</v>
      </c>
      <c r="S1280" s="4">
        <v>11</v>
      </c>
      <c r="T1280" s="4">
        <v>11</v>
      </c>
      <c r="U1280" s="5" t="s">
        <v>16066</v>
      </c>
      <c r="V1280" s="5" t="s">
        <v>16066</v>
      </c>
      <c r="W1280" s="5" t="s">
        <v>2004</v>
      </c>
      <c r="X1280" s="5" t="s">
        <v>2004</v>
      </c>
      <c r="Y1280" s="4">
        <v>1067</v>
      </c>
      <c r="Z1280" s="4">
        <v>941</v>
      </c>
      <c r="AA1280" s="4">
        <v>1019</v>
      </c>
      <c r="AB1280" s="4">
        <v>7</v>
      </c>
      <c r="AC1280" s="4">
        <v>7</v>
      </c>
      <c r="AD1280" s="4">
        <v>35</v>
      </c>
      <c r="AE1280" s="4">
        <v>38</v>
      </c>
      <c r="AF1280" s="4">
        <v>14</v>
      </c>
      <c r="AG1280" s="4">
        <v>17</v>
      </c>
      <c r="AH1280" s="4">
        <v>9</v>
      </c>
      <c r="AI1280" s="4">
        <v>9</v>
      </c>
      <c r="AJ1280" s="4">
        <v>16</v>
      </c>
      <c r="AK1280" s="4">
        <v>17</v>
      </c>
      <c r="AL1280" s="4">
        <v>5</v>
      </c>
      <c r="AM1280" s="4">
        <v>5</v>
      </c>
      <c r="AN1280" s="4">
        <v>0</v>
      </c>
      <c r="AO1280" s="4">
        <v>0</v>
      </c>
      <c r="AP1280" s="3" t="s">
        <v>59</v>
      </c>
      <c r="AQ1280" s="3" t="s">
        <v>71</v>
      </c>
      <c r="AR1280" s="6" t="str">
        <f>HYPERLINK("http://catalog.hathitrust.org/Record/000471096","HathiTrust Record")</f>
        <v>HathiTrust Record</v>
      </c>
      <c r="AS1280" s="6" t="str">
        <f>HYPERLINK("https://creighton-primo.hosted.exlibrisgroup.com/primo-explore/search?tab=default_tab&amp;search_scope=EVERYTHING&amp;vid=01CRU&amp;lang=en_US&amp;offset=0&amp;query=any,contains,991002811989702656","Catalog Record")</f>
        <v>Catalog Record</v>
      </c>
      <c r="AT1280" s="6" t="str">
        <f>HYPERLINK("http://www.worldcat.org/oclc/456509","WorldCat Record")</f>
        <v>WorldCat Record</v>
      </c>
      <c r="AU1280" s="3" t="s">
        <v>16067</v>
      </c>
      <c r="AV1280" s="3" t="s">
        <v>16068</v>
      </c>
      <c r="AW1280" s="3" t="s">
        <v>16069</v>
      </c>
      <c r="AX1280" s="3" t="s">
        <v>16069</v>
      </c>
      <c r="AY1280" s="3" t="s">
        <v>16070</v>
      </c>
      <c r="AZ1280" s="3" t="s">
        <v>76</v>
      </c>
      <c r="BB1280" s="3" t="s">
        <v>16071</v>
      </c>
      <c r="BC1280" s="3" t="s">
        <v>16072</v>
      </c>
      <c r="BD1280" s="3" t="s">
        <v>16073</v>
      </c>
    </row>
    <row r="1281" spans="1:56" ht="52.5" customHeight="1" x14ac:dyDescent="0.25">
      <c r="A1281" s="7" t="s">
        <v>59</v>
      </c>
      <c r="B1281" s="2" t="s">
        <v>16074</v>
      </c>
      <c r="C1281" s="2" t="s">
        <v>16075</v>
      </c>
      <c r="D1281" s="2" t="s">
        <v>16076</v>
      </c>
      <c r="F1281" s="3" t="s">
        <v>59</v>
      </c>
      <c r="G1281" s="3" t="s">
        <v>60</v>
      </c>
      <c r="H1281" s="3" t="s">
        <v>59</v>
      </c>
      <c r="I1281" s="3" t="s">
        <v>59</v>
      </c>
      <c r="J1281" s="3" t="s">
        <v>61</v>
      </c>
      <c r="K1281" s="2" t="s">
        <v>16077</v>
      </c>
      <c r="L1281" s="2" t="s">
        <v>16078</v>
      </c>
      <c r="M1281" s="3" t="s">
        <v>1233</v>
      </c>
      <c r="O1281" s="3" t="s">
        <v>65</v>
      </c>
      <c r="P1281" s="3" t="s">
        <v>1218</v>
      </c>
      <c r="R1281" s="3" t="s">
        <v>68</v>
      </c>
      <c r="S1281" s="4">
        <v>14</v>
      </c>
      <c r="T1281" s="4">
        <v>14</v>
      </c>
      <c r="U1281" s="5" t="s">
        <v>16079</v>
      </c>
      <c r="V1281" s="5" t="s">
        <v>16079</v>
      </c>
      <c r="W1281" s="5" t="s">
        <v>269</v>
      </c>
      <c r="X1281" s="5" t="s">
        <v>269</v>
      </c>
      <c r="Y1281" s="4">
        <v>513</v>
      </c>
      <c r="Z1281" s="4">
        <v>403</v>
      </c>
      <c r="AA1281" s="4">
        <v>406</v>
      </c>
      <c r="AB1281" s="4">
        <v>1</v>
      </c>
      <c r="AC1281" s="4">
        <v>1</v>
      </c>
      <c r="AD1281" s="4">
        <v>11</v>
      </c>
      <c r="AE1281" s="4">
        <v>11</v>
      </c>
      <c r="AF1281" s="4">
        <v>4</v>
      </c>
      <c r="AG1281" s="4">
        <v>4</v>
      </c>
      <c r="AH1281" s="4">
        <v>5</v>
      </c>
      <c r="AI1281" s="4">
        <v>5</v>
      </c>
      <c r="AJ1281" s="4">
        <v>7</v>
      </c>
      <c r="AK1281" s="4">
        <v>7</v>
      </c>
      <c r="AL1281" s="4">
        <v>0</v>
      </c>
      <c r="AM1281" s="4">
        <v>0</v>
      </c>
      <c r="AN1281" s="4">
        <v>0</v>
      </c>
      <c r="AO1281" s="4">
        <v>0</v>
      </c>
      <c r="AP1281" s="3" t="s">
        <v>59</v>
      </c>
      <c r="AQ1281" s="3" t="s">
        <v>71</v>
      </c>
      <c r="AR1281" s="6" t="str">
        <f>HYPERLINK("http://catalog.hathitrust.org/Record/000471352","HathiTrust Record")</f>
        <v>HathiTrust Record</v>
      </c>
      <c r="AS1281" s="6" t="str">
        <f>HYPERLINK("https://creighton-primo.hosted.exlibrisgroup.com/primo-explore/search?tab=default_tab&amp;search_scope=EVERYTHING&amp;vid=01CRU&amp;lang=en_US&amp;offset=0&amp;query=any,contains,991002950999702656","Catalog Record")</f>
        <v>Catalog Record</v>
      </c>
      <c r="AT1281" s="6" t="str">
        <f>HYPERLINK("http://www.worldcat.org/oclc/538858","WorldCat Record")</f>
        <v>WorldCat Record</v>
      </c>
      <c r="AU1281" s="3" t="s">
        <v>16080</v>
      </c>
      <c r="AV1281" s="3" t="s">
        <v>16081</v>
      </c>
      <c r="AW1281" s="3" t="s">
        <v>16082</v>
      </c>
      <c r="AX1281" s="3" t="s">
        <v>16082</v>
      </c>
      <c r="AY1281" s="3" t="s">
        <v>16083</v>
      </c>
      <c r="AZ1281" s="3" t="s">
        <v>76</v>
      </c>
      <c r="BB1281" s="3" t="s">
        <v>16084</v>
      </c>
      <c r="BC1281" s="3" t="s">
        <v>16085</v>
      </c>
      <c r="BD1281" s="3" t="s">
        <v>16086</v>
      </c>
    </row>
    <row r="1282" spans="1:56" ht="52.5" customHeight="1" x14ac:dyDescent="0.25">
      <c r="A1282" s="7" t="s">
        <v>59</v>
      </c>
      <c r="B1282" s="2" t="s">
        <v>16087</v>
      </c>
      <c r="C1282" s="2" t="s">
        <v>16088</v>
      </c>
      <c r="D1282" s="2" t="s">
        <v>16089</v>
      </c>
      <c r="F1282" s="3" t="s">
        <v>59</v>
      </c>
      <c r="G1282" s="3" t="s">
        <v>60</v>
      </c>
      <c r="H1282" s="3" t="s">
        <v>59</v>
      </c>
      <c r="I1282" s="3" t="s">
        <v>59</v>
      </c>
      <c r="J1282" s="3" t="s">
        <v>61</v>
      </c>
      <c r="K1282" s="2" t="s">
        <v>16090</v>
      </c>
      <c r="L1282" s="2" t="s">
        <v>16091</v>
      </c>
      <c r="M1282" s="3" t="s">
        <v>5648</v>
      </c>
      <c r="O1282" s="3" t="s">
        <v>65</v>
      </c>
      <c r="P1282" s="3" t="s">
        <v>7774</v>
      </c>
      <c r="R1282" s="3" t="s">
        <v>68</v>
      </c>
      <c r="S1282" s="4">
        <v>7</v>
      </c>
      <c r="T1282" s="4">
        <v>7</v>
      </c>
      <c r="U1282" s="5" t="s">
        <v>11848</v>
      </c>
      <c r="V1282" s="5" t="s">
        <v>11848</v>
      </c>
      <c r="W1282" s="5" t="s">
        <v>4137</v>
      </c>
      <c r="X1282" s="5" t="s">
        <v>4137</v>
      </c>
      <c r="Y1282" s="4">
        <v>153</v>
      </c>
      <c r="Z1282" s="4">
        <v>129</v>
      </c>
      <c r="AA1282" s="4">
        <v>129</v>
      </c>
      <c r="AB1282" s="4">
        <v>1</v>
      </c>
      <c r="AC1282" s="4">
        <v>1</v>
      </c>
      <c r="AD1282" s="4">
        <v>5</v>
      </c>
      <c r="AE1282" s="4">
        <v>5</v>
      </c>
      <c r="AF1282" s="4">
        <v>2</v>
      </c>
      <c r="AG1282" s="4">
        <v>2</v>
      </c>
      <c r="AH1282" s="4">
        <v>1</v>
      </c>
      <c r="AI1282" s="4">
        <v>1</v>
      </c>
      <c r="AJ1282" s="4">
        <v>2</v>
      </c>
      <c r="AK1282" s="4">
        <v>2</v>
      </c>
      <c r="AL1282" s="4">
        <v>0</v>
      </c>
      <c r="AM1282" s="4">
        <v>0</v>
      </c>
      <c r="AN1282" s="4">
        <v>0</v>
      </c>
      <c r="AO1282" s="4">
        <v>0</v>
      </c>
      <c r="AP1282" s="3" t="s">
        <v>59</v>
      </c>
      <c r="AQ1282" s="3" t="s">
        <v>59</v>
      </c>
      <c r="AS1282" s="6" t="str">
        <f>HYPERLINK("https://creighton-primo.hosted.exlibrisgroup.com/primo-explore/search?tab=default_tab&amp;search_scope=EVERYTHING&amp;vid=01CRU&amp;lang=en_US&amp;offset=0&amp;query=any,contains,991001575639702656","Catalog Record")</f>
        <v>Catalog Record</v>
      </c>
      <c r="AT1282" s="6" t="str">
        <f>HYPERLINK("http://www.worldcat.org/oclc/20422859","WorldCat Record")</f>
        <v>WorldCat Record</v>
      </c>
      <c r="AU1282" s="3" t="s">
        <v>16092</v>
      </c>
      <c r="AV1282" s="3" t="s">
        <v>16093</v>
      </c>
      <c r="AW1282" s="3" t="s">
        <v>16094</v>
      </c>
      <c r="AX1282" s="3" t="s">
        <v>16094</v>
      </c>
      <c r="AY1282" s="3" t="s">
        <v>16095</v>
      </c>
      <c r="AZ1282" s="3" t="s">
        <v>76</v>
      </c>
      <c r="BB1282" s="3" t="s">
        <v>16096</v>
      </c>
      <c r="BC1282" s="3" t="s">
        <v>16097</v>
      </c>
      <c r="BD1282" s="3" t="s">
        <v>16098</v>
      </c>
    </row>
    <row r="1283" spans="1:56" ht="52.5" customHeight="1" x14ac:dyDescent="0.25">
      <c r="A1283" s="7" t="s">
        <v>59</v>
      </c>
      <c r="B1283" s="2" t="s">
        <v>16099</v>
      </c>
      <c r="C1283" s="2" t="s">
        <v>16100</v>
      </c>
      <c r="D1283" s="2" t="s">
        <v>16101</v>
      </c>
      <c r="F1283" s="3" t="s">
        <v>59</v>
      </c>
      <c r="G1283" s="3" t="s">
        <v>60</v>
      </c>
      <c r="H1283" s="3" t="s">
        <v>59</v>
      </c>
      <c r="I1283" s="3" t="s">
        <v>59</v>
      </c>
      <c r="J1283" s="3" t="s">
        <v>61</v>
      </c>
      <c r="K1283" s="2" t="s">
        <v>8705</v>
      </c>
      <c r="L1283" s="2" t="s">
        <v>16102</v>
      </c>
      <c r="M1283" s="3" t="s">
        <v>549</v>
      </c>
      <c r="O1283" s="3" t="s">
        <v>65</v>
      </c>
      <c r="P1283" s="3" t="s">
        <v>972</v>
      </c>
      <c r="R1283" s="3" t="s">
        <v>68</v>
      </c>
      <c r="S1283" s="4">
        <v>7</v>
      </c>
      <c r="T1283" s="4">
        <v>7</v>
      </c>
      <c r="U1283" s="5" t="s">
        <v>16103</v>
      </c>
      <c r="V1283" s="5" t="s">
        <v>16103</v>
      </c>
      <c r="W1283" s="5" t="s">
        <v>4255</v>
      </c>
      <c r="X1283" s="5" t="s">
        <v>4255</v>
      </c>
      <c r="Y1283" s="4">
        <v>153</v>
      </c>
      <c r="Z1283" s="4">
        <v>131</v>
      </c>
      <c r="AA1283" s="4">
        <v>191</v>
      </c>
      <c r="AB1283" s="4">
        <v>2</v>
      </c>
      <c r="AC1283" s="4">
        <v>2</v>
      </c>
      <c r="AD1283" s="4">
        <v>9</v>
      </c>
      <c r="AE1283" s="4">
        <v>9</v>
      </c>
      <c r="AF1283" s="4">
        <v>2</v>
      </c>
      <c r="AG1283" s="4">
        <v>2</v>
      </c>
      <c r="AH1283" s="4">
        <v>1</v>
      </c>
      <c r="AI1283" s="4">
        <v>1</v>
      </c>
      <c r="AJ1283" s="4">
        <v>7</v>
      </c>
      <c r="AK1283" s="4">
        <v>7</v>
      </c>
      <c r="AL1283" s="4">
        <v>0</v>
      </c>
      <c r="AM1283" s="4">
        <v>0</v>
      </c>
      <c r="AN1283" s="4">
        <v>0</v>
      </c>
      <c r="AO1283" s="4">
        <v>0</v>
      </c>
      <c r="AP1283" s="3" t="s">
        <v>59</v>
      </c>
      <c r="AQ1283" s="3" t="s">
        <v>59</v>
      </c>
      <c r="AS1283" s="6" t="str">
        <f>HYPERLINK("https://creighton-primo.hosted.exlibrisgroup.com/primo-explore/search?tab=default_tab&amp;search_scope=EVERYTHING&amp;vid=01CRU&amp;lang=en_US&amp;offset=0&amp;query=any,contains,991000925039702656","Catalog Record")</f>
        <v>Catalog Record</v>
      </c>
      <c r="AT1283" s="6" t="str">
        <f>HYPERLINK("http://www.worldcat.org/oclc/14238268","WorldCat Record")</f>
        <v>WorldCat Record</v>
      </c>
      <c r="AU1283" s="3" t="s">
        <v>16104</v>
      </c>
      <c r="AV1283" s="3" t="s">
        <v>16105</v>
      </c>
      <c r="AW1283" s="3" t="s">
        <v>16106</v>
      </c>
      <c r="AX1283" s="3" t="s">
        <v>16106</v>
      </c>
      <c r="AY1283" s="3" t="s">
        <v>16107</v>
      </c>
      <c r="AZ1283" s="3" t="s">
        <v>76</v>
      </c>
      <c r="BB1283" s="3" t="s">
        <v>16108</v>
      </c>
      <c r="BC1283" s="3" t="s">
        <v>16109</v>
      </c>
      <c r="BD1283" s="3" t="s">
        <v>16110</v>
      </c>
    </row>
    <row r="1284" spans="1:56" ht="52.5" customHeight="1" x14ac:dyDescent="0.25">
      <c r="A1284" s="7" t="s">
        <v>59</v>
      </c>
      <c r="B1284" s="2" t="s">
        <v>16111</v>
      </c>
      <c r="C1284" s="2" t="s">
        <v>16112</v>
      </c>
      <c r="D1284" s="2" t="s">
        <v>16113</v>
      </c>
      <c r="F1284" s="3" t="s">
        <v>59</v>
      </c>
      <c r="G1284" s="3" t="s">
        <v>60</v>
      </c>
      <c r="H1284" s="3" t="s">
        <v>59</v>
      </c>
      <c r="I1284" s="3" t="s">
        <v>59</v>
      </c>
      <c r="J1284" s="3" t="s">
        <v>61</v>
      </c>
      <c r="K1284" s="2" t="s">
        <v>16114</v>
      </c>
      <c r="L1284" s="2" t="s">
        <v>16115</v>
      </c>
      <c r="M1284" s="3" t="s">
        <v>350</v>
      </c>
      <c r="O1284" s="3" t="s">
        <v>65</v>
      </c>
      <c r="P1284" s="3" t="s">
        <v>66</v>
      </c>
      <c r="R1284" s="3" t="s">
        <v>68</v>
      </c>
      <c r="S1284" s="4">
        <v>5</v>
      </c>
      <c r="T1284" s="4">
        <v>5</v>
      </c>
      <c r="U1284" s="5" t="s">
        <v>16116</v>
      </c>
      <c r="V1284" s="5" t="s">
        <v>16116</v>
      </c>
      <c r="W1284" s="5" t="s">
        <v>5375</v>
      </c>
      <c r="X1284" s="5" t="s">
        <v>5375</v>
      </c>
      <c r="Y1284" s="4">
        <v>797</v>
      </c>
      <c r="Z1284" s="4">
        <v>659</v>
      </c>
      <c r="AA1284" s="4">
        <v>662</v>
      </c>
      <c r="AB1284" s="4">
        <v>4</v>
      </c>
      <c r="AC1284" s="4">
        <v>4</v>
      </c>
      <c r="AD1284" s="4">
        <v>21</v>
      </c>
      <c r="AE1284" s="4">
        <v>21</v>
      </c>
      <c r="AF1284" s="4">
        <v>9</v>
      </c>
      <c r="AG1284" s="4">
        <v>9</v>
      </c>
      <c r="AH1284" s="4">
        <v>5</v>
      </c>
      <c r="AI1284" s="4">
        <v>5</v>
      </c>
      <c r="AJ1284" s="4">
        <v>10</v>
      </c>
      <c r="AK1284" s="4">
        <v>10</v>
      </c>
      <c r="AL1284" s="4">
        <v>2</v>
      </c>
      <c r="AM1284" s="4">
        <v>2</v>
      </c>
      <c r="AN1284" s="4">
        <v>0</v>
      </c>
      <c r="AO1284" s="4">
        <v>0</v>
      </c>
      <c r="AP1284" s="3" t="s">
        <v>59</v>
      </c>
      <c r="AQ1284" s="3" t="s">
        <v>71</v>
      </c>
      <c r="AR1284" s="6" t="str">
        <f>HYPERLINK("http://catalog.hathitrust.org/Record/000169696","HathiTrust Record")</f>
        <v>HathiTrust Record</v>
      </c>
      <c r="AS1284" s="6" t="str">
        <f>HYPERLINK("https://creighton-primo.hosted.exlibrisgroup.com/primo-explore/search?tab=default_tab&amp;search_scope=EVERYTHING&amp;vid=01CRU&amp;lang=en_US&amp;offset=0&amp;query=any,contains,991004202029702656","Catalog Record")</f>
        <v>Catalog Record</v>
      </c>
      <c r="AT1284" s="6" t="str">
        <f>HYPERLINK("http://www.worldcat.org/oclc/2655595","WorldCat Record")</f>
        <v>WorldCat Record</v>
      </c>
      <c r="AU1284" s="3" t="s">
        <v>16117</v>
      </c>
      <c r="AV1284" s="3" t="s">
        <v>16118</v>
      </c>
      <c r="AW1284" s="3" t="s">
        <v>16119</v>
      </c>
      <c r="AX1284" s="3" t="s">
        <v>16119</v>
      </c>
      <c r="AY1284" s="3" t="s">
        <v>16120</v>
      </c>
      <c r="AZ1284" s="3" t="s">
        <v>76</v>
      </c>
      <c r="BB1284" s="3" t="s">
        <v>16121</v>
      </c>
      <c r="BC1284" s="3" t="s">
        <v>16122</v>
      </c>
      <c r="BD1284" s="3" t="s">
        <v>16123</v>
      </c>
    </row>
    <row r="1285" spans="1:56" ht="52.5" customHeight="1" x14ac:dyDescent="0.25">
      <c r="A1285" s="7" t="s">
        <v>59</v>
      </c>
      <c r="B1285" s="2" t="s">
        <v>16124</v>
      </c>
      <c r="C1285" s="2" t="s">
        <v>16125</v>
      </c>
      <c r="D1285" s="2" t="s">
        <v>16126</v>
      </c>
      <c r="F1285" s="3" t="s">
        <v>59</v>
      </c>
      <c r="G1285" s="3" t="s">
        <v>60</v>
      </c>
      <c r="H1285" s="3" t="s">
        <v>59</v>
      </c>
      <c r="I1285" s="3" t="s">
        <v>59</v>
      </c>
      <c r="J1285" s="3" t="s">
        <v>61</v>
      </c>
      <c r="K1285" s="2" t="s">
        <v>16127</v>
      </c>
      <c r="L1285" s="2" t="s">
        <v>16128</v>
      </c>
      <c r="M1285" s="3" t="s">
        <v>295</v>
      </c>
      <c r="N1285" s="2" t="s">
        <v>16129</v>
      </c>
      <c r="O1285" s="3" t="s">
        <v>65</v>
      </c>
      <c r="P1285" s="3" t="s">
        <v>283</v>
      </c>
      <c r="Q1285" s="2" t="s">
        <v>16130</v>
      </c>
      <c r="R1285" s="3" t="s">
        <v>68</v>
      </c>
      <c r="S1285" s="4">
        <v>7</v>
      </c>
      <c r="T1285" s="4">
        <v>7</v>
      </c>
      <c r="U1285" s="5" t="s">
        <v>16131</v>
      </c>
      <c r="V1285" s="5" t="s">
        <v>16131</v>
      </c>
      <c r="W1285" s="5" t="s">
        <v>16132</v>
      </c>
      <c r="X1285" s="5" t="s">
        <v>16132</v>
      </c>
      <c r="Y1285" s="4">
        <v>480</v>
      </c>
      <c r="Z1285" s="4">
        <v>443</v>
      </c>
      <c r="AA1285" s="4">
        <v>1011</v>
      </c>
      <c r="AB1285" s="4">
        <v>3</v>
      </c>
      <c r="AC1285" s="4">
        <v>7</v>
      </c>
      <c r="AD1285" s="4">
        <v>17</v>
      </c>
      <c r="AE1285" s="4">
        <v>41</v>
      </c>
      <c r="AF1285" s="4">
        <v>5</v>
      </c>
      <c r="AG1285" s="4">
        <v>16</v>
      </c>
      <c r="AH1285" s="4">
        <v>4</v>
      </c>
      <c r="AI1285" s="4">
        <v>8</v>
      </c>
      <c r="AJ1285" s="4">
        <v>9</v>
      </c>
      <c r="AK1285" s="4">
        <v>23</v>
      </c>
      <c r="AL1285" s="4">
        <v>2</v>
      </c>
      <c r="AM1285" s="4">
        <v>5</v>
      </c>
      <c r="AN1285" s="4">
        <v>1</v>
      </c>
      <c r="AO1285" s="4">
        <v>1</v>
      </c>
      <c r="AP1285" s="3" t="s">
        <v>59</v>
      </c>
      <c r="AQ1285" s="3" t="s">
        <v>71</v>
      </c>
      <c r="AR1285" s="6" t="str">
        <f>HYPERLINK("http://catalog.hathitrust.org/Record/004443001","HathiTrust Record")</f>
        <v>HathiTrust Record</v>
      </c>
      <c r="AS1285" s="6" t="str">
        <f>HYPERLINK("https://creighton-primo.hosted.exlibrisgroup.com/primo-explore/search?tab=default_tab&amp;search_scope=EVERYTHING&amp;vid=01CRU&amp;lang=en_US&amp;offset=0&amp;query=any,contains,991001197679702656","Catalog Record")</f>
        <v>Catalog Record</v>
      </c>
      <c r="AT1285" s="6" t="str">
        <f>HYPERLINK("http://www.worldcat.org/oclc/14478668","WorldCat Record")</f>
        <v>WorldCat Record</v>
      </c>
      <c r="AU1285" s="3" t="s">
        <v>16133</v>
      </c>
      <c r="AV1285" s="3" t="s">
        <v>16134</v>
      </c>
      <c r="AW1285" s="3" t="s">
        <v>16135</v>
      </c>
      <c r="AX1285" s="3" t="s">
        <v>16135</v>
      </c>
      <c r="AY1285" s="3" t="s">
        <v>16136</v>
      </c>
      <c r="AZ1285" s="3" t="s">
        <v>76</v>
      </c>
      <c r="BC1285" s="3" t="s">
        <v>16137</v>
      </c>
      <c r="BD1285" s="3" t="s">
        <v>16138</v>
      </c>
    </row>
    <row r="1286" spans="1:56" ht="52.5" customHeight="1" x14ac:dyDescent="0.25">
      <c r="A1286" s="7" t="s">
        <v>59</v>
      </c>
      <c r="B1286" s="2" t="s">
        <v>16139</v>
      </c>
      <c r="C1286" s="2" t="s">
        <v>16140</v>
      </c>
      <c r="D1286" s="2" t="s">
        <v>16141</v>
      </c>
      <c r="F1286" s="3" t="s">
        <v>59</v>
      </c>
      <c r="G1286" s="3" t="s">
        <v>60</v>
      </c>
      <c r="H1286" s="3" t="s">
        <v>59</v>
      </c>
      <c r="I1286" s="3" t="s">
        <v>59</v>
      </c>
      <c r="J1286" s="3" t="s">
        <v>61</v>
      </c>
      <c r="K1286" s="2" t="s">
        <v>16142</v>
      </c>
      <c r="L1286" s="2" t="s">
        <v>16143</v>
      </c>
      <c r="M1286" s="3" t="s">
        <v>1000</v>
      </c>
      <c r="N1286" s="2" t="s">
        <v>7264</v>
      </c>
      <c r="O1286" s="3" t="s">
        <v>65</v>
      </c>
      <c r="P1286" s="3" t="s">
        <v>66</v>
      </c>
      <c r="R1286" s="3" t="s">
        <v>68</v>
      </c>
      <c r="S1286" s="4">
        <v>5</v>
      </c>
      <c r="T1286" s="4">
        <v>5</v>
      </c>
      <c r="U1286" s="5" t="s">
        <v>16144</v>
      </c>
      <c r="V1286" s="5" t="s">
        <v>16144</v>
      </c>
      <c r="W1286" s="5" t="s">
        <v>16145</v>
      </c>
      <c r="X1286" s="5" t="s">
        <v>16145</v>
      </c>
      <c r="Y1286" s="4">
        <v>263</v>
      </c>
      <c r="Z1286" s="4">
        <v>194</v>
      </c>
      <c r="AA1286" s="4">
        <v>894</v>
      </c>
      <c r="AB1286" s="4">
        <v>1</v>
      </c>
      <c r="AC1286" s="4">
        <v>8</v>
      </c>
      <c r="AD1286" s="4">
        <v>6</v>
      </c>
      <c r="AE1286" s="4">
        <v>37</v>
      </c>
      <c r="AF1286" s="4">
        <v>2</v>
      </c>
      <c r="AG1286" s="4">
        <v>16</v>
      </c>
      <c r="AH1286" s="4">
        <v>1</v>
      </c>
      <c r="AI1286" s="4">
        <v>7</v>
      </c>
      <c r="AJ1286" s="4">
        <v>4</v>
      </c>
      <c r="AK1286" s="4">
        <v>17</v>
      </c>
      <c r="AL1286" s="4">
        <v>0</v>
      </c>
      <c r="AM1286" s="4">
        <v>6</v>
      </c>
      <c r="AN1286" s="4">
        <v>0</v>
      </c>
      <c r="AO1286" s="4">
        <v>0</v>
      </c>
      <c r="AP1286" s="3" t="s">
        <v>59</v>
      </c>
      <c r="AQ1286" s="3" t="s">
        <v>59</v>
      </c>
      <c r="AS1286" s="6" t="str">
        <f>HYPERLINK("https://creighton-primo.hosted.exlibrisgroup.com/primo-explore/search?tab=default_tab&amp;search_scope=EVERYTHING&amp;vid=01CRU&amp;lang=en_US&amp;offset=0&amp;query=any,contains,991004661609702656","Catalog Record")</f>
        <v>Catalog Record</v>
      </c>
      <c r="AT1286" s="6" t="str">
        <f>HYPERLINK("http://www.worldcat.org/oclc/4497183","WorldCat Record")</f>
        <v>WorldCat Record</v>
      </c>
      <c r="AU1286" s="3" t="s">
        <v>16146</v>
      </c>
      <c r="AV1286" s="3" t="s">
        <v>16147</v>
      </c>
      <c r="AW1286" s="3" t="s">
        <v>16148</v>
      </c>
      <c r="AX1286" s="3" t="s">
        <v>16148</v>
      </c>
      <c r="AY1286" s="3" t="s">
        <v>16149</v>
      </c>
      <c r="AZ1286" s="3" t="s">
        <v>76</v>
      </c>
      <c r="BB1286" s="3" t="s">
        <v>16150</v>
      </c>
      <c r="BC1286" s="3" t="s">
        <v>16151</v>
      </c>
      <c r="BD1286" s="3" t="s">
        <v>16152</v>
      </c>
    </row>
    <row r="1287" spans="1:56" ht="52.5" customHeight="1" x14ac:dyDescent="0.25">
      <c r="A1287" s="7" t="s">
        <v>59</v>
      </c>
      <c r="B1287" s="2" t="s">
        <v>16153</v>
      </c>
      <c r="C1287" s="2" t="s">
        <v>16154</v>
      </c>
      <c r="D1287" s="2" t="s">
        <v>16155</v>
      </c>
      <c r="F1287" s="3" t="s">
        <v>59</v>
      </c>
      <c r="G1287" s="3" t="s">
        <v>60</v>
      </c>
      <c r="H1287" s="3" t="s">
        <v>59</v>
      </c>
      <c r="I1287" s="3" t="s">
        <v>59</v>
      </c>
      <c r="J1287" s="3" t="s">
        <v>61</v>
      </c>
      <c r="K1287" s="2" t="s">
        <v>16156</v>
      </c>
      <c r="L1287" s="2" t="s">
        <v>16157</v>
      </c>
      <c r="M1287" s="3" t="s">
        <v>64</v>
      </c>
      <c r="O1287" s="3" t="s">
        <v>65</v>
      </c>
      <c r="P1287" s="3" t="s">
        <v>323</v>
      </c>
      <c r="R1287" s="3" t="s">
        <v>68</v>
      </c>
      <c r="S1287" s="4">
        <v>5</v>
      </c>
      <c r="T1287" s="4">
        <v>5</v>
      </c>
      <c r="U1287" s="5" t="s">
        <v>16158</v>
      </c>
      <c r="V1287" s="5" t="s">
        <v>16158</v>
      </c>
      <c r="W1287" s="5" t="s">
        <v>16159</v>
      </c>
      <c r="X1287" s="5" t="s">
        <v>16159</v>
      </c>
      <c r="Y1287" s="4">
        <v>836</v>
      </c>
      <c r="Z1287" s="4">
        <v>720</v>
      </c>
      <c r="AA1287" s="4">
        <v>737</v>
      </c>
      <c r="AB1287" s="4">
        <v>6</v>
      </c>
      <c r="AC1287" s="4">
        <v>6</v>
      </c>
      <c r="AD1287" s="4">
        <v>35</v>
      </c>
      <c r="AE1287" s="4">
        <v>36</v>
      </c>
      <c r="AF1287" s="4">
        <v>14</v>
      </c>
      <c r="AG1287" s="4">
        <v>15</v>
      </c>
      <c r="AH1287" s="4">
        <v>8</v>
      </c>
      <c r="AI1287" s="4">
        <v>8</v>
      </c>
      <c r="AJ1287" s="4">
        <v>18</v>
      </c>
      <c r="AK1287" s="4">
        <v>18</v>
      </c>
      <c r="AL1287" s="4">
        <v>4</v>
      </c>
      <c r="AM1287" s="4">
        <v>4</v>
      </c>
      <c r="AN1287" s="4">
        <v>0</v>
      </c>
      <c r="AO1287" s="4">
        <v>0</v>
      </c>
      <c r="AP1287" s="3" t="s">
        <v>59</v>
      </c>
      <c r="AQ1287" s="3" t="s">
        <v>71</v>
      </c>
      <c r="AR1287" s="6" t="str">
        <f>HYPERLINK("http://catalog.hathitrust.org/Record/000581427","HathiTrust Record")</f>
        <v>HathiTrust Record</v>
      </c>
      <c r="AS1287" s="6" t="str">
        <f>HYPERLINK("https://creighton-primo.hosted.exlibrisgroup.com/primo-explore/search?tab=default_tab&amp;search_scope=EVERYTHING&amp;vid=01CRU&amp;lang=en_US&amp;offset=0&amp;query=any,contains,991001204749702656","Catalog Record")</f>
        <v>Catalog Record</v>
      </c>
      <c r="AT1287" s="6" t="str">
        <f>HYPERLINK("http://www.worldcat.org/oclc/191720","WorldCat Record")</f>
        <v>WorldCat Record</v>
      </c>
      <c r="AU1287" s="3" t="s">
        <v>16160</v>
      </c>
      <c r="AV1287" s="3" t="s">
        <v>16161</v>
      </c>
      <c r="AW1287" s="3" t="s">
        <v>16162</v>
      </c>
      <c r="AX1287" s="3" t="s">
        <v>16162</v>
      </c>
      <c r="AY1287" s="3" t="s">
        <v>16163</v>
      </c>
      <c r="AZ1287" s="3" t="s">
        <v>76</v>
      </c>
      <c r="BC1287" s="3" t="s">
        <v>16164</v>
      </c>
      <c r="BD1287" s="3" t="s">
        <v>16165</v>
      </c>
    </row>
    <row r="1288" spans="1:56" ht="52.5" customHeight="1" x14ac:dyDescent="0.25">
      <c r="A1288" s="7" t="s">
        <v>59</v>
      </c>
      <c r="B1288" s="2" t="s">
        <v>16166</v>
      </c>
      <c r="C1288" s="2" t="s">
        <v>16167</v>
      </c>
      <c r="D1288" s="2" t="s">
        <v>16168</v>
      </c>
      <c r="F1288" s="3" t="s">
        <v>59</v>
      </c>
      <c r="G1288" s="3" t="s">
        <v>60</v>
      </c>
      <c r="H1288" s="3" t="s">
        <v>59</v>
      </c>
      <c r="I1288" s="3" t="s">
        <v>59</v>
      </c>
      <c r="J1288" s="3" t="s">
        <v>61</v>
      </c>
      <c r="K1288" s="2" t="s">
        <v>16169</v>
      </c>
      <c r="L1288" s="2" t="s">
        <v>16170</v>
      </c>
      <c r="M1288" s="3" t="s">
        <v>405</v>
      </c>
      <c r="O1288" s="3" t="s">
        <v>65</v>
      </c>
      <c r="P1288" s="3" t="s">
        <v>1262</v>
      </c>
      <c r="R1288" s="3" t="s">
        <v>68</v>
      </c>
      <c r="S1288" s="4">
        <v>7</v>
      </c>
      <c r="T1288" s="4">
        <v>7</v>
      </c>
      <c r="U1288" s="5" t="s">
        <v>3366</v>
      </c>
      <c r="V1288" s="5" t="s">
        <v>3366</v>
      </c>
      <c r="W1288" s="5" t="s">
        <v>6704</v>
      </c>
      <c r="X1288" s="5" t="s">
        <v>6704</v>
      </c>
      <c r="Y1288" s="4">
        <v>662</v>
      </c>
      <c r="Z1288" s="4">
        <v>509</v>
      </c>
      <c r="AA1288" s="4">
        <v>554</v>
      </c>
      <c r="AB1288" s="4">
        <v>3</v>
      </c>
      <c r="AC1288" s="4">
        <v>3</v>
      </c>
      <c r="AD1288" s="4">
        <v>28</v>
      </c>
      <c r="AE1288" s="4">
        <v>28</v>
      </c>
      <c r="AF1288" s="4">
        <v>14</v>
      </c>
      <c r="AG1288" s="4">
        <v>14</v>
      </c>
      <c r="AH1288" s="4">
        <v>6</v>
      </c>
      <c r="AI1288" s="4">
        <v>6</v>
      </c>
      <c r="AJ1288" s="4">
        <v>15</v>
      </c>
      <c r="AK1288" s="4">
        <v>15</v>
      </c>
      <c r="AL1288" s="4">
        <v>2</v>
      </c>
      <c r="AM1288" s="4">
        <v>2</v>
      </c>
      <c r="AN1288" s="4">
        <v>0</v>
      </c>
      <c r="AO1288" s="4">
        <v>0</v>
      </c>
      <c r="AP1288" s="3" t="s">
        <v>59</v>
      </c>
      <c r="AQ1288" s="3" t="s">
        <v>59</v>
      </c>
      <c r="AS1288" s="6" t="str">
        <f>HYPERLINK("https://creighton-primo.hosted.exlibrisgroup.com/primo-explore/search?tab=default_tab&amp;search_scope=EVERYTHING&amp;vid=01CRU&amp;lang=en_US&amp;offset=0&amp;query=any,contains,991000835999702656","Catalog Record")</f>
        <v>Catalog Record</v>
      </c>
      <c r="AT1288" s="6" t="str">
        <f>HYPERLINK("http://www.worldcat.org/oclc/13497019","WorldCat Record")</f>
        <v>WorldCat Record</v>
      </c>
      <c r="AU1288" s="3" t="s">
        <v>16171</v>
      </c>
      <c r="AV1288" s="3" t="s">
        <v>16172</v>
      </c>
      <c r="AW1288" s="3" t="s">
        <v>16173</v>
      </c>
      <c r="AX1288" s="3" t="s">
        <v>16173</v>
      </c>
      <c r="AY1288" s="3" t="s">
        <v>16174</v>
      </c>
      <c r="AZ1288" s="3" t="s">
        <v>76</v>
      </c>
      <c r="BB1288" s="3" t="s">
        <v>16175</v>
      </c>
      <c r="BC1288" s="3" t="s">
        <v>16176</v>
      </c>
      <c r="BD1288" s="3" t="s">
        <v>16177</v>
      </c>
    </row>
    <row r="1289" spans="1:56" ht="52.5" customHeight="1" x14ac:dyDescent="0.25">
      <c r="A1289" s="7" t="s">
        <v>59</v>
      </c>
      <c r="B1289" s="2" t="s">
        <v>16178</v>
      </c>
      <c r="C1289" s="2" t="s">
        <v>16179</v>
      </c>
      <c r="D1289" s="2" t="s">
        <v>16180</v>
      </c>
      <c r="F1289" s="3" t="s">
        <v>59</v>
      </c>
      <c r="G1289" s="3" t="s">
        <v>60</v>
      </c>
      <c r="H1289" s="3" t="s">
        <v>59</v>
      </c>
      <c r="I1289" s="3" t="s">
        <v>59</v>
      </c>
      <c r="J1289" s="3" t="s">
        <v>61</v>
      </c>
      <c r="K1289" s="2" t="s">
        <v>16181</v>
      </c>
      <c r="L1289" s="2" t="s">
        <v>16182</v>
      </c>
      <c r="M1289" s="3" t="s">
        <v>405</v>
      </c>
      <c r="N1289" s="2" t="s">
        <v>3938</v>
      </c>
      <c r="O1289" s="3" t="s">
        <v>65</v>
      </c>
      <c r="P1289" s="3" t="s">
        <v>699</v>
      </c>
      <c r="R1289" s="3" t="s">
        <v>68</v>
      </c>
      <c r="S1289" s="4">
        <v>8</v>
      </c>
      <c r="T1289" s="4">
        <v>8</v>
      </c>
      <c r="U1289" s="5" t="s">
        <v>2600</v>
      </c>
      <c r="V1289" s="5" t="s">
        <v>2600</v>
      </c>
      <c r="W1289" s="5" t="s">
        <v>686</v>
      </c>
      <c r="X1289" s="5" t="s">
        <v>686</v>
      </c>
      <c r="Y1289" s="4">
        <v>340</v>
      </c>
      <c r="Z1289" s="4">
        <v>218</v>
      </c>
      <c r="AA1289" s="4">
        <v>646</v>
      </c>
      <c r="AB1289" s="4">
        <v>2</v>
      </c>
      <c r="AC1289" s="4">
        <v>5</v>
      </c>
      <c r="AD1289" s="4">
        <v>11</v>
      </c>
      <c r="AE1289" s="4">
        <v>26</v>
      </c>
      <c r="AF1289" s="4">
        <v>3</v>
      </c>
      <c r="AG1289" s="4">
        <v>11</v>
      </c>
      <c r="AH1289" s="4">
        <v>4</v>
      </c>
      <c r="AI1289" s="4">
        <v>6</v>
      </c>
      <c r="AJ1289" s="4">
        <v>5</v>
      </c>
      <c r="AK1289" s="4">
        <v>11</v>
      </c>
      <c r="AL1289" s="4">
        <v>1</v>
      </c>
      <c r="AM1289" s="4">
        <v>3</v>
      </c>
      <c r="AN1289" s="4">
        <v>0</v>
      </c>
      <c r="AO1289" s="4">
        <v>0</v>
      </c>
      <c r="AP1289" s="3" t="s">
        <v>59</v>
      </c>
      <c r="AQ1289" s="3" t="s">
        <v>71</v>
      </c>
      <c r="AR1289" s="6" t="str">
        <f>HYPERLINK("http://catalog.hathitrust.org/Record/000815405","HathiTrust Record")</f>
        <v>HathiTrust Record</v>
      </c>
      <c r="AS1289" s="6" t="str">
        <f>HYPERLINK("https://creighton-primo.hosted.exlibrisgroup.com/primo-explore/search?tab=default_tab&amp;search_scope=EVERYTHING&amp;vid=01CRU&amp;lang=en_US&amp;offset=0&amp;query=any,contains,991000892729702656","Catalog Record")</f>
        <v>Catalog Record</v>
      </c>
      <c r="AT1289" s="6" t="str">
        <f>HYPERLINK("http://www.worldcat.org/oclc/13945929","WorldCat Record")</f>
        <v>WorldCat Record</v>
      </c>
      <c r="AU1289" s="3" t="s">
        <v>16183</v>
      </c>
      <c r="AV1289" s="3" t="s">
        <v>16184</v>
      </c>
      <c r="AW1289" s="3" t="s">
        <v>16185</v>
      </c>
      <c r="AX1289" s="3" t="s">
        <v>16185</v>
      </c>
      <c r="AY1289" s="3" t="s">
        <v>16186</v>
      </c>
      <c r="AZ1289" s="3" t="s">
        <v>76</v>
      </c>
      <c r="BB1289" s="3" t="s">
        <v>16187</v>
      </c>
      <c r="BC1289" s="3" t="s">
        <v>16188</v>
      </c>
      <c r="BD1289" s="3" t="s">
        <v>16189</v>
      </c>
    </row>
    <row r="1290" spans="1:56" ht="52.5" customHeight="1" x14ac:dyDescent="0.25">
      <c r="A1290" s="7" t="s">
        <v>59</v>
      </c>
      <c r="B1290" s="2" t="s">
        <v>16190</v>
      </c>
      <c r="C1290" s="2" t="s">
        <v>16191</v>
      </c>
      <c r="D1290" s="2" t="s">
        <v>16192</v>
      </c>
      <c r="F1290" s="3" t="s">
        <v>59</v>
      </c>
      <c r="G1290" s="3" t="s">
        <v>60</v>
      </c>
      <c r="H1290" s="3" t="s">
        <v>59</v>
      </c>
      <c r="I1290" s="3" t="s">
        <v>59</v>
      </c>
      <c r="J1290" s="3" t="s">
        <v>61</v>
      </c>
      <c r="K1290" s="2" t="s">
        <v>16193</v>
      </c>
      <c r="L1290" s="2" t="s">
        <v>16194</v>
      </c>
      <c r="M1290" s="3" t="s">
        <v>1000</v>
      </c>
      <c r="N1290" s="2" t="s">
        <v>1289</v>
      </c>
      <c r="O1290" s="3" t="s">
        <v>65</v>
      </c>
      <c r="P1290" s="3" t="s">
        <v>283</v>
      </c>
      <c r="R1290" s="3" t="s">
        <v>68</v>
      </c>
      <c r="S1290" s="4">
        <v>10</v>
      </c>
      <c r="T1290" s="4">
        <v>10</v>
      </c>
      <c r="U1290" s="5" t="s">
        <v>16195</v>
      </c>
      <c r="V1290" s="5" t="s">
        <v>16195</v>
      </c>
      <c r="W1290" s="5" t="s">
        <v>686</v>
      </c>
      <c r="X1290" s="5" t="s">
        <v>686</v>
      </c>
      <c r="Y1290" s="4">
        <v>187</v>
      </c>
      <c r="Z1290" s="4">
        <v>126</v>
      </c>
      <c r="AA1290" s="4">
        <v>447</v>
      </c>
      <c r="AB1290" s="4">
        <v>1</v>
      </c>
      <c r="AC1290" s="4">
        <v>1</v>
      </c>
      <c r="AD1290" s="4">
        <v>2</v>
      </c>
      <c r="AE1290" s="4">
        <v>15</v>
      </c>
      <c r="AF1290" s="4">
        <v>1</v>
      </c>
      <c r="AG1290" s="4">
        <v>5</v>
      </c>
      <c r="AH1290" s="4">
        <v>0</v>
      </c>
      <c r="AI1290" s="4">
        <v>4</v>
      </c>
      <c r="AJ1290" s="4">
        <v>1</v>
      </c>
      <c r="AK1290" s="4">
        <v>9</v>
      </c>
      <c r="AL1290" s="4">
        <v>0</v>
      </c>
      <c r="AM1290" s="4">
        <v>0</v>
      </c>
      <c r="AN1290" s="4">
        <v>0</v>
      </c>
      <c r="AO1290" s="4">
        <v>0</v>
      </c>
      <c r="AP1290" s="3" t="s">
        <v>59</v>
      </c>
      <c r="AQ1290" s="3" t="s">
        <v>59</v>
      </c>
      <c r="AS1290" s="6" t="str">
        <f>HYPERLINK("https://creighton-primo.hosted.exlibrisgroup.com/primo-explore/search?tab=default_tab&amp;search_scope=EVERYTHING&amp;vid=01CRU&amp;lang=en_US&amp;offset=0&amp;query=any,contains,991004779999702656","Catalog Record")</f>
        <v>Catalog Record</v>
      </c>
      <c r="AT1290" s="6" t="str">
        <f>HYPERLINK("http://www.worldcat.org/oclc/5103200","WorldCat Record")</f>
        <v>WorldCat Record</v>
      </c>
      <c r="AU1290" s="3" t="s">
        <v>16196</v>
      </c>
      <c r="AV1290" s="3" t="s">
        <v>16197</v>
      </c>
      <c r="AW1290" s="3" t="s">
        <v>16198</v>
      </c>
      <c r="AX1290" s="3" t="s">
        <v>16198</v>
      </c>
      <c r="AY1290" s="3" t="s">
        <v>16199</v>
      </c>
      <c r="AZ1290" s="3" t="s">
        <v>76</v>
      </c>
      <c r="BB1290" s="3" t="s">
        <v>16200</v>
      </c>
      <c r="BC1290" s="3" t="s">
        <v>16201</v>
      </c>
      <c r="BD1290" s="3" t="s">
        <v>16202</v>
      </c>
    </row>
    <row r="1291" spans="1:56" ht="52.5" customHeight="1" x14ac:dyDescent="0.25">
      <c r="A1291" s="7" t="s">
        <v>59</v>
      </c>
      <c r="B1291" s="2" t="s">
        <v>16203</v>
      </c>
      <c r="C1291" s="2" t="s">
        <v>16204</v>
      </c>
      <c r="D1291" s="2" t="s">
        <v>16205</v>
      </c>
      <c r="F1291" s="3" t="s">
        <v>59</v>
      </c>
      <c r="G1291" s="3" t="s">
        <v>60</v>
      </c>
      <c r="H1291" s="3" t="s">
        <v>59</v>
      </c>
      <c r="I1291" s="3" t="s">
        <v>59</v>
      </c>
      <c r="J1291" s="3" t="s">
        <v>61</v>
      </c>
      <c r="K1291" s="2" t="s">
        <v>16206</v>
      </c>
      <c r="L1291" s="2" t="s">
        <v>16207</v>
      </c>
      <c r="M1291" s="3" t="s">
        <v>1015</v>
      </c>
      <c r="O1291" s="3" t="s">
        <v>65</v>
      </c>
      <c r="P1291" s="3" t="s">
        <v>296</v>
      </c>
      <c r="R1291" s="3" t="s">
        <v>68</v>
      </c>
      <c r="S1291" s="4">
        <v>3</v>
      </c>
      <c r="T1291" s="4">
        <v>3</v>
      </c>
      <c r="U1291" s="5" t="s">
        <v>715</v>
      </c>
      <c r="V1291" s="5" t="s">
        <v>715</v>
      </c>
      <c r="W1291" s="5" t="s">
        <v>672</v>
      </c>
      <c r="X1291" s="5" t="s">
        <v>672</v>
      </c>
      <c r="Y1291" s="4">
        <v>682</v>
      </c>
      <c r="Z1291" s="4">
        <v>600</v>
      </c>
      <c r="AA1291" s="4">
        <v>676</v>
      </c>
      <c r="AB1291" s="4">
        <v>5</v>
      </c>
      <c r="AC1291" s="4">
        <v>6</v>
      </c>
      <c r="AD1291" s="4">
        <v>34</v>
      </c>
      <c r="AE1291" s="4">
        <v>37</v>
      </c>
      <c r="AF1291" s="4">
        <v>14</v>
      </c>
      <c r="AG1291" s="4">
        <v>16</v>
      </c>
      <c r="AH1291" s="4">
        <v>7</v>
      </c>
      <c r="AI1291" s="4">
        <v>7</v>
      </c>
      <c r="AJ1291" s="4">
        <v>17</v>
      </c>
      <c r="AK1291" s="4">
        <v>19</v>
      </c>
      <c r="AL1291" s="4">
        <v>4</v>
      </c>
      <c r="AM1291" s="4">
        <v>5</v>
      </c>
      <c r="AN1291" s="4">
        <v>0</v>
      </c>
      <c r="AO1291" s="4">
        <v>0</v>
      </c>
      <c r="AP1291" s="3" t="s">
        <v>59</v>
      </c>
      <c r="AQ1291" s="3" t="s">
        <v>71</v>
      </c>
      <c r="AR1291" s="6" t="str">
        <f>HYPERLINK("http://catalog.hathitrust.org/Record/000581781","HathiTrust Record")</f>
        <v>HathiTrust Record</v>
      </c>
      <c r="AS1291" s="6" t="str">
        <f>HYPERLINK("https://creighton-primo.hosted.exlibrisgroup.com/primo-explore/search?tab=default_tab&amp;search_scope=EVERYTHING&amp;vid=01CRU&amp;lang=en_US&amp;offset=0&amp;query=any,contains,991001094049702656","Catalog Record")</f>
        <v>Catalog Record</v>
      </c>
      <c r="AT1291" s="6" t="str">
        <f>HYPERLINK("http://www.worldcat.org/oclc/182291","WorldCat Record")</f>
        <v>WorldCat Record</v>
      </c>
      <c r="AU1291" s="3" t="s">
        <v>16208</v>
      </c>
      <c r="AV1291" s="3" t="s">
        <v>16209</v>
      </c>
      <c r="AW1291" s="3" t="s">
        <v>16210</v>
      </c>
      <c r="AX1291" s="3" t="s">
        <v>16210</v>
      </c>
      <c r="AY1291" s="3" t="s">
        <v>16211</v>
      </c>
      <c r="AZ1291" s="3" t="s">
        <v>76</v>
      </c>
      <c r="BC1291" s="3" t="s">
        <v>16212</v>
      </c>
      <c r="BD1291" s="3" t="s">
        <v>16213</v>
      </c>
    </row>
    <row r="1292" spans="1:56" ht="52.5" customHeight="1" x14ac:dyDescent="0.25">
      <c r="A1292" s="7" t="s">
        <v>59</v>
      </c>
      <c r="B1292" s="2" t="s">
        <v>16214</v>
      </c>
      <c r="C1292" s="2" t="s">
        <v>16215</v>
      </c>
      <c r="D1292" s="2" t="s">
        <v>16216</v>
      </c>
      <c r="F1292" s="3" t="s">
        <v>59</v>
      </c>
      <c r="G1292" s="3" t="s">
        <v>60</v>
      </c>
      <c r="H1292" s="3" t="s">
        <v>59</v>
      </c>
      <c r="I1292" s="3" t="s">
        <v>59</v>
      </c>
      <c r="J1292" s="3" t="s">
        <v>61</v>
      </c>
      <c r="K1292" s="2" t="s">
        <v>13137</v>
      </c>
      <c r="L1292" s="2" t="s">
        <v>16217</v>
      </c>
      <c r="M1292" s="3" t="s">
        <v>309</v>
      </c>
      <c r="N1292" s="2" t="s">
        <v>7264</v>
      </c>
      <c r="O1292" s="3" t="s">
        <v>65</v>
      </c>
      <c r="P1292" s="3" t="s">
        <v>323</v>
      </c>
      <c r="R1292" s="3" t="s">
        <v>68</v>
      </c>
      <c r="S1292" s="4">
        <v>15</v>
      </c>
      <c r="T1292" s="4">
        <v>15</v>
      </c>
      <c r="U1292" s="5" t="s">
        <v>16218</v>
      </c>
      <c r="V1292" s="5" t="s">
        <v>16218</v>
      </c>
      <c r="W1292" s="5" t="s">
        <v>16219</v>
      </c>
      <c r="X1292" s="5" t="s">
        <v>16219</v>
      </c>
      <c r="Y1292" s="4">
        <v>602</v>
      </c>
      <c r="Z1292" s="4">
        <v>522</v>
      </c>
      <c r="AA1292" s="4">
        <v>921</v>
      </c>
      <c r="AB1292" s="4">
        <v>3</v>
      </c>
      <c r="AC1292" s="4">
        <v>6</v>
      </c>
      <c r="AD1292" s="4">
        <v>18</v>
      </c>
      <c r="AE1292" s="4">
        <v>28</v>
      </c>
      <c r="AF1292" s="4">
        <v>7</v>
      </c>
      <c r="AG1292" s="4">
        <v>13</v>
      </c>
      <c r="AH1292" s="4">
        <v>3</v>
      </c>
      <c r="AI1292" s="4">
        <v>3</v>
      </c>
      <c r="AJ1292" s="4">
        <v>10</v>
      </c>
      <c r="AK1292" s="4">
        <v>15</v>
      </c>
      <c r="AL1292" s="4">
        <v>2</v>
      </c>
      <c r="AM1292" s="4">
        <v>4</v>
      </c>
      <c r="AN1292" s="4">
        <v>0</v>
      </c>
      <c r="AO1292" s="4">
        <v>0</v>
      </c>
      <c r="AP1292" s="3" t="s">
        <v>59</v>
      </c>
      <c r="AQ1292" s="3" t="s">
        <v>59</v>
      </c>
      <c r="AS1292" s="6" t="str">
        <f>HYPERLINK("https://creighton-primo.hosted.exlibrisgroup.com/primo-explore/search?tab=default_tab&amp;search_scope=EVERYTHING&amp;vid=01CRU&amp;lang=en_US&amp;offset=0&amp;query=any,contains,991004399099702656","Catalog Record")</f>
        <v>Catalog Record</v>
      </c>
      <c r="AT1292" s="6" t="str">
        <f>HYPERLINK("http://www.worldcat.org/oclc/3293146","WorldCat Record")</f>
        <v>WorldCat Record</v>
      </c>
      <c r="AU1292" s="3" t="s">
        <v>16220</v>
      </c>
      <c r="AV1292" s="3" t="s">
        <v>16221</v>
      </c>
      <c r="AW1292" s="3" t="s">
        <v>16222</v>
      </c>
      <c r="AX1292" s="3" t="s">
        <v>16222</v>
      </c>
      <c r="AY1292" s="3" t="s">
        <v>16223</v>
      </c>
      <c r="AZ1292" s="3" t="s">
        <v>76</v>
      </c>
      <c r="BB1292" s="3" t="s">
        <v>16224</v>
      </c>
      <c r="BC1292" s="3" t="s">
        <v>16225</v>
      </c>
      <c r="BD1292" s="3" t="s">
        <v>16226</v>
      </c>
    </row>
    <row r="1293" spans="1:56" ht="52.5" customHeight="1" x14ac:dyDescent="0.25">
      <c r="A1293" s="7" t="s">
        <v>59</v>
      </c>
      <c r="B1293" s="2" t="s">
        <v>16227</v>
      </c>
      <c r="C1293" s="2" t="s">
        <v>16228</v>
      </c>
      <c r="D1293" s="2" t="s">
        <v>16229</v>
      </c>
      <c r="F1293" s="3" t="s">
        <v>59</v>
      </c>
      <c r="G1293" s="3" t="s">
        <v>60</v>
      </c>
      <c r="H1293" s="3" t="s">
        <v>59</v>
      </c>
      <c r="I1293" s="3" t="s">
        <v>59</v>
      </c>
      <c r="J1293" s="3" t="s">
        <v>61</v>
      </c>
      <c r="K1293" s="2" t="s">
        <v>15428</v>
      </c>
      <c r="L1293" s="2" t="s">
        <v>16230</v>
      </c>
      <c r="M1293" s="3" t="s">
        <v>2582</v>
      </c>
      <c r="O1293" s="3" t="s">
        <v>65</v>
      </c>
      <c r="P1293" s="3" t="s">
        <v>771</v>
      </c>
      <c r="Q1293" s="2" t="s">
        <v>16231</v>
      </c>
      <c r="R1293" s="3" t="s">
        <v>68</v>
      </c>
      <c r="S1293" s="4">
        <v>3</v>
      </c>
      <c r="T1293" s="4">
        <v>3</v>
      </c>
      <c r="U1293" s="5" t="s">
        <v>15431</v>
      </c>
      <c r="V1293" s="5" t="s">
        <v>15431</v>
      </c>
      <c r="W1293" s="5" t="s">
        <v>269</v>
      </c>
      <c r="X1293" s="5" t="s">
        <v>269</v>
      </c>
      <c r="Y1293" s="4">
        <v>1075</v>
      </c>
      <c r="Z1293" s="4">
        <v>964</v>
      </c>
      <c r="AA1293" s="4">
        <v>1072</v>
      </c>
      <c r="AB1293" s="4">
        <v>8</v>
      </c>
      <c r="AC1293" s="4">
        <v>9</v>
      </c>
      <c r="AD1293" s="4">
        <v>39</v>
      </c>
      <c r="AE1293" s="4">
        <v>47</v>
      </c>
      <c r="AF1293" s="4">
        <v>15</v>
      </c>
      <c r="AG1293" s="4">
        <v>18</v>
      </c>
      <c r="AH1293" s="4">
        <v>7</v>
      </c>
      <c r="AI1293" s="4">
        <v>8</v>
      </c>
      <c r="AJ1293" s="4">
        <v>16</v>
      </c>
      <c r="AK1293" s="4">
        <v>20</v>
      </c>
      <c r="AL1293" s="4">
        <v>7</v>
      </c>
      <c r="AM1293" s="4">
        <v>8</v>
      </c>
      <c r="AN1293" s="4">
        <v>1</v>
      </c>
      <c r="AO1293" s="4">
        <v>3</v>
      </c>
      <c r="AP1293" s="3" t="s">
        <v>59</v>
      </c>
      <c r="AQ1293" s="3" t="s">
        <v>59</v>
      </c>
      <c r="AR1293" s="6" t="str">
        <f>HYPERLINK("http://catalog.hathitrust.org/Record/000472856","HathiTrust Record")</f>
        <v>HathiTrust Record</v>
      </c>
      <c r="AS1293" s="6" t="str">
        <f>HYPERLINK("https://creighton-primo.hosted.exlibrisgroup.com/primo-explore/search?tab=default_tab&amp;search_scope=EVERYTHING&amp;vid=01CRU&amp;lang=en_US&amp;offset=0&amp;query=any,contains,991003514849702656","Catalog Record")</f>
        <v>Catalog Record</v>
      </c>
      <c r="AT1293" s="6" t="str">
        <f>HYPERLINK("http://www.worldcat.org/oclc/1071592","WorldCat Record")</f>
        <v>WorldCat Record</v>
      </c>
      <c r="AU1293" s="3" t="s">
        <v>16232</v>
      </c>
      <c r="AV1293" s="3" t="s">
        <v>16233</v>
      </c>
      <c r="AW1293" s="3" t="s">
        <v>16234</v>
      </c>
      <c r="AX1293" s="3" t="s">
        <v>16234</v>
      </c>
      <c r="AY1293" s="3" t="s">
        <v>16235</v>
      </c>
      <c r="AZ1293" s="3" t="s">
        <v>76</v>
      </c>
      <c r="BC1293" s="3" t="s">
        <v>16236</v>
      </c>
      <c r="BD1293" s="3" t="s">
        <v>16237</v>
      </c>
    </row>
    <row r="1294" spans="1:56" ht="52.5" customHeight="1" x14ac:dyDescent="0.25">
      <c r="A1294" s="7" t="s">
        <v>59</v>
      </c>
      <c r="B1294" s="2" t="s">
        <v>16238</v>
      </c>
      <c r="C1294" s="2" t="s">
        <v>16239</v>
      </c>
      <c r="D1294" s="2" t="s">
        <v>16240</v>
      </c>
      <c r="F1294" s="3" t="s">
        <v>59</v>
      </c>
      <c r="G1294" s="3" t="s">
        <v>60</v>
      </c>
      <c r="H1294" s="3" t="s">
        <v>59</v>
      </c>
      <c r="I1294" s="3" t="s">
        <v>71</v>
      </c>
      <c r="J1294" s="3" t="s">
        <v>61</v>
      </c>
      <c r="K1294" s="2" t="s">
        <v>16241</v>
      </c>
      <c r="L1294" s="2" t="s">
        <v>16242</v>
      </c>
      <c r="M1294" s="3" t="s">
        <v>8500</v>
      </c>
      <c r="O1294" s="3" t="s">
        <v>65</v>
      </c>
      <c r="P1294" s="3" t="s">
        <v>66</v>
      </c>
      <c r="R1294" s="3" t="s">
        <v>68</v>
      </c>
      <c r="S1294" s="4">
        <v>5</v>
      </c>
      <c r="T1294" s="4">
        <v>5</v>
      </c>
      <c r="U1294" s="5" t="s">
        <v>16243</v>
      </c>
      <c r="V1294" s="5" t="s">
        <v>16243</v>
      </c>
      <c r="W1294" s="5" t="s">
        <v>227</v>
      </c>
      <c r="X1294" s="5" t="s">
        <v>227</v>
      </c>
      <c r="Y1294" s="4">
        <v>474</v>
      </c>
      <c r="Z1294" s="4">
        <v>437</v>
      </c>
      <c r="AA1294" s="4">
        <v>1753</v>
      </c>
      <c r="AB1294" s="4">
        <v>4</v>
      </c>
      <c r="AC1294" s="4">
        <v>15</v>
      </c>
      <c r="AD1294" s="4">
        <v>20</v>
      </c>
      <c r="AE1294" s="4">
        <v>58</v>
      </c>
      <c r="AF1294" s="4">
        <v>8</v>
      </c>
      <c r="AG1294" s="4">
        <v>27</v>
      </c>
      <c r="AH1294" s="4">
        <v>5</v>
      </c>
      <c r="AI1294" s="4">
        <v>10</v>
      </c>
      <c r="AJ1294" s="4">
        <v>10</v>
      </c>
      <c r="AK1294" s="4">
        <v>23</v>
      </c>
      <c r="AL1294" s="4">
        <v>3</v>
      </c>
      <c r="AM1294" s="4">
        <v>9</v>
      </c>
      <c r="AN1294" s="4">
        <v>0</v>
      </c>
      <c r="AO1294" s="4">
        <v>1</v>
      </c>
      <c r="AP1294" s="3" t="s">
        <v>59</v>
      </c>
      <c r="AQ1294" s="3" t="s">
        <v>59</v>
      </c>
      <c r="AS1294" s="6" t="str">
        <f>HYPERLINK("https://creighton-primo.hosted.exlibrisgroup.com/primo-explore/search?tab=default_tab&amp;search_scope=EVERYTHING&amp;vid=01CRU&amp;lang=en_US&amp;offset=0&amp;query=any,contains,991003392349702656","Catalog Record")</f>
        <v>Catalog Record</v>
      </c>
      <c r="AT1294" s="6" t="str">
        <f>HYPERLINK("http://www.worldcat.org/oclc/930746","WorldCat Record")</f>
        <v>WorldCat Record</v>
      </c>
      <c r="AU1294" s="3" t="s">
        <v>16244</v>
      </c>
      <c r="AV1294" s="3" t="s">
        <v>16245</v>
      </c>
      <c r="AW1294" s="3" t="s">
        <v>16246</v>
      </c>
      <c r="AX1294" s="3" t="s">
        <v>16246</v>
      </c>
      <c r="AY1294" s="3" t="s">
        <v>16247</v>
      </c>
      <c r="AZ1294" s="3" t="s">
        <v>76</v>
      </c>
      <c r="BC1294" s="3" t="s">
        <v>16248</v>
      </c>
      <c r="BD1294" s="3" t="s">
        <v>16249</v>
      </c>
    </row>
    <row r="1295" spans="1:56" ht="52.5" customHeight="1" x14ac:dyDescent="0.25">
      <c r="A1295" s="7" t="s">
        <v>59</v>
      </c>
      <c r="B1295" s="2" t="s">
        <v>16250</v>
      </c>
      <c r="C1295" s="2" t="s">
        <v>16251</v>
      </c>
      <c r="D1295" s="2" t="s">
        <v>16252</v>
      </c>
      <c r="F1295" s="3" t="s">
        <v>59</v>
      </c>
      <c r="G1295" s="3" t="s">
        <v>60</v>
      </c>
      <c r="H1295" s="3" t="s">
        <v>59</v>
      </c>
      <c r="I1295" s="3" t="s">
        <v>59</v>
      </c>
      <c r="J1295" s="3" t="s">
        <v>61</v>
      </c>
      <c r="K1295" s="2" t="s">
        <v>16253</v>
      </c>
      <c r="L1295" s="2" t="s">
        <v>16254</v>
      </c>
      <c r="M1295" s="3" t="s">
        <v>100</v>
      </c>
      <c r="O1295" s="3" t="s">
        <v>65</v>
      </c>
      <c r="P1295" s="3" t="s">
        <v>771</v>
      </c>
      <c r="R1295" s="3" t="s">
        <v>68</v>
      </c>
      <c r="S1295" s="4">
        <v>3</v>
      </c>
      <c r="T1295" s="4">
        <v>3</v>
      </c>
      <c r="U1295" s="5" t="s">
        <v>12370</v>
      </c>
      <c r="V1295" s="5" t="s">
        <v>12370</v>
      </c>
      <c r="W1295" s="5" t="s">
        <v>2847</v>
      </c>
      <c r="X1295" s="5" t="s">
        <v>2847</v>
      </c>
      <c r="Y1295" s="4">
        <v>237</v>
      </c>
      <c r="Z1295" s="4">
        <v>205</v>
      </c>
      <c r="AA1295" s="4">
        <v>492</v>
      </c>
      <c r="AB1295" s="4">
        <v>3</v>
      </c>
      <c r="AC1295" s="4">
        <v>3</v>
      </c>
      <c r="AD1295" s="4">
        <v>9</v>
      </c>
      <c r="AE1295" s="4">
        <v>20</v>
      </c>
      <c r="AF1295" s="4">
        <v>1</v>
      </c>
      <c r="AG1295" s="4">
        <v>7</v>
      </c>
      <c r="AH1295" s="4">
        <v>2</v>
      </c>
      <c r="AI1295" s="4">
        <v>5</v>
      </c>
      <c r="AJ1295" s="4">
        <v>7</v>
      </c>
      <c r="AK1295" s="4">
        <v>13</v>
      </c>
      <c r="AL1295" s="4">
        <v>2</v>
      </c>
      <c r="AM1295" s="4">
        <v>2</v>
      </c>
      <c r="AN1295" s="4">
        <v>0</v>
      </c>
      <c r="AO1295" s="4">
        <v>0</v>
      </c>
      <c r="AP1295" s="3" t="s">
        <v>59</v>
      </c>
      <c r="AQ1295" s="3" t="s">
        <v>59</v>
      </c>
      <c r="AS1295" s="6" t="str">
        <f>HYPERLINK("https://creighton-primo.hosted.exlibrisgroup.com/primo-explore/search?tab=default_tab&amp;search_scope=EVERYTHING&amp;vid=01CRU&amp;lang=en_US&amp;offset=0&amp;query=any,contains,991000772369702656","Catalog Record")</f>
        <v>Catalog Record</v>
      </c>
      <c r="AT1295" s="6" t="str">
        <f>HYPERLINK("http://www.worldcat.org/oclc/131395","WorldCat Record")</f>
        <v>WorldCat Record</v>
      </c>
      <c r="AU1295" s="3" t="s">
        <v>16255</v>
      </c>
      <c r="AV1295" s="3" t="s">
        <v>16256</v>
      </c>
      <c r="AW1295" s="3" t="s">
        <v>16257</v>
      </c>
      <c r="AX1295" s="3" t="s">
        <v>16257</v>
      </c>
      <c r="AY1295" s="3" t="s">
        <v>16258</v>
      </c>
      <c r="AZ1295" s="3" t="s">
        <v>76</v>
      </c>
      <c r="BB1295" s="3" t="s">
        <v>16259</v>
      </c>
      <c r="BC1295" s="3" t="s">
        <v>16260</v>
      </c>
      <c r="BD1295" s="3" t="s">
        <v>16261</v>
      </c>
    </row>
    <row r="1296" spans="1:56" ht="52.5" customHeight="1" x14ac:dyDescent="0.25">
      <c r="A1296" s="7" t="s">
        <v>59</v>
      </c>
      <c r="B1296" s="2" t="s">
        <v>16262</v>
      </c>
      <c r="C1296" s="2" t="s">
        <v>16263</v>
      </c>
      <c r="D1296" s="2" t="s">
        <v>16264</v>
      </c>
      <c r="F1296" s="3" t="s">
        <v>59</v>
      </c>
      <c r="G1296" s="3" t="s">
        <v>60</v>
      </c>
      <c r="H1296" s="3" t="s">
        <v>59</v>
      </c>
      <c r="I1296" s="3" t="s">
        <v>59</v>
      </c>
      <c r="J1296" s="3" t="s">
        <v>61</v>
      </c>
      <c r="K1296" s="2" t="s">
        <v>16265</v>
      </c>
      <c r="L1296" s="2" t="s">
        <v>16266</v>
      </c>
      <c r="M1296" s="3" t="s">
        <v>85</v>
      </c>
      <c r="O1296" s="3" t="s">
        <v>65</v>
      </c>
      <c r="P1296" s="3" t="s">
        <v>296</v>
      </c>
      <c r="R1296" s="3" t="s">
        <v>68</v>
      </c>
      <c r="S1296" s="4">
        <v>24</v>
      </c>
      <c r="T1296" s="4">
        <v>24</v>
      </c>
      <c r="U1296" s="5" t="s">
        <v>16267</v>
      </c>
      <c r="V1296" s="5" t="s">
        <v>16267</v>
      </c>
      <c r="W1296" s="5" t="s">
        <v>463</v>
      </c>
      <c r="X1296" s="5" t="s">
        <v>463</v>
      </c>
      <c r="Y1296" s="4">
        <v>300</v>
      </c>
      <c r="Z1296" s="4">
        <v>295</v>
      </c>
      <c r="AA1296" s="4">
        <v>309</v>
      </c>
      <c r="AB1296" s="4">
        <v>3</v>
      </c>
      <c r="AC1296" s="4">
        <v>3</v>
      </c>
      <c r="AD1296" s="4">
        <v>8</v>
      </c>
      <c r="AE1296" s="4">
        <v>8</v>
      </c>
      <c r="AF1296" s="4">
        <v>3</v>
      </c>
      <c r="AG1296" s="4">
        <v>3</v>
      </c>
      <c r="AH1296" s="4">
        <v>3</v>
      </c>
      <c r="AI1296" s="4">
        <v>3</v>
      </c>
      <c r="AJ1296" s="4">
        <v>3</v>
      </c>
      <c r="AK1296" s="4">
        <v>3</v>
      </c>
      <c r="AL1296" s="4">
        <v>1</v>
      </c>
      <c r="AM1296" s="4">
        <v>1</v>
      </c>
      <c r="AN1296" s="4">
        <v>0</v>
      </c>
      <c r="AO1296" s="4">
        <v>0</v>
      </c>
      <c r="AP1296" s="3" t="s">
        <v>59</v>
      </c>
      <c r="AQ1296" s="3" t="s">
        <v>71</v>
      </c>
      <c r="AR1296" s="6" t="str">
        <f>HYPERLINK("http://catalog.hathitrust.org/Record/100924950","HathiTrust Record")</f>
        <v>HathiTrust Record</v>
      </c>
      <c r="AS1296" s="6" t="str">
        <f>HYPERLINK("https://creighton-primo.hosted.exlibrisgroup.com/primo-explore/search?tab=default_tab&amp;search_scope=EVERYTHING&amp;vid=01CRU&amp;lang=en_US&amp;offset=0&amp;query=any,contains,991005253839702656","Catalog Record")</f>
        <v>Catalog Record</v>
      </c>
      <c r="AT1296" s="6" t="str">
        <f>HYPERLINK("http://www.worldcat.org/oclc/1065338","WorldCat Record")</f>
        <v>WorldCat Record</v>
      </c>
      <c r="AU1296" s="3" t="s">
        <v>16268</v>
      </c>
      <c r="AV1296" s="3" t="s">
        <v>16269</v>
      </c>
      <c r="AW1296" s="3" t="s">
        <v>16270</v>
      </c>
      <c r="AX1296" s="3" t="s">
        <v>16270</v>
      </c>
      <c r="AY1296" s="3" t="s">
        <v>16271</v>
      </c>
      <c r="AZ1296" s="3" t="s">
        <v>76</v>
      </c>
      <c r="BC1296" s="3" t="s">
        <v>16272</v>
      </c>
      <c r="BD1296" s="3" t="s">
        <v>16273</v>
      </c>
    </row>
    <row r="1297" spans="1:56" ht="52.5" customHeight="1" x14ac:dyDescent="0.25">
      <c r="A1297" s="7" t="s">
        <v>59</v>
      </c>
      <c r="B1297" s="2" t="s">
        <v>16274</v>
      </c>
      <c r="C1297" s="2" t="s">
        <v>16275</v>
      </c>
      <c r="D1297" s="2" t="s">
        <v>16276</v>
      </c>
      <c r="F1297" s="3" t="s">
        <v>59</v>
      </c>
      <c r="G1297" s="3" t="s">
        <v>60</v>
      </c>
      <c r="H1297" s="3" t="s">
        <v>59</v>
      </c>
      <c r="I1297" s="3" t="s">
        <v>59</v>
      </c>
      <c r="J1297" s="3" t="s">
        <v>61</v>
      </c>
      <c r="K1297" s="2" t="s">
        <v>16277</v>
      </c>
      <c r="L1297" s="2" t="s">
        <v>16278</v>
      </c>
      <c r="M1297" s="3" t="s">
        <v>295</v>
      </c>
      <c r="O1297" s="3" t="s">
        <v>65</v>
      </c>
      <c r="P1297" s="3" t="s">
        <v>296</v>
      </c>
      <c r="R1297" s="3" t="s">
        <v>68</v>
      </c>
      <c r="S1297" s="4">
        <v>27</v>
      </c>
      <c r="T1297" s="4">
        <v>27</v>
      </c>
      <c r="U1297" s="5" t="s">
        <v>16279</v>
      </c>
      <c r="V1297" s="5" t="s">
        <v>16279</v>
      </c>
      <c r="W1297" s="5" t="s">
        <v>5724</v>
      </c>
      <c r="X1297" s="5" t="s">
        <v>5724</v>
      </c>
      <c r="Y1297" s="4">
        <v>269</v>
      </c>
      <c r="Z1297" s="4">
        <v>239</v>
      </c>
      <c r="AA1297" s="4">
        <v>247</v>
      </c>
      <c r="AB1297" s="4">
        <v>2</v>
      </c>
      <c r="AC1297" s="4">
        <v>2</v>
      </c>
      <c r="AD1297" s="4">
        <v>5</v>
      </c>
      <c r="AE1297" s="4">
        <v>5</v>
      </c>
      <c r="AF1297" s="4">
        <v>1</v>
      </c>
      <c r="AG1297" s="4">
        <v>1</v>
      </c>
      <c r="AH1297" s="4">
        <v>1</v>
      </c>
      <c r="AI1297" s="4">
        <v>1</v>
      </c>
      <c r="AJ1297" s="4">
        <v>2</v>
      </c>
      <c r="AK1297" s="4">
        <v>2</v>
      </c>
      <c r="AL1297" s="4">
        <v>1</v>
      </c>
      <c r="AM1297" s="4">
        <v>1</v>
      </c>
      <c r="AN1297" s="4">
        <v>1</v>
      </c>
      <c r="AO1297" s="4">
        <v>1</v>
      </c>
      <c r="AP1297" s="3" t="s">
        <v>59</v>
      </c>
      <c r="AQ1297" s="3" t="s">
        <v>71</v>
      </c>
      <c r="AR1297" s="6" t="str">
        <f>HYPERLINK("http://catalog.hathitrust.org/Record/000473913","HathiTrust Record")</f>
        <v>HathiTrust Record</v>
      </c>
      <c r="AS1297" s="6" t="str">
        <f>HYPERLINK("https://creighton-primo.hosted.exlibrisgroup.com/primo-explore/search?tab=default_tab&amp;search_scope=EVERYTHING&amp;vid=01CRU&amp;lang=en_US&amp;offset=0&amp;query=any,contains,991001290919702656","Catalog Record")</f>
        <v>Catalog Record</v>
      </c>
      <c r="AT1297" s="6" t="str">
        <f>HYPERLINK("http://www.worldcat.org/oclc/218028","WorldCat Record")</f>
        <v>WorldCat Record</v>
      </c>
      <c r="AU1297" s="3" t="s">
        <v>16280</v>
      </c>
      <c r="AV1297" s="3" t="s">
        <v>16281</v>
      </c>
      <c r="AW1297" s="3" t="s">
        <v>16282</v>
      </c>
      <c r="AX1297" s="3" t="s">
        <v>16282</v>
      </c>
      <c r="AY1297" s="3" t="s">
        <v>16283</v>
      </c>
      <c r="AZ1297" s="3" t="s">
        <v>76</v>
      </c>
      <c r="BC1297" s="3" t="s">
        <v>16284</v>
      </c>
      <c r="BD1297" s="3" t="s">
        <v>16285</v>
      </c>
    </row>
    <row r="1298" spans="1:56" ht="52.5" customHeight="1" x14ac:dyDescent="0.25">
      <c r="A1298" s="7" t="s">
        <v>59</v>
      </c>
      <c r="B1298" s="2" t="s">
        <v>16286</v>
      </c>
      <c r="C1298" s="2" t="s">
        <v>16287</v>
      </c>
      <c r="D1298" s="2" t="s">
        <v>16288</v>
      </c>
      <c r="F1298" s="3" t="s">
        <v>59</v>
      </c>
      <c r="G1298" s="3" t="s">
        <v>60</v>
      </c>
      <c r="H1298" s="3" t="s">
        <v>59</v>
      </c>
      <c r="I1298" s="3" t="s">
        <v>59</v>
      </c>
      <c r="J1298" s="3" t="s">
        <v>61</v>
      </c>
      <c r="K1298" s="2" t="s">
        <v>16289</v>
      </c>
      <c r="L1298" s="2" t="s">
        <v>16290</v>
      </c>
      <c r="M1298" s="3" t="s">
        <v>365</v>
      </c>
      <c r="N1298" s="2" t="s">
        <v>887</v>
      </c>
      <c r="O1298" s="3" t="s">
        <v>65</v>
      </c>
      <c r="P1298" s="3" t="s">
        <v>66</v>
      </c>
      <c r="R1298" s="3" t="s">
        <v>68</v>
      </c>
      <c r="S1298" s="4">
        <v>41</v>
      </c>
      <c r="T1298" s="4">
        <v>41</v>
      </c>
      <c r="U1298" s="5" t="s">
        <v>16291</v>
      </c>
      <c r="V1298" s="5" t="s">
        <v>16291</v>
      </c>
      <c r="W1298" s="5" t="s">
        <v>16292</v>
      </c>
      <c r="X1298" s="5" t="s">
        <v>16292</v>
      </c>
      <c r="Y1298" s="4">
        <v>475</v>
      </c>
      <c r="Z1298" s="4">
        <v>453</v>
      </c>
      <c r="AA1298" s="4">
        <v>501</v>
      </c>
      <c r="AB1298" s="4">
        <v>4</v>
      </c>
      <c r="AC1298" s="4">
        <v>4</v>
      </c>
      <c r="AD1298" s="4">
        <v>2</v>
      </c>
      <c r="AE1298" s="4">
        <v>2</v>
      </c>
      <c r="AF1298" s="4">
        <v>0</v>
      </c>
      <c r="AG1298" s="4">
        <v>0</v>
      </c>
      <c r="AH1298" s="4">
        <v>1</v>
      </c>
      <c r="AI1298" s="4">
        <v>1</v>
      </c>
      <c r="AJ1298" s="4">
        <v>1</v>
      </c>
      <c r="AK1298" s="4">
        <v>1</v>
      </c>
      <c r="AL1298" s="4">
        <v>1</v>
      </c>
      <c r="AM1298" s="4">
        <v>1</v>
      </c>
      <c r="AN1298" s="4">
        <v>0</v>
      </c>
      <c r="AO1298" s="4">
        <v>0</v>
      </c>
      <c r="AP1298" s="3" t="s">
        <v>59</v>
      </c>
      <c r="AQ1298" s="3" t="s">
        <v>59</v>
      </c>
      <c r="AS1298" s="6" t="str">
        <f>HYPERLINK("https://creighton-primo.hosted.exlibrisgroup.com/primo-explore/search?tab=default_tab&amp;search_scope=EVERYTHING&amp;vid=01CRU&amp;lang=en_US&amp;offset=0&amp;query=any,contains,991001181169702656","Catalog Record")</f>
        <v>Catalog Record</v>
      </c>
      <c r="AT1298" s="6" t="str">
        <f>HYPERLINK("http://www.worldcat.org/oclc/17108357","WorldCat Record")</f>
        <v>WorldCat Record</v>
      </c>
      <c r="AU1298" s="3" t="s">
        <v>16293</v>
      </c>
      <c r="AV1298" s="3" t="s">
        <v>16294</v>
      </c>
      <c r="AW1298" s="3" t="s">
        <v>16295</v>
      </c>
      <c r="AX1298" s="3" t="s">
        <v>16295</v>
      </c>
      <c r="AY1298" s="3" t="s">
        <v>16296</v>
      </c>
      <c r="AZ1298" s="3" t="s">
        <v>76</v>
      </c>
      <c r="BB1298" s="3" t="s">
        <v>16297</v>
      </c>
      <c r="BC1298" s="3" t="s">
        <v>16298</v>
      </c>
      <c r="BD1298" s="3" t="s">
        <v>16299</v>
      </c>
    </row>
    <row r="1299" spans="1:56" ht="52.5" customHeight="1" x14ac:dyDescent="0.25">
      <c r="A1299" s="7" t="s">
        <v>59</v>
      </c>
      <c r="B1299" s="2" t="s">
        <v>16300</v>
      </c>
      <c r="C1299" s="2" t="s">
        <v>16301</v>
      </c>
      <c r="D1299" s="2" t="s">
        <v>16302</v>
      </c>
      <c r="F1299" s="3" t="s">
        <v>59</v>
      </c>
      <c r="G1299" s="3" t="s">
        <v>60</v>
      </c>
      <c r="H1299" s="3" t="s">
        <v>59</v>
      </c>
      <c r="I1299" s="3" t="s">
        <v>59</v>
      </c>
      <c r="J1299" s="3" t="s">
        <v>61</v>
      </c>
      <c r="K1299" s="2" t="s">
        <v>16303</v>
      </c>
      <c r="L1299" s="2" t="s">
        <v>16304</v>
      </c>
      <c r="M1299" s="3" t="s">
        <v>1233</v>
      </c>
      <c r="N1299" s="2" t="s">
        <v>435</v>
      </c>
      <c r="O1299" s="3" t="s">
        <v>65</v>
      </c>
      <c r="P1299" s="3" t="s">
        <v>66</v>
      </c>
      <c r="R1299" s="3" t="s">
        <v>68</v>
      </c>
      <c r="S1299" s="4">
        <v>31</v>
      </c>
      <c r="T1299" s="4">
        <v>31</v>
      </c>
      <c r="U1299" s="5" t="s">
        <v>16291</v>
      </c>
      <c r="V1299" s="5" t="s">
        <v>16291</v>
      </c>
      <c r="W1299" s="5" t="s">
        <v>1135</v>
      </c>
      <c r="X1299" s="5" t="s">
        <v>1135</v>
      </c>
      <c r="Y1299" s="4">
        <v>346</v>
      </c>
      <c r="Z1299" s="4">
        <v>333</v>
      </c>
      <c r="AA1299" s="4">
        <v>364</v>
      </c>
      <c r="AB1299" s="4">
        <v>2</v>
      </c>
      <c r="AC1299" s="4">
        <v>2</v>
      </c>
      <c r="AD1299" s="4">
        <v>2</v>
      </c>
      <c r="AE1299" s="4">
        <v>2</v>
      </c>
      <c r="AF1299" s="4">
        <v>0</v>
      </c>
      <c r="AG1299" s="4">
        <v>0</v>
      </c>
      <c r="AH1299" s="4">
        <v>0</v>
      </c>
      <c r="AI1299" s="4">
        <v>0</v>
      </c>
      <c r="AJ1299" s="4">
        <v>2</v>
      </c>
      <c r="AK1299" s="4">
        <v>2</v>
      </c>
      <c r="AL1299" s="4">
        <v>0</v>
      </c>
      <c r="AM1299" s="4">
        <v>0</v>
      </c>
      <c r="AN1299" s="4">
        <v>0</v>
      </c>
      <c r="AO1299" s="4">
        <v>0</v>
      </c>
      <c r="AP1299" s="3" t="s">
        <v>59</v>
      </c>
      <c r="AQ1299" s="3" t="s">
        <v>59</v>
      </c>
      <c r="AS1299" s="6" t="str">
        <f>HYPERLINK("https://creighton-primo.hosted.exlibrisgroup.com/primo-explore/search?tab=default_tab&amp;search_scope=EVERYTHING&amp;vid=01CRU&amp;lang=en_US&amp;offset=0&amp;query=any,contains,991003240139702656","Catalog Record")</f>
        <v>Catalog Record</v>
      </c>
      <c r="AT1299" s="6" t="str">
        <f>HYPERLINK("http://www.worldcat.org/oclc/763423","WorldCat Record")</f>
        <v>WorldCat Record</v>
      </c>
      <c r="AU1299" s="3" t="s">
        <v>16305</v>
      </c>
      <c r="AV1299" s="3" t="s">
        <v>16306</v>
      </c>
      <c r="AW1299" s="3" t="s">
        <v>16307</v>
      </c>
      <c r="AX1299" s="3" t="s">
        <v>16307</v>
      </c>
      <c r="AY1299" s="3" t="s">
        <v>16308</v>
      </c>
      <c r="AZ1299" s="3" t="s">
        <v>76</v>
      </c>
      <c r="BB1299" s="3" t="s">
        <v>16309</v>
      </c>
      <c r="BC1299" s="3" t="s">
        <v>16310</v>
      </c>
      <c r="BD1299" s="3" t="s">
        <v>16311</v>
      </c>
    </row>
    <row r="1300" spans="1:56" ht="52.5" customHeight="1" x14ac:dyDescent="0.25">
      <c r="A1300" s="7" t="s">
        <v>59</v>
      </c>
      <c r="B1300" s="2" t="s">
        <v>16312</v>
      </c>
      <c r="C1300" s="2" t="s">
        <v>16313</v>
      </c>
      <c r="D1300" s="2" t="s">
        <v>16314</v>
      </c>
      <c r="F1300" s="3" t="s">
        <v>59</v>
      </c>
      <c r="G1300" s="3" t="s">
        <v>60</v>
      </c>
      <c r="H1300" s="3" t="s">
        <v>59</v>
      </c>
      <c r="I1300" s="3" t="s">
        <v>59</v>
      </c>
      <c r="J1300" s="3" t="s">
        <v>61</v>
      </c>
      <c r="K1300" s="2" t="s">
        <v>16315</v>
      </c>
      <c r="L1300" s="2" t="s">
        <v>16316</v>
      </c>
      <c r="M1300" s="3" t="s">
        <v>1492</v>
      </c>
      <c r="O1300" s="3" t="s">
        <v>65</v>
      </c>
      <c r="P1300" s="3" t="s">
        <v>66</v>
      </c>
      <c r="R1300" s="3" t="s">
        <v>68</v>
      </c>
      <c r="S1300" s="4">
        <v>8</v>
      </c>
      <c r="T1300" s="4">
        <v>8</v>
      </c>
      <c r="U1300" s="5" t="s">
        <v>16279</v>
      </c>
      <c r="V1300" s="5" t="s">
        <v>16279</v>
      </c>
      <c r="W1300" s="5" t="s">
        <v>1638</v>
      </c>
      <c r="X1300" s="5" t="s">
        <v>1638</v>
      </c>
      <c r="Y1300" s="4">
        <v>19</v>
      </c>
      <c r="Z1300" s="4">
        <v>16</v>
      </c>
      <c r="AA1300" s="4">
        <v>19</v>
      </c>
      <c r="AB1300" s="4">
        <v>2</v>
      </c>
      <c r="AC1300" s="4">
        <v>2</v>
      </c>
      <c r="AD1300" s="4">
        <v>1</v>
      </c>
      <c r="AE1300" s="4">
        <v>1</v>
      </c>
      <c r="AF1300" s="4">
        <v>0</v>
      </c>
      <c r="AG1300" s="4">
        <v>0</v>
      </c>
      <c r="AH1300" s="4">
        <v>0</v>
      </c>
      <c r="AI1300" s="4">
        <v>0</v>
      </c>
      <c r="AJ1300" s="4">
        <v>0</v>
      </c>
      <c r="AK1300" s="4">
        <v>0</v>
      </c>
      <c r="AL1300" s="4">
        <v>1</v>
      </c>
      <c r="AM1300" s="4">
        <v>1</v>
      </c>
      <c r="AN1300" s="4">
        <v>0</v>
      </c>
      <c r="AO1300" s="4">
        <v>0</v>
      </c>
      <c r="AP1300" s="3" t="s">
        <v>59</v>
      </c>
      <c r="AQ1300" s="3" t="s">
        <v>59</v>
      </c>
      <c r="AS1300" s="6" t="str">
        <f>HYPERLINK("https://creighton-primo.hosted.exlibrisgroup.com/primo-explore/search?tab=default_tab&amp;search_scope=EVERYTHING&amp;vid=01CRU&amp;lang=en_US&amp;offset=0&amp;query=any,contains,991004748519702656","Catalog Record")</f>
        <v>Catalog Record</v>
      </c>
      <c r="AT1300" s="6" t="str">
        <f>HYPERLINK("http://www.worldcat.org/oclc/4927365","WorldCat Record")</f>
        <v>WorldCat Record</v>
      </c>
      <c r="AU1300" s="3" t="s">
        <v>16317</v>
      </c>
      <c r="AV1300" s="3" t="s">
        <v>16318</v>
      </c>
      <c r="AW1300" s="3" t="s">
        <v>16319</v>
      </c>
      <c r="AX1300" s="3" t="s">
        <v>16319</v>
      </c>
      <c r="AY1300" s="3" t="s">
        <v>16320</v>
      </c>
      <c r="AZ1300" s="3" t="s">
        <v>76</v>
      </c>
      <c r="BC1300" s="3" t="s">
        <v>16321</v>
      </c>
      <c r="BD1300" s="3" t="s">
        <v>16322</v>
      </c>
    </row>
    <row r="1301" spans="1:56" ht="52.5" customHeight="1" x14ac:dyDescent="0.25">
      <c r="A1301" s="7" t="s">
        <v>59</v>
      </c>
      <c r="B1301" s="2" t="s">
        <v>16323</v>
      </c>
      <c r="C1301" s="2" t="s">
        <v>16324</v>
      </c>
      <c r="D1301" s="2" t="s">
        <v>16325</v>
      </c>
      <c r="F1301" s="3" t="s">
        <v>59</v>
      </c>
      <c r="G1301" s="3" t="s">
        <v>60</v>
      </c>
      <c r="H1301" s="3" t="s">
        <v>59</v>
      </c>
      <c r="I1301" s="3" t="s">
        <v>59</v>
      </c>
      <c r="J1301" s="3" t="s">
        <v>61</v>
      </c>
      <c r="K1301" s="2" t="s">
        <v>16326</v>
      </c>
      <c r="L1301" s="2" t="s">
        <v>16327</v>
      </c>
      <c r="M1301" s="3" t="s">
        <v>1000</v>
      </c>
      <c r="O1301" s="3" t="s">
        <v>65</v>
      </c>
      <c r="P1301" s="3" t="s">
        <v>66</v>
      </c>
      <c r="R1301" s="3" t="s">
        <v>68</v>
      </c>
      <c r="S1301" s="4">
        <v>8</v>
      </c>
      <c r="T1301" s="4">
        <v>8</v>
      </c>
      <c r="U1301" s="5" t="s">
        <v>16279</v>
      </c>
      <c r="V1301" s="5" t="s">
        <v>16279</v>
      </c>
      <c r="W1301" s="5" t="s">
        <v>12333</v>
      </c>
      <c r="X1301" s="5" t="s">
        <v>12333</v>
      </c>
      <c r="Y1301" s="4">
        <v>113</v>
      </c>
      <c r="Z1301" s="4">
        <v>92</v>
      </c>
      <c r="AA1301" s="4">
        <v>94</v>
      </c>
      <c r="AB1301" s="4">
        <v>2</v>
      </c>
      <c r="AC1301" s="4">
        <v>2</v>
      </c>
      <c r="AD1301" s="4">
        <v>2</v>
      </c>
      <c r="AE1301" s="4">
        <v>2</v>
      </c>
      <c r="AF1301" s="4">
        <v>0</v>
      </c>
      <c r="AG1301" s="4">
        <v>0</v>
      </c>
      <c r="AH1301" s="4">
        <v>0</v>
      </c>
      <c r="AI1301" s="4">
        <v>0</v>
      </c>
      <c r="AJ1301" s="4">
        <v>1</v>
      </c>
      <c r="AK1301" s="4">
        <v>1</v>
      </c>
      <c r="AL1301" s="4">
        <v>1</v>
      </c>
      <c r="AM1301" s="4">
        <v>1</v>
      </c>
      <c r="AN1301" s="4">
        <v>0</v>
      </c>
      <c r="AO1301" s="4">
        <v>0</v>
      </c>
      <c r="AP1301" s="3" t="s">
        <v>59</v>
      </c>
      <c r="AQ1301" s="3" t="s">
        <v>71</v>
      </c>
      <c r="AR1301" s="6" t="str">
        <f>HYPERLINK("http://catalog.hathitrust.org/Record/000040862","HathiTrust Record")</f>
        <v>HathiTrust Record</v>
      </c>
      <c r="AS1301" s="6" t="str">
        <f>HYPERLINK("https://creighton-primo.hosted.exlibrisgroup.com/primo-explore/search?tab=default_tab&amp;search_scope=EVERYTHING&amp;vid=01CRU&amp;lang=en_US&amp;offset=0&amp;query=any,contains,991004812149702656","Catalog Record")</f>
        <v>Catalog Record</v>
      </c>
      <c r="AT1301" s="6" t="str">
        <f>HYPERLINK("http://www.worldcat.org/oclc/5286056","WorldCat Record")</f>
        <v>WorldCat Record</v>
      </c>
      <c r="AU1301" s="3" t="s">
        <v>16328</v>
      </c>
      <c r="AV1301" s="3" t="s">
        <v>16329</v>
      </c>
      <c r="AW1301" s="3" t="s">
        <v>16330</v>
      </c>
      <c r="AX1301" s="3" t="s">
        <v>16330</v>
      </c>
      <c r="AY1301" s="3" t="s">
        <v>16331</v>
      </c>
      <c r="AZ1301" s="3" t="s">
        <v>76</v>
      </c>
      <c r="BB1301" s="3" t="s">
        <v>16332</v>
      </c>
      <c r="BC1301" s="3" t="s">
        <v>16333</v>
      </c>
      <c r="BD1301" s="3" t="s">
        <v>16334</v>
      </c>
    </row>
    <row r="1302" spans="1:56" ht="52.5" customHeight="1" x14ac:dyDescent="0.25">
      <c r="A1302" s="7" t="s">
        <v>59</v>
      </c>
      <c r="B1302" s="2" t="s">
        <v>16335</v>
      </c>
      <c r="C1302" s="2" t="s">
        <v>16336</v>
      </c>
      <c r="D1302" s="2" t="s">
        <v>16337</v>
      </c>
      <c r="F1302" s="3" t="s">
        <v>59</v>
      </c>
      <c r="G1302" s="3" t="s">
        <v>60</v>
      </c>
      <c r="H1302" s="3" t="s">
        <v>59</v>
      </c>
      <c r="I1302" s="3" t="s">
        <v>59</v>
      </c>
      <c r="J1302" s="3" t="s">
        <v>61</v>
      </c>
      <c r="K1302" s="2" t="s">
        <v>16338</v>
      </c>
      <c r="L1302" s="2" t="s">
        <v>16339</v>
      </c>
      <c r="M1302" s="3" t="s">
        <v>100</v>
      </c>
      <c r="O1302" s="3" t="s">
        <v>65</v>
      </c>
      <c r="P1302" s="3" t="s">
        <v>66</v>
      </c>
      <c r="R1302" s="3" t="s">
        <v>68</v>
      </c>
      <c r="S1302" s="4">
        <v>17</v>
      </c>
      <c r="T1302" s="4">
        <v>17</v>
      </c>
      <c r="U1302" s="5" t="s">
        <v>16340</v>
      </c>
      <c r="V1302" s="5" t="s">
        <v>16340</v>
      </c>
      <c r="W1302" s="5" t="s">
        <v>16341</v>
      </c>
      <c r="X1302" s="5" t="s">
        <v>16341</v>
      </c>
      <c r="Y1302" s="4">
        <v>112</v>
      </c>
      <c r="Z1302" s="4">
        <v>103</v>
      </c>
      <c r="AA1302" s="4">
        <v>114</v>
      </c>
      <c r="AB1302" s="4">
        <v>1</v>
      </c>
      <c r="AC1302" s="4">
        <v>1</v>
      </c>
      <c r="AD1302" s="4">
        <v>2</v>
      </c>
      <c r="AE1302" s="4">
        <v>2</v>
      </c>
      <c r="AF1302" s="4">
        <v>1</v>
      </c>
      <c r="AG1302" s="4">
        <v>1</v>
      </c>
      <c r="AH1302" s="4">
        <v>0</v>
      </c>
      <c r="AI1302" s="4">
        <v>0</v>
      </c>
      <c r="AJ1302" s="4">
        <v>1</v>
      </c>
      <c r="AK1302" s="4">
        <v>1</v>
      </c>
      <c r="AL1302" s="4">
        <v>0</v>
      </c>
      <c r="AM1302" s="4">
        <v>0</v>
      </c>
      <c r="AN1302" s="4">
        <v>0</v>
      </c>
      <c r="AO1302" s="4">
        <v>0</v>
      </c>
      <c r="AP1302" s="3" t="s">
        <v>59</v>
      </c>
      <c r="AQ1302" s="3" t="s">
        <v>59</v>
      </c>
      <c r="AS1302" s="6" t="str">
        <f>HYPERLINK("https://creighton-primo.hosted.exlibrisgroup.com/primo-explore/search?tab=default_tab&amp;search_scope=EVERYTHING&amp;vid=01CRU&amp;lang=en_US&amp;offset=0&amp;query=any,contains,991004170029702656","Catalog Record")</f>
        <v>Catalog Record</v>
      </c>
      <c r="AT1302" s="6" t="str">
        <f>HYPERLINK("http://www.worldcat.org/oclc/2578861","WorldCat Record")</f>
        <v>WorldCat Record</v>
      </c>
      <c r="AU1302" s="3" t="s">
        <v>16342</v>
      </c>
      <c r="AV1302" s="3" t="s">
        <v>16343</v>
      </c>
      <c r="AW1302" s="3" t="s">
        <v>16344</v>
      </c>
      <c r="AX1302" s="3" t="s">
        <v>16344</v>
      </c>
      <c r="AY1302" s="3" t="s">
        <v>16345</v>
      </c>
      <c r="AZ1302" s="3" t="s">
        <v>76</v>
      </c>
      <c r="BC1302" s="3" t="s">
        <v>16346</v>
      </c>
      <c r="BD1302" s="3" t="s">
        <v>16347</v>
      </c>
    </row>
    <row r="1303" spans="1:56" ht="52.5" customHeight="1" x14ac:dyDescent="0.25">
      <c r="A1303" s="7" t="s">
        <v>59</v>
      </c>
      <c r="B1303" s="2" t="s">
        <v>16348</v>
      </c>
      <c r="C1303" s="2" t="s">
        <v>16349</v>
      </c>
      <c r="D1303" s="2" t="s">
        <v>16350</v>
      </c>
      <c r="F1303" s="3" t="s">
        <v>59</v>
      </c>
      <c r="G1303" s="3" t="s">
        <v>60</v>
      </c>
      <c r="H1303" s="3" t="s">
        <v>59</v>
      </c>
      <c r="I1303" s="3" t="s">
        <v>59</v>
      </c>
      <c r="J1303" s="3" t="s">
        <v>61</v>
      </c>
      <c r="K1303" s="2" t="s">
        <v>3778</v>
      </c>
      <c r="L1303" s="2" t="s">
        <v>16351</v>
      </c>
      <c r="M1303" s="3" t="s">
        <v>538</v>
      </c>
      <c r="N1303" s="2" t="s">
        <v>1289</v>
      </c>
      <c r="O1303" s="3" t="s">
        <v>65</v>
      </c>
      <c r="P1303" s="3" t="s">
        <v>491</v>
      </c>
      <c r="Q1303" s="2" t="s">
        <v>1602</v>
      </c>
      <c r="R1303" s="3" t="s">
        <v>68</v>
      </c>
      <c r="S1303" s="4">
        <v>11</v>
      </c>
      <c r="T1303" s="4">
        <v>11</v>
      </c>
      <c r="U1303" s="5" t="s">
        <v>715</v>
      </c>
      <c r="V1303" s="5" t="s">
        <v>715</v>
      </c>
      <c r="W1303" s="5" t="s">
        <v>16352</v>
      </c>
      <c r="X1303" s="5" t="s">
        <v>16352</v>
      </c>
      <c r="Y1303" s="4">
        <v>334</v>
      </c>
      <c r="Z1303" s="4">
        <v>233</v>
      </c>
      <c r="AA1303" s="4">
        <v>1359</v>
      </c>
      <c r="AB1303" s="4">
        <v>1</v>
      </c>
      <c r="AC1303" s="4">
        <v>11</v>
      </c>
      <c r="AD1303" s="4">
        <v>5</v>
      </c>
      <c r="AE1303" s="4">
        <v>50</v>
      </c>
      <c r="AF1303" s="4">
        <v>3</v>
      </c>
      <c r="AG1303" s="4">
        <v>20</v>
      </c>
      <c r="AH1303" s="4">
        <v>1</v>
      </c>
      <c r="AI1303" s="4">
        <v>10</v>
      </c>
      <c r="AJ1303" s="4">
        <v>2</v>
      </c>
      <c r="AK1303" s="4">
        <v>24</v>
      </c>
      <c r="AL1303" s="4">
        <v>0</v>
      </c>
      <c r="AM1303" s="4">
        <v>9</v>
      </c>
      <c r="AN1303" s="4">
        <v>0</v>
      </c>
      <c r="AO1303" s="4">
        <v>0</v>
      </c>
      <c r="AP1303" s="3" t="s">
        <v>59</v>
      </c>
      <c r="AQ1303" s="3" t="s">
        <v>59</v>
      </c>
      <c r="AS1303" s="6" t="str">
        <f>HYPERLINK("https://creighton-primo.hosted.exlibrisgroup.com/primo-explore/search?tab=default_tab&amp;search_scope=EVERYTHING&amp;vid=01CRU&amp;lang=en_US&amp;offset=0&amp;query=any,contains,991003722929702656","Catalog Record")</f>
        <v>Catalog Record</v>
      </c>
      <c r="AT1303" s="6" t="str">
        <f>HYPERLINK("http://www.worldcat.org/oclc/1367273","WorldCat Record")</f>
        <v>WorldCat Record</v>
      </c>
      <c r="AU1303" s="3" t="s">
        <v>16353</v>
      </c>
      <c r="AV1303" s="3" t="s">
        <v>16354</v>
      </c>
      <c r="AW1303" s="3" t="s">
        <v>16355</v>
      </c>
      <c r="AX1303" s="3" t="s">
        <v>16355</v>
      </c>
      <c r="AY1303" s="3" t="s">
        <v>16356</v>
      </c>
      <c r="AZ1303" s="3" t="s">
        <v>76</v>
      </c>
      <c r="BC1303" s="3" t="s">
        <v>16357</v>
      </c>
      <c r="BD1303" s="3" t="s">
        <v>16358</v>
      </c>
    </row>
    <row r="1304" spans="1:56" ht="52.5" customHeight="1" x14ac:dyDescent="0.25">
      <c r="A1304" s="7" t="s">
        <v>59</v>
      </c>
      <c r="B1304" s="2" t="s">
        <v>16359</v>
      </c>
      <c r="C1304" s="2" t="s">
        <v>16360</v>
      </c>
      <c r="D1304" s="2" t="s">
        <v>16361</v>
      </c>
      <c r="F1304" s="3" t="s">
        <v>59</v>
      </c>
      <c r="G1304" s="3" t="s">
        <v>60</v>
      </c>
      <c r="H1304" s="3" t="s">
        <v>59</v>
      </c>
      <c r="I1304" s="3" t="s">
        <v>59</v>
      </c>
      <c r="J1304" s="3" t="s">
        <v>61</v>
      </c>
      <c r="K1304" s="2" t="s">
        <v>16362</v>
      </c>
      <c r="L1304" s="2" t="s">
        <v>16363</v>
      </c>
      <c r="M1304" s="3" t="s">
        <v>64</v>
      </c>
      <c r="O1304" s="3" t="s">
        <v>65</v>
      </c>
      <c r="P1304" s="3" t="s">
        <v>66</v>
      </c>
      <c r="Q1304" s="2" t="s">
        <v>16364</v>
      </c>
      <c r="R1304" s="3" t="s">
        <v>68</v>
      </c>
      <c r="S1304" s="4">
        <v>3</v>
      </c>
      <c r="T1304" s="4">
        <v>3</v>
      </c>
      <c r="U1304" s="5" t="s">
        <v>16365</v>
      </c>
      <c r="V1304" s="5" t="s">
        <v>16365</v>
      </c>
      <c r="W1304" s="5" t="s">
        <v>16159</v>
      </c>
      <c r="X1304" s="5" t="s">
        <v>16159</v>
      </c>
      <c r="Y1304" s="4">
        <v>318</v>
      </c>
      <c r="Z1304" s="4">
        <v>294</v>
      </c>
      <c r="AA1304" s="4">
        <v>672</v>
      </c>
      <c r="AB1304" s="4">
        <v>1</v>
      </c>
      <c r="AC1304" s="4">
        <v>2</v>
      </c>
      <c r="AD1304" s="4">
        <v>11</v>
      </c>
      <c r="AE1304" s="4">
        <v>25</v>
      </c>
      <c r="AF1304" s="4">
        <v>4</v>
      </c>
      <c r="AG1304" s="4">
        <v>9</v>
      </c>
      <c r="AH1304" s="4">
        <v>2</v>
      </c>
      <c r="AI1304" s="4">
        <v>5</v>
      </c>
      <c r="AJ1304" s="4">
        <v>7</v>
      </c>
      <c r="AK1304" s="4">
        <v>16</v>
      </c>
      <c r="AL1304" s="4">
        <v>0</v>
      </c>
      <c r="AM1304" s="4">
        <v>1</v>
      </c>
      <c r="AN1304" s="4">
        <v>0</v>
      </c>
      <c r="AO1304" s="4">
        <v>0</v>
      </c>
      <c r="AP1304" s="3" t="s">
        <v>59</v>
      </c>
      <c r="AQ1304" s="3" t="s">
        <v>71</v>
      </c>
      <c r="AR1304" s="6" t="str">
        <f>HYPERLINK("http://catalog.hathitrust.org/Record/000615152","HathiTrust Record")</f>
        <v>HathiTrust Record</v>
      </c>
      <c r="AS1304" s="6" t="str">
        <f>HYPERLINK("https://creighton-primo.hosted.exlibrisgroup.com/primo-explore/search?tab=default_tab&amp;search_scope=EVERYTHING&amp;vid=01CRU&amp;lang=en_US&amp;offset=0&amp;query=any,contains,991003758129702656","Catalog Record")</f>
        <v>Catalog Record</v>
      </c>
      <c r="AT1304" s="6" t="str">
        <f>HYPERLINK("http://www.worldcat.org/oclc/1441585","WorldCat Record")</f>
        <v>WorldCat Record</v>
      </c>
      <c r="AU1304" s="3" t="s">
        <v>16366</v>
      </c>
      <c r="AV1304" s="3" t="s">
        <v>16367</v>
      </c>
      <c r="AW1304" s="3" t="s">
        <v>16368</v>
      </c>
      <c r="AX1304" s="3" t="s">
        <v>16368</v>
      </c>
      <c r="AY1304" s="3" t="s">
        <v>16369</v>
      </c>
      <c r="AZ1304" s="3" t="s">
        <v>76</v>
      </c>
      <c r="BC1304" s="3" t="s">
        <v>16370</v>
      </c>
      <c r="BD1304" s="3" t="s">
        <v>16371</v>
      </c>
    </row>
    <row r="1305" spans="1:56" ht="52.5" customHeight="1" x14ac:dyDescent="0.25">
      <c r="A1305" s="7" t="s">
        <v>59</v>
      </c>
      <c r="B1305" s="2" t="s">
        <v>16372</v>
      </c>
      <c r="C1305" s="2" t="s">
        <v>16373</v>
      </c>
      <c r="D1305" s="2" t="s">
        <v>16374</v>
      </c>
      <c r="E1305" s="3" t="s">
        <v>781</v>
      </c>
      <c r="F1305" s="3" t="s">
        <v>71</v>
      </c>
      <c r="G1305" s="3" t="s">
        <v>60</v>
      </c>
      <c r="H1305" s="3" t="s">
        <v>59</v>
      </c>
      <c r="I1305" s="3" t="s">
        <v>59</v>
      </c>
      <c r="J1305" s="3" t="s">
        <v>61</v>
      </c>
      <c r="L1305" s="2" t="s">
        <v>7404</v>
      </c>
      <c r="M1305" s="3" t="s">
        <v>1217</v>
      </c>
      <c r="O1305" s="3" t="s">
        <v>65</v>
      </c>
      <c r="P1305" s="3" t="s">
        <v>699</v>
      </c>
      <c r="R1305" s="3" t="s">
        <v>68</v>
      </c>
      <c r="S1305" s="4">
        <v>3</v>
      </c>
      <c r="T1305" s="4">
        <v>8</v>
      </c>
      <c r="U1305" s="5" t="s">
        <v>1264</v>
      </c>
      <c r="V1305" s="5" t="s">
        <v>1264</v>
      </c>
      <c r="W1305" s="5" t="s">
        <v>241</v>
      </c>
      <c r="X1305" s="5" t="s">
        <v>241</v>
      </c>
      <c r="Y1305" s="4">
        <v>629</v>
      </c>
      <c r="Z1305" s="4">
        <v>546</v>
      </c>
      <c r="AA1305" s="4">
        <v>558</v>
      </c>
      <c r="AB1305" s="4">
        <v>3</v>
      </c>
      <c r="AC1305" s="4">
        <v>3</v>
      </c>
      <c r="AD1305" s="4">
        <v>29</v>
      </c>
      <c r="AE1305" s="4">
        <v>30</v>
      </c>
      <c r="AF1305" s="4">
        <v>14</v>
      </c>
      <c r="AG1305" s="4">
        <v>14</v>
      </c>
      <c r="AH1305" s="4">
        <v>6</v>
      </c>
      <c r="AI1305" s="4">
        <v>7</v>
      </c>
      <c r="AJ1305" s="4">
        <v>17</v>
      </c>
      <c r="AK1305" s="4">
        <v>18</v>
      </c>
      <c r="AL1305" s="4">
        <v>2</v>
      </c>
      <c r="AM1305" s="4">
        <v>2</v>
      </c>
      <c r="AN1305" s="4">
        <v>0</v>
      </c>
      <c r="AO1305" s="4">
        <v>0</v>
      </c>
      <c r="AP1305" s="3" t="s">
        <v>59</v>
      </c>
      <c r="AQ1305" s="3" t="s">
        <v>71</v>
      </c>
      <c r="AR1305" s="6" t="str">
        <f>HYPERLINK("http://catalog.hathitrust.org/Record/000566896","HathiTrust Record")</f>
        <v>HathiTrust Record</v>
      </c>
      <c r="AS1305" s="6" t="str">
        <f>HYPERLINK("https://creighton-primo.hosted.exlibrisgroup.com/primo-explore/search?tab=default_tab&amp;search_scope=EVERYTHING&amp;vid=01CRU&amp;lang=en_US&amp;offset=0&amp;query=any,contains,991000535289702656","Catalog Record")</f>
        <v>Catalog Record</v>
      </c>
      <c r="AT1305" s="6" t="str">
        <f>HYPERLINK("http://www.worldcat.org/oclc/11444308","WorldCat Record")</f>
        <v>WorldCat Record</v>
      </c>
      <c r="AU1305" s="3" t="s">
        <v>16375</v>
      </c>
      <c r="AV1305" s="3" t="s">
        <v>16376</v>
      </c>
      <c r="AW1305" s="3" t="s">
        <v>16377</v>
      </c>
      <c r="AX1305" s="3" t="s">
        <v>16377</v>
      </c>
      <c r="AY1305" s="3" t="s">
        <v>16378</v>
      </c>
      <c r="AZ1305" s="3" t="s">
        <v>76</v>
      </c>
      <c r="BB1305" s="3" t="s">
        <v>16379</v>
      </c>
      <c r="BC1305" s="3" t="s">
        <v>16380</v>
      </c>
      <c r="BD1305" s="3" t="s">
        <v>16381</v>
      </c>
    </row>
    <row r="1306" spans="1:56" ht="52.5" customHeight="1" x14ac:dyDescent="0.25">
      <c r="A1306" s="7" t="s">
        <v>59</v>
      </c>
      <c r="B1306" s="2" t="s">
        <v>16372</v>
      </c>
      <c r="C1306" s="2" t="s">
        <v>16373</v>
      </c>
      <c r="D1306" s="2" t="s">
        <v>16374</v>
      </c>
      <c r="E1306" s="3" t="s">
        <v>768</v>
      </c>
      <c r="F1306" s="3" t="s">
        <v>71</v>
      </c>
      <c r="G1306" s="3" t="s">
        <v>60</v>
      </c>
      <c r="H1306" s="3" t="s">
        <v>59</v>
      </c>
      <c r="I1306" s="3" t="s">
        <v>59</v>
      </c>
      <c r="J1306" s="3" t="s">
        <v>61</v>
      </c>
      <c r="L1306" s="2" t="s">
        <v>7404</v>
      </c>
      <c r="M1306" s="3" t="s">
        <v>1217</v>
      </c>
      <c r="O1306" s="3" t="s">
        <v>65</v>
      </c>
      <c r="P1306" s="3" t="s">
        <v>699</v>
      </c>
      <c r="R1306" s="3" t="s">
        <v>68</v>
      </c>
      <c r="S1306" s="4">
        <v>5</v>
      </c>
      <c r="T1306" s="4">
        <v>8</v>
      </c>
      <c r="U1306" s="5" t="s">
        <v>1264</v>
      </c>
      <c r="V1306" s="5" t="s">
        <v>1264</v>
      </c>
      <c r="W1306" s="5" t="s">
        <v>12333</v>
      </c>
      <c r="X1306" s="5" t="s">
        <v>241</v>
      </c>
      <c r="Y1306" s="4">
        <v>629</v>
      </c>
      <c r="Z1306" s="4">
        <v>546</v>
      </c>
      <c r="AA1306" s="4">
        <v>558</v>
      </c>
      <c r="AB1306" s="4">
        <v>3</v>
      </c>
      <c r="AC1306" s="4">
        <v>3</v>
      </c>
      <c r="AD1306" s="4">
        <v>29</v>
      </c>
      <c r="AE1306" s="4">
        <v>30</v>
      </c>
      <c r="AF1306" s="4">
        <v>14</v>
      </c>
      <c r="AG1306" s="4">
        <v>14</v>
      </c>
      <c r="AH1306" s="4">
        <v>6</v>
      </c>
      <c r="AI1306" s="4">
        <v>7</v>
      </c>
      <c r="AJ1306" s="4">
        <v>17</v>
      </c>
      <c r="AK1306" s="4">
        <v>18</v>
      </c>
      <c r="AL1306" s="4">
        <v>2</v>
      </c>
      <c r="AM1306" s="4">
        <v>2</v>
      </c>
      <c r="AN1306" s="4">
        <v>0</v>
      </c>
      <c r="AO1306" s="4">
        <v>0</v>
      </c>
      <c r="AP1306" s="3" t="s">
        <v>59</v>
      </c>
      <c r="AQ1306" s="3" t="s">
        <v>71</v>
      </c>
      <c r="AR1306" s="6" t="str">
        <f>HYPERLINK("http://catalog.hathitrust.org/Record/000566896","HathiTrust Record")</f>
        <v>HathiTrust Record</v>
      </c>
      <c r="AS1306" s="6" t="str">
        <f>HYPERLINK("https://creighton-primo.hosted.exlibrisgroup.com/primo-explore/search?tab=default_tab&amp;search_scope=EVERYTHING&amp;vid=01CRU&amp;lang=en_US&amp;offset=0&amp;query=any,contains,991000535289702656","Catalog Record")</f>
        <v>Catalog Record</v>
      </c>
      <c r="AT1306" s="6" t="str">
        <f>HYPERLINK("http://www.worldcat.org/oclc/11444308","WorldCat Record")</f>
        <v>WorldCat Record</v>
      </c>
      <c r="AU1306" s="3" t="s">
        <v>16375</v>
      </c>
      <c r="AV1306" s="3" t="s">
        <v>16376</v>
      </c>
      <c r="AW1306" s="3" t="s">
        <v>16377</v>
      </c>
      <c r="AX1306" s="3" t="s">
        <v>16377</v>
      </c>
      <c r="AY1306" s="3" t="s">
        <v>16378</v>
      </c>
      <c r="AZ1306" s="3" t="s">
        <v>76</v>
      </c>
      <c r="BB1306" s="3" t="s">
        <v>16379</v>
      </c>
      <c r="BC1306" s="3" t="s">
        <v>16382</v>
      </c>
      <c r="BD1306" s="3" t="s">
        <v>16383</v>
      </c>
    </row>
    <row r="1307" spans="1:56" ht="52.5" customHeight="1" x14ac:dyDescent="0.25">
      <c r="A1307" s="7" t="s">
        <v>59</v>
      </c>
      <c r="B1307" s="2" t="s">
        <v>16384</v>
      </c>
      <c r="C1307" s="2" t="s">
        <v>16385</v>
      </c>
      <c r="D1307" s="2" t="s">
        <v>16386</v>
      </c>
      <c r="F1307" s="3" t="s">
        <v>59</v>
      </c>
      <c r="G1307" s="3" t="s">
        <v>60</v>
      </c>
      <c r="H1307" s="3" t="s">
        <v>59</v>
      </c>
      <c r="I1307" s="3" t="s">
        <v>59</v>
      </c>
      <c r="J1307" s="3" t="s">
        <v>61</v>
      </c>
      <c r="K1307" s="2" t="s">
        <v>16387</v>
      </c>
      <c r="L1307" s="2" t="s">
        <v>16388</v>
      </c>
      <c r="M1307" s="3" t="s">
        <v>2389</v>
      </c>
      <c r="O1307" s="3" t="s">
        <v>65</v>
      </c>
      <c r="P1307" s="3" t="s">
        <v>66</v>
      </c>
      <c r="R1307" s="3" t="s">
        <v>68</v>
      </c>
      <c r="S1307" s="4">
        <v>8</v>
      </c>
      <c r="T1307" s="4">
        <v>8</v>
      </c>
      <c r="U1307" s="5" t="s">
        <v>16389</v>
      </c>
      <c r="V1307" s="5" t="s">
        <v>16389</v>
      </c>
      <c r="W1307" s="5" t="s">
        <v>16390</v>
      </c>
      <c r="X1307" s="5" t="s">
        <v>16390</v>
      </c>
      <c r="Y1307" s="4">
        <v>479</v>
      </c>
      <c r="Z1307" s="4">
        <v>426</v>
      </c>
      <c r="AA1307" s="4">
        <v>473</v>
      </c>
      <c r="AB1307" s="4">
        <v>3</v>
      </c>
      <c r="AC1307" s="4">
        <v>4</v>
      </c>
      <c r="AD1307" s="4">
        <v>12</v>
      </c>
      <c r="AE1307" s="4">
        <v>14</v>
      </c>
      <c r="AF1307" s="4">
        <v>4</v>
      </c>
      <c r="AG1307" s="4">
        <v>4</v>
      </c>
      <c r="AH1307" s="4">
        <v>4</v>
      </c>
      <c r="AI1307" s="4">
        <v>4</v>
      </c>
      <c r="AJ1307" s="4">
        <v>6</v>
      </c>
      <c r="AK1307" s="4">
        <v>7</v>
      </c>
      <c r="AL1307" s="4">
        <v>2</v>
      </c>
      <c r="AM1307" s="4">
        <v>3</v>
      </c>
      <c r="AN1307" s="4">
        <v>0</v>
      </c>
      <c r="AO1307" s="4">
        <v>0</v>
      </c>
      <c r="AP1307" s="3" t="s">
        <v>59</v>
      </c>
      <c r="AQ1307" s="3" t="s">
        <v>59</v>
      </c>
      <c r="AR1307" s="6" t="str">
        <f>HYPERLINK("http://catalog.hathitrust.org/Record/006256131","HathiTrust Record")</f>
        <v>HathiTrust Record</v>
      </c>
      <c r="AS1307" s="6" t="str">
        <f>HYPERLINK("https://creighton-primo.hosted.exlibrisgroup.com/primo-explore/search?tab=default_tab&amp;search_scope=EVERYTHING&amp;vid=01CRU&amp;lang=en_US&amp;offset=0&amp;query=any,contains,991000791689702656","Catalog Record")</f>
        <v>Catalog Record</v>
      </c>
      <c r="AT1307" s="6" t="str">
        <f>HYPERLINK("http://www.worldcat.org/oclc/993839","WorldCat Record")</f>
        <v>WorldCat Record</v>
      </c>
    </row>
    <row r="1308" spans="1:56" ht="52.5" customHeight="1" x14ac:dyDescent="0.25">
      <c r="A1308" s="7" t="s">
        <v>59</v>
      </c>
      <c r="B1308" s="2" t="s">
        <v>16391</v>
      </c>
      <c r="C1308" s="2" t="s">
        <v>16392</v>
      </c>
      <c r="D1308" s="2" t="s">
        <v>16393</v>
      </c>
      <c r="F1308" s="3" t="s">
        <v>59</v>
      </c>
      <c r="G1308" s="3" t="s">
        <v>60</v>
      </c>
      <c r="H1308" s="3" t="s">
        <v>71</v>
      </c>
      <c r="I1308" s="3" t="s">
        <v>59</v>
      </c>
      <c r="J1308" s="3" t="s">
        <v>61</v>
      </c>
      <c r="K1308" s="2" t="s">
        <v>16394</v>
      </c>
      <c r="L1308" s="2" t="s">
        <v>16395</v>
      </c>
      <c r="M1308" s="3" t="s">
        <v>1217</v>
      </c>
      <c r="O1308" s="3" t="s">
        <v>65</v>
      </c>
      <c r="P1308" s="3" t="s">
        <v>16396</v>
      </c>
      <c r="R1308" s="3" t="s">
        <v>68</v>
      </c>
      <c r="S1308" s="4">
        <v>1</v>
      </c>
      <c r="T1308" s="4">
        <v>1</v>
      </c>
      <c r="U1308" s="5" t="s">
        <v>16397</v>
      </c>
      <c r="V1308" s="5" t="s">
        <v>16397</v>
      </c>
      <c r="W1308" s="5" t="s">
        <v>16398</v>
      </c>
      <c r="X1308" s="5" t="s">
        <v>16398</v>
      </c>
      <c r="Y1308" s="4">
        <v>874</v>
      </c>
      <c r="Z1308" s="4">
        <v>758</v>
      </c>
      <c r="AA1308" s="4">
        <v>782</v>
      </c>
      <c r="AB1308" s="4">
        <v>7</v>
      </c>
      <c r="AC1308" s="4">
        <v>7</v>
      </c>
      <c r="AD1308" s="4">
        <v>24</v>
      </c>
      <c r="AE1308" s="4">
        <v>24</v>
      </c>
      <c r="AF1308" s="4">
        <v>9</v>
      </c>
      <c r="AG1308" s="4">
        <v>9</v>
      </c>
      <c r="AH1308" s="4">
        <v>3</v>
      </c>
      <c r="AI1308" s="4">
        <v>3</v>
      </c>
      <c r="AJ1308" s="4">
        <v>9</v>
      </c>
      <c r="AK1308" s="4">
        <v>9</v>
      </c>
      <c r="AL1308" s="4">
        <v>5</v>
      </c>
      <c r="AM1308" s="4">
        <v>5</v>
      </c>
      <c r="AN1308" s="4">
        <v>0</v>
      </c>
      <c r="AO1308" s="4">
        <v>0</v>
      </c>
      <c r="AP1308" s="3" t="s">
        <v>59</v>
      </c>
      <c r="AQ1308" s="3" t="s">
        <v>71</v>
      </c>
      <c r="AR1308" s="6" t="str">
        <f>HYPERLINK("http://catalog.hathitrust.org/Record/000339310","HathiTrust Record")</f>
        <v>HathiTrust Record</v>
      </c>
      <c r="AS1308" s="6" t="str">
        <f>HYPERLINK("https://creighton-primo.hosted.exlibrisgroup.com/primo-explore/search?tab=default_tab&amp;search_scope=EVERYTHING&amp;vid=01CRU&amp;lang=en_US&amp;offset=0&amp;query=any,contains,991001140279702656","Catalog Record")</f>
        <v>Catalog Record</v>
      </c>
      <c r="AT1308" s="6" t="str">
        <f>HYPERLINK("http://www.worldcat.org/oclc/9853504","WorldCat Record")</f>
        <v>WorldCat Record</v>
      </c>
    </row>
    <row r="1309" spans="1:56" ht="52.5" customHeight="1" x14ac:dyDescent="0.25">
      <c r="A1309" s="7" t="s">
        <v>59</v>
      </c>
      <c r="B1309" s="2" t="s">
        <v>16399</v>
      </c>
      <c r="C1309" s="2" t="s">
        <v>16400</v>
      </c>
      <c r="D1309" s="2" t="s">
        <v>16401</v>
      </c>
      <c r="F1309" s="3" t="s">
        <v>59</v>
      </c>
      <c r="G1309" s="3" t="s">
        <v>60</v>
      </c>
      <c r="H1309" s="3" t="s">
        <v>59</v>
      </c>
      <c r="I1309" s="3" t="s">
        <v>59</v>
      </c>
      <c r="J1309" s="3" t="s">
        <v>61</v>
      </c>
      <c r="K1309" s="2" t="s">
        <v>16402</v>
      </c>
      <c r="L1309" s="2" t="s">
        <v>16403</v>
      </c>
      <c r="M1309" s="3" t="s">
        <v>1868</v>
      </c>
      <c r="O1309" s="3" t="s">
        <v>65</v>
      </c>
      <c r="P1309" s="3" t="s">
        <v>491</v>
      </c>
      <c r="R1309" s="3" t="s">
        <v>68</v>
      </c>
      <c r="S1309" s="4">
        <v>2</v>
      </c>
      <c r="T1309" s="4">
        <v>2</v>
      </c>
      <c r="U1309" s="5" t="s">
        <v>338</v>
      </c>
      <c r="V1309" s="5" t="s">
        <v>338</v>
      </c>
      <c r="W1309" s="5" t="s">
        <v>16390</v>
      </c>
      <c r="X1309" s="5" t="s">
        <v>16390</v>
      </c>
      <c r="Y1309" s="4">
        <v>266</v>
      </c>
      <c r="Z1309" s="4">
        <v>245</v>
      </c>
      <c r="AA1309" s="4">
        <v>291</v>
      </c>
      <c r="AB1309" s="4">
        <v>1</v>
      </c>
      <c r="AC1309" s="4">
        <v>1</v>
      </c>
      <c r="AD1309" s="4">
        <v>14</v>
      </c>
      <c r="AE1309" s="4">
        <v>15</v>
      </c>
      <c r="AF1309" s="4">
        <v>5</v>
      </c>
      <c r="AG1309" s="4">
        <v>5</v>
      </c>
      <c r="AH1309" s="4">
        <v>3</v>
      </c>
      <c r="AI1309" s="4">
        <v>3</v>
      </c>
      <c r="AJ1309" s="4">
        <v>8</v>
      </c>
      <c r="AK1309" s="4">
        <v>9</v>
      </c>
      <c r="AL1309" s="4">
        <v>0</v>
      </c>
      <c r="AM1309" s="4">
        <v>0</v>
      </c>
      <c r="AN1309" s="4">
        <v>0</v>
      </c>
      <c r="AO1309" s="4">
        <v>0</v>
      </c>
      <c r="AP1309" s="3" t="s">
        <v>59</v>
      </c>
      <c r="AQ1309" s="3" t="s">
        <v>59</v>
      </c>
      <c r="AR1309" s="6" t="str">
        <f>HYPERLINK("http://catalog.hathitrust.org/Record/000475145","HathiTrust Record")</f>
        <v>HathiTrust Record</v>
      </c>
      <c r="AS1309" s="6" t="str">
        <f>HYPERLINK("https://creighton-primo.hosted.exlibrisgroup.com/primo-explore/search?tab=default_tab&amp;search_scope=EVERYTHING&amp;vid=01CRU&amp;lang=en_US&amp;offset=0&amp;query=any,contains,991000791489702656","Catalog Record")</f>
        <v>Catalog Record</v>
      </c>
      <c r="AT1309" s="6" t="str">
        <f>HYPERLINK("http://www.worldcat.org/oclc/565554","WorldCat Record")</f>
        <v>WorldCat Record</v>
      </c>
    </row>
    <row r="1310" spans="1:56" ht="52.5" customHeight="1" x14ac:dyDescent="0.25">
      <c r="A1310" s="7" t="s">
        <v>59</v>
      </c>
      <c r="B1310" s="2" t="s">
        <v>16404</v>
      </c>
      <c r="C1310" s="2" t="s">
        <v>16405</v>
      </c>
      <c r="D1310" s="2" t="s">
        <v>16406</v>
      </c>
      <c r="F1310" s="3" t="s">
        <v>59</v>
      </c>
      <c r="G1310" s="3" t="s">
        <v>60</v>
      </c>
      <c r="H1310" s="3" t="s">
        <v>59</v>
      </c>
      <c r="I1310" s="3" t="s">
        <v>59</v>
      </c>
      <c r="J1310" s="3" t="s">
        <v>61</v>
      </c>
      <c r="K1310" s="2" t="s">
        <v>307</v>
      </c>
      <c r="L1310" s="2" t="s">
        <v>16407</v>
      </c>
      <c r="M1310" s="3" t="s">
        <v>1404</v>
      </c>
      <c r="N1310" t="s">
        <v>1764</v>
      </c>
      <c r="O1310" s="3" t="s">
        <v>65</v>
      </c>
      <c r="P1310" s="3" t="s">
        <v>66</v>
      </c>
      <c r="R1310" s="3" t="s">
        <v>68</v>
      </c>
      <c r="S1310" s="4">
        <v>2</v>
      </c>
      <c r="T1310" s="4">
        <v>2</v>
      </c>
      <c r="U1310" s="5" t="s">
        <v>338</v>
      </c>
      <c r="V1310" s="5" t="s">
        <v>338</v>
      </c>
      <c r="W1310" s="5" t="s">
        <v>16390</v>
      </c>
      <c r="X1310" s="5" t="s">
        <v>16390</v>
      </c>
      <c r="Y1310" s="4">
        <v>161</v>
      </c>
      <c r="Z1310" s="4">
        <v>145</v>
      </c>
      <c r="AA1310" s="4">
        <v>158</v>
      </c>
      <c r="AB1310" s="4">
        <v>1</v>
      </c>
      <c r="AC1310" s="4">
        <v>1</v>
      </c>
      <c r="AD1310" s="4">
        <v>4</v>
      </c>
      <c r="AE1310" s="4">
        <v>5</v>
      </c>
      <c r="AF1310" s="4">
        <v>0</v>
      </c>
      <c r="AG1310" s="4">
        <v>1</v>
      </c>
      <c r="AH1310" s="4">
        <v>0</v>
      </c>
      <c r="AI1310" s="4">
        <v>0</v>
      </c>
      <c r="AJ1310" s="4">
        <v>4</v>
      </c>
      <c r="AK1310" s="4">
        <v>4</v>
      </c>
      <c r="AL1310" s="4">
        <v>0</v>
      </c>
      <c r="AM1310" s="4">
        <v>0</v>
      </c>
      <c r="AN1310" s="4">
        <v>0</v>
      </c>
      <c r="AO1310" s="4">
        <v>0</v>
      </c>
      <c r="AP1310" s="3" t="s">
        <v>59</v>
      </c>
      <c r="AQ1310" s="3" t="s">
        <v>71</v>
      </c>
      <c r="AR1310" s="6" t="str">
        <f>HYPERLINK("http://catalog.hathitrust.org/Record/007110419","HathiTrust Record")</f>
        <v>HathiTrust Record</v>
      </c>
      <c r="AS1310" s="6" t="str">
        <f>HYPERLINK("https://creighton-primo.hosted.exlibrisgroup.com/primo-explore/search?tab=default_tab&amp;search_scope=EVERYTHING&amp;vid=01CRU&amp;lang=en_US&amp;offset=0&amp;query=any,contains,991000791549702656","Catalog Record")</f>
        <v>Catalog Record</v>
      </c>
      <c r="AT1310" s="6" t="str">
        <f>HYPERLINK("http://www.worldcat.org/oclc/1701629","WorldCat Record")</f>
        <v>WorldCat Record</v>
      </c>
    </row>
    <row r="1311" spans="1:56" ht="52.5" customHeight="1" x14ac:dyDescent="0.25">
      <c r="A1311" s="7" t="s">
        <v>59</v>
      </c>
      <c r="B1311" s="2" t="s">
        <v>16408</v>
      </c>
      <c r="C1311" s="2" t="s">
        <v>16409</v>
      </c>
      <c r="D1311" s="2" t="s">
        <v>16410</v>
      </c>
      <c r="F1311" s="3" t="s">
        <v>71</v>
      </c>
      <c r="G1311" s="3" t="s">
        <v>60</v>
      </c>
      <c r="H1311" s="3" t="s">
        <v>71</v>
      </c>
      <c r="I1311" s="3" t="s">
        <v>59</v>
      </c>
      <c r="J1311" s="3" t="s">
        <v>61</v>
      </c>
      <c r="K1311" s="2"/>
      <c r="L1311" s="2" t="s">
        <v>16411</v>
      </c>
      <c r="M1311" s="3" t="s">
        <v>10267</v>
      </c>
      <c r="O1311" s="3" t="s">
        <v>65</v>
      </c>
      <c r="P1311" s="3" t="s">
        <v>1262</v>
      </c>
      <c r="R1311" s="3" t="s">
        <v>68</v>
      </c>
      <c r="S1311" s="4">
        <v>2</v>
      </c>
      <c r="T1311" s="4">
        <v>3</v>
      </c>
      <c r="U1311" s="5" t="s">
        <v>16412</v>
      </c>
      <c r="V1311" s="5" t="s">
        <v>16412</v>
      </c>
      <c r="W1311" s="5" t="s">
        <v>16412</v>
      </c>
      <c r="X1311" s="5" t="s">
        <v>16412</v>
      </c>
      <c r="Y1311" s="4">
        <v>754</v>
      </c>
      <c r="Z1311" s="4">
        <v>552</v>
      </c>
      <c r="AA1311" s="4">
        <v>563</v>
      </c>
      <c r="AB1311" s="4">
        <v>5</v>
      </c>
      <c r="AC1311" s="4">
        <v>5</v>
      </c>
      <c r="AD1311" s="4">
        <v>23</v>
      </c>
      <c r="AE1311" s="4">
        <v>24</v>
      </c>
      <c r="AF1311" s="4">
        <v>5</v>
      </c>
      <c r="AG1311" s="4">
        <v>6</v>
      </c>
      <c r="AH1311" s="4">
        <v>6</v>
      </c>
      <c r="AI1311" s="4">
        <v>6</v>
      </c>
      <c r="AJ1311" s="4">
        <v>14</v>
      </c>
      <c r="AK1311" s="4">
        <v>15</v>
      </c>
      <c r="AL1311" s="4">
        <v>4</v>
      </c>
      <c r="AM1311" s="4">
        <v>4</v>
      </c>
      <c r="AN1311" s="4">
        <v>0</v>
      </c>
      <c r="AO1311" s="4">
        <v>0</v>
      </c>
      <c r="AP1311" s="3" t="s">
        <v>59</v>
      </c>
      <c r="AQ1311" s="3" t="s">
        <v>59</v>
      </c>
      <c r="AR1311" s="6"/>
      <c r="AS1311" s="6" t="str">
        <f>HYPERLINK("https://creighton-primo.hosted.exlibrisgroup.com/primo-explore/search?tab=default_tab&amp;search_scope=EVERYTHING&amp;vid=01CRU&amp;lang=en_US&amp;offset=0&amp;query=any,contains,991000671639702656","Catalog Record")</f>
        <v>Catalog Record</v>
      </c>
      <c r="AT1311" s="6" t="str">
        <f>HYPERLINK("http://www.worldcat.org/oclc/29703951","WorldCat Record")</f>
        <v>WorldCat Record</v>
      </c>
    </row>
    <row r="1312" spans="1:56" ht="52.5" customHeight="1" x14ac:dyDescent="0.25">
      <c r="A1312" s="7" t="s">
        <v>59</v>
      </c>
      <c r="B1312" s="2" t="s">
        <v>16413</v>
      </c>
      <c r="C1312" s="2" t="s">
        <v>16414</v>
      </c>
      <c r="D1312" s="2" t="s">
        <v>16415</v>
      </c>
      <c r="F1312" s="3" t="s">
        <v>59</v>
      </c>
      <c r="G1312" s="3" t="s">
        <v>60</v>
      </c>
      <c r="H1312" s="3" t="s">
        <v>59</v>
      </c>
      <c r="I1312" s="3" t="s">
        <v>59</v>
      </c>
      <c r="J1312" s="3" t="s">
        <v>61</v>
      </c>
      <c r="K1312" s="2"/>
      <c r="L1312" s="2" t="s">
        <v>16416</v>
      </c>
      <c r="M1312" s="3" t="s">
        <v>10267</v>
      </c>
      <c r="N1312" t="s">
        <v>3938</v>
      </c>
      <c r="O1312" s="3" t="s">
        <v>65</v>
      </c>
      <c r="P1312" s="3" t="s">
        <v>323</v>
      </c>
      <c r="R1312" s="3" t="s">
        <v>68</v>
      </c>
      <c r="S1312" s="4">
        <v>59</v>
      </c>
      <c r="T1312" s="4">
        <v>59</v>
      </c>
      <c r="U1312" s="5" t="s">
        <v>16417</v>
      </c>
      <c r="V1312" s="5" t="s">
        <v>16417</v>
      </c>
      <c r="W1312" s="5" t="s">
        <v>16418</v>
      </c>
      <c r="X1312" s="5" t="s">
        <v>16418</v>
      </c>
      <c r="Y1312" s="4">
        <v>149</v>
      </c>
      <c r="Z1312" s="4">
        <v>111</v>
      </c>
      <c r="AA1312" s="4">
        <v>118</v>
      </c>
      <c r="AB1312" s="4">
        <v>1</v>
      </c>
      <c r="AC1312" s="4">
        <v>1</v>
      </c>
      <c r="AD1312" s="4">
        <v>4</v>
      </c>
      <c r="AE1312" s="4">
        <v>4</v>
      </c>
      <c r="AF1312" s="4">
        <v>2</v>
      </c>
      <c r="AG1312" s="4">
        <v>2</v>
      </c>
      <c r="AH1312" s="4">
        <v>1</v>
      </c>
      <c r="AI1312" s="4">
        <v>1</v>
      </c>
      <c r="AJ1312" s="4">
        <v>3</v>
      </c>
      <c r="AK1312" s="4">
        <v>3</v>
      </c>
      <c r="AL1312" s="4">
        <v>0</v>
      </c>
      <c r="AM1312" s="4">
        <v>0</v>
      </c>
      <c r="AN1312" s="4">
        <v>0</v>
      </c>
      <c r="AO1312" s="4">
        <v>0</v>
      </c>
      <c r="AP1312" s="3" t="s">
        <v>59</v>
      </c>
      <c r="AQ1312" s="3" t="s">
        <v>71</v>
      </c>
      <c r="AR1312" s="6" t="str">
        <f>HYPERLINK("http://catalog.hathitrust.org/Record/002967637","HathiTrust Record")</f>
        <v>HathiTrust Record</v>
      </c>
      <c r="AS1312" s="6" t="str">
        <f>HYPERLINK("https://creighton-primo.hosted.exlibrisgroup.com/primo-explore/search?tab=default_tab&amp;search_scope=EVERYTHING&amp;vid=01CRU&amp;lang=en_US&amp;offset=0&amp;query=any,contains,991001403979702656","Catalog Record")</f>
        <v>Catalog Record</v>
      </c>
      <c r="AT1312" s="6" t="str">
        <f>HYPERLINK("http://www.worldcat.org/oclc/28802043","WorldCat Record")</f>
        <v>WorldCat Record</v>
      </c>
    </row>
    <row r="1313" spans="1:46" ht="52.5" customHeight="1" x14ac:dyDescent="0.25">
      <c r="A1313" s="7" t="s">
        <v>59</v>
      </c>
      <c r="B1313" s="2" t="s">
        <v>16419</v>
      </c>
      <c r="C1313" s="2" t="s">
        <v>16420</v>
      </c>
      <c r="D1313" s="2" t="s">
        <v>16421</v>
      </c>
      <c r="F1313" s="3" t="s">
        <v>59</v>
      </c>
      <c r="G1313" s="3" t="s">
        <v>60</v>
      </c>
      <c r="H1313" s="3" t="s">
        <v>59</v>
      </c>
      <c r="I1313" s="3" t="s">
        <v>59</v>
      </c>
      <c r="J1313" s="3" t="s">
        <v>61</v>
      </c>
      <c r="K1313" s="2"/>
      <c r="L1313" s="2" t="s">
        <v>16422</v>
      </c>
      <c r="M1313" s="3" t="s">
        <v>3897</v>
      </c>
      <c r="N1313" t="s">
        <v>1975</v>
      </c>
      <c r="O1313" s="3" t="s">
        <v>65</v>
      </c>
      <c r="P1313" s="3" t="s">
        <v>323</v>
      </c>
      <c r="R1313" s="3" t="s">
        <v>68</v>
      </c>
      <c r="S1313" s="4">
        <v>90</v>
      </c>
      <c r="T1313" s="4">
        <v>90</v>
      </c>
      <c r="U1313" s="5" t="s">
        <v>16423</v>
      </c>
      <c r="V1313" s="5" t="s">
        <v>16423</v>
      </c>
      <c r="W1313" s="5" t="s">
        <v>16424</v>
      </c>
      <c r="X1313" s="5" t="s">
        <v>16424</v>
      </c>
      <c r="Y1313" s="4">
        <v>183</v>
      </c>
      <c r="Z1313" s="4">
        <v>124</v>
      </c>
      <c r="AA1313" s="4">
        <v>130</v>
      </c>
      <c r="AB1313" s="4">
        <v>1</v>
      </c>
      <c r="AC1313" s="4">
        <v>1</v>
      </c>
      <c r="AD1313" s="4">
        <v>3</v>
      </c>
      <c r="AE1313" s="4">
        <v>3</v>
      </c>
      <c r="AF1313" s="4">
        <v>1</v>
      </c>
      <c r="AG1313" s="4">
        <v>1</v>
      </c>
      <c r="AH1313" s="4">
        <v>1</v>
      </c>
      <c r="AI1313" s="4">
        <v>1</v>
      </c>
      <c r="AJ1313" s="4">
        <v>2</v>
      </c>
      <c r="AK1313" s="4">
        <v>2</v>
      </c>
      <c r="AL1313" s="4">
        <v>0</v>
      </c>
      <c r="AM1313" s="4">
        <v>0</v>
      </c>
      <c r="AN1313" s="4">
        <v>0</v>
      </c>
      <c r="AO1313" s="4">
        <v>0</v>
      </c>
      <c r="AP1313" s="3" t="s">
        <v>59</v>
      </c>
      <c r="AQ1313" s="3" t="s">
        <v>59</v>
      </c>
      <c r="AR1313" s="6"/>
      <c r="AS1313" s="6" t="str">
        <f>HYPERLINK("https://creighton-primo.hosted.exlibrisgroup.com/primo-explore/search?tab=default_tab&amp;search_scope=EVERYTHING&amp;vid=01CRU&amp;lang=en_US&amp;offset=0&amp;query=any,contains,991001531079702656","Catalog Record")</f>
        <v>Catalog Record</v>
      </c>
      <c r="AT1313" s="6" t="str">
        <f>HYPERLINK("http://www.worldcat.org/oclc/38311553","WorldCat Record")</f>
        <v>WorldCat Record</v>
      </c>
    </row>
    <row r="1314" spans="1:46" ht="52.5" customHeight="1" x14ac:dyDescent="0.25">
      <c r="A1314" s="7" t="s">
        <v>59</v>
      </c>
      <c r="B1314" s="2" t="s">
        <v>16425</v>
      </c>
      <c r="C1314" s="2" t="s">
        <v>16426</v>
      </c>
      <c r="D1314" s="2" t="s">
        <v>16427</v>
      </c>
      <c r="F1314" s="3" t="s">
        <v>59</v>
      </c>
      <c r="G1314" s="3" t="s">
        <v>60</v>
      </c>
      <c r="H1314" s="3" t="s">
        <v>59</v>
      </c>
      <c r="I1314" s="3" t="s">
        <v>59</v>
      </c>
      <c r="J1314" s="3" t="s">
        <v>61</v>
      </c>
      <c r="K1314" s="2" t="s">
        <v>16428</v>
      </c>
      <c r="L1314" s="2" t="s">
        <v>16429</v>
      </c>
      <c r="M1314" s="3" t="s">
        <v>4228</v>
      </c>
      <c r="N1314" t="s">
        <v>7264</v>
      </c>
      <c r="O1314" s="3" t="s">
        <v>65</v>
      </c>
      <c r="P1314" s="3" t="s">
        <v>1290</v>
      </c>
      <c r="R1314" s="3" t="s">
        <v>68</v>
      </c>
      <c r="S1314" s="4">
        <v>17</v>
      </c>
      <c r="T1314" s="4">
        <v>17</v>
      </c>
      <c r="U1314" s="5" t="s">
        <v>16430</v>
      </c>
      <c r="V1314" s="5" t="s">
        <v>16430</v>
      </c>
      <c r="W1314" s="5" t="s">
        <v>1885</v>
      </c>
      <c r="X1314" s="5" t="s">
        <v>1885</v>
      </c>
      <c r="Y1314" s="4">
        <v>57</v>
      </c>
      <c r="Z1314" s="4">
        <v>39</v>
      </c>
      <c r="AA1314" s="4">
        <v>419</v>
      </c>
      <c r="AB1314" s="4">
        <v>1</v>
      </c>
      <c r="AC1314" s="4">
        <v>3</v>
      </c>
      <c r="AD1314" s="4">
        <v>2</v>
      </c>
      <c r="AE1314" s="4">
        <v>7</v>
      </c>
      <c r="AF1314" s="4">
        <v>1</v>
      </c>
      <c r="AG1314" s="4">
        <v>3</v>
      </c>
      <c r="AH1314" s="4">
        <v>0</v>
      </c>
      <c r="AI1314" s="4">
        <v>0</v>
      </c>
      <c r="AJ1314" s="4">
        <v>2</v>
      </c>
      <c r="AK1314" s="4">
        <v>4</v>
      </c>
      <c r="AL1314" s="4">
        <v>0</v>
      </c>
      <c r="AM1314" s="4">
        <v>2</v>
      </c>
      <c r="AN1314" s="4">
        <v>0</v>
      </c>
      <c r="AO1314" s="4">
        <v>0</v>
      </c>
      <c r="AP1314" s="3" t="s">
        <v>59</v>
      </c>
      <c r="AQ1314" s="3" t="s">
        <v>59</v>
      </c>
      <c r="AR1314" s="6"/>
      <c r="AS1314" s="6" t="str">
        <f>HYPERLINK("https://creighton-primo.hosted.exlibrisgroup.com/primo-explore/search?tab=default_tab&amp;search_scope=EVERYTHING&amp;vid=01CRU&amp;lang=en_US&amp;offset=0&amp;query=any,contains,991001341829702656","Catalog Record")</f>
        <v>Catalog Record</v>
      </c>
      <c r="AT1314" s="6" t="str">
        <f>HYPERLINK("http://www.worldcat.org/oclc/25130935","WorldCat Record")</f>
        <v>WorldCat Record</v>
      </c>
    </row>
    <row r="1315" spans="1:46" ht="52.5" customHeight="1" x14ac:dyDescent="0.25">
      <c r="A1315" s="7" t="s">
        <v>59</v>
      </c>
      <c r="B1315" s="2" t="s">
        <v>16431</v>
      </c>
      <c r="C1315" s="2" t="s">
        <v>16432</v>
      </c>
      <c r="D1315" s="2" t="s">
        <v>16433</v>
      </c>
      <c r="F1315" s="3" t="s">
        <v>59</v>
      </c>
      <c r="G1315" s="3" t="s">
        <v>60</v>
      </c>
      <c r="H1315" s="3" t="s">
        <v>59</v>
      </c>
      <c r="I1315" s="3" t="s">
        <v>59</v>
      </c>
      <c r="J1315" s="3" t="s">
        <v>61</v>
      </c>
      <c r="K1315" s="2" t="s">
        <v>16434</v>
      </c>
      <c r="L1315" s="2" t="s">
        <v>16435</v>
      </c>
      <c r="M1315" s="3" t="s">
        <v>4228</v>
      </c>
      <c r="O1315" s="3" t="s">
        <v>65</v>
      </c>
      <c r="P1315" s="3" t="s">
        <v>283</v>
      </c>
      <c r="R1315" s="3" t="s">
        <v>68</v>
      </c>
      <c r="S1315" s="4">
        <v>14</v>
      </c>
      <c r="T1315" s="4">
        <v>14</v>
      </c>
      <c r="U1315" s="5" t="s">
        <v>16436</v>
      </c>
      <c r="V1315" s="5" t="s">
        <v>16436</v>
      </c>
      <c r="W1315" s="5" t="s">
        <v>1885</v>
      </c>
      <c r="X1315" s="5" t="s">
        <v>1885</v>
      </c>
      <c r="Y1315" s="4">
        <v>70</v>
      </c>
      <c r="Z1315" s="4">
        <v>54</v>
      </c>
      <c r="AA1315" s="4">
        <v>55</v>
      </c>
      <c r="AB1315" s="4">
        <v>1</v>
      </c>
      <c r="AC1315" s="4">
        <v>1</v>
      </c>
      <c r="AD1315" s="4">
        <v>0</v>
      </c>
      <c r="AE1315" s="4">
        <v>0</v>
      </c>
      <c r="AF1315" s="4">
        <v>0</v>
      </c>
      <c r="AG1315" s="4">
        <v>0</v>
      </c>
      <c r="AH1315" s="4">
        <v>0</v>
      </c>
      <c r="AI1315" s="4">
        <v>0</v>
      </c>
      <c r="AJ1315" s="4">
        <v>0</v>
      </c>
      <c r="AK1315" s="4">
        <v>0</v>
      </c>
      <c r="AL1315" s="4">
        <v>0</v>
      </c>
      <c r="AM1315" s="4">
        <v>0</v>
      </c>
      <c r="AN1315" s="4">
        <v>0</v>
      </c>
      <c r="AO1315" s="4">
        <v>0</v>
      </c>
      <c r="AP1315" s="3" t="s">
        <v>59</v>
      </c>
      <c r="AQ1315" s="3" t="s">
        <v>59</v>
      </c>
      <c r="AR1315" s="6"/>
      <c r="AS1315" s="6" t="str">
        <f>HYPERLINK("https://creighton-primo.hosted.exlibrisgroup.com/primo-explore/search?tab=default_tab&amp;search_scope=EVERYTHING&amp;vid=01CRU&amp;lang=en_US&amp;offset=0&amp;query=any,contains,991001341609702656","Catalog Record")</f>
        <v>Catalog Record</v>
      </c>
      <c r="AT1315" s="6" t="str">
        <f>HYPERLINK("http://www.worldcat.org/oclc/25412128","WorldCat Record")</f>
        <v>WorldCat Record</v>
      </c>
    </row>
    <row r="1316" spans="1:46" ht="52.5" customHeight="1" x14ac:dyDescent="0.25">
      <c r="A1316" s="7" t="s">
        <v>59</v>
      </c>
      <c r="B1316" s="2" t="s">
        <v>16437</v>
      </c>
      <c r="C1316" s="2" t="s">
        <v>16438</v>
      </c>
      <c r="D1316" s="2" t="s">
        <v>16439</v>
      </c>
      <c r="F1316" s="3" t="s">
        <v>59</v>
      </c>
      <c r="G1316" s="3" t="s">
        <v>60</v>
      </c>
      <c r="H1316" s="3" t="s">
        <v>59</v>
      </c>
      <c r="I1316" s="3" t="s">
        <v>59</v>
      </c>
      <c r="J1316" s="3" t="s">
        <v>61</v>
      </c>
      <c r="K1316" s="2" t="s">
        <v>16440</v>
      </c>
      <c r="L1316" s="2" t="s">
        <v>16441</v>
      </c>
      <c r="M1316" s="3" t="s">
        <v>4228</v>
      </c>
      <c r="N1316" t="s">
        <v>16442</v>
      </c>
      <c r="O1316" s="3" t="s">
        <v>65</v>
      </c>
      <c r="P1316" s="3" t="s">
        <v>8838</v>
      </c>
      <c r="R1316" s="3" t="s">
        <v>68</v>
      </c>
      <c r="S1316" s="4">
        <v>11</v>
      </c>
      <c r="T1316" s="4">
        <v>11</v>
      </c>
      <c r="U1316" s="5" t="s">
        <v>16443</v>
      </c>
      <c r="V1316" s="5" t="s">
        <v>16443</v>
      </c>
      <c r="W1316" s="5" t="s">
        <v>1885</v>
      </c>
      <c r="X1316" s="5" t="s">
        <v>1885</v>
      </c>
      <c r="Y1316" s="4">
        <v>111</v>
      </c>
      <c r="Z1316" s="4">
        <v>68</v>
      </c>
      <c r="AA1316" s="4">
        <v>325</v>
      </c>
      <c r="AB1316" s="4">
        <v>2</v>
      </c>
      <c r="AC1316" s="4">
        <v>6</v>
      </c>
      <c r="AD1316" s="4">
        <v>5</v>
      </c>
      <c r="AE1316" s="4">
        <v>9</v>
      </c>
      <c r="AF1316" s="4">
        <v>2</v>
      </c>
      <c r="AG1316" s="4">
        <v>4</v>
      </c>
      <c r="AH1316" s="4">
        <v>0</v>
      </c>
      <c r="AI1316" s="4">
        <v>1</v>
      </c>
      <c r="AJ1316" s="4">
        <v>3</v>
      </c>
      <c r="AK1316" s="4">
        <v>4</v>
      </c>
      <c r="AL1316" s="4">
        <v>1</v>
      </c>
      <c r="AM1316" s="4">
        <v>1</v>
      </c>
      <c r="AN1316" s="4">
        <v>0</v>
      </c>
      <c r="AO1316" s="4">
        <v>0</v>
      </c>
      <c r="AP1316" s="3" t="s">
        <v>59</v>
      </c>
      <c r="AQ1316" s="3" t="s">
        <v>71</v>
      </c>
      <c r="AR1316" s="6" t="str">
        <f>HYPERLINK("http://catalog.hathitrust.org/Record/009812612","HathiTrust Record")</f>
        <v>HathiTrust Record</v>
      </c>
      <c r="AS1316" s="6" t="str">
        <f>HYPERLINK("https://creighton-primo.hosted.exlibrisgroup.com/primo-explore/search?tab=default_tab&amp;search_scope=EVERYTHING&amp;vid=01CRU&amp;lang=en_US&amp;offset=0&amp;query=any,contains,991001341689702656","Catalog Record")</f>
        <v>Catalog Record</v>
      </c>
      <c r="AT1316" s="6" t="str">
        <f>HYPERLINK("http://www.worldcat.org/oclc/24009629","WorldCat Record")</f>
        <v>WorldCat Record</v>
      </c>
    </row>
    <row r="1317" spans="1:46" ht="52.5" customHeight="1" x14ac:dyDescent="0.25">
      <c r="A1317" s="7" t="s">
        <v>59</v>
      </c>
      <c r="B1317" s="2" t="s">
        <v>16444</v>
      </c>
      <c r="C1317" s="2" t="s">
        <v>16445</v>
      </c>
      <c r="D1317" s="2" t="s">
        <v>16446</v>
      </c>
      <c r="F1317" s="3" t="s">
        <v>59</v>
      </c>
      <c r="G1317" s="3" t="s">
        <v>60</v>
      </c>
      <c r="H1317" s="3" t="s">
        <v>59</v>
      </c>
      <c r="I1317" s="3" t="s">
        <v>59</v>
      </c>
      <c r="J1317" s="3" t="s">
        <v>61</v>
      </c>
      <c r="K1317" s="2" t="s">
        <v>3065</v>
      </c>
      <c r="L1317" s="2" t="s">
        <v>16447</v>
      </c>
      <c r="M1317" s="3" t="s">
        <v>405</v>
      </c>
      <c r="N1317" t="s">
        <v>887</v>
      </c>
      <c r="O1317" s="3" t="s">
        <v>65</v>
      </c>
      <c r="P1317" s="3" t="s">
        <v>66</v>
      </c>
      <c r="R1317" s="3" t="s">
        <v>68</v>
      </c>
      <c r="S1317" s="4">
        <v>4</v>
      </c>
      <c r="T1317" s="4">
        <v>4</v>
      </c>
      <c r="U1317" s="5" t="s">
        <v>16448</v>
      </c>
      <c r="V1317" s="5" t="s">
        <v>16448</v>
      </c>
      <c r="W1317" s="5" t="s">
        <v>16449</v>
      </c>
      <c r="X1317" s="5" t="s">
        <v>16449</v>
      </c>
      <c r="Y1317" s="4">
        <v>714</v>
      </c>
      <c r="Z1317" s="4">
        <v>627</v>
      </c>
      <c r="AA1317" s="4">
        <v>723</v>
      </c>
      <c r="AB1317" s="4">
        <v>5</v>
      </c>
      <c r="AC1317" s="4">
        <v>5</v>
      </c>
      <c r="AD1317" s="4">
        <v>28</v>
      </c>
      <c r="AE1317" s="4">
        <v>29</v>
      </c>
      <c r="AF1317" s="4">
        <v>9</v>
      </c>
      <c r="AG1317" s="4">
        <v>10</v>
      </c>
      <c r="AH1317" s="4">
        <v>6</v>
      </c>
      <c r="AI1317" s="4">
        <v>6</v>
      </c>
      <c r="AJ1317" s="4">
        <v>18</v>
      </c>
      <c r="AK1317" s="4">
        <v>18</v>
      </c>
      <c r="AL1317" s="4">
        <v>3</v>
      </c>
      <c r="AM1317" s="4">
        <v>3</v>
      </c>
      <c r="AN1317" s="4">
        <v>0</v>
      </c>
      <c r="AO1317" s="4">
        <v>0</v>
      </c>
      <c r="AP1317" s="3" t="s">
        <v>59</v>
      </c>
      <c r="AQ1317" s="3" t="s">
        <v>59</v>
      </c>
      <c r="AR1317" s="6"/>
      <c r="AS1317" s="6" t="str">
        <f>HYPERLINK("https://creighton-primo.hosted.exlibrisgroup.com/primo-explore/search?tab=default_tab&amp;search_scope=EVERYTHING&amp;vid=01CRU&amp;lang=en_US&amp;offset=0&amp;query=any,contains,991001531539702656","Catalog Record")</f>
        <v>Catalog Record</v>
      </c>
      <c r="AT1317" s="6" t="str">
        <f>HYPERLINK("http://www.worldcat.org/oclc/13524548","WorldCat Record")</f>
        <v>WorldCat Record</v>
      </c>
    </row>
    <row r="1318" spans="1:46" ht="52.5" customHeight="1" x14ac:dyDescent="0.25">
      <c r="A1318" s="7" t="s">
        <v>59</v>
      </c>
      <c r="B1318" s="2" t="s">
        <v>16450</v>
      </c>
      <c r="C1318" s="2" t="s">
        <v>16451</v>
      </c>
      <c r="D1318" s="2" t="s">
        <v>3247</v>
      </c>
      <c r="F1318" s="3" t="s">
        <v>59</v>
      </c>
      <c r="G1318" s="3" t="s">
        <v>60</v>
      </c>
      <c r="H1318" s="3" t="s">
        <v>71</v>
      </c>
      <c r="I1318" s="3" t="s">
        <v>59</v>
      </c>
      <c r="J1318" s="3" t="s">
        <v>61</v>
      </c>
      <c r="K1318" s="2" t="s">
        <v>3248</v>
      </c>
      <c r="L1318" s="2" t="s">
        <v>16452</v>
      </c>
      <c r="M1318" s="3" t="s">
        <v>1217</v>
      </c>
      <c r="O1318" s="3" t="s">
        <v>65</v>
      </c>
      <c r="P1318" s="3" t="s">
        <v>16396</v>
      </c>
      <c r="R1318" s="3" t="s">
        <v>68</v>
      </c>
      <c r="S1318" s="4">
        <v>11</v>
      </c>
      <c r="T1318" s="4">
        <v>11</v>
      </c>
      <c r="U1318" s="5" t="s">
        <v>16453</v>
      </c>
      <c r="V1318" s="5" t="s">
        <v>16453</v>
      </c>
      <c r="W1318" s="5" t="s">
        <v>16398</v>
      </c>
      <c r="X1318" s="5" t="s">
        <v>16398</v>
      </c>
      <c r="Y1318" s="4">
        <v>548</v>
      </c>
      <c r="Z1318" s="4">
        <v>470</v>
      </c>
      <c r="AA1318" s="4">
        <v>1998</v>
      </c>
      <c r="AB1318" s="4">
        <v>6</v>
      </c>
      <c r="AC1318" s="4">
        <v>34</v>
      </c>
      <c r="AD1318" s="4">
        <v>20</v>
      </c>
      <c r="AE1318" s="4">
        <v>67</v>
      </c>
      <c r="AF1318" s="4">
        <v>6</v>
      </c>
      <c r="AG1318" s="4">
        <v>25</v>
      </c>
      <c r="AH1318" s="4">
        <v>5</v>
      </c>
      <c r="AI1318" s="4">
        <v>11</v>
      </c>
      <c r="AJ1318" s="4">
        <v>10</v>
      </c>
      <c r="AK1318" s="4">
        <v>25</v>
      </c>
      <c r="AL1318" s="4">
        <v>4</v>
      </c>
      <c r="AM1318" s="4">
        <v>18</v>
      </c>
      <c r="AN1318" s="4">
        <v>0</v>
      </c>
      <c r="AO1318" s="4">
        <v>1</v>
      </c>
      <c r="AP1318" s="3" t="s">
        <v>59</v>
      </c>
      <c r="AQ1318" s="3" t="s">
        <v>71</v>
      </c>
      <c r="AR1318" s="6" t="str">
        <f>HYPERLINK("http://catalog.hathitrust.org/Record/000168316","HathiTrust Record")</f>
        <v>HathiTrust Record</v>
      </c>
      <c r="AS1318" s="6" t="str">
        <f>HYPERLINK("https://creighton-primo.hosted.exlibrisgroup.com/primo-explore/search?tab=default_tab&amp;search_scope=EVERYTHING&amp;vid=01CRU&amp;lang=en_US&amp;offset=0&amp;query=any,contains,991000787039702656","Catalog Record")</f>
        <v>Catalog Record</v>
      </c>
      <c r="AT1318" s="6" t="str">
        <f>HYPERLINK("http://www.worldcat.org/oclc/10072396","WorldCat Record")</f>
        <v>WorldCat Record</v>
      </c>
    </row>
    <row r="1319" spans="1:46" ht="52.5" customHeight="1" x14ac:dyDescent="0.25">
      <c r="A1319" s="7" t="s">
        <v>59</v>
      </c>
      <c r="B1319" s="2" t="s">
        <v>16454</v>
      </c>
      <c r="C1319" s="2" t="s">
        <v>16455</v>
      </c>
      <c r="D1319" s="2" t="s">
        <v>16456</v>
      </c>
      <c r="F1319" s="3" t="s">
        <v>59</v>
      </c>
      <c r="G1319" s="3" t="s">
        <v>60</v>
      </c>
      <c r="H1319" s="3" t="s">
        <v>59</v>
      </c>
      <c r="I1319" s="3" t="s">
        <v>71</v>
      </c>
      <c r="J1319" s="3" t="s">
        <v>61</v>
      </c>
      <c r="K1319" s="2" t="s">
        <v>13883</v>
      </c>
      <c r="L1319" s="2" t="s">
        <v>16457</v>
      </c>
      <c r="M1319" s="3" t="s">
        <v>3897</v>
      </c>
      <c r="O1319" s="3" t="s">
        <v>65</v>
      </c>
      <c r="P1319" s="3" t="s">
        <v>283</v>
      </c>
      <c r="R1319" s="3" t="s">
        <v>68</v>
      </c>
      <c r="S1319" s="4">
        <v>7</v>
      </c>
      <c r="T1319" s="4">
        <v>7</v>
      </c>
      <c r="U1319" s="5" t="s">
        <v>16458</v>
      </c>
      <c r="V1319" s="5" t="s">
        <v>16458</v>
      </c>
      <c r="W1319" s="5" t="s">
        <v>16459</v>
      </c>
      <c r="X1319" s="5" t="s">
        <v>16459</v>
      </c>
      <c r="Y1319" s="4">
        <v>214</v>
      </c>
      <c r="Z1319" s="4">
        <v>180</v>
      </c>
      <c r="AA1319" s="4">
        <v>932</v>
      </c>
      <c r="AB1319" s="4">
        <v>1</v>
      </c>
      <c r="AC1319" s="4">
        <v>5</v>
      </c>
      <c r="AD1319" s="4">
        <v>6</v>
      </c>
      <c r="AE1319" s="4">
        <v>33</v>
      </c>
      <c r="AF1319" s="4">
        <v>4</v>
      </c>
      <c r="AG1319" s="4">
        <v>14</v>
      </c>
      <c r="AH1319" s="4">
        <v>1</v>
      </c>
      <c r="AI1319" s="4">
        <v>7</v>
      </c>
      <c r="AJ1319" s="4">
        <v>3</v>
      </c>
      <c r="AK1319" s="4">
        <v>20</v>
      </c>
      <c r="AL1319" s="4">
        <v>0</v>
      </c>
      <c r="AM1319" s="4">
        <v>2</v>
      </c>
      <c r="AN1319" s="4">
        <v>0</v>
      </c>
      <c r="AO1319" s="4">
        <v>0</v>
      </c>
      <c r="AP1319" s="3" t="s">
        <v>59</v>
      </c>
      <c r="AQ1319" s="3" t="s">
        <v>59</v>
      </c>
      <c r="AR1319" s="6"/>
      <c r="AS1319" s="6" t="str">
        <f>HYPERLINK("https://creighton-primo.hosted.exlibrisgroup.com/primo-explore/search?tab=default_tab&amp;search_scope=EVERYTHING&amp;vid=01CRU&amp;lang=en_US&amp;offset=0&amp;query=any,contains,991001565499702656","Catalog Record")</f>
        <v>Catalog Record</v>
      </c>
      <c r="AT1319" s="6" t="str">
        <f>HYPERLINK("http://www.worldcat.org/oclc/40334501","WorldCat Record")</f>
        <v>WorldCat Record</v>
      </c>
    </row>
    <row r="1320" spans="1:46" ht="52.5" customHeight="1" x14ac:dyDescent="0.25">
      <c r="A1320" s="7" t="s">
        <v>59</v>
      </c>
      <c r="B1320" s="2" t="s">
        <v>16460</v>
      </c>
      <c r="C1320" s="2" t="s">
        <v>16461</v>
      </c>
      <c r="D1320" s="2" t="s">
        <v>16462</v>
      </c>
      <c r="F1320" s="3" t="s">
        <v>59</v>
      </c>
      <c r="G1320" s="3" t="s">
        <v>60</v>
      </c>
      <c r="H1320" s="3" t="s">
        <v>71</v>
      </c>
      <c r="I1320" s="3" t="s">
        <v>59</v>
      </c>
      <c r="J1320" s="3" t="s">
        <v>61</v>
      </c>
      <c r="K1320" s="2" t="s">
        <v>15134</v>
      </c>
      <c r="L1320" s="2" t="s">
        <v>9342</v>
      </c>
      <c r="M1320" s="3" t="s">
        <v>549</v>
      </c>
      <c r="O1320" s="3" t="s">
        <v>65</v>
      </c>
      <c r="P1320" s="3" t="s">
        <v>16396</v>
      </c>
      <c r="Q1320" t="s">
        <v>15135</v>
      </c>
      <c r="R1320" s="3" t="s">
        <v>68</v>
      </c>
      <c r="S1320" s="4">
        <v>10</v>
      </c>
      <c r="T1320" s="4">
        <v>10</v>
      </c>
      <c r="U1320" s="5" t="s">
        <v>16463</v>
      </c>
      <c r="V1320" s="5" t="s">
        <v>16463</v>
      </c>
      <c r="W1320" s="5" t="s">
        <v>16398</v>
      </c>
      <c r="X1320" s="5" t="s">
        <v>16398</v>
      </c>
      <c r="Y1320" s="4">
        <v>613</v>
      </c>
      <c r="Z1320" s="4">
        <v>484</v>
      </c>
      <c r="AA1320" s="4">
        <v>486</v>
      </c>
      <c r="AB1320" s="4">
        <v>8</v>
      </c>
      <c r="AC1320" s="4">
        <v>8</v>
      </c>
      <c r="AD1320" s="4">
        <v>30</v>
      </c>
      <c r="AE1320" s="4">
        <v>30</v>
      </c>
      <c r="AF1320" s="4">
        <v>11</v>
      </c>
      <c r="AG1320" s="4">
        <v>11</v>
      </c>
      <c r="AH1320" s="4">
        <v>6</v>
      </c>
      <c r="AI1320" s="4">
        <v>6</v>
      </c>
      <c r="AJ1320" s="4">
        <v>16</v>
      </c>
      <c r="AK1320" s="4">
        <v>16</v>
      </c>
      <c r="AL1320" s="4">
        <v>6</v>
      </c>
      <c r="AM1320" s="4">
        <v>6</v>
      </c>
      <c r="AN1320" s="4">
        <v>0</v>
      </c>
      <c r="AO1320" s="4">
        <v>0</v>
      </c>
      <c r="AP1320" s="3" t="s">
        <v>59</v>
      </c>
      <c r="AQ1320" s="3" t="s">
        <v>71</v>
      </c>
      <c r="AR1320" s="6" t="str">
        <f>HYPERLINK("http://catalog.hathitrust.org/Record/000806073","HathiTrust Record")</f>
        <v>HathiTrust Record</v>
      </c>
      <c r="AS1320" s="6" t="str">
        <f>HYPERLINK("https://creighton-primo.hosted.exlibrisgroup.com/primo-explore/search?tab=default_tab&amp;search_scope=EVERYTHING&amp;vid=01CRU&amp;lang=en_US&amp;offset=0&amp;query=any,contains,991000787229702656","Catalog Record")</f>
        <v>Catalog Record</v>
      </c>
      <c r="AT1320" s="6" t="str">
        <f>HYPERLINK("http://www.worldcat.org/oclc/13524925","WorldCat Record")</f>
        <v>WorldCat Record</v>
      </c>
    </row>
    <row r="1321" spans="1:46" ht="52.5" customHeight="1" x14ac:dyDescent="0.25">
      <c r="A1321" s="7" t="s">
        <v>59</v>
      </c>
      <c r="B1321" s="2" t="s">
        <v>16464</v>
      </c>
      <c r="C1321" s="2" t="s">
        <v>16465</v>
      </c>
      <c r="D1321" s="2" t="s">
        <v>16466</v>
      </c>
      <c r="F1321" s="3" t="s">
        <v>59</v>
      </c>
      <c r="G1321" s="3" t="s">
        <v>60</v>
      </c>
      <c r="H1321" s="3" t="s">
        <v>59</v>
      </c>
      <c r="I1321" s="3" t="s">
        <v>59</v>
      </c>
      <c r="J1321" s="3" t="s">
        <v>61</v>
      </c>
      <c r="K1321" s="2"/>
      <c r="L1321" s="2" t="s">
        <v>16467</v>
      </c>
      <c r="M1321" s="3" t="s">
        <v>131</v>
      </c>
      <c r="O1321" s="3" t="s">
        <v>65</v>
      </c>
      <c r="P1321" s="3" t="s">
        <v>66</v>
      </c>
      <c r="R1321" s="3" t="s">
        <v>68</v>
      </c>
      <c r="S1321" s="4">
        <v>8</v>
      </c>
      <c r="T1321" s="4">
        <v>8</v>
      </c>
      <c r="U1321" s="5" t="s">
        <v>16468</v>
      </c>
      <c r="V1321" s="5" t="s">
        <v>16468</v>
      </c>
      <c r="W1321" s="5" t="s">
        <v>16469</v>
      </c>
      <c r="X1321" s="5" t="s">
        <v>16469</v>
      </c>
      <c r="Y1321" s="4">
        <v>602</v>
      </c>
      <c r="Z1321" s="4">
        <v>482</v>
      </c>
      <c r="AA1321" s="4">
        <v>484</v>
      </c>
      <c r="AB1321" s="4">
        <v>5</v>
      </c>
      <c r="AC1321" s="4">
        <v>5</v>
      </c>
      <c r="AD1321" s="4">
        <v>21</v>
      </c>
      <c r="AE1321" s="4">
        <v>21</v>
      </c>
      <c r="AF1321" s="4">
        <v>4</v>
      </c>
      <c r="AG1321" s="4">
        <v>4</v>
      </c>
      <c r="AH1321" s="4">
        <v>5</v>
      </c>
      <c r="AI1321" s="4">
        <v>5</v>
      </c>
      <c r="AJ1321" s="4">
        <v>13</v>
      </c>
      <c r="AK1321" s="4">
        <v>13</v>
      </c>
      <c r="AL1321" s="4">
        <v>3</v>
      </c>
      <c r="AM1321" s="4">
        <v>3</v>
      </c>
      <c r="AN1321" s="4">
        <v>0</v>
      </c>
      <c r="AO1321" s="4">
        <v>0</v>
      </c>
      <c r="AP1321" s="3" t="s">
        <v>59</v>
      </c>
      <c r="AQ1321" s="3" t="s">
        <v>71</v>
      </c>
      <c r="AR1321" s="6" t="str">
        <f>HYPERLINK("http://catalog.hathitrust.org/Record/000031716","HathiTrust Record")</f>
        <v>HathiTrust Record</v>
      </c>
      <c r="AS1321" s="6" t="str">
        <f>HYPERLINK("https://creighton-primo.hosted.exlibrisgroup.com/primo-explore/search?tab=default_tab&amp;search_scope=EVERYTHING&amp;vid=01CRU&amp;lang=en_US&amp;offset=0&amp;query=any,contains,991000695719702656","Catalog Record")</f>
        <v>Catalog Record</v>
      </c>
      <c r="AT1321" s="6" t="str">
        <f>HYPERLINK("http://www.worldcat.org/oclc/1098728","WorldCat Record")</f>
        <v>WorldCat Record</v>
      </c>
    </row>
    <row r="1322" spans="1:46" ht="52.5" customHeight="1" x14ac:dyDescent="0.25">
      <c r="A1322" s="7" t="s">
        <v>59</v>
      </c>
      <c r="B1322" s="2" t="s">
        <v>16470</v>
      </c>
      <c r="C1322" s="2" t="s">
        <v>16471</v>
      </c>
      <c r="D1322" s="2" t="s">
        <v>16472</v>
      </c>
      <c r="F1322" s="3" t="s">
        <v>59</v>
      </c>
      <c r="G1322" s="3" t="s">
        <v>60</v>
      </c>
      <c r="H1322" s="3" t="s">
        <v>59</v>
      </c>
      <c r="I1322" s="3" t="s">
        <v>59</v>
      </c>
      <c r="J1322" s="3" t="s">
        <v>61</v>
      </c>
      <c r="K1322" s="2"/>
      <c r="L1322" s="2" t="s">
        <v>16473</v>
      </c>
      <c r="M1322" s="3" t="s">
        <v>405</v>
      </c>
      <c r="O1322" s="3" t="s">
        <v>65</v>
      </c>
      <c r="P1322" s="3" t="s">
        <v>16396</v>
      </c>
      <c r="Q1322" t="s">
        <v>16474</v>
      </c>
      <c r="R1322" s="3" t="s">
        <v>68</v>
      </c>
      <c r="S1322" s="4">
        <v>7</v>
      </c>
      <c r="T1322" s="4">
        <v>7</v>
      </c>
      <c r="U1322" s="5" t="s">
        <v>16475</v>
      </c>
      <c r="V1322" s="5" t="s">
        <v>16475</v>
      </c>
      <c r="W1322" s="5" t="s">
        <v>16476</v>
      </c>
      <c r="X1322" s="5" t="s">
        <v>16476</v>
      </c>
      <c r="Y1322" s="4">
        <v>596</v>
      </c>
      <c r="Z1322" s="4">
        <v>462</v>
      </c>
      <c r="AA1322" s="4">
        <v>479</v>
      </c>
      <c r="AB1322" s="4">
        <v>3</v>
      </c>
      <c r="AC1322" s="4">
        <v>3</v>
      </c>
      <c r="AD1322" s="4">
        <v>23</v>
      </c>
      <c r="AE1322" s="4">
        <v>25</v>
      </c>
      <c r="AF1322" s="4">
        <v>10</v>
      </c>
      <c r="AG1322" s="4">
        <v>12</v>
      </c>
      <c r="AH1322" s="4">
        <v>6</v>
      </c>
      <c r="AI1322" s="4">
        <v>6</v>
      </c>
      <c r="AJ1322" s="4">
        <v>11</v>
      </c>
      <c r="AK1322" s="4">
        <v>12</v>
      </c>
      <c r="AL1322" s="4">
        <v>2</v>
      </c>
      <c r="AM1322" s="4">
        <v>2</v>
      </c>
      <c r="AN1322" s="4">
        <v>0</v>
      </c>
      <c r="AO1322" s="4">
        <v>0</v>
      </c>
      <c r="AP1322" s="3" t="s">
        <v>59</v>
      </c>
      <c r="AQ1322" s="3" t="s">
        <v>71</v>
      </c>
      <c r="AR1322" s="6" t="str">
        <f>HYPERLINK("http://catalog.hathitrust.org/Record/000838482","HathiTrust Record")</f>
        <v>HathiTrust Record</v>
      </c>
      <c r="AS1322" s="6" t="str">
        <f>HYPERLINK("https://creighton-primo.hosted.exlibrisgroup.com/primo-explore/search?tab=default_tab&amp;search_scope=EVERYTHING&amp;vid=01CRU&amp;lang=en_US&amp;offset=0&amp;query=any,contains,991001529209702656","Catalog Record")</f>
        <v>Catalog Record</v>
      </c>
      <c r="AT1322" s="6" t="str">
        <f>HYPERLINK("http://www.worldcat.org/oclc/15317472","WorldCat Record")</f>
        <v>WorldCat Record</v>
      </c>
    </row>
    <row r="1323" spans="1:46" ht="52.5" customHeight="1" x14ac:dyDescent="0.25">
      <c r="A1323" s="7" t="s">
        <v>59</v>
      </c>
      <c r="B1323" s="2" t="s">
        <v>16477</v>
      </c>
      <c r="C1323" s="2" t="s">
        <v>16478</v>
      </c>
      <c r="D1323" s="2" t="s">
        <v>16479</v>
      </c>
      <c r="F1323" s="3" t="s">
        <v>59</v>
      </c>
      <c r="G1323" s="3" t="s">
        <v>60</v>
      </c>
      <c r="H1323" s="3" t="s">
        <v>71</v>
      </c>
      <c r="I1323" s="3" t="s">
        <v>59</v>
      </c>
      <c r="J1323" s="3" t="s">
        <v>61</v>
      </c>
      <c r="K1323" s="2"/>
      <c r="L1323" s="2" t="s">
        <v>16480</v>
      </c>
      <c r="M1323" s="3" t="s">
        <v>1217</v>
      </c>
      <c r="O1323" s="3" t="s">
        <v>65</v>
      </c>
      <c r="P1323" s="3" t="s">
        <v>1262</v>
      </c>
      <c r="R1323" s="3" t="s">
        <v>68</v>
      </c>
      <c r="S1323" s="4">
        <v>9</v>
      </c>
      <c r="T1323" s="4">
        <v>9</v>
      </c>
      <c r="U1323" s="5" t="s">
        <v>8064</v>
      </c>
      <c r="V1323" s="5" t="s">
        <v>8064</v>
      </c>
      <c r="W1323" s="5" t="s">
        <v>16398</v>
      </c>
      <c r="X1323" s="5" t="s">
        <v>16398</v>
      </c>
      <c r="Y1323" s="4">
        <v>519</v>
      </c>
      <c r="Z1323" s="4">
        <v>356</v>
      </c>
      <c r="AA1323" s="4">
        <v>358</v>
      </c>
      <c r="AB1323" s="4">
        <v>4</v>
      </c>
      <c r="AC1323" s="4">
        <v>4</v>
      </c>
      <c r="AD1323" s="4">
        <v>16</v>
      </c>
      <c r="AE1323" s="4">
        <v>16</v>
      </c>
      <c r="AF1323" s="4">
        <v>5</v>
      </c>
      <c r="AG1323" s="4">
        <v>5</v>
      </c>
      <c r="AH1323" s="4">
        <v>6</v>
      </c>
      <c r="AI1323" s="4">
        <v>6</v>
      </c>
      <c r="AJ1323" s="4">
        <v>8</v>
      </c>
      <c r="AK1323" s="4">
        <v>8</v>
      </c>
      <c r="AL1323" s="4">
        <v>2</v>
      </c>
      <c r="AM1323" s="4">
        <v>2</v>
      </c>
      <c r="AN1323" s="4">
        <v>0</v>
      </c>
      <c r="AO1323" s="4">
        <v>0</v>
      </c>
      <c r="AP1323" s="3" t="s">
        <v>59</v>
      </c>
      <c r="AQ1323" s="3" t="s">
        <v>71</v>
      </c>
      <c r="AR1323" s="6" t="str">
        <f>HYPERLINK("http://catalog.hathitrust.org/Record/000404538","HathiTrust Record")</f>
        <v>HathiTrust Record</v>
      </c>
      <c r="AS1323" s="6" t="str">
        <f>HYPERLINK("https://creighton-primo.hosted.exlibrisgroup.com/primo-explore/search?tab=default_tab&amp;search_scope=EVERYTHING&amp;vid=01CRU&amp;lang=en_US&amp;offset=0&amp;query=any,contains,991000787429702656","Catalog Record")</f>
        <v>Catalog Record</v>
      </c>
      <c r="AT1323" s="6" t="str">
        <f>HYPERLINK("http://www.worldcat.org/oclc/12081159","WorldCat Record")</f>
        <v>WorldCat Record</v>
      </c>
    </row>
    <row r="1324" spans="1:46" ht="52.5" customHeight="1" x14ac:dyDescent="0.25">
      <c r="A1324" s="7" t="s">
        <v>59</v>
      </c>
      <c r="B1324" s="2" t="s">
        <v>16481</v>
      </c>
      <c r="C1324" s="2" t="s">
        <v>16482</v>
      </c>
      <c r="D1324" s="2" t="s">
        <v>16483</v>
      </c>
      <c r="E1324" t="s">
        <v>4503</v>
      </c>
      <c r="F1324" s="3" t="s">
        <v>71</v>
      </c>
      <c r="G1324" s="3" t="s">
        <v>60</v>
      </c>
      <c r="H1324" s="3" t="s">
        <v>59</v>
      </c>
      <c r="I1324" s="3" t="s">
        <v>59</v>
      </c>
      <c r="J1324" s="3" t="s">
        <v>61</v>
      </c>
      <c r="K1324" s="2"/>
      <c r="L1324" s="2" t="s">
        <v>3427</v>
      </c>
      <c r="M1324" s="3" t="s">
        <v>616</v>
      </c>
      <c r="O1324" s="3" t="s">
        <v>65</v>
      </c>
      <c r="P1324" s="3" t="s">
        <v>16396</v>
      </c>
      <c r="R1324" s="3" t="s">
        <v>68</v>
      </c>
      <c r="S1324" s="4">
        <v>6</v>
      </c>
      <c r="T1324" s="4">
        <v>11</v>
      </c>
      <c r="U1324" s="5" t="s">
        <v>11674</v>
      </c>
      <c r="V1324" s="5" t="s">
        <v>11674</v>
      </c>
      <c r="W1324" s="5" t="s">
        <v>16484</v>
      </c>
      <c r="X1324" s="5" t="s">
        <v>16484</v>
      </c>
      <c r="Y1324" s="4">
        <v>301</v>
      </c>
      <c r="Z1324" s="4">
        <v>209</v>
      </c>
      <c r="AA1324" s="4">
        <v>211</v>
      </c>
      <c r="AB1324" s="4">
        <v>2</v>
      </c>
      <c r="AC1324" s="4">
        <v>2</v>
      </c>
      <c r="AD1324" s="4">
        <v>9</v>
      </c>
      <c r="AE1324" s="4">
        <v>9</v>
      </c>
      <c r="AF1324" s="4">
        <v>1</v>
      </c>
      <c r="AG1324" s="4">
        <v>1</v>
      </c>
      <c r="AH1324" s="4">
        <v>3</v>
      </c>
      <c r="AI1324" s="4">
        <v>3</v>
      </c>
      <c r="AJ1324" s="4">
        <v>7</v>
      </c>
      <c r="AK1324" s="4">
        <v>7</v>
      </c>
      <c r="AL1324" s="4">
        <v>1</v>
      </c>
      <c r="AM1324" s="4">
        <v>1</v>
      </c>
      <c r="AN1324" s="4">
        <v>0</v>
      </c>
      <c r="AO1324" s="4">
        <v>0</v>
      </c>
      <c r="AP1324" s="3" t="s">
        <v>59</v>
      </c>
      <c r="AQ1324" s="3" t="s">
        <v>71</v>
      </c>
      <c r="AR1324" s="6" t="str">
        <f>HYPERLINK("http://catalog.hathitrust.org/Record/000844322","HathiTrust Record")</f>
        <v>HathiTrust Record</v>
      </c>
      <c r="AS1324" s="6" t="str">
        <f>HYPERLINK("https://creighton-primo.hosted.exlibrisgroup.com/primo-explore/search?tab=default_tab&amp;search_scope=EVERYTHING&amp;vid=01CRU&amp;lang=en_US&amp;offset=0&amp;query=any,contains,991001240389702656","Catalog Record")</f>
        <v>Catalog Record</v>
      </c>
      <c r="AT1324" s="6" t="str">
        <f>HYPERLINK("http://www.worldcat.org/oclc/17300366","WorldCat Record")</f>
        <v>WorldCat Record</v>
      </c>
    </row>
    <row r="1325" spans="1:46" ht="52.5" customHeight="1" x14ac:dyDescent="0.25">
      <c r="A1325" s="7" t="s">
        <v>59</v>
      </c>
      <c r="B1325" s="2" t="s">
        <v>16481</v>
      </c>
      <c r="C1325" s="2" t="s">
        <v>16482</v>
      </c>
      <c r="D1325" s="2" t="s">
        <v>16483</v>
      </c>
      <c r="E1325" t="s">
        <v>4495</v>
      </c>
      <c r="F1325" s="3" t="s">
        <v>71</v>
      </c>
      <c r="G1325" s="3" t="s">
        <v>60</v>
      </c>
      <c r="H1325" s="3" t="s">
        <v>59</v>
      </c>
      <c r="I1325" s="3" t="s">
        <v>59</v>
      </c>
      <c r="J1325" s="3" t="s">
        <v>61</v>
      </c>
      <c r="K1325" s="2"/>
      <c r="L1325" s="2" t="s">
        <v>3427</v>
      </c>
      <c r="M1325" s="3" t="s">
        <v>616</v>
      </c>
      <c r="O1325" s="3" t="s">
        <v>65</v>
      </c>
      <c r="P1325" s="3" t="s">
        <v>16396</v>
      </c>
      <c r="R1325" s="3" t="s">
        <v>68</v>
      </c>
      <c r="S1325" s="4">
        <v>5</v>
      </c>
      <c r="T1325" s="4">
        <v>11</v>
      </c>
      <c r="U1325" s="5" t="s">
        <v>16485</v>
      </c>
      <c r="V1325" s="5" t="s">
        <v>11674</v>
      </c>
      <c r="W1325" s="5" t="s">
        <v>16484</v>
      </c>
      <c r="X1325" s="5" t="s">
        <v>16484</v>
      </c>
      <c r="Y1325" s="4">
        <v>301</v>
      </c>
      <c r="Z1325" s="4">
        <v>209</v>
      </c>
      <c r="AA1325" s="4">
        <v>211</v>
      </c>
      <c r="AB1325" s="4">
        <v>2</v>
      </c>
      <c r="AC1325" s="4">
        <v>2</v>
      </c>
      <c r="AD1325" s="4">
        <v>9</v>
      </c>
      <c r="AE1325" s="4">
        <v>9</v>
      </c>
      <c r="AF1325" s="4">
        <v>1</v>
      </c>
      <c r="AG1325" s="4">
        <v>1</v>
      </c>
      <c r="AH1325" s="4">
        <v>3</v>
      </c>
      <c r="AI1325" s="4">
        <v>3</v>
      </c>
      <c r="AJ1325" s="4">
        <v>7</v>
      </c>
      <c r="AK1325" s="4">
        <v>7</v>
      </c>
      <c r="AL1325" s="4">
        <v>1</v>
      </c>
      <c r="AM1325" s="4">
        <v>1</v>
      </c>
      <c r="AN1325" s="4">
        <v>0</v>
      </c>
      <c r="AO1325" s="4">
        <v>0</v>
      </c>
      <c r="AP1325" s="3" t="s">
        <v>59</v>
      </c>
      <c r="AQ1325" s="3" t="s">
        <v>71</v>
      </c>
      <c r="AR1325" s="6" t="str">
        <f>HYPERLINK("http://catalog.hathitrust.org/Record/000844322","HathiTrust Record")</f>
        <v>HathiTrust Record</v>
      </c>
      <c r="AS1325" s="6" t="str">
        <f>HYPERLINK("https://creighton-primo.hosted.exlibrisgroup.com/primo-explore/search?tab=default_tab&amp;search_scope=EVERYTHING&amp;vid=01CRU&amp;lang=en_US&amp;offset=0&amp;query=any,contains,991001240389702656","Catalog Record")</f>
        <v>Catalog Record</v>
      </c>
      <c r="AT1325" s="6" t="str">
        <f>HYPERLINK("http://www.worldcat.org/oclc/17300366","WorldCat Record")</f>
        <v>WorldCat Record</v>
      </c>
    </row>
    <row r="1326" spans="1:46" ht="52.5" customHeight="1" x14ac:dyDescent="0.25">
      <c r="A1326" s="7" t="s">
        <v>59</v>
      </c>
      <c r="B1326" s="2" t="s">
        <v>16486</v>
      </c>
      <c r="C1326" s="2" t="s">
        <v>16487</v>
      </c>
      <c r="D1326" s="2" t="s">
        <v>16488</v>
      </c>
      <c r="F1326" s="3" t="s">
        <v>59</v>
      </c>
      <c r="G1326" s="3" t="s">
        <v>60</v>
      </c>
      <c r="H1326" s="3" t="s">
        <v>59</v>
      </c>
      <c r="I1326" s="3" t="s">
        <v>59</v>
      </c>
      <c r="J1326" s="3" t="s">
        <v>61</v>
      </c>
      <c r="K1326" s="2"/>
      <c r="L1326" s="2" t="s">
        <v>16489</v>
      </c>
      <c r="M1326" s="3" t="s">
        <v>16490</v>
      </c>
      <c r="O1326" s="3" t="s">
        <v>65</v>
      </c>
      <c r="P1326" s="3" t="s">
        <v>66</v>
      </c>
      <c r="R1326" s="3" t="s">
        <v>68</v>
      </c>
      <c r="S1326" s="4">
        <v>0</v>
      </c>
      <c r="T1326" s="4">
        <v>0</v>
      </c>
      <c r="U1326" s="5" t="s">
        <v>16491</v>
      </c>
      <c r="V1326" s="5" t="s">
        <v>16491</v>
      </c>
      <c r="W1326" s="5" t="s">
        <v>16491</v>
      </c>
      <c r="X1326" s="5" t="s">
        <v>16491</v>
      </c>
      <c r="Y1326" s="4">
        <v>96</v>
      </c>
      <c r="Z1326" s="4">
        <v>63</v>
      </c>
      <c r="AA1326" s="4">
        <v>68</v>
      </c>
      <c r="AB1326" s="4">
        <v>1</v>
      </c>
      <c r="AC1326" s="4">
        <v>1</v>
      </c>
      <c r="AD1326" s="4">
        <v>3</v>
      </c>
      <c r="AE1326" s="4">
        <v>3</v>
      </c>
      <c r="AF1326" s="4">
        <v>0</v>
      </c>
      <c r="AG1326" s="4">
        <v>0</v>
      </c>
      <c r="AH1326" s="4">
        <v>2</v>
      </c>
      <c r="AI1326" s="4">
        <v>2</v>
      </c>
      <c r="AJ1326" s="4">
        <v>3</v>
      </c>
      <c r="AK1326" s="4">
        <v>3</v>
      </c>
      <c r="AL1326" s="4">
        <v>0</v>
      </c>
      <c r="AM1326" s="4">
        <v>0</v>
      </c>
      <c r="AN1326" s="4">
        <v>0</v>
      </c>
      <c r="AO1326" s="4">
        <v>0</v>
      </c>
      <c r="AP1326" s="3" t="s">
        <v>59</v>
      </c>
      <c r="AQ1326" s="3" t="s">
        <v>59</v>
      </c>
      <c r="AR1326" s="6"/>
      <c r="AS1326" s="6" t="str">
        <f>HYPERLINK("https://creighton-primo.hosted.exlibrisgroup.com/primo-explore/search?tab=default_tab&amp;search_scope=EVERYTHING&amp;vid=01CRU&amp;lang=en_US&amp;offset=0&amp;query=any,contains,991001462449702656","Catalog Record")</f>
        <v>Catalog Record</v>
      </c>
      <c r="AT1326" s="6" t="str">
        <f>HYPERLINK("http://www.worldcat.org/oclc/213466507","WorldCat Record")</f>
        <v>WorldCat Record</v>
      </c>
    </row>
    <row r="1327" spans="1:46" ht="52.5" customHeight="1" x14ac:dyDescent="0.25">
      <c r="A1327" s="7" t="s">
        <v>59</v>
      </c>
      <c r="B1327" s="2" t="s">
        <v>16492</v>
      </c>
      <c r="C1327" s="2" t="s">
        <v>16493</v>
      </c>
      <c r="D1327" s="2" t="s">
        <v>16494</v>
      </c>
      <c r="F1327" s="3" t="s">
        <v>59</v>
      </c>
      <c r="G1327" s="3" t="s">
        <v>60</v>
      </c>
      <c r="H1327" s="3" t="s">
        <v>59</v>
      </c>
      <c r="I1327" s="3" t="s">
        <v>59</v>
      </c>
      <c r="J1327" s="3" t="s">
        <v>61</v>
      </c>
      <c r="K1327" s="2" t="s">
        <v>16495</v>
      </c>
      <c r="L1327" s="2" t="s">
        <v>16496</v>
      </c>
      <c r="M1327" s="3" t="s">
        <v>4859</v>
      </c>
      <c r="N1327" t="s">
        <v>7264</v>
      </c>
      <c r="O1327" s="3" t="s">
        <v>65</v>
      </c>
      <c r="P1327" s="3" t="s">
        <v>420</v>
      </c>
      <c r="R1327" s="3" t="s">
        <v>68</v>
      </c>
      <c r="S1327" s="4">
        <v>12</v>
      </c>
      <c r="T1327" s="4">
        <v>12</v>
      </c>
      <c r="U1327" s="5" t="s">
        <v>16497</v>
      </c>
      <c r="V1327" s="5" t="s">
        <v>16497</v>
      </c>
      <c r="W1327" s="5" t="s">
        <v>12038</v>
      </c>
      <c r="X1327" s="5" t="s">
        <v>12038</v>
      </c>
      <c r="Y1327" s="4">
        <v>139</v>
      </c>
      <c r="Z1327" s="4">
        <v>59</v>
      </c>
      <c r="AA1327" s="4">
        <v>441</v>
      </c>
      <c r="AB1327" s="4">
        <v>1</v>
      </c>
      <c r="AC1327" s="4">
        <v>2</v>
      </c>
      <c r="AD1327" s="4">
        <v>4</v>
      </c>
      <c r="AE1327" s="4">
        <v>16</v>
      </c>
      <c r="AF1327" s="4">
        <v>2</v>
      </c>
      <c r="AG1327" s="4">
        <v>5</v>
      </c>
      <c r="AH1327" s="4">
        <v>1</v>
      </c>
      <c r="AI1327" s="4">
        <v>4</v>
      </c>
      <c r="AJ1327" s="4">
        <v>3</v>
      </c>
      <c r="AK1327" s="4">
        <v>10</v>
      </c>
      <c r="AL1327" s="4">
        <v>0</v>
      </c>
      <c r="AM1327" s="4">
        <v>1</v>
      </c>
      <c r="AN1327" s="4">
        <v>0</v>
      </c>
      <c r="AO1327" s="4">
        <v>0</v>
      </c>
      <c r="AP1327" s="3" t="s">
        <v>59</v>
      </c>
      <c r="AQ1327" s="3" t="s">
        <v>59</v>
      </c>
      <c r="AR1327" s="6"/>
      <c r="AS1327" s="6" t="str">
        <f>HYPERLINK("https://creighton-primo.hosted.exlibrisgroup.com/primo-explore/search?tab=default_tab&amp;search_scope=EVERYTHING&amp;vid=01CRU&amp;lang=en_US&amp;offset=0&amp;query=any,contains,991001411259702656","Catalog Record")</f>
        <v>Catalog Record</v>
      </c>
      <c r="AT1327" s="6" t="str">
        <f>HYPERLINK("http://www.worldcat.org/oclc/36103660","WorldCat Record")</f>
        <v>WorldCat Record</v>
      </c>
    </row>
    <row r="1328" spans="1:46" ht="52.5" customHeight="1" x14ac:dyDescent="0.25">
      <c r="A1328" s="7" t="s">
        <v>59</v>
      </c>
      <c r="B1328" s="2" t="s">
        <v>16498</v>
      </c>
      <c r="C1328" s="2" t="s">
        <v>16499</v>
      </c>
      <c r="D1328" s="2" t="s">
        <v>16500</v>
      </c>
      <c r="F1328" s="3" t="s">
        <v>59</v>
      </c>
      <c r="G1328" s="3" t="s">
        <v>60</v>
      </c>
      <c r="H1328" s="3" t="s">
        <v>59</v>
      </c>
      <c r="I1328" s="3" t="s">
        <v>59</v>
      </c>
      <c r="J1328" s="3" t="s">
        <v>61</v>
      </c>
      <c r="K1328" s="2" t="s">
        <v>10862</v>
      </c>
      <c r="L1328" s="2" t="s">
        <v>16501</v>
      </c>
      <c r="M1328" s="3" t="s">
        <v>100</v>
      </c>
      <c r="O1328" s="3" t="s">
        <v>65</v>
      </c>
      <c r="P1328" s="3" t="s">
        <v>66</v>
      </c>
      <c r="R1328" s="3" t="s">
        <v>68</v>
      </c>
      <c r="S1328" s="4">
        <v>1</v>
      </c>
      <c r="T1328" s="4">
        <v>1</v>
      </c>
      <c r="U1328" s="5" t="s">
        <v>16502</v>
      </c>
      <c r="V1328" s="5" t="s">
        <v>16502</v>
      </c>
      <c r="W1328" s="5" t="s">
        <v>16503</v>
      </c>
      <c r="X1328" s="5" t="s">
        <v>16503</v>
      </c>
      <c r="Y1328" s="4">
        <v>360</v>
      </c>
      <c r="Z1328" s="4">
        <v>303</v>
      </c>
      <c r="AA1328" s="4">
        <v>308</v>
      </c>
      <c r="AB1328" s="4">
        <v>3</v>
      </c>
      <c r="AC1328" s="4">
        <v>3</v>
      </c>
      <c r="AD1328" s="4">
        <v>12</v>
      </c>
      <c r="AE1328" s="4">
        <v>12</v>
      </c>
      <c r="AF1328" s="4">
        <v>2</v>
      </c>
      <c r="AG1328" s="4">
        <v>2</v>
      </c>
      <c r="AH1328" s="4">
        <v>1</v>
      </c>
      <c r="AI1328" s="4">
        <v>1</v>
      </c>
      <c r="AJ1328" s="4">
        <v>8</v>
      </c>
      <c r="AK1328" s="4">
        <v>8</v>
      </c>
      <c r="AL1328" s="4">
        <v>2</v>
      </c>
      <c r="AM1328" s="4">
        <v>2</v>
      </c>
      <c r="AN1328" s="4">
        <v>0</v>
      </c>
      <c r="AO1328" s="4">
        <v>0</v>
      </c>
      <c r="AP1328" s="3" t="s">
        <v>59</v>
      </c>
      <c r="AQ1328" s="3" t="s">
        <v>59</v>
      </c>
      <c r="AR1328" s="6"/>
      <c r="AS1328" s="6" t="str">
        <f>HYPERLINK("https://creighton-primo.hosted.exlibrisgroup.com/primo-explore/search?tab=default_tab&amp;search_scope=EVERYTHING&amp;vid=01CRU&amp;lang=en_US&amp;offset=0&amp;query=any,contains,991000787469702656","Catalog Record")</f>
        <v>Catalog Record</v>
      </c>
      <c r="AT1328" s="6" t="str">
        <f>HYPERLINK("http://www.worldcat.org/oclc/320754","WorldCat Record")</f>
        <v>WorldCat Record</v>
      </c>
    </row>
    <row r="1329" spans="1:46" ht="52.5" customHeight="1" x14ac:dyDescent="0.25">
      <c r="A1329" s="7" t="s">
        <v>59</v>
      </c>
      <c r="B1329" s="2" t="s">
        <v>16504</v>
      </c>
      <c r="C1329" s="2" t="s">
        <v>16505</v>
      </c>
      <c r="D1329" s="2" t="s">
        <v>16506</v>
      </c>
      <c r="F1329" s="3" t="s">
        <v>59</v>
      </c>
      <c r="G1329" s="3" t="s">
        <v>60</v>
      </c>
      <c r="H1329" s="3" t="s">
        <v>59</v>
      </c>
      <c r="I1329" s="3" t="s">
        <v>59</v>
      </c>
      <c r="J1329" s="3" t="s">
        <v>61</v>
      </c>
      <c r="K1329" s="2" t="s">
        <v>16507</v>
      </c>
      <c r="L1329" s="2" t="s">
        <v>16508</v>
      </c>
      <c r="M1329" s="3" t="s">
        <v>405</v>
      </c>
      <c r="O1329" s="3" t="s">
        <v>65</v>
      </c>
      <c r="P1329" s="3" t="s">
        <v>16396</v>
      </c>
      <c r="R1329" s="3" t="s">
        <v>68</v>
      </c>
      <c r="S1329" s="4">
        <v>9</v>
      </c>
      <c r="T1329" s="4">
        <v>9</v>
      </c>
      <c r="U1329" s="5" t="s">
        <v>7367</v>
      </c>
      <c r="V1329" s="5" t="s">
        <v>7367</v>
      </c>
      <c r="W1329" s="5" t="s">
        <v>16509</v>
      </c>
      <c r="X1329" s="5" t="s">
        <v>16509</v>
      </c>
      <c r="Y1329" s="4">
        <v>200</v>
      </c>
      <c r="Z1329" s="4">
        <v>141</v>
      </c>
      <c r="AA1329" s="4">
        <v>308</v>
      </c>
      <c r="AB1329" s="4">
        <v>2</v>
      </c>
      <c r="AC1329" s="4">
        <v>2</v>
      </c>
      <c r="AD1329" s="4">
        <v>9</v>
      </c>
      <c r="AE1329" s="4">
        <v>15</v>
      </c>
      <c r="AF1329" s="4">
        <v>3</v>
      </c>
      <c r="AG1329" s="4">
        <v>6</v>
      </c>
      <c r="AH1329" s="4">
        <v>3</v>
      </c>
      <c r="AI1329" s="4">
        <v>5</v>
      </c>
      <c r="AJ1329" s="4">
        <v>5</v>
      </c>
      <c r="AK1329" s="4">
        <v>10</v>
      </c>
      <c r="AL1329" s="4">
        <v>1</v>
      </c>
      <c r="AM1329" s="4">
        <v>1</v>
      </c>
      <c r="AN1329" s="4">
        <v>0</v>
      </c>
      <c r="AO1329" s="4">
        <v>0</v>
      </c>
      <c r="AP1329" s="3" t="s">
        <v>59</v>
      </c>
      <c r="AQ1329" s="3" t="s">
        <v>59</v>
      </c>
      <c r="AR1329" s="6"/>
      <c r="AS1329" s="6" t="str">
        <f>HYPERLINK("https://creighton-primo.hosted.exlibrisgroup.com/primo-explore/search?tab=default_tab&amp;search_scope=EVERYTHING&amp;vid=01CRU&amp;lang=en_US&amp;offset=0&amp;query=any,contains,991001536169702656","Catalog Record")</f>
        <v>Catalog Record</v>
      </c>
      <c r="AT1329" s="6" t="str">
        <f>HYPERLINK("http://www.worldcat.org/oclc/13665976","WorldCat Record")</f>
        <v>WorldCat Record</v>
      </c>
    </row>
    <row r="1330" spans="1:46" ht="52.5" customHeight="1" x14ac:dyDescent="0.25">
      <c r="A1330" s="7" t="s">
        <v>59</v>
      </c>
      <c r="B1330" s="2" t="s">
        <v>16510</v>
      </c>
      <c r="C1330" s="2" t="s">
        <v>16511</v>
      </c>
      <c r="D1330" s="2" t="s">
        <v>16512</v>
      </c>
      <c r="F1330" s="3" t="s">
        <v>59</v>
      </c>
      <c r="G1330" s="3" t="s">
        <v>60</v>
      </c>
      <c r="H1330" s="3" t="s">
        <v>59</v>
      </c>
      <c r="I1330" s="3" t="s">
        <v>59</v>
      </c>
      <c r="J1330" s="3" t="s">
        <v>61</v>
      </c>
      <c r="K1330" s="2" t="s">
        <v>16513</v>
      </c>
      <c r="L1330" s="2" t="s">
        <v>16514</v>
      </c>
      <c r="M1330" s="3" t="s">
        <v>1163</v>
      </c>
      <c r="N1330" t="s">
        <v>887</v>
      </c>
      <c r="O1330" s="3" t="s">
        <v>65</v>
      </c>
      <c r="P1330" s="3" t="s">
        <v>66</v>
      </c>
      <c r="R1330" s="3" t="s">
        <v>68</v>
      </c>
      <c r="S1330" s="4">
        <v>5</v>
      </c>
      <c r="T1330" s="4">
        <v>5</v>
      </c>
      <c r="U1330" s="5" t="s">
        <v>1493</v>
      </c>
      <c r="V1330" s="5" t="s">
        <v>1493</v>
      </c>
      <c r="W1330" s="5" t="s">
        <v>16398</v>
      </c>
      <c r="X1330" s="5" t="s">
        <v>16398</v>
      </c>
      <c r="Y1330" s="4">
        <v>1087</v>
      </c>
      <c r="Z1330" s="4">
        <v>958</v>
      </c>
      <c r="AA1330" s="4">
        <v>999</v>
      </c>
      <c r="AB1330" s="4">
        <v>9</v>
      </c>
      <c r="AC1330" s="4">
        <v>9</v>
      </c>
      <c r="AD1330" s="4">
        <v>32</v>
      </c>
      <c r="AE1330" s="4">
        <v>34</v>
      </c>
      <c r="AF1330" s="4">
        <v>12</v>
      </c>
      <c r="AG1330" s="4">
        <v>13</v>
      </c>
      <c r="AH1330" s="4">
        <v>6</v>
      </c>
      <c r="AI1330" s="4">
        <v>6</v>
      </c>
      <c r="AJ1330" s="4">
        <v>16</v>
      </c>
      <c r="AK1330" s="4">
        <v>17</v>
      </c>
      <c r="AL1330" s="4">
        <v>6</v>
      </c>
      <c r="AM1330" s="4">
        <v>6</v>
      </c>
      <c r="AN1330" s="4">
        <v>0</v>
      </c>
      <c r="AO1330" s="4">
        <v>0</v>
      </c>
      <c r="AP1330" s="3" t="s">
        <v>59</v>
      </c>
      <c r="AQ1330" s="3" t="s">
        <v>59</v>
      </c>
      <c r="AR1330" s="6"/>
      <c r="AS1330" s="6" t="str">
        <f>HYPERLINK("https://creighton-primo.hosted.exlibrisgroup.com/primo-explore/search?tab=default_tab&amp;search_scope=EVERYTHING&amp;vid=01CRU&amp;lang=en_US&amp;offset=0&amp;query=any,contains,991000787549702656","Catalog Record")</f>
        <v>Catalog Record</v>
      </c>
      <c r="AT1330" s="6" t="str">
        <f>HYPERLINK("http://www.worldcat.org/oclc/11467960","WorldCat Record")</f>
        <v>WorldCat Record</v>
      </c>
    </row>
    <row r="1331" spans="1:46" ht="52.5" customHeight="1" x14ac:dyDescent="0.25">
      <c r="A1331" s="7" t="s">
        <v>59</v>
      </c>
      <c r="B1331" s="2" t="s">
        <v>16515</v>
      </c>
      <c r="C1331" s="2" t="s">
        <v>16516</v>
      </c>
      <c r="D1331" s="2" t="s">
        <v>16517</v>
      </c>
      <c r="F1331" s="3" t="s">
        <v>59</v>
      </c>
      <c r="G1331" s="3" t="s">
        <v>60</v>
      </c>
      <c r="H1331" s="3" t="s">
        <v>71</v>
      </c>
      <c r="I1331" s="3" t="s">
        <v>59</v>
      </c>
      <c r="J1331" s="3" t="s">
        <v>61</v>
      </c>
      <c r="K1331" s="2" t="s">
        <v>16518</v>
      </c>
      <c r="L1331" s="2" t="s">
        <v>16519</v>
      </c>
      <c r="M1331" s="3" t="s">
        <v>16520</v>
      </c>
      <c r="O1331" s="3" t="s">
        <v>65</v>
      </c>
      <c r="P1331" s="3" t="s">
        <v>283</v>
      </c>
      <c r="R1331" s="3" t="s">
        <v>68</v>
      </c>
      <c r="S1331" s="4">
        <v>5</v>
      </c>
      <c r="T1331" s="4">
        <v>5</v>
      </c>
      <c r="U1331" s="5" t="s">
        <v>16521</v>
      </c>
      <c r="V1331" s="5" t="s">
        <v>16521</v>
      </c>
      <c r="W1331" s="5" t="s">
        <v>16522</v>
      </c>
      <c r="X1331" s="5" t="s">
        <v>16522</v>
      </c>
      <c r="Y1331" s="4">
        <v>599</v>
      </c>
      <c r="Z1331" s="4">
        <v>536</v>
      </c>
      <c r="AA1331" s="4">
        <v>677</v>
      </c>
      <c r="AB1331" s="4">
        <v>6</v>
      </c>
      <c r="AC1331" s="4">
        <v>9</v>
      </c>
      <c r="AD1331" s="4">
        <v>26</v>
      </c>
      <c r="AE1331" s="4">
        <v>34</v>
      </c>
      <c r="AF1331" s="4">
        <v>10</v>
      </c>
      <c r="AG1331" s="4">
        <v>13</v>
      </c>
      <c r="AH1331" s="4">
        <v>3</v>
      </c>
      <c r="AI1331" s="4">
        <v>6</v>
      </c>
      <c r="AJ1331" s="4">
        <v>14</v>
      </c>
      <c r="AK1331" s="4">
        <v>15</v>
      </c>
      <c r="AL1331" s="4">
        <v>4</v>
      </c>
      <c r="AM1331" s="4">
        <v>7</v>
      </c>
      <c r="AN1331" s="4">
        <v>0</v>
      </c>
      <c r="AO1331" s="4">
        <v>1</v>
      </c>
      <c r="AP1331" s="3" t="s">
        <v>71</v>
      </c>
      <c r="AQ1331" s="3" t="s">
        <v>59</v>
      </c>
      <c r="AR1331" s="6" t="str">
        <f>HYPERLINK("http://catalog.hathitrust.org/Record/000386088","HathiTrust Record")</f>
        <v>HathiTrust Record</v>
      </c>
      <c r="AS1331" s="6" t="str">
        <f>HYPERLINK("https://creighton-primo.hosted.exlibrisgroup.com/primo-explore/search?tab=default_tab&amp;search_scope=EVERYTHING&amp;vid=01CRU&amp;lang=en_US&amp;offset=0&amp;query=any,contains,991000787599702656","Catalog Record")</f>
        <v>Catalog Record</v>
      </c>
      <c r="AT1331" s="6" t="str">
        <f>HYPERLINK("http://www.worldcat.org/oclc/186102","WorldCat Record")</f>
        <v>WorldCat Record</v>
      </c>
    </row>
    <row r="1332" spans="1:46" ht="52.5" customHeight="1" x14ac:dyDescent="0.25">
      <c r="A1332" s="7" t="s">
        <v>59</v>
      </c>
      <c r="B1332" s="2" t="s">
        <v>16523</v>
      </c>
      <c r="C1332" s="2" t="s">
        <v>16524</v>
      </c>
      <c r="D1332" s="2" t="s">
        <v>16525</v>
      </c>
      <c r="F1332" s="3" t="s">
        <v>59</v>
      </c>
      <c r="G1332" s="3" t="s">
        <v>60</v>
      </c>
      <c r="H1332" s="3" t="s">
        <v>59</v>
      </c>
      <c r="I1332" s="3" t="s">
        <v>71</v>
      </c>
      <c r="J1332" s="3" t="s">
        <v>61</v>
      </c>
      <c r="K1332" s="2"/>
      <c r="L1332" s="2" t="s">
        <v>16526</v>
      </c>
      <c r="M1332" s="3" t="s">
        <v>224</v>
      </c>
      <c r="O1332" s="3" t="s">
        <v>65</v>
      </c>
      <c r="P1332" s="3" t="s">
        <v>66</v>
      </c>
      <c r="R1332" s="3" t="s">
        <v>68</v>
      </c>
      <c r="S1332" s="4">
        <v>4</v>
      </c>
      <c r="T1332" s="4">
        <v>4</v>
      </c>
      <c r="U1332" s="5" t="s">
        <v>1493</v>
      </c>
      <c r="V1332" s="5" t="s">
        <v>1493</v>
      </c>
      <c r="W1332" s="5" t="s">
        <v>16398</v>
      </c>
      <c r="X1332" s="5" t="s">
        <v>16398</v>
      </c>
      <c r="Y1332" s="4">
        <v>1060</v>
      </c>
      <c r="Z1332" s="4">
        <v>884</v>
      </c>
      <c r="AA1332" s="4">
        <v>1200</v>
      </c>
      <c r="AB1332" s="4">
        <v>10</v>
      </c>
      <c r="AC1332" s="4">
        <v>13</v>
      </c>
      <c r="AD1332" s="4">
        <v>34</v>
      </c>
      <c r="AE1332" s="4">
        <v>46</v>
      </c>
      <c r="AF1332" s="4">
        <v>13</v>
      </c>
      <c r="AG1332" s="4">
        <v>18</v>
      </c>
      <c r="AH1332" s="4">
        <v>6</v>
      </c>
      <c r="AI1332" s="4">
        <v>7</v>
      </c>
      <c r="AJ1332" s="4">
        <v>15</v>
      </c>
      <c r="AK1332" s="4">
        <v>21</v>
      </c>
      <c r="AL1332" s="4">
        <v>7</v>
      </c>
      <c r="AM1332" s="4">
        <v>9</v>
      </c>
      <c r="AN1332" s="4">
        <v>0</v>
      </c>
      <c r="AO1332" s="4">
        <v>1</v>
      </c>
      <c r="AP1332" s="3" t="s">
        <v>59</v>
      </c>
      <c r="AQ1332" s="3" t="s">
        <v>71</v>
      </c>
      <c r="AR1332" s="6" t="str">
        <f>HYPERLINK("http://catalog.hathitrust.org/Record/000150042","HathiTrust Record")</f>
        <v>HathiTrust Record</v>
      </c>
      <c r="AS1332" s="6" t="str">
        <f>HYPERLINK("https://creighton-primo.hosted.exlibrisgroup.com/primo-explore/search?tab=default_tab&amp;search_scope=EVERYTHING&amp;vid=01CRU&amp;lang=en_US&amp;offset=0&amp;query=any,contains,991000787639702656","Catalog Record")</f>
        <v>Catalog Record</v>
      </c>
      <c r="AT1332" s="6" t="str">
        <f>HYPERLINK("http://www.worldcat.org/oclc/1302009","WorldCat Record")</f>
        <v>WorldCat Record</v>
      </c>
    </row>
    <row r="1333" spans="1:46" ht="52.5" customHeight="1" x14ac:dyDescent="0.25">
      <c r="A1333" s="7" t="s">
        <v>59</v>
      </c>
      <c r="B1333" s="2" t="s">
        <v>16527</v>
      </c>
      <c r="C1333" s="2" t="s">
        <v>16528</v>
      </c>
      <c r="D1333" s="2" t="s">
        <v>16529</v>
      </c>
      <c r="F1333" s="3" t="s">
        <v>59</v>
      </c>
      <c r="G1333" s="3" t="s">
        <v>60</v>
      </c>
      <c r="H1333" s="3" t="s">
        <v>59</v>
      </c>
      <c r="I1333" s="3" t="s">
        <v>59</v>
      </c>
      <c r="J1333" s="3" t="s">
        <v>60</v>
      </c>
      <c r="K1333" s="2" t="s">
        <v>16530</v>
      </c>
      <c r="L1333" s="2" t="s">
        <v>16531</v>
      </c>
      <c r="M1333" s="3" t="s">
        <v>16490</v>
      </c>
      <c r="O1333" s="3" t="s">
        <v>65</v>
      </c>
      <c r="P1333" s="3" t="s">
        <v>1262</v>
      </c>
      <c r="R1333" s="3" t="s">
        <v>68</v>
      </c>
      <c r="S1333" s="4">
        <v>1</v>
      </c>
      <c r="T1333" s="4">
        <v>1</v>
      </c>
      <c r="U1333" s="5" t="s">
        <v>16532</v>
      </c>
      <c r="V1333" s="5" t="s">
        <v>16532</v>
      </c>
      <c r="W1333" s="5" t="s">
        <v>16533</v>
      </c>
      <c r="X1333" s="5" t="s">
        <v>16533</v>
      </c>
      <c r="Y1333" s="4">
        <v>605</v>
      </c>
      <c r="Z1333" s="4">
        <v>511</v>
      </c>
      <c r="AA1333" s="4">
        <v>1268</v>
      </c>
      <c r="AB1333" s="4">
        <v>5</v>
      </c>
      <c r="AC1333" s="4">
        <v>14</v>
      </c>
      <c r="AD1333" s="4">
        <v>25</v>
      </c>
      <c r="AE1333" s="4">
        <v>52</v>
      </c>
      <c r="AF1333" s="4">
        <v>12</v>
      </c>
      <c r="AG1333" s="4">
        <v>20</v>
      </c>
      <c r="AH1333" s="4">
        <v>5</v>
      </c>
      <c r="AI1333" s="4">
        <v>11</v>
      </c>
      <c r="AJ1333" s="4">
        <v>11</v>
      </c>
      <c r="AK1333" s="4">
        <v>19</v>
      </c>
      <c r="AL1333" s="4">
        <v>4</v>
      </c>
      <c r="AM1333" s="4">
        <v>12</v>
      </c>
      <c r="AN1333" s="4">
        <v>0</v>
      </c>
      <c r="AO1333" s="4">
        <v>2</v>
      </c>
      <c r="AP1333" s="3" t="s">
        <v>59</v>
      </c>
      <c r="AQ1333" s="3" t="s">
        <v>59</v>
      </c>
      <c r="AR1333" s="6"/>
      <c r="AS1333" s="6" t="str">
        <f>HYPERLINK("https://creighton-primo.hosted.exlibrisgroup.com/primo-explore/search?tab=default_tab&amp;search_scope=EVERYTHING&amp;vid=01CRU&amp;lang=en_US&amp;offset=0&amp;query=any,contains,991001474439702656","Catalog Record")</f>
        <v>Catalog Record</v>
      </c>
      <c r="AT1333" s="6" t="str">
        <f>HYPERLINK("http://www.worldcat.org/oclc/214064378","WorldCat Record")</f>
        <v>WorldCat Record</v>
      </c>
    </row>
    <row r="1334" spans="1:46" ht="52.5" customHeight="1" x14ac:dyDescent="0.25">
      <c r="A1334" s="7" t="s">
        <v>59</v>
      </c>
      <c r="B1334" s="2" t="s">
        <v>16534</v>
      </c>
      <c r="C1334" s="2" t="s">
        <v>16535</v>
      </c>
      <c r="D1334" s="2" t="s">
        <v>16536</v>
      </c>
      <c r="F1334" s="3" t="s">
        <v>59</v>
      </c>
      <c r="G1334" s="3" t="s">
        <v>60</v>
      </c>
      <c r="H1334" s="3" t="s">
        <v>59</v>
      </c>
      <c r="I1334" s="3" t="s">
        <v>59</v>
      </c>
      <c r="J1334" s="3" t="s">
        <v>61</v>
      </c>
      <c r="K1334" s="2" t="s">
        <v>16537</v>
      </c>
      <c r="L1334" s="2" t="s">
        <v>16538</v>
      </c>
      <c r="M1334" s="3" t="s">
        <v>943</v>
      </c>
      <c r="N1334" t="s">
        <v>16539</v>
      </c>
      <c r="O1334" s="3" t="s">
        <v>65</v>
      </c>
      <c r="P1334" s="3" t="s">
        <v>420</v>
      </c>
      <c r="R1334" s="3" t="s">
        <v>68</v>
      </c>
      <c r="S1334" s="4">
        <v>21</v>
      </c>
      <c r="T1334" s="4">
        <v>21</v>
      </c>
      <c r="U1334" s="5" t="s">
        <v>16540</v>
      </c>
      <c r="V1334" s="5" t="s">
        <v>16540</v>
      </c>
      <c r="W1334" s="5" t="s">
        <v>16541</v>
      </c>
      <c r="X1334" s="5" t="s">
        <v>16541</v>
      </c>
      <c r="Y1334" s="4">
        <v>186</v>
      </c>
      <c r="Z1334" s="4">
        <v>141</v>
      </c>
      <c r="AA1334" s="4">
        <v>560</v>
      </c>
      <c r="AB1334" s="4">
        <v>1</v>
      </c>
      <c r="AC1334" s="4">
        <v>5</v>
      </c>
      <c r="AD1334" s="4">
        <v>3</v>
      </c>
      <c r="AE1334" s="4">
        <v>18</v>
      </c>
      <c r="AF1334" s="4">
        <v>2</v>
      </c>
      <c r="AG1334" s="4">
        <v>5</v>
      </c>
      <c r="AH1334" s="4">
        <v>0</v>
      </c>
      <c r="AI1334" s="4">
        <v>4</v>
      </c>
      <c r="AJ1334" s="4">
        <v>1</v>
      </c>
      <c r="AK1334" s="4">
        <v>9</v>
      </c>
      <c r="AL1334" s="4">
        <v>0</v>
      </c>
      <c r="AM1334" s="4">
        <v>4</v>
      </c>
      <c r="AN1334" s="4">
        <v>0</v>
      </c>
      <c r="AO1334" s="4">
        <v>0</v>
      </c>
      <c r="AP1334" s="3" t="s">
        <v>59</v>
      </c>
      <c r="AQ1334" s="3" t="s">
        <v>59</v>
      </c>
      <c r="AR1334" s="6"/>
      <c r="AS1334" s="6" t="str">
        <f>HYPERLINK("https://creighton-primo.hosted.exlibrisgroup.com/primo-explore/search?tab=default_tab&amp;search_scope=EVERYTHING&amp;vid=01CRU&amp;lang=en_US&amp;offset=0&amp;query=any,contains,991001552399702656","Catalog Record")</f>
        <v>Catalog Record</v>
      </c>
      <c r="AT1334" s="6" t="str">
        <f>HYPERLINK("http://www.worldcat.org/oclc/23768683","WorldCat Record")</f>
        <v>WorldCat Record</v>
      </c>
    </row>
    <row r="1335" spans="1:46" ht="52.5" customHeight="1" x14ac:dyDescent="0.25">
      <c r="A1335" s="7" t="s">
        <v>59</v>
      </c>
      <c r="B1335" s="2" t="s">
        <v>16542</v>
      </c>
      <c r="C1335" s="2" t="s">
        <v>16543</v>
      </c>
      <c r="D1335" s="2" t="s">
        <v>16544</v>
      </c>
      <c r="F1335" s="3" t="s">
        <v>59</v>
      </c>
      <c r="G1335" s="3" t="s">
        <v>60</v>
      </c>
      <c r="H1335" s="3" t="s">
        <v>59</v>
      </c>
      <c r="I1335" s="3" t="s">
        <v>59</v>
      </c>
      <c r="J1335" s="3" t="s">
        <v>61</v>
      </c>
      <c r="K1335" s="2" t="s">
        <v>16545</v>
      </c>
      <c r="L1335" s="2" t="s">
        <v>16546</v>
      </c>
      <c r="M1335" s="3" t="s">
        <v>16547</v>
      </c>
      <c r="O1335" s="3" t="s">
        <v>65</v>
      </c>
      <c r="P1335" s="3" t="s">
        <v>699</v>
      </c>
      <c r="R1335" s="3" t="s">
        <v>68</v>
      </c>
      <c r="S1335" s="4">
        <v>5</v>
      </c>
      <c r="T1335" s="4">
        <v>5</v>
      </c>
      <c r="U1335" s="5" t="s">
        <v>16548</v>
      </c>
      <c r="V1335" s="5" t="s">
        <v>16548</v>
      </c>
      <c r="W1335" s="5" t="s">
        <v>5483</v>
      </c>
      <c r="X1335" s="5" t="s">
        <v>5483</v>
      </c>
      <c r="Y1335" s="4">
        <v>254</v>
      </c>
      <c r="Z1335" s="4">
        <v>166</v>
      </c>
      <c r="AA1335" s="4">
        <v>256</v>
      </c>
      <c r="AB1335" s="4">
        <v>3</v>
      </c>
      <c r="AC1335" s="4">
        <v>3</v>
      </c>
      <c r="AD1335" s="4">
        <v>9</v>
      </c>
      <c r="AE1335" s="4">
        <v>15</v>
      </c>
      <c r="AF1335" s="4">
        <v>3</v>
      </c>
      <c r="AG1335" s="4">
        <v>5</v>
      </c>
      <c r="AH1335" s="4">
        <v>1</v>
      </c>
      <c r="AI1335" s="4">
        <v>2</v>
      </c>
      <c r="AJ1335" s="4">
        <v>5</v>
      </c>
      <c r="AK1335" s="4">
        <v>9</v>
      </c>
      <c r="AL1335" s="4">
        <v>2</v>
      </c>
      <c r="AM1335" s="4">
        <v>2</v>
      </c>
      <c r="AN1335" s="4">
        <v>0</v>
      </c>
      <c r="AO1335" s="4">
        <v>0</v>
      </c>
      <c r="AP1335" s="3" t="s">
        <v>59</v>
      </c>
      <c r="AQ1335" s="3" t="s">
        <v>71</v>
      </c>
      <c r="AR1335" s="6" t="str">
        <f>HYPERLINK("http://catalog.hathitrust.org/Record/003247440","HathiTrust Record")</f>
        <v>HathiTrust Record</v>
      </c>
      <c r="AS1335" s="6" t="str">
        <f>HYPERLINK("https://creighton-primo.hosted.exlibrisgroup.com/primo-explore/search?tab=default_tab&amp;search_scope=EVERYTHING&amp;vid=01CRU&amp;lang=en_US&amp;offset=0&amp;query=any,contains,991001296269702656","Catalog Record")</f>
        <v>Catalog Record</v>
      </c>
      <c r="AT1335" s="6" t="str">
        <f>HYPERLINK("http://www.worldcat.org/oclc/30701913","WorldCat Record")</f>
        <v>WorldCat Record</v>
      </c>
    </row>
    <row r="1336" spans="1:46" ht="52.5" customHeight="1" x14ac:dyDescent="0.25">
      <c r="A1336" s="7" t="s">
        <v>59</v>
      </c>
      <c r="B1336" s="2" t="s">
        <v>16549</v>
      </c>
      <c r="C1336" s="2" t="s">
        <v>16550</v>
      </c>
      <c r="D1336" s="2" t="s">
        <v>16551</v>
      </c>
      <c r="F1336" s="3" t="s">
        <v>59</v>
      </c>
      <c r="G1336" s="3" t="s">
        <v>60</v>
      </c>
      <c r="H1336" s="3" t="s">
        <v>59</v>
      </c>
      <c r="I1336" s="3" t="s">
        <v>59</v>
      </c>
      <c r="J1336" s="3" t="s">
        <v>61</v>
      </c>
      <c r="K1336" s="2"/>
      <c r="L1336" s="2" t="s">
        <v>5947</v>
      </c>
      <c r="M1336" s="3" t="s">
        <v>475</v>
      </c>
      <c r="O1336" s="3" t="s">
        <v>65</v>
      </c>
      <c r="P1336" s="3" t="s">
        <v>16396</v>
      </c>
      <c r="Q1336" t="s">
        <v>16552</v>
      </c>
      <c r="R1336" s="3" t="s">
        <v>68</v>
      </c>
      <c r="S1336" s="4">
        <v>4</v>
      </c>
      <c r="T1336" s="4">
        <v>4</v>
      </c>
      <c r="U1336" s="5" t="s">
        <v>16553</v>
      </c>
      <c r="V1336" s="5" t="s">
        <v>16553</v>
      </c>
      <c r="W1336" s="5" t="s">
        <v>16503</v>
      </c>
      <c r="X1336" s="5" t="s">
        <v>16503</v>
      </c>
      <c r="Y1336" s="4">
        <v>103</v>
      </c>
      <c r="Z1336" s="4">
        <v>79</v>
      </c>
      <c r="AA1336" s="4">
        <v>81</v>
      </c>
      <c r="AB1336" s="4">
        <v>3</v>
      </c>
      <c r="AC1336" s="4">
        <v>3</v>
      </c>
      <c r="AD1336" s="4">
        <v>6</v>
      </c>
      <c r="AE1336" s="4">
        <v>6</v>
      </c>
      <c r="AF1336" s="4">
        <v>0</v>
      </c>
      <c r="AG1336" s="4">
        <v>0</v>
      </c>
      <c r="AH1336" s="4">
        <v>2</v>
      </c>
      <c r="AI1336" s="4">
        <v>2</v>
      </c>
      <c r="AJ1336" s="4">
        <v>4</v>
      </c>
      <c r="AK1336" s="4">
        <v>4</v>
      </c>
      <c r="AL1336" s="4">
        <v>2</v>
      </c>
      <c r="AM1336" s="4">
        <v>2</v>
      </c>
      <c r="AN1336" s="4">
        <v>0</v>
      </c>
      <c r="AO1336" s="4">
        <v>0</v>
      </c>
      <c r="AP1336" s="3" t="s">
        <v>59</v>
      </c>
      <c r="AQ1336" s="3" t="s">
        <v>71</v>
      </c>
      <c r="AR1336" s="6" t="str">
        <f>HYPERLINK("http://catalog.hathitrust.org/Record/004422571","HathiTrust Record")</f>
        <v>HathiTrust Record</v>
      </c>
      <c r="AS1336" s="6" t="str">
        <f>HYPERLINK("https://creighton-primo.hosted.exlibrisgroup.com/primo-explore/search?tab=default_tab&amp;search_scope=EVERYTHING&amp;vid=01CRU&amp;lang=en_US&amp;offset=0&amp;query=any,contains,991000787789702656","Catalog Record")</f>
        <v>Catalog Record</v>
      </c>
      <c r="AT1336" s="6" t="str">
        <f>HYPERLINK("http://www.worldcat.org/oclc/9762422","WorldCat Record")</f>
        <v>WorldCat Record</v>
      </c>
    </row>
    <row r="1337" spans="1:46" ht="52.5" customHeight="1" x14ac:dyDescent="0.25">
      <c r="A1337" s="7" t="s">
        <v>59</v>
      </c>
      <c r="B1337" s="2" t="s">
        <v>16554</v>
      </c>
      <c r="C1337" s="2" t="s">
        <v>16555</v>
      </c>
      <c r="D1337" s="2" t="s">
        <v>16556</v>
      </c>
      <c r="F1337" s="3" t="s">
        <v>59</v>
      </c>
      <c r="G1337" s="3" t="s">
        <v>60</v>
      </c>
      <c r="H1337" s="3" t="s">
        <v>71</v>
      </c>
      <c r="I1337" s="3" t="s">
        <v>59</v>
      </c>
      <c r="J1337" s="3" t="s">
        <v>61</v>
      </c>
      <c r="K1337" s="2" t="s">
        <v>16557</v>
      </c>
      <c r="L1337" s="2" t="s">
        <v>16558</v>
      </c>
      <c r="M1337" s="3" t="s">
        <v>1467</v>
      </c>
      <c r="O1337" s="3" t="s">
        <v>65</v>
      </c>
      <c r="P1337" s="3" t="s">
        <v>66</v>
      </c>
      <c r="R1337" s="3" t="s">
        <v>68</v>
      </c>
      <c r="S1337" s="4">
        <v>3</v>
      </c>
      <c r="T1337" s="4">
        <v>3</v>
      </c>
      <c r="U1337" s="5" t="s">
        <v>16453</v>
      </c>
      <c r="V1337" s="5" t="s">
        <v>16453</v>
      </c>
      <c r="W1337" s="5" t="s">
        <v>16559</v>
      </c>
      <c r="X1337" s="5" t="s">
        <v>16559</v>
      </c>
      <c r="Y1337" s="4">
        <v>548</v>
      </c>
      <c r="Z1337" s="4">
        <v>461</v>
      </c>
      <c r="AA1337" s="4">
        <v>491</v>
      </c>
      <c r="AB1337" s="4">
        <v>5</v>
      </c>
      <c r="AC1337" s="4">
        <v>5</v>
      </c>
      <c r="AD1337" s="4">
        <v>24</v>
      </c>
      <c r="AE1337" s="4">
        <v>24</v>
      </c>
      <c r="AF1337" s="4">
        <v>7</v>
      </c>
      <c r="AG1337" s="4">
        <v>7</v>
      </c>
      <c r="AH1337" s="4">
        <v>8</v>
      </c>
      <c r="AI1337" s="4">
        <v>8</v>
      </c>
      <c r="AJ1337" s="4">
        <v>13</v>
      </c>
      <c r="AK1337" s="4">
        <v>13</v>
      </c>
      <c r="AL1337" s="4">
        <v>3</v>
      </c>
      <c r="AM1337" s="4">
        <v>3</v>
      </c>
      <c r="AN1337" s="4">
        <v>0</v>
      </c>
      <c r="AO1337" s="4">
        <v>0</v>
      </c>
      <c r="AP1337" s="3" t="s">
        <v>59</v>
      </c>
      <c r="AQ1337" s="3" t="s">
        <v>59</v>
      </c>
      <c r="AR1337" s="6" t="str">
        <f>HYPERLINK("http://catalog.hathitrust.org/Record/000381717","HathiTrust Record")</f>
        <v>HathiTrust Record</v>
      </c>
      <c r="AS1337" s="6" t="str">
        <f>HYPERLINK("https://creighton-primo.hosted.exlibrisgroup.com/primo-explore/search?tab=default_tab&amp;search_scope=EVERYTHING&amp;vid=01CRU&amp;lang=en_US&amp;offset=0&amp;query=any,contains,991000787909702656","Catalog Record")</f>
        <v>Catalog Record</v>
      </c>
      <c r="AT1337" s="6" t="str">
        <f>HYPERLINK("http://www.worldcat.org/oclc/14612826","WorldCat Record")</f>
        <v>WorldCat Record</v>
      </c>
    </row>
    <row r="1338" spans="1:46" ht="52.5" customHeight="1" x14ac:dyDescent="0.25">
      <c r="A1338" s="7" t="s">
        <v>59</v>
      </c>
      <c r="B1338" s="2" t="s">
        <v>16560</v>
      </c>
      <c r="C1338" s="2" t="s">
        <v>16561</v>
      </c>
      <c r="D1338" s="2" t="s">
        <v>16562</v>
      </c>
      <c r="F1338" s="3" t="s">
        <v>59</v>
      </c>
      <c r="G1338" s="3" t="s">
        <v>60</v>
      </c>
      <c r="H1338" s="3" t="s">
        <v>59</v>
      </c>
      <c r="I1338" s="3" t="s">
        <v>71</v>
      </c>
      <c r="J1338" s="3" t="s">
        <v>61</v>
      </c>
      <c r="K1338" s="2"/>
      <c r="L1338" s="2" t="s">
        <v>16563</v>
      </c>
      <c r="M1338" s="3" t="s">
        <v>16490</v>
      </c>
      <c r="N1338" t="s">
        <v>1975</v>
      </c>
      <c r="O1338" s="3" t="s">
        <v>65</v>
      </c>
      <c r="P1338" s="3" t="s">
        <v>66</v>
      </c>
      <c r="R1338" s="3" t="s">
        <v>68</v>
      </c>
      <c r="S1338" s="4">
        <v>1</v>
      </c>
      <c r="T1338" s="4">
        <v>1</v>
      </c>
      <c r="U1338" s="5" t="s">
        <v>16564</v>
      </c>
      <c r="V1338" s="5" t="s">
        <v>16564</v>
      </c>
      <c r="W1338" s="5" t="s">
        <v>564</v>
      </c>
      <c r="X1338" s="5" t="s">
        <v>564</v>
      </c>
      <c r="Y1338" s="4">
        <v>804</v>
      </c>
      <c r="Z1338" s="4">
        <v>634</v>
      </c>
      <c r="AA1338" s="4">
        <v>1510</v>
      </c>
      <c r="AB1338" s="4">
        <v>6</v>
      </c>
      <c r="AC1338" s="4">
        <v>9</v>
      </c>
      <c r="AD1338" s="4">
        <v>34</v>
      </c>
      <c r="AE1338" s="4">
        <v>58</v>
      </c>
      <c r="AF1338" s="4">
        <v>11</v>
      </c>
      <c r="AG1338" s="4">
        <v>27</v>
      </c>
      <c r="AH1338" s="4">
        <v>8</v>
      </c>
      <c r="AI1338" s="4">
        <v>10</v>
      </c>
      <c r="AJ1338" s="4">
        <v>18</v>
      </c>
      <c r="AK1338" s="4">
        <v>26</v>
      </c>
      <c r="AL1338" s="4">
        <v>5</v>
      </c>
      <c r="AM1338" s="4">
        <v>7</v>
      </c>
      <c r="AN1338" s="4">
        <v>0</v>
      </c>
      <c r="AO1338" s="4">
        <v>1</v>
      </c>
      <c r="AP1338" s="3" t="s">
        <v>59</v>
      </c>
      <c r="AQ1338" s="3" t="s">
        <v>59</v>
      </c>
      <c r="AR1338" s="6"/>
      <c r="AS1338" s="6" t="str">
        <f>HYPERLINK("https://creighton-primo.hosted.exlibrisgroup.com/primo-explore/search?tab=default_tab&amp;search_scope=EVERYTHING&amp;vid=01CRU&amp;lang=en_US&amp;offset=0&amp;query=any,contains,991001366049702656","Catalog Record")</f>
        <v>Catalog Record</v>
      </c>
      <c r="AT1338" s="6" t="str">
        <f>HYPERLINK("http://www.worldcat.org/oclc/175056027","WorldCat Record")</f>
        <v>WorldCat Record</v>
      </c>
    </row>
    <row r="1339" spans="1:46" ht="52.5" customHeight="1" x14ac:dyDescent="0.25">
      <c r="A1339" s="7" t="s">
        <v>59</v>
      </c>
      <c r="B1339" s="2" t="s">
        <v>16565</v>
      </c>
      <c r="C1339" s="2" t="s">
        <v>16566</v>
      </c>
      <c r="D1339" s="2" t="s">
        <v>16567</v>
      </c>
      <c r="F1339" s="3" t="s">
        <v>59</v>
      </c>
      <c r="G1339" s="3" t="s">
        <v>60</v>
      </c>
      <c r="H1339" s="3" t="s">
        <v>59</v>
      </c>
      <c r="I1339" s="3" t="s">
        <v>59</v>
      </c>
      <c r="J1339" s="3" t="s">
        <v>61</v>
      </c>
      <c r="K1339" s="2" t="s">
        <v>16568</v>
      </c>
      <c r="L1339" s="2" t="s">
        <v>16569</v>
      </c>
      <c r="M1339" s="3" t="s">
        <v>10267</v>
      </c>
      <c r="O1339" s="3" t="s">
        <v>65</v>
      </c>
      <c r="P1339" s="3" t="s">
        <v>16570</v>
      </c>
      <c r="R1339" s="3" t="s">
        <v>68</v>
      </c>
      <c r="S1339" s="4">
        <v>1</v>
      </c>
      <c r="T1339" s="4">
        <v>1</v>
      </c>
      <c r="U1339" s="5" t="s">
        <v>16571</v>
      </c>
      <c r="V1339" s="5" t="s">
        <v>16571</v>
      </c>
      <c r="W1339" s="5" t="s">
        <v>16571</v>
      </c>
      <c r="X1339" s="5" t="s">
        <v>16571</v>
      </c>
      <c r="Y1339" s="4">
        <v>134</v>
      </c>
      <c r="Z1339" s="4">
        <v>129</v>
      </c>
      <c r="AA1339" s="4">
        <v>138</v>
      </c>
      <c r="AB1339" s="4">
        <v>1</v>
      </c>
      <c r="AC1339" s="4">
        <v>1</v>
      </c>
      <c r="AD1339" s="4">
        <v>2</v>
      </c>
      <c r="AE1339" s="4">
        <v>2</v>
      </c>
      <c r="AF1339" s="4">
        <v>1</v>
      </c>
      <c r="AG1339" s="4">
        <v>1</v>
      </c>
      <c r="AH1339" s="4">
        <v>1</v>
      </c>
      <c r="AI1339" s="4">
        <v>1</v>
      </c>
      <c r="AJ1339" s="4">
        <v>1</v>
      </c>
      <c r="AK1339" s="4">
        <v>1</v>
      </c>
      <c r="AL1339" s="4">
        <v>0</v>
      </c>
      <c r="AM1339" s="4">
        <v>0</v>
      </c>
      <c r="AN1339" s="4">
        <v>0</v>
      </c>
      <c r="AO1339" s="4">
        <v>0</v>
      </c>
      <c r="AP1339" s="3" t="s">
        <v>59</v>
      </c>
      <c r="AQ1339" s="3" t="s">
        <v>71</v>
      </c>
      <c r="AR1339" s="6" t="str">
        <f>HYPERLINK("http://catalog.hathitrust.org/Record/003072681","HathiTrust Record")</f>
        <v>HathiTrust Record</v>
      </c>
      <c r="AS1339" s="6" t="str">
        <f>HYPERLINK("https://creighton-primo.hosted.exlibrisgroup.com/primo-explore/search?tab=default_tab&amp;search_scope=EVERYTHING&amp;vid=01CRU&amp;lang=en_US&amp;offset=0&amp;query=any,contains,991000425149702656","Catalog Record")</f>
        <v>Catalog Record</v>
      </c>
      <c r="AT1339" s="6" t="str">
        <f>HYPERLINK("http://www.worldcat.org/oclc/28293706","WorldCat Record")</f>
        <v>WorldCat Record</v>
      </c>
    </row>
    <row r="1340" spans="1:46" ht="52.5" customHeight="1" x14ac:dyDescent="0.25">
      <c r="A1340" s="7" t="s">
        <v>59</v>
      </c>
      <c r="B1340" s="2" t="s">
        <v>16572</v>
      </c>
      <c r="C1340" s="2" t="s">
        <v>16573</v>
      </c>
      <c r="D1340" s="2" t="s">
        <v>16574</v>
      </c>
      <c r="F1340" s="3" t="s">
        <v>59</v>
      </c>
      <c r="G1340" s="3" t="s">
        <v>60</v>
      </c>
      <c r="H1340" s="3" t="s">
        <v>59</v>
      </c>
      <c r="I1340" s="3" t="s">
        <v>59</v>
      </c>
      <c r="J1340" s="3" t="s">
        <v>61</v>
      </c>
      <c r="K1340" s="2" t="s">
        <v>16575</v>
      </c>
      <c r="L1340" s="2" t="s">
        <v>16576</v>
      </c>
      <c r="M1340" s="3" t="s">
        <v>684</v>
      </c>
      <c r="O1340" s="3" t="s">
        <v>65</v>
      </c>
      <c r="P1340" s="3" t="s">
        <v>66</v>
      </c>
      <c r="R1340" s="3" t="s">
        <v>68</v>
      </c>
      <c r="S1340" s="4">
        <v>3</v>
      </c>
      <c r="T1340" s="4">
        <v>3</v>
      </c>
      <c r="U1340" s="5" t="s">
        <v>16577</v>
      </c>
      <c r="V1340" s="5" t="s">
        <v>16577</v>
      </c>
      <c r="W1340" s="5" t="s">
        <v>16559</v>
      </c>
      <c r="X1340" s="5" t="s">
        <v>16559</v>
      </c>
      <c r="Y1340" s="4">
        <v>353</v>
      </c>
      <c r="Z1340" s="4">
        <v>253</v>
      </c>
      <c r="AA1340" s="4">
        <v>257</v>
      </c>
      <c r="AB1340" s="4">
        <v>2</v>
      </c>
      <c r="AC1340" s="4">
        <v>2</v>
      </c>
      <c r="AD1340" s="4">
        <v>11</v>
      </c>
      <c r="AE1340" s="4">
        <v>11</v>
      </c>
      <c r="AF1340" s="4">
        <v>1</v>
      </c>
      <c r="AG1340" s="4">
        <v>1</v>
      </c>
      <c r="AH1340" s="4">
        <v>4</v>
      </c>
      <c r="AI1340" s="4">
        <v>4</v>
      </c>
      <c r="AJ1340" s="4">
        <v>9</v>
      </c>
      <c r="AK1340" s="4">
        <v>9</v>
      </c>
      <c r="AL1340" s="4">
        <v>1</v>
      </c>
      <c r="AM1340" s="4">
        <v>1</v>
      </c>
      <c r="AN1340" s="4">
        <v>0</v>
      </c>
      <c r="AO1340" s="4">
        <v>0</v>
      </c>
      <c r="AP1340" s="3" t="s">
        <v>59</v>
      </c>
      <c r="AQ1340" s="3" t="s">
        <v>71</v>
      </c>
      <c r="AR1340" s="6" t="str">
        <f>HYPERLINK("http://catalog.hathitrust.org/Record/000183161","HathiTrust Record")</f>
        <v>HathiTrust Record</v>
      </c>
      <c r="AS1340" s="6" t="str">
        <f>HYPERLINK("https://creighton-primo.hosted.exlibrisgroup.com/primo-explore/search?tab=default_tab&amp;search_scope=EVERYTHING&amp;vid=01CRU&amp;lang=en_US&amp;offset=0&amp;query=any,contains,991000787999702656","Catalog Record")</f>
        <v>Catalog Record</v>
      </c>
      <c r="AT1340" s="6" t="str">
        <f>HYPERLINK("http://www.worldcat.org/oclc/7169782","WorldCat Record")</f>
        <v>WorldCat Record</v>
      </c>
    </row>
    <row r="1341" spans="1:46" ht="52.5" customHeight="1" x14ac:dyDescent="0.25">
      <c r="A1341" s="7" t="s">
        <v>59</v>
      </c>
      <c r="B1341" s="2" t="s">
        <v>16578</v>
      </c>
      <c r="C1341" s="2" t="s">
        <v>16579</v>
      </c>
      <c r="D1341" s="2" t="s">
        <v>16580</v>
      </c>
      <c r="F1341" s="3" t="s">
        <v>59</v>
      </c>
      <c r="G1341" s="3" t="s">
        <v>60</v>
      </c>
      <c r="H1341" s="3" t="s">
        <v>59</v>
      </c>
      <c r="I1341" s="3" t="s">
        <v>59</v>
      </c>
      <c r="J1341" s="3" t="s">
        <v>60</v>
      </c>
      <c r="K1341" s="2"/>
      <c r="L1341" s="2" t="s">
        <v>16581</v>
      </c>
      <c r="M1341" s="3" t="s">
        <v>943</v>
      </c>
      <c r="O1341" s="3" t="s">
        <v>65</v>
      </c>
      <c r="P1341" s="3" t="s">
        <v>66</v>
      </c>
      <c r="R1341" s="3" t="s">
        <v>68</v>
      </c>
      <c r="S1341" s="4">
        <v>15</v>
      </c>
      <c r="T1341" s="4">
        <v>15</v>
      </c>
      <c r="U1341" s="5" t="s">
        <v>16577</v>
      </c>
      <c r="V1341" s="5" t="s">
        <v>16577</v>
      </c>
      <c r="W1341" s="5" t="s">
        <v>16582</v>
      </c>
      <c r="X1341" s="5" t="s">
        <v>16582</v>
      </c>
      <c r="Y1341" s="4">
        <v>449</v>
      </c>
      <c r="Z1341" s="4">
        <v>386</v>
      </c>
      <c r="AA1341" s="4">
        <v>1216</v>
      </c>
      <c r="AB1341" s="4">
        <v>3</v>
      </c>
      <c r="AC1341" s="4">
        <v>14</v>
      </c>
      <c r="AD1341" s="4">
        <v>16</v>
      </c>
      <c r="AE1341" s="4">
        <v>47</v>
      </c>
      <c r="AF1341" s="4">
        <v>2</v>
      </c>
      <c r="AG1341" s="4">
        <v>13</v>
      </c>
      <c r="AH1341" s="4">
        <v>5</v>
      </c>
      <c r="AI1341" s="4">
        <v>11</v>
      </c>
      <c r="AJ1341" s="4">
        <v>7</v>
      </c>
      <c r="AK1341" s="4">
        <v>15</v>
      </c>
      <c r="AL1341" s="4">
        <v>2</v>
      </c>
      <c r="AM1341" s="4">
        <v>12</v>
      </c>
      <c r="AN1341" s="4">
        <v>2</v>
      </c>
      <c r="AO1341" s="4">
        <v>3</v>
      </c>
      <c r="AP1341" s="3" t="s">
        <v>59</v>
      </c>
      <c r="AQ1341" s="3" t="s">
        <v>59</v>
      </c>
      <c r="AR1341" s="6"/>
      <c r="AS1341" s="6" t="str">
        <f>HYPERLINK("https://creighton-primo.hosted.exlibrisgroup.com/primo-explore/search?tab=default_tab&amp;search_scope=EVERYTHING&amp;vid=01CRU&amp;lang=en_US&amp;offset=0&amp;query=any,contains,991001024059702656","Catalog Record")</f>
        <v>Catalog Record</v>
      </c>
      <c r="AT1341" s="6" t="str">
        <f>HYPERLINK("http://www.worldcat.org/oclc/22764685","WorldCat Record")</f>
        <v>WorldCat Record</v>
      </c>
    </row>
    <row r="1342" spans="1:46" ht="52.5" customHeight="1" x14ac:dyDescent="0.25">
      <c r="A1342" s="7" t="s">
        <v>59</v>
      </c>
      <c r="B1342" s="2" t="s">
        <v>16583</v>
      </c>
      <c r="C1342" s="2" t="s">
        <v>16584</v>
      </c>
      <c r="D1342" s="2" t="s">
        <v>16585</v>
      </c>
      <c r="F1342" s="3" t="s">
        <v>59</v>
      </c>
      <c r="G1342" s="3" t="s">
        <v>60</v>
      </c>
      <c r="H1342" s="3" t="s">
        <v>59</v>
      </c>
      <c r="I1342" s="3" t="s">
        <v>59</v>
      </c>
      <c r="J1342" s="3" t="s">
        <v>61</v>
      </c>
      <c r="K1342" s="2"/>
      <c r="L1342" s="2" t="s">
        <v>16586</v>
      </c>
      <c r="M1342" s="3" t="s">
        <v>15624</v>
      </c>
      <c r="O1342" s="3" t="s">
        <v>65</v>
      </c>
      <c r="P1342" s="3" t="s">
        <v>1262</v>
      </c>
      <c r="R1342" s="3" t="s">
        <v>68</v>
      </c>
      <c r="S1342" s="4">
        <v>0</v>
      </c>
      <c r="T1342" s="4">
        <v>0</v>
      </c>
      <c r="U1342" s="5" t="s">
        <v>16587</v>
      </c>
      <c r="V1342" s="5" t="s">
        <v>16587</v>
      </c>
      <c r="W1342" s="5" t="s">
        <v>16587</v>
      </c>
      <c r="X1342" s="5" t="s">
        <v>16587</v>
      </c>
      <c r="Y1342" s="4">
        <v>121</v>
      </c>
      <c r="Z1342" s="4">
        <v>57</v>
      </c>
      <c r="AA1342" s="4">
        <v>99</v>
      </c>
      <c r="AB1342" s="4">
        <v>1</v>
      </c>
      <c r="AC1342" s="4">
        <v>1</v>
      </c>
      <c r="AD1342" s="4">
        <v>0</v>
      </c>
      <c r="AE1342" s="4">
        <v>1</v>
      </c>
      <c r="AF1342" s="4">
        <v>0</v>
      </c>
      <c r="AG1342" s="4">
        <v>0</v>
      </c>
      <c r="AH1342" s="4">
        <v>0</v>
      </c>
      <c r="AI1342" s="4">
        <v>1</v>
      </c>
      <c r="AJ1342" s="4">
        <v>0</v>
      </c>
      <c r="AK1342" s="4">
        <v>0</v>
      </c>
      <c r="AL1342" s="4">
        <v>0</v>
      </c>
      <c r="AM1342" s="4">
        <v>0</v>
      </c>
      <c r="AN1342" s="4">
        <v>0</v>
      </c>
      <c r="AO1342" s="4">
        <v>0</v>
      </c>
      <c r="AP1342" s="3" t="s">
        <v>59</v>
      </c>
      <c r="AQ1342" s="3" t="s">
        <v>71</v>
      </c>
      <c r="AR1342" s="6" t="str">
        <f>HYPERLINK("http://catalog.hathitrust.org/Record/004732225","HathiTrust Record")</f>
        <v>HathiTrust Record</v>
      </c>
      <c r="AS1342" s="6" t="str">
        <f>HYPERLINK("https://creighton-primo.hosted.exlibrisgroup.com/primo-explore/search?tab=default_tab&amp;search_scope=EVERYTHING&amp;vid=01CRU&amp;lang=en_US&amp;offset=0&amp;query=any,contains,991000388699702656","Catalog Record")</f>
        <v>Catalog Record</v>
      </c>
      <c r="AT1342" s="6" t="str">
        <f>HYPERLINK("http://www.worldcat.org/oclc/55634372","WorldCat Record")</f>
        <v>WorldCat Record</v>
      </c>
    </row>
    <row r="1343" spans="1:46" ht="52.5" customHeight="1" x14ac:dyDescent="0.25">
      <c r="A1343" s="7" t="s">
        <v>59</v>
      </c>
      <c r="B1343" s="2" t="s">
        <v>16588</v>
      </c>
      <c r="C1343" s="2" t="s">
        <v>16589</v>
      </c>
      <c r="D1343" s="2" t="s">
        <v>16590</v>
      </c>
      <c r="F1343" s="3" t="s">
        <v>59</v>
      </c>
      <c r="G1343" s="3" t="s">
        <v>60</v>
      </c>
      <c r="H1343" s="3" t="s">
        <v>59</v>
      </c>
      <c r="I1343" s="3" t="s">
        <v>59</v>
      </c>
      <c r="J1343" s="3" t="s">
        <v>61</v>
      </c>
      <c r="K1343" s="2" t="s">
        <v>16591</v>
      </c>
      <c r="L1343" s="2" t="s">
        <v>16592</v>
      </c>
      <c r="M1343" s="3" t="s">
        <v>350</v>
      </c>
      <c r="O1343" s="3" t="s">
        <v>65</v>
      </c>
      <c r="P1343" s="3" t="s">
        <v>66</v>
      </c>
      <c r="R1343" s="3" t="s">
        <v>68</v>
      </c>
      <c r="S1343" s="4">
        <v>8</v>
      </c>
      <c r="T1343" s="4">
        <v>8</v>
      </c>
      <c r="U1343" s="5" t="s">
        <v>16593</v>
      </c>
      <c r="V1343" s="5" t="s">
        <v>16593</v>
      </c>
      <c r="W1343" s="5" t="s">
        <v>16398</v>
      </c>
      <c r="X1343" s="5" t="s">
        <v>16398</v>
      </c>
      <c r="Y1343" s="4">
        <v>96</v>
      </c>
      <c r="Z1343" s="4">
        <v>84</v>
      </c>
      <c r="AA1343" s="4">
        <v>86</v>
      </c>
      <c r="AB1343" s="4">
        <v>2</v>
      </c>
      <c r="AC1343" s="4">
        <v>2</v>
      </c>
      <c r="AD1343" s="4">
        <v>5</v>
      </c>
      <c r="AE1343" s="4">
        <v>5</v>
      </c>
      <c r="AF1343" s="4">
        <v>2</v>
      </c>
      <c r="AG1343" s="4">
        <v>2</v>
      </c>
      <c r="AH1343" s="4">
        <v>2</v>
      </c>
      <c r="AI1343" s="4">
        <v>2</v>
      </c>
      <c r="AJ1343" s="4">
        <v>3</v>
      </c>
      <c r="AK1343" s="4">
        <v>3</v>
      </c>
      <c r="AL1343" s="4">
        <v>1</v>
      </c>
      <c r="AM1343" s="4">
        <v>1</v>
      </c>
      <c r="AN1343" s="4">
        <v>0</v>
      </c>
      <c r="AO1343" s="4">
        <v>0</v>
      </c>
      <c r="AP1343" s="3" t="s">
        <v>59</v>
      </c>
      <c r="AQ1343" s="3" t="s">
        <v>71</v>
      </c>
      <c r="AR1343" s="6" t="str">
        <f>HYPERLINK("http://catalog.hathitrust.org/Record/009812844","HathiTrust Record")</f>
        <v>HathiTrust Record</v>
      </c>
      <c r="AS1343" s="6" t="str">
        <f>HYPERLINK("https://creighton-primo.hosted.exlibrisgroup.com/primo-explore/search?tab=default_tab&amp;search_scope=EVERYTHING&amp;vid=01CRU&amp;lang=en_US&amp;offset=0&amp;query=any,contains,991000788839702656","Catalog Record")</f>
        <v>Catalog Record</v>
      </c>
      <c r="AT1343" s="6" t="str">
        <f>HYPERLINK("http://www.worldcat.org/oclc/2373362","WorldCat Record")</f>
        <v>WorldCat Record</v>
      </c>
    </row>
    <row r="1344" spans="1:46" ht="52.5" customHeight="1" x14ac:dyDescent="0.25">
      <c r="A1344" s="7" t="s">
        <v>59</v>
      </c>
      <c r="B1344" s="2" t="s">
        <v>16594</v>
      </c>
      <c r="C1344" s="2" t="s">
        <v>16595</v>
      </c>
      <c r="D1344" s="2" t="s">
        <v>16596</v>
      </c>
      <c r="F1344" s="3" t="s">
        <v>59</v>
      </c>
      <c r="G1344" s="3" t="s">
        <v>60</v>
      </c>
      <c r="H1344" s="3" t="s">
        <v>59</v>
      </c>
      <c r="I1344" s="3" t="s">
        <v>59</v>
      </c>
      <c r="J1344" s="3" t="s">
        <v>61</v>
      </c>
      <c r="K1344" s="2"/>
      <c r="L1344" s="2" t="s">
        <v>16597</v>
      </c>
      <c r="M1344" s="3" t="s">
        <v>10267</v>
      </c>
      <c r="O1344" s="3" t="s">
        <v>65</v>
      </c>
      <c r="P1344" s="3" t="s">
        <v>699</v>
      </c>
      <c r="R1344" s="3" t="s">
        <v>68</v>
      </c>
      <c r="S1344" s="4">
        <v>1</v>
      </c>
      <c r="T1344" s="4">
        <v>1</v>
      </c>
      <c r="U1344" s="5" t="s">
        <v>16598</v>
      </c>
      <c r="V1344" s="5" t="s">
        <v>16598</v>
      </c>
      <c r="W1344" s="5" t="s">
        <v>16598</v>
      </c>
      <c r="X1344" s="5" t="s">
        <v>16598</v>
      </c>
      <c r="Y1344" s="4">
        <v>214</v>
      </c>
      <c r="Z1344" s="4">
        <v>195</v>
      </c>
      <c r="AA1344" s="4">
        <v>196</v>
      </c>
      <c r="AB1344" s="4">
        <v>1</v>
      </c>
      <c r="AC1344" s="4">
        <v>1</v>
      </c>
      <c r="AD1344" s="4">
        <v>13</v>
      </c>
      <c r="AE1344" s="4">
        <v>13</v>
      </c>
      <c r="AF1344" s="4">
        <v>5</v>
      </c>
      <c r="AG1344" s="4">
        <v>5</v>
      </c>
      <c r="AH1344" s="4">
        <v>7</v>
      </c>
      <c r="AI1344" s="4">
        <v>7</v>
      </c>
      <c r="AJ1344" s="4">
        <v>8</v>
      </c>
      <c r="AK1344" s="4">
        <v>8</v>
      </c>
      <c r="AL1344" s="4">
        <v>0</v>
      </c>
      <c r="AM1344" s="4">
        <v>0</v>
      </c>
      <c r="AN1344" s="4">
        <v>0</v>
      </c>
      <c r="AO1344" s="4">
        <v>0</v>
      </c>
      <c r="AP1344" s="3" t="s">
        <v>59</v>
      </c>
      <c r="AQ1344" s="3" t="s">
        <v>59</v>
      </c>
      <c r="AR1344" s="6"/>
      <c r="AS1344" s="6" t="str">
        <f>HYPERLINK("https://creighton-primo.hosted.exlibrisgroup.com/primo-explore/search?tab=default_tab&amp;search_scope=EVERYTHING&amp;vid=01CRU&amp;lang=en_US&amp;offset=0&amp;query=any,contains,991000876789702656","Catalog Record")</f>
        <v>Catalog Record</v>
      </c>
      <c r="AT1344" s="6" t="str">
        <f>HYPERLINK("http://www.worldcat.org/oclc/30071188","WorldCat Record")</f>
        <v>WorldCat Record</v>
      </c>
    </row>
    <row r="1345" spans="1:46" ht="52.5" customHeight="1" x14ac:dyDescent="0.25">
      <c r="A1345" s="7" t="s">
        <v>59</v>
      </c>
      <c r="B1345" s="2" t="s">
        <v>16599</v>
      </c>
      <c r="C1345" s="2" t="s">
        <v>16600</v>
      </c>
      <c r="D1345" s="2" t="s">
        <v>16601</v>
      </c>
      <c r="F1345" s="3" t="s">
        <v>59</v>
      </c>
      <c r="G1345" s="3" t="s">
        <v>60</v>
      </c>
      <c r="H1345" s="3" t="s">
        <v>59</v>
      </c>
      <c r="I1345" s="3" t="s">
        <v>59</v>
      </c>
      <c r="J1345" s="3" t="s">
        <v>61</v>
      </c>
      <c r="K1345" s="2"/>
      <c r="L1345" s="2" t="s">
        <v>16602</v>
      </c>
      <c r="M1345" s="3" t="s">
        <v>5648</v>
      </c>
      <c r="O1345" s="3" t="s">
        <v>65</v>
      </c>
      <c r="P1345" s="3" t="s">
        <v>16396</v>
      </c>
      <c r="R1345" s="3" t="s">
        <v>68</v>
      </c>
      <c r="S1345" s="4">
        <v>2</v>
      </c>
      <c r="T1345" s="4">
        <v>2</v>
      </c>
      <c r="U1345" s="5" t="s">
        <v>16603</v>
      </c>
      <c r="V1345" s="5" t="s">
        <v>16603</v>
      </c>
      <c r="W1345" s="5" t="s">
        <v>16604</v>
      </c>
      <c r="X1345" s="5" t="s">
        <v>16604</v>
      </c>
      <c r="Y1345" s="4">
        <v>279</v>
      </c>
      <c r="Z1345" s="4">
        <v>227</v>
      </c>
      <c r="AA1345" s="4">
        <v>230</v>
      </c>
      <c r="AB1345" s="4">
        <v>2</v>
      </c>
      <c r="AC1345" s="4">
        <v>2</v>
      </c>
      <c r="AD1345" s="4">
        <v>14</v>
      </c>
      <c r="AE1345" s="4">
        <v>14</v>
      </c>
      <c r="AF1345" s="4">
        <v>7</v>
      </c>
      <c r="AG1345" s="4">
        <v>7</v>
      </c>
      <c r="AH1345" s="4">
        <v>1</v>
      </c>
      <c r="AI1345" s="4">
        <v>1</v>
      </c>
      <c r="AJ1345" s="4">
        <v>10</v>
      </c>
      <c r="AK1345" s="4">
        <v>10</v>
      </c>
      <c r="AL1345" s="4">
        <v>1</v>
      </c>
      <c r="AM1345" s="4">
        <v>1</v>
      </c>
      <c r="AN1345" s="4">
        <v>0</v>
      </c>
      <c r="AO1345" s="4">
        <v>0</v>
      </c>
      <c r="AP1345" s="3" t="s">
        <v>59</v>
      </c>
      <c r="AQ1345" s="3" t="s">
        <v>71</v>
      </c>
      <c r="AR1345" s="6" t="str">
        <f>HYPERLINK("http://catalog.hathitrust.org/Record/001838357","HathiTrust Record")</f>
        <v>HathiTrust Record</v>
      </c>
      <c r="AS1345" s="6" t="str">
        <f>HYPERLINK("https://creighton-primo.hosted.exlibrisgroup.com/primo-explore/search?tab=default_tab&amp;search_scope=EVERYTHING&amp;vid=01CRU&amp;lang=en_US&amp;offset=0&amp;query=any,contains,991001449199702656","Catalog Record")</f>
        <v>Catalog Record</v>
      </c>
      <c r="AT1345" s="6" t="str">
        <f>HYPERLINK("http://www.worldcat.org/oclc/19814790","WorldCat Record")</f>
        <v>WorldCat Record</v>
      </c>
    </row>
    <row r="1346" spans="1:46" ht="52.5" customHeight="1" x14ac:dyDescent="0.25">
      <c r="A1346" s="7" t="s">
        <v>59</v>
      </c>
      <c r="B1346" s="2" t="s">
        <v>16605</v>
      </c>
      <c r="C1346" s="2" t="s">
        <v>16606</v>
      </c>
      <c r="D1346" s="2" t="s">
        <v>16607</v>
      </c>
      <c r="F1346" s="3" t="s">
        <v>59</v>
      </c>
      <c r="G1346" s="3" t="s">
        <v>60</v>
      </c>
      <c r="H1346" s="3" t="s">
        <v>59</v>
      </c>
      <c r="I1346" s="3" t="s">
        <v>59</v>
      </c>
      <c r="J1346" s="3" t="s">
        <v>61</v>
      </c>
      <c r="K1346" s="2"/>
      <c r="L1346" s="2" t="s">
        <v>16608</v>
      </c>
      <c r="M1346" s="3" t="s">
        <v>5648</v>
      </c>
      <c r="O1346" s="3" t="s">
        <v>65</v>
      </c>
      <c r="P1346" s="3" t="s">
        <v>16396</v>
      </c>
      <c r="R1346" s="3" t="s">
        <v>68</v>
      </c>
      <c r="S1346" s="4">
        <v>3</v>
      </c>
      <c r="T1346" s="4">
        <v>3</v>
      </c>
      <c r="U1346" s="5" t="s">
        <v>16609</v>
      </c>
      <c r="V1346" s="5" t="s">
        <v>16609</v>
      </c>
      <c r="W1346" s="5" t="s">
        <v>16610</v>
      </c>
      <c r="X1346" s="5" t="s">
        <v>16610</v>
      </c>
      <c r="Y1346" s="4">
        <v>361</v>
      </c>
      <c r="Z1346" s="4">
        <v>317</v>
      </c>
      <c r="AA1346" s="4">
        <v>385</v>
      </c>
      <c r="AB1346" s="4">
        <v>2</v>
      </c>
      <c r="AC1346" s="4">
        <v>2</v>
      </c>
      <c r="AD1346" s="4">
        <v>6</v>
      </c>
      <c r="AE1346" s="4">
        <v>8</v>
      </c>
      <c r="AF1346" s="4">
        <v>1</v>
      </c>
      <c r="AG1346" s="4">
        <v>1</v>
      </c>
      <c r="AH1346" s="4">
        <v>1</v>
      </c>
      <c r="AI1346" s="4">
        <v>3</v>
      </c>
      <c r="AJ1346" s="4">
        <v>4</v>
      </c>
      <c r="AK1346" s="4">
        <v>4</v>
      </c>
      <c r="AL1346" s="4">
        <v>1</v>
      </c>
      <c r="AM1346" s="4">
        <v>1</v>
      </c>
      <c r="AN1346" s="4">
        <v>0</v>
      </c>
      <c r="AO1346" s="4">
        <v>0</v>
      </c>
      <c r="AP1346" s="3" t="s">
        <v>59</v>
      </c>
      <c r="AQ1346" s="3" t="s">
        <v>59</v>
      </c>
      <c r="AR1346" s="6"/>
      <c r="AS1346" s="6" t="str">
        <f>HYPERLINK("https://creighton-primo.hosted.exlibrisgroup.com/primo-explore/search?tab=default_tab&amp;search_scope=EVERYTHING&amp;vid=01CRU&amp;lang=en_US&amp;offset=0&amp;query=any,contains,991001481599702656","Catalog Record")</f>
        <v>Catalog Record</v>
      </c>
      <c r="AT1346" s="6" t="str">
        <f>HYPERLINK("http://www.worldcat.org/oclc/20217634","WorldCat Record")</f>
        <v>WorldCat Record</v>
      </c>
    </row>
    <row r="1347" spans="1:46" ht="52.5" customHeight="1" x14ac:dyDescent="0.25">
      <c r="A1347" s="7" t="s">
        <v>59</v>
      </c>
      <c r="B1347" s="2" t="s">
        <v>16611</v>
      </c>
      <c r="C1347" s="2" t="s">
        <v>16612</v>
      </c>
      <c r="D1347" s="2" t="s">
        <v>16613</v>
      </c>
      <c r="F1347" s="3" t="s">
        <v>59</v>
      </c>
      <c r="G1347" s="3" t="s">
        <v>60</v>
      </c>
      <c r="H1347" s="3" t="s">
        <v>71</v>
      </c>
      <c r="I1347" s="3" t="s">
        <v>59</v>
      </c>
      <c r="J1347" s="3" t="s">
        <v>61</v>
      </c>
      <c r="K1347" s="2" t="s">
        <v>16614</v>
      </c>
      <c r="L1347" s="2" t="s">
        <v>16615</v>
      </c>
      <c r="M1347" s="3" t="s">
        <v>405</v>
      </c>
      <c r="O1347" s="3" t="s">
        <v>65</v>
      </c>
      <c r="P1347" s="3" t="s">
        <v>16396</v>
      </c>
      <c r="R1347" s="3" t="s">
        <v>68</v>
      </c>
      <c r="S1347" s="4">
        <v>9</v>
      </c>
      <c r="T1347" s="4">
        <v>9</v>
      </c>
      <c r="U1347" s="5" t="s">
        <v>2990</v>
      </c>
      <c r="V1347" s="5" t="s">
        <v>2990</v>
      </c>
      <c r="W1347" s="5" t="s">
        <v>16616</v>
      </c>
      <c r="X1347" s="5" t="s">
        <v>16616</v>
      </c>
      <c r="Y1347" s="4">
        <v>731</v>
      </c>
      <c r="Z1347" s="4">
        <v>638</v>
      </c>
      <c r="AA1347" s="4">
        <v>641</v>
      </c>
      <c r="AB1347" s="4">
        <v>8</v>
      </c>
      <c r="AC1347" s="4">
        <v>8</v>
      </c>
      <c r="AD1347" s="4">
        <v>25</v>
      </c>
      <c r="AE1347" s="4">
        <v>25</v>
      </c>
      <c r="AF1347" s="4">
        <v>6</v>
      </c>
      <c r="AG1347" s="4">
        <v>6</v>
      </c>
      <c r="AH1347" s="4">
        <v>6</v>
      </c>
      <c r="AI1347" s="4">
        <v>6</v>
      </c>
      <c r="AJ1347" s="4">
        <v>13</v>
      </c>
      <c r="AK1347" s="4">
        <v>13</v>
      </c>
      <c r="AL1347" s="4">
        <v>5</v>
      </c>
      <c r="AM1347" s="4">
        <v>5</v>
      </c>
      <c r="AN1347" s="4">
        <v>0</v>
      </c>
      <c r="AO1347" s="4">
        <v>0</v>
      </c>
      <c r="AP1347" s="3" t="s">
        <v>59</v>
      </c>
      <c r="AQ1347" s="3" t="s">
        <v>71</v>
      </c>
      <c r="AR1347" s="6" t="str">
        <f>HYPERLINK("http://catalog.hathitrust.org/Record/007550997","HathiTrust Record")</f>
        <v>HathiTrust Record</v>
      </c>
      <c r="AS1347" s="6" t="str">
        <f>HYPERLINK("https://creighton-primo.hosted.exlibrisgroup.com/primo-explore/search?tab=default_tab&amp;search_scope=EVERYTHING&amp;vid=01CRU&amp;lang=en_US&amp;offset=0&amp;query=any,contains,991001172949702656","Catalog Record")</f>
        <v>Catalog Record</v>
      </c>
      <c r="AT1347" s="6" t="str">
        <f>HYPERLINK("http://www.worldcat.org/oclc/16226856","WorldCat Record")</f>
        <v>WorldCat Record</v>
      </c>
    </row>
    <row r="1348" spans="1:46" ht="52.5" customHeight="1" x14ac:dyDescent="0.25">
      <c r="A1348" s="7" t="s">
        <v>59</v>
      </c>
      <c r="B1348" s="2" t="s">
        <v>16617</v>
      </c>
      <c r="C1348" s="2" t="s">
        <v>16618</v>
      </c>
      <c r="D1348" s="2" t="s">
        <v>16619</v>
      </c>
      <c r="F1348" s="3" t="s">
        <v>59</v>
      </c>
      <c r="G1348" s="3" t="s">
        <v>60</v>
      </c>
      <c r="H1348" s="3" t="s">
        <v>59</v>
      </c>
      <c r="I1348" s="3" t="s">
        <v>59</v>
      </c>
      <c r="J1348" s="3" t="s">
        <v>61</v>
      </c>
      <c r="K1348" s="2" t="s">
        <v>16620</v>
      </c>
      <c r="L1348" s="2" t="s">
        <v>16621</v>
      </c>
      <c r="M1348" s="3" t="s">
        <v>616</v>
      </c>
      <c r="O1348" s="3" t="s">
        <v>65</v>
      </c>
      <c r="P1348" s="3" t="s">
        <v>16396</v>
      </c>
      <c r="Q1348" t="s">
        <v>16622</v>
      </c>
      <c r="R1348" s="3" t="s">
        <v>68</v>
      </c>
      <c r="S1348" s="4">
        <v>10</v>
      </c>
      <c r="T1348" s="4">
        <v>10</v>
      </c>
      <c r="U1348" s="5" t="s">
        <v>6968</v>
      </c>
      <c r="V1348" s="5" t="s">
        <v>6968</v>
      </c>
      <c r="W1348" s="5" t="s">
        <v>16623</v>
      </c>
      <c r="X1348" s="5" t="s">
        <v>16623</v>
      </c>
      <c r="Y1348" s="4">
        <v>343</v>
      </c>
      <c r="Z1348" s="4">
        <v>297</v>
      </c>
      <c r="AA1348" s="4">
        <v>299</v>
      </c>
      <c r="AB1348" s="4">
        <v>2</v>
      </c>
      <c r="AC1348" s="4">
        <v>2</v>
      </c>
      <c r="AD1348" s="4">
        <v>10</v>
      </c>
      <c r="AE1348" s="4">
        <v>10</v>
      </c>
      <c r="AF1348" s="4">
        <v>3</v>
      </c>
      <c r="AG1348" s="4">
        <v>3</v>
      </c>
      <c r="AH1348" s="4">
        <v>0</v>
      </c>
      <c r="AI1348" s="4">
        <v>0</v>
      </c>
      <c r="AJ1348" s="4">
        <v>9</v>
      </c>
      <c r="AK1348" s="4">
        <v>9</v>
      </c>
      <c r="AL1348" s="4">
        <v>1</v>
      </c>
      <c r="AM1348" s="4">
        <v>1</v>
      </c>
      <c r="AN1348" s="4">
        <v>0</v>
      </c>
      <c r="AO1348" s="4">
        <v>0</v>
      </c>
      <c r="AP1348" s="3" t="s">
        <v>59</v>
      </c>
      <c r="AQ1348" s="3" t="s">
        <v>71</v>
      </c>
      <c r="AR1348" s="6" t="str">
        <f>HYPERLINK("http://catalog.hathitrust.org/Record/000929304","HathiTrust Record")</f>
        <v>HathiTrust Record</v>
      </c>
      <c r="AS1348" s="6" t="str">
        <f>HYPERLINK("https://creighton-primo.hosted.exlibrisgroup.com/primo-explore/search?tab=default_tab&amp;search_scope=EVERYTHING&amp;vid=01CRU&amp;lang=en_US&amp;offset=0&amp;query=any,contains,991001112769702656","Catalog Record")</f>
        <v>Catalog Record</v>
      </c>
      <c r="AT1348" s="6" t="str">
        <f>HYPERLINK("http://www.worldcat.org/oclc/17731076","WorldCat Record")</f>
        <v>WorldCat Record</v>
      </c>
    </row>
    <row r="1349" spans="1:46" ht="52.5" customHeight="1" x14ac:dyDescent="0.25">
      <c r="A1349" s="7" t="s">
        <v>59</v>
      </c>
      <c r="B1349" s="2" t="s">
        <v>16624</v>
      </c>
      <c r="C1349" s="2" t="s">
        <v>16625</v>
      </c>
      <c r="D1349" s="2" t="s">
        <v>16626</v>
      </c>
      <c r="F1349" s="3" t="s">
        <v>59</v>
      </c>
      <c r="G1349" s="3" t="s">
        <v>60</v>
      </c>
      <c r="H1349" s="3" t="s">
        <v>59</v>
      </c>
      <c r="I1349" s="3" t="s">
        <v>59</v>
      </c>
      <c r="J1349" s="3" t="s">
        <v>61</v>
      </c>
      <c r="K1349" s="2"/>
      <c r="L1349" s="2" t="s">
        <v>16627</v>
      </c>
      <c r="M1349" s="3" t="s">
        <v>549</v>
      </c>
      <c r="O1349" s="3" t="s">
        <v>65</v>
      </c>
      <c r="P1349" s="3" t="s">
        <v>283</v>
      </c>
      <c r="R1349" s="3" t="s">
        <v>68</v>
      </c>
      <c r="S1349" s="4">
        <v>5</v>
      </c>
      <c r="T1349" s="4">
        <v>5</v>
      </c>
      <c r="U1349" s="5" t="s">
        <v>16628</v>
      </c>
      <c r="V1349" s="5" t="s">
        <v>16628</v>
      </c>
      <c r="W1349" s="5" t="s">
        <v>16398</v>
      </c>
      <c r="X1349" s="5" t="s">
        <v>16398</v>
      </c>
      <c r="Y1349" s="4">
        <v>891</v>
      </c>
      <c r="Z1349" s="4">
        <v>801</v>
      </c>
      <c r="AA1349" s="4">
        <v>803</v>
      </c>
      <c r="AB1349" s="4">
        <v>13</v>
      </c>
      <c r="AC1349" s="4">
        <v>13</v>
      </c>
      <c r="AD1349" s="4">
        <v>39</v>
      </c>
      <c r="AE1349" s="4">
        <v>39</v>
      </c>
      <c r="AF1349" s="4">
        <v>13</v>
      </c>
      <c r="AG1349" s="4">
        <v>13</v>
      </c>
      <c r="AH1349" s="4">
        <v>10</v>
      </c>
      <c r="AI1349" s="4">
        <v>10</v>
      </c>
      <c r="AJ1349" s="4">
        <v>16</v>
      </c>
      <c r="AK1349" s="4">
        <v>16</v>
      </c>
      <c r="AL1349" s="4">
        <v>9</v>
      </c>
      <c r="AM1349" s="4">
        <v>9</v>
      </c>
      <c r="AN1349" s="4">
        <v>0</v>
      </c>
      <c r="AO1349" s="4">
        <v>0</v>
      </c>
      <c r="AP1349" s="3" t="s">
        <v>59</v>
      </c>
      <c r="AQ1349" s="3" t="s">
        <v>71</v>
      </c>
      <c r="AR1349" s="6" t="str">
        <f>HYPERLINK("http://catalog.hathitrust.org/Record/000395915","HathiTrust Record")</f>
        <v>HathiTrust Record</v>
      </c>
      <c r="AS1349" s="6" t="str">
        <f>HYPERLINK("https://creighton-primo.hosted.exlibrisgroup.com/primo-explore/search?tab=default_tab&amp;search_scope=EVERYTHING&amp;vid=01CRU&amp;lang=en_US&amp;offset=0&amp;query=any,contains,991000788139702656","Catalog Record")</f>
        <v>Catalog Record</v>
      </c>
      <c r="AT1349" s="6" t="str">
        <f>HYPERLINK("http://www.worldcat.org/oclc/13066620","WorldCat Record")</f>
        <v>WorldCat Record</v>
      </c>
    </row>
    <row r="1350" spans="1:46" ht="52.5" customHeight="1" x14ac:dyDescent="0.25">
      <c r="A1350" s="7" t="s">
        <v>59</v>
      </c>
      <c r="B1350" s="2" t="s">
        <v>16629</v>
      </c>
      <c r="C1350" s="2" t="s">
        <v>16630</v>
      </c>
      <c r="D1350" s="2" t="s">
        <v>16631</v>
      </c>
      <c r="F1350" s="3" t="s">
        <v>59</v>
      </c>
      <c r="G1350" s="3" t="s">
        <v>60</v>
      </c>
      <c r="H1350" s="3" t="s">
        <v>59</v>
      </c>
      <c r="I1350" s="3" t="s">
        <v>59</v>
      </c>
      <c r="J1350" s="3" t="s">
        <v>61</v>
      </c>
      <c r="K1350" s="2"/>
      <c r="L1350" s="2" t="s">
        <v>16632</v>
      </c>
      <c r="M1350" s="3" t="s">
        <v>131</v>
      </c>
      <c r="O1350" s="3" t="s">
        <v>65</v>
      </c>
      <c r="P1350" s="3" t="s">
        <v>66</v>
      </c>
      <c r="R1350" s="3" t="s">
        <v>68</v>
      </c>
      <c r="S1350" s="4">
        <v>6</v>
      </c>
      <c r="T1350" s="4">
        <v>6</v>
      </c>
      <c r="U1350" s="5" t="s">
        <v>16633</v>
      </c>
      <c r="V1350" s="5" t="s">
        <v>16633</v>
      </c>
      <c r="W1350" s="5" t="s">
        <v>16634</v>
      </c>
      <c r="X1350" s="5" t="s">
        <v>16634</v>
      </c>
      <c r="Y1350" s="4">
        <v>199</v>
      </c>
      <c r="Z1350" s="4">
        <v>180</v>
      </c>
      <c r="AA1350" s="4">
        <v>182</v>
      </c>
      <c r="AB1350" s="4">
        <v>1</v>
      </c>
      <c r="AC1350" s="4">
        <v>1</v>
      </c>
      <c r="AD1350" s="4">
        <v>3</v>
      </c>
      <c r="AE1350" s="4">
        <v>3</v>
      </c>
      <c r="AF1350" s="4">
        <v>1</v>
      </c>
      <c r="AG1350" s="4">
        <v>1</v>
      </c>
      <c r="AH1350" s="4">
        <v>0</v>
      </c>
      <c r="AI1350" s="4">
        <v>0</v>
      </c>
      <c r="AJ1350" s="4">
        <v>2</v>
      </c>
      <c r="AK1350" s="4">
        <v>2</v>
      </c>
      <c r="AL1350" s="4">
        <v>0</v>
      </c>
      <c r="AM1350" s="4">
        <v>0</v>
      </c>
      <c r="AN1350" s="4">
        <v>0</v>
      </c>
      <c r="AO1350" s="4">
        <v>0</v>
      </c>
      <c r="AP1350" s="3" t="s">
        <v>59</v>
      </c>
      <c r="AQ1350" s="3" t="s">
        <v>71</v>
      </c>
      <c r="AR1350" s="6" t="str">
        <f>HYPERLINK("http://catalog.hathitrust.org/Record/000009416","HathiTrust Record")</f>
        <v>HathiTrust Record</v>
      </c>
      <c r="AS1350" s="6" t="str">
        <f>HYPERLINK("https://creighton-primo.hosted.exlibrisgroup.com/primo-explore/search?tab=default_tab&amp;search_scope=EVERYTHING&amp;vid=01CRU&amp;lang=en_US&amp;offset=0&amp;query=any,contains,991000788039702656","Catalog Record")</f>
        <v>Catalog Record</v>
      </c>
      <c r="AT1350" s="6" t="str">
        <f>HYPERLINK("http://www.worldcat.org/oclc/668562","WorldCat Record")</f>
        <v>WorldCat Record</v>
      </c>
    </row>
    <row r="1351" spans="1:46" ht="52.5" customHeight="1" x14ac:dyDescent="0.25">
      <c r="A1351" s="7" t="s">
        <v>59</v>
      </c>
      <c r="B1351" s="2" t="s">
        <v>16635</v>
      </c>
      <c r="C1351" s="2" t="s">
        <v>16636</v>
      </c>
      <c r="D1351" s="2" t="s">
        <v>16637</v>
      </c>
      <c r="F1351" s="3" t="s">
        <v>59</v>
      </c>
      <c r="G1351" s="3" t="s">
        <v>60</v>
      </c>
      <c r="H1351" s="3" t="s">
        <v>59</v>
      </c>
      <c r="I1351" s="3" t="s">
        <v>59</v>
      </c>
      <c r="J1351" s="3" t="s">
        <v>61</v>
      </c>
      <c r="K1351" s="2" t="s">
        <v>16638</v>
      </c>
      <c r="L1351" s="2" t="s">
        <v>16639</v>
      </c>
      <c r="M1351" s="3" t="s">
        <v>350</v>
      </c>
      <c r="O1351" s="3" t="s">
        <v>65</v>
      </c>
      <c r="P1351" s="3" t="s">
        <v>66</v>
      </c>
      <c r="R1351" s="3" t="s">
        <v>68</v>
      </c>
      <c r="S1351" s="4">
        <v>4</v>
      </c>
      <c r="T1351" s="4">
        <v>4</v>
      </c>
      <c r="U1351" s="5" t="s">
        <v>6968</v>
      </c>
      <c r="V1351" s="5" t="s">
        <v>6968</v>
      </c>
      <c r="W1351" s="5" t="s">
        <v>16398</v>
      </c>
      <c r="X1351" s="5" t="s">
        <v>16398</v>
      </c>
      <c r="Y1351" s="4">
        <v>860</v>
      </c>
      <c r="Z1351" s="4">
        <v>801</v>
      </c>
      <c r="AA1351" s="4">
        <v>1255</v>
      </c>
      <c r="AB1351" s="4">
        <v>7</v>
      </c>
      <c r="AC1351" s="4">
        <v>14</v>
      </c>
      <c r="AD1351" s="4">
        <v>7</v>
      </c>
      <c r="AE1351" s="4">
        <v>22</v>
      </c>
      <c r="AF1351" s="4">
        <v>0</v>
      </c>
      <c r="AG1351" s="4">
        <v>9</v>
      </c>
      <c r="AH1351" s="4">
        <v>1</v>
      </c>
      <c r="AI1351" s="4">
        <v>4</v>
      </c>
      <c r="AJ1351" s="4">
        <v>4</v>
      </c>
      <c r="AK1351" s="4">
        <v>10</v>
      </c>
      <c r="AL1351" s="4">
        <v>2</v>
      </c>
      <c r="AM1351" s="4">
        <v>3</v>
      </c>
      <c r="AN1351" s="4">
        <v>0</v>
      </c>
      <c r="AO1351" s="4">
        <v>0</v>
      </c>
      <c r="AP1351" s="3" t="s">
        <v>59</v>
      </c>
      <c r="AQ1351" s="3" t="s">
        <v>71</v>
      </c>
      <c r="AR1351" s="6" t="str">
        <f>HYPERLINK("http://catalog.hathitrust.org/Record/000084714","HathiTrust Record")</f>
        <v>HathiTrust Record</v>
      </c>
      <c r="AS1351" s="6" t="str">
        <f>HYPERLINK("https://creighton-primo.hosted.exlibrisgroup.com/primo-explore/search?tab=default_tab&amp;search_scope=EVERYTHING&amp;vid=01CRU&amp;lang=en_US&amp;offset=0&amp;query=any,contains,991000788289702656","Catalog Record")</f>
        <v>Catalog Record</v>
      </c>
      <c r="AT1351" s="6" t="str">
        <f>HYPERLINK("http://www.worldcat.org/oclc/2525298","WorldCat Record")</f>
        <v>WorldCat Record</v>
      </c>
    </row>
    <row r="1352" spans="1:46" ht="52.5" customHeight="1" x14ac:dyDescent="0.25">
      <c r="A1352" s="7" t="s">
        <v>59</v>
      </c>
      <c r="B1352" s="2" t="s">
        <v>16640</v>
      </c>
      <c r="C1352" s="2" t="s">
        <v>16641</v>
      </c>
      <c r="D1352" s="2" t="s">
        <v>16642</v>
      </c>
      <c r="F1352" s="3" t="s">
        <v>59</v>
      </c>
      <c r="G1352" s="3" t="s">
        <v>60</v>
      </c>
      <c r="H1352" s="3" t="s">
        <v>59</v>
      </c>
      <c r="I1352" s="3" t="s">
        <v>59</v>
      </c>
      <c r="J1352" s="3" t="s">
        <v>61</v>
      </c>
      <c r="K1352" s="2" t="s">
        <v>16643</v>
      </c>
      <c r="L1352" s="2" t="s">
        <v>9880</v>
      </c>
      <c r="M1352" s="3" t="s">
        <v>1217</v>
      </c>
      <c r="O1352" s="3" t="s">
        <v>65</v>
      </c>
      <c r="P1352" s="3" t="s">
        <v>16396</v>
      </c>
      <c r="R1352" s="3" t="s">
        <v>68</v>
      </c>
      <c r="S1352" s="4">
        <v>11</v>
      </c>
      <c r="T1352" s="4">
        <v>11</v>
      </c>
      <c r="U1352" s="5" t="s">
        <v>6553</v>
      </c>
      <c r="V1352" s="5" t="s">
        <v>6553</v>
      </c>
      <c r="W1352" s="5" t="s">
        <v>16398</v>
      </c>
      <c r="X1352" s="5" t="s">
        <v>16398</v>
      </c>
      <c r="Y1352" s="4">
        <v>380</v>
      </c>
      <c r="Z1352" s="4">
        <v>342</v>
      </c>
      <c r="AA1352" s="4">
        <v>356</v>
      </c>
      <c r="AB1352" s="4">
        <v>1</v>
      </c>
      <c r="AC1352" s="4">
        <v>1</v>
      </c>
      <c r="AD1352" s="4">
        <v>12</v>
      </c>
      <c r="AE1352" s="4">
        <v>13</v>
      </c>
      <c r="AF1352" s="4">
        <v>6</v>
      </c>
      <c r="AG1352" s="4">
        <v>6</v>
      </c>
      <c r="AH1352" s="4">
        <v>0</v>
      </c>
      <c r="AI1352" s="4">
        <v>1</v>
      </c>
      <c r="AJ1352" s="4">
        <v>7</v>
      </c>
      <c r="AK1352" s="4">
        <v>7</v>
      </c>
      <c r="AL1352" s="4">
        <v>0</v>
      </c>
      <c r="AM1352" s="4">
        <v>0</v>
      </c>
      <c r="AN1352" s="4">
        <v>0</v>
      </c>
      <c r="AO1352" s="4">
        <v>0</v>
      </c>
      <c r="AP1352" s="3" t="s">
        <v>59</v>
      </c>
      <c r="AQ1352" s="3" t="s">
        <v>71</v>
      </c>
      <c r="AR1352" s="6" t="str">
        <f>HYPERLINK("http://catalog.hathitrust.org/Record/007129520","HathiTrust Record")</f>
        <v>HathiTrust Record</v>
      </c>
      <c r="AS1352" s="6" t="str">
        <f>HYPERLINK("https://creighton-primo.hosted.exlibrisgroup.com/primo-explore/search?tab=default_tab&amp;search_scope=EVERYTHING&amp;vid=01CRU&amp;lang=en_US&amp;offset=0&amp;query=any,contains,991000788329702656","Catalog Record")</f>
        <v>Catalog Record</v>
      </c>
      <c r="AT1352" s="6" t="str">
        <f>HYPERLINK("http://www.worldcat.org/oclc/9762407","WorldCat Record")</f>
        <v>WorldCat Record</v>
      </c>
    </row>
    <row r="1353" spans="1:46" ht="52.5" customHeight="1" x14ac:dyDescent="0.25">
      <c r="A1353" s="7" t="s">
        <v>59</v>
      </c>
      <c r="B1353" s="2" t="s">
        <v>16644</v>
      </c>
      <c r="C1353" s="2" t="s">
        <v>16645</v>
      </c>
      <c r="D1353" s="2" t="s">
        <v>16646</v>
      </c>
      <c r="F1353" s="3" t="s">
        <v>59</v>
      </c>
      <c r="G1353" s="3" t="s">
        <v>60</v>
      </c>
      <c r="H1353" s="3" t="s">
        <v>59</v>
      </c>
      <c r="I1353" s="3" t="s">
        <v>59</v>
      </c>
      <c r="J1353" s="3" t="s">
        <v>61</v>
      </c>
      <c r="K1353" s="2" t="s">
        <v>16647</v>
      </c>
      <c r="L1353" s="2" t="s">
        <v>16648</v>
      </c>
      <c r="M1353" s="3" t="s">
        <v>1868</v>
      </c>
      <c r="O1353" s="3" t="s">
        <v>65</v>
      </c>
      <c r="P1353" s="3" t="s">
        <v>66</v>
      </c>
      <c r="R1353" s="3" t="s">
        <v>68</v>
      </c>
      <c r="S1353" s="4">
        <v>5</v>
      </c>
      <c r="T1353" s="4">
        <v>5</v>
      </c>
      <c r="U1353" s="5" t="s">
        <v>16649</v>
      </c>
      <c r="V1353" s="5" t="s">
        <v>16649</v>
      </c>
      <c r="W1353" s="5" t="s">
        <v>16559</v>
      </c>
      <c r="X1353" s="5" t="s">
        <v>16559</v>
      </c>
      <c r="Y1353" s="4">
        <v>445</v>
      </c>
      <c r="Z1353" s="4">
        <v>402</v>
      </c>
      <c r="AA1353" s="4">
        <v>433</v>
      </c>
      <c r="AB1353" s="4">
        <v>3</v>
      </c>
      <c r="AC1353" s="4">
        <v>3</v>
      </c>
      <c r="AD1353" s="4">
        <v>16</v>
      </c>
      <c r="AE1353" s="4">
        <v>19</v>
      </c>
      <c r="AF1353" s="4">
        <v>5</v>
      </c>
      <c r="AG1353" s="4">
        <v>6</v>
      </c>
      <c r="AH1353" s="4">
        <v>3</v>
      </c>
      <c r="AI1353" s="4">
        <v>3</v>
      </c>
      <c r="AJ1353" s="4">
        <v>8</v>
      </c>
      <c r="AK1353" s="4">
        <v>10</v>
      </c>
      <c r="AL1353" s="4">
        <v>2</v>
      </c>
      <c r="AM1353" s="4">
        <v>2</v>
      </c>
      <c r="AN1353" s="4">
        <v>0</v>
      </c>
      <c r="AO1353" s="4">
        <v>0</v>
      </c>
      <c r="AP1353" s="3" t="s">
        <v>59</v>
      </c>
      <c r="AQ1353" s="3" t="s">
        <v>59</v>
      </c>
      <c r="AR1353" s="6" t="str">
        <f>HYPERLINK("http://catalog.hathitrust.org/Record/000741560","HathiTrust Record")</f>
        <v>HathiTrust Record</v>
      </c>
      <c r="AS1353" s="6" t="str">
        <f>HYPERLINK("https://creighton-primo.hosted.exlibrisgroup.com/primo-explore/search?tab=default_tab&amp;search_scope=EVERYTHING&amp;vid=01CRU&amp;lang=en_US&amp;offset=0&amp;query=any,contains,991000788429702656","Catalog Record")</f>
        <v>Catalog Record</v>
      </c>
      <c r="AT1353" s="6" t="str">
        <f>HYPERLINK("http://www.worldcat.org/oclc/203919","WorldCat Record")</f>
        <v>WorldCat Record</v>
      </c>
    </row>
    <row r="1354" spans="1:46" ht="52.5" customHeight="1" x14ac:dyDescent="0.25">
      <c r="A1354" s="7" t="s">
        <v>59</v>
      </c>
      <c r="B1354" s="2" t="s">
        <v>16650</v>
      </c>
      <c r="C1354" s="2" t="s">
        <v>16651</v>
      </c>
      <c r="D1354" s="2" t="s">
        <v>8849</v>
      </c>
      <c r="F1354" s="3" t="s">
        <v>59</v>
      </c>
      <c r="G1354" s="3" t="s">
        <v>60</v>
      </c>
      <c r="H1354" s="3" t="s">
        <v>59</v>
      </c>
      <c r="I1354" s="3" t="s">
        <v>71</v>
      </c>
      <c r="J1354" s="3" t="s">
        <v>61</v>
      </c>
      <c r="K1354" s="2" t="s">
        <v>8836</v>
      </c>
      <c r="L1354" s="2" t="s">
        <v>16652</v>
      </c>
      <c r="M1354" s="3" t="s">
        <v>1217</v>
      </c>
      <c r="N1354" t="s">
        <v>16653</v>
      </c>
      <c r="O1354" s="3" t="s">
        <v>65</v>
      </c>
      <c r="P1354" s="3" t="s">
        <v>66</v>
      </c>
      <c r="R1354" s="3" t="s">
        <v>68</v>
      </c>
      <c r="S1354" s="4">
        <v>25</v>
      </c>
      <c r="T1354" s="4">
        <v>25</v>
      </c>
      <c r="U1354" s="5" t="s">
        <v>16654</v>
      </c>
      <c r="V1354" s="5" t="s">
        <v>16654</v>
      </c>
      <c r="W1354" s="5" t="s">
        <v>16398</v>
      </c>
      <c r="X1354" s="5" t="s">
        <v>16398</v>
      </c>
      <c r="Y1354" s="4">
        <v>198</v>
      </c>
      <c r="Z1354" s="4">
        <v>188</v>
      </c>
      <c r="AA1354" s="4">
        <v>1067</v>
      </c>
      <c r="AB1354" s="4">
        <v>3</v>
      </c>
      <c r="AC1354" s="4">
        <v>10</v>
      </c>
      <c r="AD1354" s="4">
        <v>3</v>
      </c>
      <c r="AE1354" s="4">
        <v>28</v>
      </c>
      <c r="AF1354" s="4">
        <v>1</v>
      </c>
      <c r="AG1354" s="4">
        <v>9</v>
      </c>
      <c r="AH1354" s="4">
        <v>0</v>
      </c>
      <c r="AI1354" s="4">
        <v>4</v>
      </c>
      <c r="AJ1354" s="4">
        <v>1</v>
      </c>
      <c r="AK1354" s="4">
        <v>13</v>
      </c>
      <c r="AL1354" s="4">
        <v>1</v>
      </c>
      <c r="AM1354" s="4">
        <v>7</v>
      </c>
      <c r="AN1354" s="4">
        <v>0</v>
      </c>
      <c r="AO1354" s="4">
        <v>0</v>
      </c>
      <c r="AP1354" s="3" t="s">
        <v>59</v>
      </c>
      <c r="AQ1354" s="3" t="s">
        <v>59</v>
      </c>
      <c r="AR1354" s="6"/>
      <c r="AS1354" s="6" t="str">
        <f>HYPERLINK("https://creighton-primo.hosted.exlibrisgroup.com/primo-explore/search?tab=default_tab&amp;search_scope=EVERYTHING&amp;vid=01CRU&amp;lang=en_US&amp;offset=0&amp;query=any,contains,991000487469702656","Catalog Record")</f>
        <v>Catalog Record</v>
      </c>
      <c r="AT1354" s="6" t="str">
        <f>HYPERLINK("http://www.worldcat.org/oclc/12688891","WorldCat Record")</f>
        <v>WorldCat Record</v>
      </c>
    </row>
    <row r="1355" spans="1:46" ht="52.5" customHeight="1" x14ac:dyDescent="0.25">
      <c r="A1355" s="7" t="s">
        <v>59</v>
      </c>
      <c r="B1355" s="2" t="s">
        <v>16655</v>
      </c>
      <c r="C1355" s="2" t="s">
        <v>16656</v>
      </c>
      <c r="D1355" s="2" t="s">
        <v>16657</v>
      </c>
      <c r="F1355" s="3" t="s">
        <v>59</v>
      </c>
      <c r="G1355" s="3" t="s">
        <v>60</v>
      </c>
      <c r="H1355" s="3" t="s">
        <v>59</v>
      </c>
      <c r="I1355" s="3" t="s">
        <v>59</v>
      </c>
      <c r="J1355" s="3" t="s">
        <v>61</v>
      </c>
      <c r="K1355" s="2" t="s">
        <v>16658</v>
      </c>
      <c r="L1355" s="2" t="s">
        <v>16659</v>
      </c>
      <c r="M1355" s="3" t="s">
        <v>9841</v>
      </c>
      <c r="O1355" s="3" t="s">
        <v>65</v>
      </c>
      <c r="P1355" s="3" t="s">
        <v>603</v>
      </c>
      <c r="R1355" s="3" t="s">
        <v>68</v>
      </c>
      <c r="S1355" s="4">
        <v>14</v>
      </c>
      <c r="T1355" s="4">
        <v>14</v>
      </c>
      <c r="U1355" s="5" t="s">
        <v>16660</v>
      </c>
      <c r="V1355" s="5" t="s">
        <v>16660</v>
      </c>
      <c r="W1355" s="5" t="s">
        <v>16661</v>
      </c>
      <c r="X1355" s="5" t="s">
        <v>16661</v>
      </c>
      <c r="Y1355" s="4">
        <v>89</v>
      </c>
      <c r="Z1355" s="4">
        <v>64</v>
      </c>
      <c r="AA1355" s="4">
        <v>175</v>
      </c>
      <c r="AB1355" s="4">
        <v>1</v>
      </c>
      <c r="AC1355" s="4">
        <v>3</v>
      </c>
      <c r="AD1355" s="4">
        <v>2</v>
      </c>
      <c r="AE1355" s="4">
        <v>7</v>
      </c>
      <c r="AF1355" s="4">
        <v>1</v>
      </c>
      <c r="AG1355" s="4">
        <v>2</v>
      </c>
      <c r="AH1355" s="4">
        <v>0</v>
      </c>
      <c r="AI1355" s="4">
        <v>1</v>
      </c>
      <c r="AJ1355" s="4">
        <v>2</v>
      </c>
      <c r="AK1355" s="4">
        <v>3</v>
      </c>
      <c r="AL1355" s="4">
        <v>0</v>
      </c>
      <c r="AM1355" s="4">
        <v>2</v>
      </c>
      <c r="AN1355" s="4">
        <v>0</v>
      </c>
      <c r="AO1355" s="4">
        <v>0</v>
      </c>
      <c r="AP1355" s="3" t="s">
        <v>59</v>
      </c>
      <c r="AQ1355" s="3" t="s">
        <v>59</v>
      </c>
      <c r="AR1355" s="6"/>
      <c r="AS1355" s="6" t="str">
        <f>HYPERLINK("https://creighton-primo.hosted.exlibrisgroup.com/primo-explore/search?tab=default_tab&amp;search_scope=EVERYTHING&amp;vid=01CRU&amp;lang=en_US&amp;offset=0&amp;query=any,contains,991001488459702656","Catalog Record")</f>
        <v>Catalog Record</v>
      </c>
      <c r="AT1355" s="6" t="str">
        <f>HYPERLINK("http://www.worldcat.org/oclc/33162313","WorldCat Record")</f>
        <v>WorldCat Record</v>
      </c>
    </row>
    <row r="1356" spans="1:46" ht="52.5" customHeight="1" x14ac:dyDescent="0.25">
      <c r="A1356" s="7" t="s">
        <v>59</v>
      </c>
      <c r="B1356" s="2" t="s">
        <v>16662</v>
      </c>
      <c r="C1356" s="2" t="s">
        <v>16663</v>
      </c>
      <c r="D1356" s="2" t="s">
        <v>16664</v>
      </c>
      <c r="F1356" s="3" t="s">
        <v>59</v>
      </c>
      <c r="G1356" s="3" t="s">
        <v>60</v>
      </c>
      <c r="H1356" s="3" t="s">
        <v>59</v>
      </c>
      <c r="I1356" s="3" t="s">
        <v>59</v>
      </c>
      <c r="J1356" s="3" t="s">
        <v>61</v>
      </c>
      <c r="K1356" s="2" t="s">
        <v>1354</v>
      </c>
      <c r="L1356" s="2" t="s">
        <v>16665</v>
      </c>
      <c r="M1356" s="3" t="s">
        <v>295</v>
      </c>
      <c r="O1356" s="3" t="s">
        <v>65</v>
      </c>
      <c r="P1356" s="3" t="s">
        <v>66</v>
      </c>
      <c r="R1356" s="3" t="s">
        <v>68</v>
      </c>
      <c r="S1356" s="4">
        <v>2</v>
      </c>
      <c r="T1356" s="4">
        <v>2</v>
      </c>
      <c r="U1356" s="5" t="s">
        <v>16666</v>
      </c>
      <c r="V1356" s="5" t="s">
        <v>16666</v>
      </c>
      <c r="W1356" s="5" t="s">
        <v>16559</v>
      </c>
      <c r="X1356" s="5" t="s">
        <v>16559</v>
      </c>
      <c r="Y1356" s="4">
        <v>817</v>
      </c>
      <c r="Z1356" s="4">
        <v>661</v>
      </c>
      <c r="AA1356" s="4">
        <v>675</v>
      </c>
      <c r="AB1356" s="4">
        <v>6</v>
      </c>
      <c r="AC1356" s="4">
        <v>6</v>
      </c>
      <c r="AD1356" s="4">
        <v>34</v>
      </c>
      <c r="AE1356" s="4">
        <v>34</v>
      </c>
      <c r="AF1356" s="4">
        <v>14</v>
      </c>
      <c r="AG1356" s="4">
        <v>14</v>
      </c>
      <c r="AH1356" s="4">
        <v>6</v>
      </c>
      <c r="AI1356" s="4">
        <v>6</v>
      </c>
      <c r="AJ1356" s="4">
        <v>14</v>
      </c>
      <c r="AK1356" s="4">
        <v>14</v>
      </c>
      <c r="AL1356" s="4">
        <v>5</v>
      </c>
      <c r="AM1356" s="4">
        <v>5</v>
      </c>
      <c r="AN1356" s="4">
        <v>0</v>
      </c>
      <c r="AO1356" s="4">
        <v>0</v>
      </c>
      <c r="AP1356" s="3" t="s">
        <v>59</v>
      </c>
      <c r="AQ1356" s="3" t="s">
        <v>71</v>
      </c>
      <c r="AR1356" s="6" t="str">
        <f>HYPERLINK("http://catalog.hathitrust.org/Record/000618013","HathiTrust Record")</f>
        <v>HathiTrust Record</v>
      </c>
      <c r="AS1356" s="6" t="str">
        <f>HYPERLINK("https://creighton-primo.hosted.exlibrisgroup.com/primo-explore/search?tab=default_tab&amp;search_scope=EVERYTHING&amp;vid=01CRU&amp;lang=en_US&amp;offset=0&amp;query=any,contains,991000788529702656","Catalog Record")</f>
        <v>Catalog Record</v>
      </c>
      <c r="AT1356" s="6" t="str">
        <f>HYPERLINK("http://www.worldcat.org/oclc/192088","WorldCat Record")</f>
        <v>WorldCat Record</v>
      </c>
    </row>
    <row r="1357" spans="1:46" ht="52.5" customHeight="1" x14ac:dyDescent="0.25">
      <c r="A1357" s="7" t="s">
        <v>59</v>
      </c>
      <c r="B1357" s="2" t="s">
        <v>16667</v>
      </c>
      <c r="C1357" s="2" t="s">
        <v>16668</v>
      </c>
      <c r="D1357" s="2" t="s">
        <v>16669</v>
      </c>
      <c r="F1357" s="3" t="s">
        <v>59</v>
      </c>
      <c r="G1357" s="3" t="s">
        <v>60</v>
      </c>
      <c r="H1357" s="3" t="s">
        <v>59</v>
      </c>
      <c r="I1357" s="3" t="s">
        <v>59</v>
      </c>
      <c r="J1357" s="3" t="s">
        <v>61</v>
      </c>
      <c r="K1357" s="2" t="s">
        <v>16670</v>
      </c>
      <c r="L1357" s="2" t="s">
        <v>16671</v>
      </c>
      <c r="M1357" s="3" t="s">
        <v>16490</v>
      </c>
      <c r="O1357" s="3" t="s">
        <v>65</v>
      </c>
      <c r="P1357" s="3" t="s">
        <v>9176</v>
      </c>
      <c r="R1357" s="3" t="s">
        <v>68</v>
      </c>
      <c r="S1357" s="4">
        <v>26</v>
      </c>
      <c r="T1357" s="4">
        <v>26</v>
      </c>
      <c r="U1357" s="5" t="s">
        <v>16672</v>
      </c>
      <c r="V1357" s="5" t="s">
        <v>16672</v>
      </c>
      <c r="W1357" s="5" t="s">
        <v>16673</v>
      </c>
      <c r="X1357" s="5" t="s">
        <v>16673</v>
      </c>
      <c r="Y1357" s="4">
        <v>28</v>
      </c>
      <c r="Z1357" s="4">
        <v>18</v>
      </c>
      <c r="AA1357" s="4">
        <v>19</v>
      </c>
      <c r="AB1357" s="4">
        <v>1</v>
      </c>
      <c r="AC1357" s="4">
        <v>1</v>
      </c>
      <c r="AD1357" s="4">
        <v>0</v>
      </c>
      <c r="AE1357" s="4">
        <v>0</v>
      </c>
      <c r="AF1357" s="4">
        <v>0</v>
      </c>
      <c r="AG1357" s="4">
        <v>0</v>
      </c>
      <c r="AH1357" s="4">
        <v>0</v>
      </c>
      <c r="AI1357" s="4">
        <v>0</v>
      </c>
      <c r="AJ1357" s="4">
        <v>0</v>
      </c>
      <c r="AK1357" s="4">
        <v>0</v>
      </c>
      <c r="AL1357" s="4">
        <v>0</v>
      </c>
      <c r="AM1357" s="4">
        <v>0</v>
      </c>
      <c r="AN1357" s="4">
        <v>0</v>
      </c>
      <c r="AO1357" s="4">
        <v>0</v>
      </c>
      <c r="AP1357" s="3" t="s">
        <v>59</v>
      </c>
      <c r="AQ1357" s="3" t="s">
        <v>59</v>
      </c>
      <c r="AR1357" s="6"/>
      <c r="AS1357" s="6" t="str">
        <f>HYPERLINK("https://creighton-primo.hosted.exlibrisgroup.com/primo-explore/search?tab=default_tab&amp;search_scope=EVERYTHING&amp;vid=01CRU&amp;lang=en_US&amp;offset=0&amp;query=any,contains,991001483639702656","Catalog Record")</f>
        <v>Catalog Record</v>
      </c>
      <c r="AT1357" s="6" t="str">
        <f>HYPERLINK("http://www.worldcat.org/oclc/226361853","WorldCat Record")</f>
        <v>WorldCat Record</v>
      </c>
    </row>
    <row r="1358" spans="1:46" ht="52.5" customHeight="1" x14ac:dyDescent="0.25">
      <c r="A1358" s="7" t="s">
        <v>59</v>
      </c>
      <c r="B1358" s="2" t="s">
        <v>16674</v>
      </c>
      <c r="C1358" s="2" t="s">
        <v>16675</v>
      </c>
      <c r="D1358" s="2" t="s">
        <v>16676</v>
      </c>
      <c r="F1358" s="3" t="s">
        <v>59</v>
      </c>
      <c r="G1358" s="3" t="s">
        <v>60</v>
      </c>
      <c r="H1358" s="3" t="s">
        <v>59</v>
      </c>
      <c r="I1358" s="3" t="s">
        <v>71</v>
      </c>
      <c r="J1358" s="3" t="s">
        <v>61</v>
      </c>
      <c r="K1358" s="2" t="s">
        <v>9940</v>
      </c>
      <c r="L1358" s="2" t="s">
        <v>16677</v>
      </c>
      <c r="M1358" s="3" t="s">
        <v>9011</v>
      </c>
      <c r="N1358" t="s">
        <v>16442</v>
      </c>
      <c r="O1358" s="3" t="s">
        <v>65</v>
      </c>
      <c r="P1358" s="3" t="s">
        <v>283</v>
      </c>
      <c r="R1358" s="3" t="s">
        <v>68</v>
      </c>
      <c r="S1358" s="4">
        <v>1</v>
      </c>
      <c r="T1358" s="4">
        <v>1</v>
      </c>
      <c r="U1358" s="5" t="s">
        <v>10662</v>
      </c>
      <c r="V1358" s="5" t="s">
        <v>10662</v>
      </c>
      <c r="W1358" s="5" t="s">
        <v>16678</v>
      </c>
      <c r="X1358" s="5" t="s">
        <v>16678</v>
      </c>
      <c r="Y1358" s="4">
        <v>186</v>
      </c>
      <c r="Z1358" s="4">
        <v>111</v>
      </c>
      <c r="AA1358" s="4">
        <v>1150</v>
      </c>
      <c r="AB1358" s="4">
        <v>2</v>
      </c>
      <c r="AC1358" s="4">
        <v>10</v>
      </c>
      <c r="AD1358" s="4">
        <v>3</v>
      </c>
      <c r="AE1358" s="4">
        <v>41</v>
      </c>
      <c r="AF1358" s="4">
        <v>2</v>
      </c>
      <c r="AG1358" s="4">
        <v>15</v>
      </c>
      <c r="AH1358" s="4">
        <v>0</v>
      </c>
      <c r="AI1358" s="4">
        <v>9</v>
      </c>
      <c r="AJ1358" s="4">
        <v>2</v>
      </c>
      <c r="AK1358" s="4">
        <v>22</v>
      </c>
      <c r="AL1358" s="4">
        <v>0</v>
      </c>
      <c r="AM1358" s="4">
        <v>6</v>
      </c>
      <c r="AN1358" s="4">
        <v>0</v>
      </c>
      <c r="AO1358" s="4">
        <v>0</v>
      </c>
      <c r="AP1358" s="3" t="s">
        <v>59</v>
      </c>
      <c r="AQ1358" s="3" t="s">
        <v>71</v>
      </c>
      <c r="AR1358" s="6" t="str">
        <f>HYPERLINK("http://catalog.hathitrust.org/Record/003325656","HathiTrust Record")</f>
        <v>HathiTrust Record</v>
      </c>
      <c r="AS1358" s="6" t="str">
        <f>HYPERLINK("https://creighton-primo.hosted.exlibrisgroup.com/primo-explore/search?tab=default_tab&amp;search_scope=EVERYTHING&amp;vid=01CRU&amp;lang=en_US&amp;offset=0&amp;query=any,contains,991000844199702656","Catalog Record")</f>
        <v>Catalog Record</v>
      </c>
      <c r="AT1358" s="6" t="str">
        <f>HYPERLINK("http://www.worldcat.org/oclc/39216903","WorldCat Record")</f>
        <v>WorldCat Record</v>
      </c>
    </row>
    <row r="1359" spans="1:46" ht="52.5" customHeight="1" x14ac:dyDescent="0.25">
      <c r="A1359" s="7" t="s">
        <v>59</v>
      </c>
      <c r="B1359" s="2" t="s">
        <v>16679</v>
      </c>
      <c r="C1359" s="2" t="s">
        <v>16680</v>
      </c>
      <c r="D1359" s="2" t="s">
        <v>16681</v>
      </c>
      <c r="F1359" s="3" t="s">
        <v>59</v>
      </c>
      <c r="G1359" s="3" t="s">
        <v>60</v>
      </c>
      <c r="H1359" s="3" t="s">
        <v>59</v>
      </c>
      <c r="I1359" s="3" t="s">
        <v>59</v>
      </c>
      <c r="J1359" s="3" t="s">
        <v>61</v>
      </c>
      <c r="K1359" s="2" t="s">
        <v>16682</v>
      </c>
      <c r="L1359" s="2"/>
      <c r="M1359" s="3" t="s">
        <v>10267</v>
      </c>
      <c r="N1359" t="s">
        <v>1975</v>
      </c>
      <c r="O1359" s="3" t="s">
        <v>65</v>
      </c>
      <c r="P1359" s="3" t="s">
        <v>420</v>
      </c>
      <c r="R1359" s="3" t="s">
        <v>68</v>
      </c>
      <c r="S1359" s="4">
        <v>10</v>
      </c>
      <c r="T1359" s="4">
        <v>10</v>
      </c>
      <c r="U1359" s="5" t="s">
        <v>16683</v>
      </c>
      <c r="V1359" s="5" t="s">
        <v>16683</v>
      </c>
      <c r="W1359" s="5" t="s">
        <v>15676</v>
      </c>
      <c r="X1359" s="5" t="s">
        <v>15676</v>
      </c>
      <c r="Y1359" s="4">
        <v>300</v>
      </c>
      <c r="Z1359" s="4">
        <v>193</v>
      </c>
      <c r="AA1359" s="4">
        <v>585</v>
      </c>
      <c r="AB1359" s="4">
        <v>2</v>
      </c>
      <c r="AC1359" s="4">
        <v>2</v>
      </c>
      <c r="AD1359" s="4">
        <v>9</v>
      </c>
      <c r="AE1359" s="4">
        <v>19</v>
      </c>
      <c r="AF1359" s="4">
        <v>1</v>
      </c>
      <c r="AG1359" s="4">
        <v>7</v>
      </c>
      <c r="AH1359" s="4">
        <v>4</v>
      </c>
      <c r="AI1359" s="4">
        <v>5</v>
      </c>
      <c r="AJ1359" s="4">
        <v>5</v>
      </c>
      <c r="AK1359" s="4">
        <v>10</v>
      </c>
      <c r="AL1359" s="4">
        <v>1</v>
      </c>
      <c r="AM1359" s="4">
        <v>1</v>
      </c>
      <c r="AN1359" s="4">
        <v>0</v>
      </c>
      <c r="AO1359" s="4">
        <v>0</v>
      </c>
      <c r="AP1359" s="3" t="s">
        <v>59</v>
      </c>
      <c r="AQ1359" s="3" t="s">
        <v>59</v>
      </c>
      <c r="AR1359" s="6"/>
      <c r="AS1359" s="6" t="str">
        <f>HYPERLINK("https://creighton-primo.hosted.exlibrisgroup.com/primo-explore/search?tab=default_tab&amp;search_scope=EVERYTHING&amp;vid=01CRU&amp;lang=en_US&amp;offset=0&amp;query=any,contains,991001400079702656","Catalog Record")</f>
        <v>Catalog Record</v>
      </c>
      <c r="AT1359" s="6" t="str">
        <f>HYPERLINK("http://www.worldcat.org/oclc/27812939","WorldCat Record")</f>
        <v>WorldCat Record</v>
      </c>
    </row>
    <row r="1360" spans="1:46" ht="52.5" customHeight="1" x14ac:dyDescent="0.25">
      <c r="A1360" s="7" t="s">
        <v>59</v>
      </c>
      <c r="B1360" s="2" t="s">
        <v>16684</v>
      </c>
      <c r="C1360" s="2" t="s">
        <v>16685</v>
      </c>
      <c r="D1360" s="2" t="s">
        <v>16686</v>
      </c>
      <c r="F1360" s="3" t="s">
        <v>59</v>
      </c>
      <c r="G1360" s="3" t="s">
        <v>60</v>
      </c>
      <c r="H1360" s="3" t="s">
        <v>59</v>
      </c>
      <c r="I1360" s="3" t="s">
        <v>59</v>
      </c>
      <c r="J1360" s="3" t="s">
        <v>61</v>
      </c>
      <c r="K1360" s="2" t="s">
        <v>16687</v>
      </c>
      <c r="L1360" s="2" t="s">
        <v>16688</v>
      </c>
      <c r="M1360" s="3" t="s">
        <v>131</v>
      </c>
      <c r="O1360" s="3" t="s">
        <v>65</v>
      </c>
      <c r="P1360" s="3" t="s">
        <v>66</v>
      </c>
      <c r="R1360" s="3" t="s">
        <v>68</v>
      </c>
      <c r="S1360" s="4">
        <v>6</v>
      </c>
      <c r="T1360" s="4">
        <v>6</v>
      </c>
      <c r="U1360" s="5" t="s">
        <v>16689</v>
      </c>
      <c r="V1360" s="5" t="s">
        <v>16689</v>
      </c>
      <c r="W1360" s="5" t="s">
        <v>16559</v>
      </c>
      <c r="X1360" s="5" t="s">
        <v>16559</v>
      </c>
      <c r="Y1360" s="4">
        <v>429</v>
      </c>
      <c r="Z1360" s="4">
        <v>389</v>
      </c>
      <c r="AA1360" s="4">
        <v>1205</v>
      </c>
      <c r="AB1360" s="4">
        <v>1</v>
      </c>
      <c r="AC1360" s="4">
        <v>6</v>
      </c>
      <c r="AD1360" s="4">
        <v>11</v>
      </c>
      <c r="AE1360" s="4">
        <v>29</v>
      </c>
      <c r="AF1360" s="4">
        <v>5</v>
      </c>
      <c r="AG1360" s="4">
        <v>12</v>
      </c>
      <c r="AH1360" s="4">
        <v>1</v>
      </c>
      <c r="AI1360" s="4">
        <v>4</v>
      </c>
      <c r="AJ1360" s="4">
        <v>6</v>
      </c>
      <c r="AK1360" s="4">
        <v>12</v>
      </c>
      <c r="AL1360" s="4">
        <v>0</v>
      </c>
      <c r="AM1360" s="4">
        <v>3</v>
      </c>
      <c r="AN1360" s="4">
        <v>0</v>
      </c>
      <c r="AO1360" s="4">
        <v>2</v>
      </c>
      <c r="AP1360" s="3" t="s">
        <v>59</v>
      </c>
      <c r="AQ1360" s="3" t="s">
        <v>71</v>
      </c>
      <c r="AR1360" s="6" t="str">
        <f>HYPERLINK("http://catalog.hathitrust.org/Record/000032679","HathiTrust Record")</f>
        <v>HathiTrust Record</v>
      </c>
      <c r="AS1360" s="6" t="str">
        <f>HYPERLINK("https://creighton-primo.hosted.exlibrisgroup.com/primo-explore/search?tab=default_tab&amp;search_scope=EVERYTHING&amp;vid=01CRU&amp;lang=en_US&amp;offset=0&amp;query=any,contains,991001483239702656","Catalog Record")</f>
        <v>Catalog Record</v>
      </c>
      <c r="AT1360" s="6" t="str">
        <f>HYPERLINK("http://www.worldcat.org/oclc/7472919","WorldCat Record")</f>
        <v>WorldCat Record</v>
      </c>
    </row>
    <row r="1361" spans="1:46" ht="52.5" customHeight="1" x14ac:dyDescent="0.25">
      <c r="A1361" s="7" t="s">
        <v>59</v>
      </c>
      <c r="B1361" s="2" t="s">
        <v>16690</v>
      </c>
      <c r="C1361" s="2" t="s">
        <v>16691</v>
      </c>
      <c r="D1361" s="2" t="s">
        <v>7744</v>
      </c>
      <c r="F1361" s="3" t="s">
        <v>59</v>
      </c>
      <c r="G1361" s="3" t="s">
        <v>60</v>
      </c>
      <c r="H1361" s="3" t="s">
        <v>71</v>
      </c>
      <c r="I1361" s="3" t="s">
        <v>59</v>
      </c>
      <c r="J1361" s="3" t="s">
        <v>61</v>
      </c>
      <c r="K1361" s="2" t="s">
        <v>7745</v>
      </c>
      <c r="L1361" s="2" t="s">
        <v>7707</v>
      </c>
      <c r="M1361" s="3" t="s">
        <v>475</v>
      </c>
      <c r="O1361" s="3" t="s">
        <v>65</v>
      </c>
      <c r="P1361" s="3" t="s">
        <v>1262</v>
      </c>
      <c r="R1361" s="3" t="s">
        <v>68</v>
      </c>
      <c r="S1361" s="4">
        <v>5</v>
      </c>
      <c r="T1361" s="4">
        <v>5</v>
      </c>
      <c r="U1361" s="5" t="s">
        <v>6281</v>
      </c>
      <c r="V1361" s="5" t="s">
        <v>6281</v>
      </c>
      <c r="W1361" s="5" t="s">
        <v>16398</v>
      </c>
      <c r="X1361" s="5" t="s">
        <v>16398</v>
      </c>
      <c r="Y1361" s="4">
        <v>419</v>
      </c>
      <c r="Z1361" s="4">
        <v>290</v>
      </c>
      <c r="AA1361" s="4">
        <v>297</v>
      </c>
      <c r="AB1361" s="4">
        <v>3</v>
      </c>
      <c r="AC1361" s="4">
        <v>3</v>
      </c>
      <c r="AD1361" s="4">
        <v>11</v>
      </c>
      <c r="AE1361" s="4">
        <v>11</v>
      </c>
      <c r="AF1361" s="4">
        <v>3</v>
      </c>
      <c r="AG1361" s="4">
        <v>3</v>
      </c>
      <c r="AH1361" s="4">
        <v>4</v>
      </c>
      <c r="AI1361" s="4">
        <v>4</v>
      </c>
      <c r="AJ1361" s="4">
        <v>7</v>
      </c>
      <c r="AK1361" s="4">
        <v>7</v>
      </c>
      <c r="AL1361" s="4">
        <v>1</v>
      </c>
      <c r="AM1361" s="4">
        <v>1</v>
      </c>
      <c r="AN1361" s="4">
        <v>0</v>
      </c>
      <c r="AO1361" s="4">
        <v>0</v>
      </c>
      <c r="AP1361" s="3" t="s">
        <v>59</v>
      </c>
      <c r="AQ1361" s="3" t="s">
        <v>71</v>
      </c>
      <c r="AR1361" s="6" t="str">
        <f>HYPERLINK("http://catalog.hathitrust.org/Record/000275363","HathiTrust Record")</f>
        <v>HathiTrust Record</v>
      </c>
      <c r="AS1361" s="6" t="str">
        <f>HYPERLINK("https://creighton-primo.hosted.exlibrisgroup.com/primo-explore/search?tab=default_tab&amp;search_scope=EVERYTHING&amp;vid=01CRU&amp;lang=en_US&amp;offset=0&amp;query=any,contains,991000789049702656","Catalog Record")</f>
        <v>Catalog Record</v>
      </c>
      <c r="AT1361" s="6" t="str">
        <f>HYPERLINK("http://www.worldcat.org/oclc/8727871","WorldCat Record")</f>
        <v>WorldCat Record</v>
      </c>
    </row>
    <row r="1362" spans="1:46" ht="52.5" customHeight="1" x14ac:dyDescent="0.25">
      <c r="A1362" s="7" t="s">
        <v>59</v>
      </c>
      <c r="B1362" s="2" t="s">
        <v>16692</v>
      </c>
      <c r="C1362" s="2" t="s">
        <v>16693</v>
      </c>
      <c r="D1362" s="2" t="s">
        <v>16694</v>
      </c>
      <c r="F1362" s="3" t="s">
        <v>59</v>
      </c>
      <c r="G1362" s="3" t="s">
        <v>60</v>
      </c>
      <c r="H1362" s="3" t="s">
        <v>59</v>
      </c>
      <c r="I1362" s="3" t="s">
        <v>71</v>
      </c>
      <c r="J1362" s="3" t="s">
        <v>61</v>
      </c>
      <c r="K1362" s="2" t="s">
        <v>16695</v>
      </c>
      <c r="L1362" s="2" t="s">
        <v>16696</v>
      </c>
      <c r="M1362" s="3" t="s">
        <v>6477</v>
      </c>
      <c r="N1362" t="s">
        <v>435</v>
      </c>
      <c r="O1362" s="3" t="s">
        <v>65</v>
      </c>
      <c r="P1362" s="3" t="s">
        <v>66</v>
      </c>
      <c r="Q1362" t="s">
        <v>6407</v>
      </c>
      <c r="R1362" s="3" t="s">
        <v>68</v>
      </c>
      <c r="S1362" s="4">
        <v>12</v>
      </c>
      <c r="T1362" s="4">
        <v>12</v>
      </c>
      <c r="U1362" s="5" t="s">
        <v>16697</v>
      </c>
      <c r="V1362" s="5" t="s">
        <v>16697</v>
      </c>
      <c r="W1362" s="5" t="s">
        <v>16398</v>
      </c>
      <c r="X1362" s="5" t="s">
        <v>16398</v>
      </c>
      <c r="Y1362" s="4">
        <v>1042</v>
      </c>
      <c r="Z1362" s="4">
        <v>860</v>
      </c>
      <c r="AA1362" s="4">
        <v>2226</v>
      </c>
      <c r="AB1362" s="4">
        <v>6</v>
      </c>
      <c r="AC1362" s="4">
        <v>19</v>
      </c>
      <c r="AD1362" s="4">
        <v>27</v>
      </c>
      <c r="AE1362" s="4">
        <v>62</v>
      </c>
      <c r="AF1362" s="4">
        <v>9</v>
      </c>
      <c r="AG1362" s="4">
        <v>28</v>
      </c>
      <c r="AH1362" s="4">
        <v>4</v>
      </c>
      <c r="AI1362" s="4">
        <v>10</v>
      </c>
      <c r="AJ1362" s="4">
        <v>12</v>
      </c>
      <c r="AK1362" s="4">
        <v>24</v>
      </c>
      <c r="AL1362" s="4">
        <v>5</v>
      </c>
      <c r="AM1362" s="4">
        <v>12</v>
      </c>
      <c r="AN1362" s="4">
        <v>0</v>
      </c>
      <c r="AO1362" s="4">
        <v>0</v>
      </c>
      <c r="AP1362" s="3" t="s">
        <v>59</v>
      </c>
      <c r="AQ1362" s="3" t="s">
        <v>71</v>
      </c>
      <c r="AR1362" s="6" t="str">
        <f>HYPERLINK("http://catalog.hathitrust.org/Record/000161270","HathiTrust Record")</f>
        <v>HathiTrust Record</v>
      </c>
      <c r="AS1362" s="6" t="str">
        <f>HYPERLINK("https://creighton-primo.hosted.exlibrisgroup.com/primo-explore/search?tab=default_tab&amp;search_scope=EVERYTHING&amp;vid=01CRU&amp;lang=en_US&amp;offset=0&amp;query=any,contains,991000789299702656","Catalog Record")</f>
        <v>Catalog Record</v>
      </c>
      <c r="AT1362" s="6" t="str">
        <f>HYPERLINK("http://www.worldcat.org/oclc/170747","WorldCat Record")</f>
        <v>WorldCat Record</v>
      </c>
    </row>
    <row r="1363" spans="1:46" ht="52.5" customHeight="1" x14ac:dyDescent="0.25">
      <c r="A1363" s="7" t="s">
        <v>59</v>
      </c>
      <c r="B1363" s="2" t="s">
        <v>16698</v>
      </c>
      <c r="C1363" s="2" t="s">
        <v>16699</v>
      </c>
      <c r="D1363" s="2" t="s">
        <v>16700</v>
      </c>
      <c r="F1363" s="3" t="s">
        <v>59</v>
      </c>
      <c r="G1363" s="3" t="s">
        <v>60</v>
      </c>
      <c r="H1363" s="3" t="s">
        <v>59</v>
      </c>
      <c r="I1363" s="3" t="s">
        <v>59</v>
      </c>
      <c r="J1363" s="3" t="s">
        <v>61</v>
      </c>
      <c r="K1363" s="2"/>
      <c r="L1363" s="2" t="s">
        <v>16701</v>
      </c>
      <c r="M1363" s="3" t="s">
        <v>1163</v>
      </c>
      <c r="N1363" t="s">
        <v>16702</v>
      </c>
      <c r="O1363" s="3" t="s">
        <v>65</v>
      </c>
      <c r="P1363" s="3" t="s">
        <v>771</v>
      </c>
      <c r="Q1363" t="s">
        <v>16703</v>
      </c>
      <c r="R1363" s="3" t="s">
        <v>68</v>
      </c>
      <c r="S1363" s="4">
        <v>1</v>
      </c>
      <c r="T1363" s="4">
        <v>1</v>
      </c>
      <c r="U1363" s="5" t="s">
        <v>6408</v>
      </c>
      <c r="V1363" s="5" t="s">
        <v>6408</v>
      </c>
      <c r="W1363" s="5" t="s">
        <v>16469</v>
      </c>
      <c r="X1363" s="5" t="s">
        <v>16469</v>
      </c>
      <c r="Y1363" s="4">
        <v>21</v>
      </c>
      <c r="Z1363" s="4">
        <v>20</v>
      </c>
      <c r="AA1363" s="4">
        <v>20</v>
      </c>
      <c r="AB1363" s="4">
        <v>2</v>
      </c>
      <c r="AC1363" s="4">
        <v>2</v>
      </c>
      <c r="AD1363" s="4">
        <v>0</v>
      </c>
      <c r="AE1363" s="4">
        <v>0</v>
      </c>
      <c r="AF1363" s="4">
        <v>0</v>
      </c>
      <c r="AG1363" s="4">
        <v>0</v>
      </c>
      <c r="AH1363" s="4">
        <v>0</v>
      </c>
      <c r="AI1363" s="4">
        <v>0</v>
      </c>
      <c r="AJ1363" s="4">
        <v>0</v>
      </c>
      <c r="AK1363" s="4">
        <v>0</v>
      </c>
      <c r="AL1363" s="4">
        <v>0</v>
      </c>
      <c r="AM1363" s="4">
        <v>0</v>
      </c>
      <c r="AN1363" s="4">
        <v>0</v>
      </c>
      <c r="AO1363" s="4">
        <v>0</v>
      </c>
      <c r="AP1363" s="3" t="s">
        <v>59</v>
      </c>
      <c r="AQ1363" s="3" t="s">
        <v>59</v>
      </c>
      <c r="AR1363" s="6"/>
      <c r="AS1363" s="6" t="str">
        <f>HYPERLINK("https://creighton-primo.hosted.exlibrisgroup.com/primo-explore/search?tab=default_tab&amp;search_scope=EVERYTHING&amp;vid=01CRU&amp;lang=en_US&amp;offset=0&amp;query=any,contains,991000695779702656","Catalog Record")</f>
        <v>Catalog Record</v>
      </c>
      <c r="AT1363" s="6" t="str">
        <f>HYPERLINK("http://www.worldcat.org/oclc/12568438","WorldCat Record")</f>
        <v>WorldCat Record</v>
      </c>
    </row>
    <row r="1364" spans="1:46" ht="52.5" customHeight="1" x14ac:dyDescent="0.25">
      <c r="A1364" s="7" t="s">
        <v>59</v>
      </c>
      <c r="B1364" s="2" t="s">
        <v>16704</v>
      </c>
      <c r="C1364" s="2" t="s">
        <v>16705</v>
      </c>
      <c r="D1364" s="2" t="s">
        <v>16706</v>
      </c>
      <c r="F1364" s="3" t="s">
        <v>59</v>
      </c>
      <c r="G1364" s="3" t="s">
        <v>60</v>
      </c>
      <c r="H1364" s="3" t="s">
        <v>59</v>
      </c>
      <c r="I1364" s="3" t="s">
        <v>59</v>
      </c>
      <c r="J1364" s="3" t="s">
        <v>61</v>
      </c>
      <c r="K1364" s="2" t="s">
        <v>16707</v>
      </c>
      <c r="L1364" s="2" t="s">
        <v>16708</v>
      </c>
      <c r="M1364" s="3" t="s">
        <v>195</v>
      </c>
      <c r="O1364" s="3" t="s">
        <v>65</v>
      </c>
      <c r="P1364" s="3" t="s">
        <v>16396</v>
      </c>
      <c r="R1364" s="3" t="s">
        <v>68</v>
      </c>
      <c r="S1364" s="4">
        <v>6</v>
      </c>
      <c r="T1364" s="4">
        <v>6</v>
      </c>
      <c r="U1364" s="5" t="s">
        <v>437</v>
      </c>
      <c r="V1364" s="5" t="s">
        <v>437</v>
      </c>
      <c r="W1364" s="5" t="s">
        <v>16398</v>
      </c>
      <c r="X1364" s="5" t="s">
        <v>16398</v>
      </c>
      <c r="Y1364" s="4">
        <v>445</v>
      </c>
      <c r="Z1364" s="4">
        <v>393</v>
      </c>
      <c r="AA1364" s="4">
        <v>395</v>
      </c>
      <c r="AB1364" s="4">
        <v>4</v>
      </c>
      <c r="AC1364" s="4">
        <v>4</v>
      </c>
      <c r="AD1364" s="4">
        <v>17</v>
      </c>
      <c r="AE1364" s="4">
        <v>17</v>
      </c>
      <c r="AF1364" s="4">
        <v>6</v>
      </c>
      <c r="AG1364" s="4">
        <v>6</v>
      </c>
      <c r="AH1364" s="4">
        <v>3</v>
      </c>
      <c r="AI1364" s="4">
        <v>3</v>
      </c>
      <c r="AJ1364" s="4">
        <v>8</v>
      </c>
      <c r="AK1364" s="4">
        <v>8</v>
      </c>
      <c r="AL1364" s="4">
        <v>3</v>
      </c>
      <c r="AM1364" s="4">
        <v>3</v>
      </c>
      <c r="AN1364" s="4">
        <v>0</v>
      </c>
      <c r="AO1364" s="4">
        <v>0</v>
      </c>
      <c r="AP1364" s="3" t="s">
        <v>59</v>
      </c>
      <c r="AQ1364" s="3" t="s">
        <v>71</v>
      </c>
      <c r="AR1364" s="6" t="str">
        <f>HYPERLINK("http://catalog.hathitrust.org/Record/000187382","HathiTrust Record")</f>
        <v>HathiTrust Record</v>
      </c>
      <c r="AS1364" s="6" t="str">
        <f>HYPERLINK("https://creighton-primo.hosted.exlibrisgroup.com/primo-explore/search?tab=default_tab&amp;search_scope=EVERYTHING&amp;vid=01CRU&amp;lang=en_US&amp;offset=0&amp;query=any,contains,991000790389702656","Catalog Record")</f>
        <v>Catalog Record</v>
      </c>
      <c r="AT1364" s="6" t="str">
        <f>HYPERLINK("http://www.worldcat.org/oclc/8345177","WorldCat Record")</f>
        <v>WorldCat Record</v>
      </c>
    </row>
    <row r="1365" spans="1:46" ht="52.5" customHeight="1" x14ac:dyDescent="0.25">
      <c r="A1365" s="7" t="s">
        <v>59</v>
      </c>
      <c r="B1365" s="2" t="s">
        <v>16709</v>
      </c>
      <c r="C1365" s="2" t="s">
        <v>16710</v>
      </c>
      <c r="D1365" s="2" t="s">
        <v>16711</v>
      </c>
      <c r="F1365" s="3" t="s">
        <v>59</v>
      </c>
      <c r="G1365" s="3" t="s">
        <v>60</v>
      </c>
      <c r="H1365" s="3" t="s">
        <v>59</v>
      </c>
      <c r="I1365" s="3" t="s">
        <v>71</v>
      </c>
      <c r="J1365" s="3" t="s">
        <v>61</v>
      </c>
      <c r="K1365" s="2" t="s">
        <v>16712</v>
      </c>
      <c r="L1365" s="2" t="s">
        <v>16713</v>
      </c>
      <c r="M1365" s="3" t="s">
        <v>3897</v>
      </c>
      <c r="N1365" t="s">
        <v>16442</v>
      </c>
      <c r="O1365" s="3" t="s">
        <v>65</v>
      </c>
      <c r="P1365" s="3" t="s">
        <v>66</v>
      </c>
      <c r="R1365" s="3" t="s">
        <v>68</v>
      </c>
      <c r="S1365" s="4">
        <v>20</v>
      </c>
      <c r="T1365" s="4">
        <v>20</v>
      </c>
      <c r="U1365" s="5" t="s">
        <v>16714</v>
      </c>
      <c r="V1365" s="5" t="s">
        <v>16714</v>
      </c>
      <c r="W1365" s="5" t="s">
        <v>16715</v>
      </c>
      <c r="X1365" s="5" t="s">
        <v>16715</v>
      </c>
      <c r="Y1365" s="4">
        <v>179</v>
      </c>
      <c r="Z1365" s="4">
        <v>103</v>
      </c>
      <c r="AA1365" s="4">
        <v>911</v>
      </c>
      <c r="AB1365" s="4">
        <v>3</v>
      </c>
      <c r="AC1365" s="4">
        <v>9</v>
      </c>
      <c r="AD1365" s="4">
        <v>5</v>
      </c>
      <c r="AE1365" s="4">
        <v>29</v>
      </c>
      <c r="AF1365" s="4">
        <v>1</v>
      </c>
      <c r="AG1365" s="4">
        <v>12</v>
      </c>
      <c r="AH1365" s="4">
        <v>1</v>
      </c>
      <c r="AI1365" s="4">
        <v>4</v>
      </c>
      <c r="AJ1365" s="4">
        <v>2</v>
      </c>
      <c r="AK1365" s="4">
        <v>14</v>
      </c>
      <c r="AL1365" s="4">
        <v>1</v>
      </c>
      <c r="AM1365" s="4">
        <v>6</v>
      </c>
      <c r="AN1365" s="4">
        <v>0</v>
      </c>
      <c r="AO1365" s="4">
        <v>0</v>
      </c>
      <c r="AP1365" s="3" t="s">
        <v>59</v>
      </c>
      <c r="AQ1365" s="3" t="s">
        <v>59</v>
      </c>
      <c r="AR1365" s="6"/>
      <c r="AS1365" s="6" t="str">
        <f>HYPERLINK("https://creighton-primo.hosted.exlibrisgroup.com/primo-explore/search?tab=default_tab&amp;search_scope=EVERYTHING&amp;vid=01CRU&amp;lang=en_US&amp;offset=0&amp;query=any,contains,991001271669702656","Catalog Record")</f>
        <v>Catalog Record</v>
      </c>
      <c r="AT1365" s="6" t="str">
        <f>HYPERLINK("http://www.worldcat.org/oclc/29954951","WorldCat Record")</f>
        <v>WorldCat Record</v>
      </c>
    </row>
    <row r="1366" spans="1:46" ht="52.5" customHeight="1" x14ac:dyDescent="0.25">
      <c r="A1366" s="7" t="s">
        <v>59</v>
      </c>
      <c r="B1366" s="2" t="s">
        <v>16716</v>
      </c>
      <c r="C1366" s="2" t="s">
        <v>16717</v>
      </c>
      <c r="D1366" s="2" t="s">
        <v>16718</v>
      </c>
      <c r="F1366" s="3" t="s">
        <v>59</v>
      </c>
      <c r="G1366" s="3" t="s">
        <v>60</v>
      </c>
      <c r="H1366" s="3" t="s">
        <v>59</v>
      </c>
      <c r="I1366" s="3" t="s">
        <v>59</v>
      </c>
      <c r="J1366" s="3" t="s">
        <v>61</v>
      </c>
      <c r="K1366" s="2"/>
      <c r="L1366" s="2" t="s">
        <v>16719</v>
      </c>
      <c r="M1366" s="3" t="s">
        <v>549</v>
      </c>
      <c r="O1366" s="3" t="s">
        <v>65</v>
      </c>
      <c r="P1366" s="3" t="s">
        <v>699</v>
      </c>
      <c r="R1366" s="3" t="s">
        <v>68</v>
      </c>
      <c r="S1366" s="4">
        <v>2</v>
      </c>
      <c r="T1366" s="4">
        <v>2</v>
      </c>
      <c r="U1366" s="5" t="s">
        <v>564</v>
      </c>
      <c r="V1366" s="5" t="s">
        <v>564</v>
      </c>
      <c r="W1366" s="5" t="s">
        <v>16398</v>
      </c>
      <c r="X1366" s="5" t="s">
        <v>16398</v>
      </c>
      <c r="Y1366" s="4">
        <v>448</v>
      </c>
      <c r="Z1366" s="4">
        <v>345</v>
      </c>
      <c r="AA1366" s="4">
        <v>354</v>
      </c>
      <c r="AB1366" s="4">
        <v>3</v>
      </c>
      <c r="AC1366" s="4">
        <v>3</v>
      </c>
      <c r="AD1366" s="4">
        <v>13</v>
      </c>
      <c r="AE1366" s="4">
        <v>13</v>
      </c>
      <c r="AF1366" s="4">
        <v>3</v>
      </c>
      <c r="AG1366" s="4">
        <v>3</v>
      </c>
      <c r="AH1366" s="4">
        <v>6</v>
      </c>
      <c r="AI1366" s="4">
        <v>6</v>
      </c>
      <c r="AJ1366" s="4">
        <v>5</v>
      </c>
      <c r="AK1366" s="4">
        <v>5</v>
      </c>
      <c r="AL1366" s="4">
        <v>2</v>
      </c>
      <c r="AM1366" s="4">
        <v>2</v>
      </c>
      <c r="AN1366" s="4">
        <v>0</v>
      </c>
      <c r="AO1366" s="4">
        <v>0</v>
      </c>
      <c r="AP1366" s="3" t="s">
        <v>59</v>
      </c>
      <c r="AQ1366" s="3" t="s">
        <v>59</v>
      </c>
      <c r="AR1366" s="6"/>
      <c r="AS1366" s="6" t="str">
        <f>HYPERLINK("https://creighton-primo.hosted.exlibrisgroup.com/primo-explore/search?tab=default_tab&amp;search_scope=EVERYTHING&amp;vid=01CRU&amp;lang=en_US&amp;offset=0&amp;query=any,contains,991001489749702656","Catalog Record")</f>
        <v>Catalog Record</v>
      </c>
      <c r="AT1366" s="6" t="str">
        <f>HYPERLINK("http://www.worldcat.org/oclc/13360624","WorldCat Record")</f>
        <v>WorldCat Record</v>
      </c>
    </row>
    <row r="1367" spans="1:46" ht="52.5" customHeight="1" x14ac:dyDescent="0.25">
      <c r="A1367" s="7" t="s">
        <v>59</v>
      </c>
      <c r="B1367" s="2" t="s">
        <v>16720</v>
      </c>
      <c r="C1367" s="2" t="s">
        <v>16721</v>
      </c>
      <c r="D1367" s="2" t="s">
        <v>16722</v>
      </c>
      <c r="F1367" s="3" t="s">
        <v>59</v>
      </c>
      <c r="G1367" s="3" t="s">
        <v>60</v>
      </c>
      <c r="H1367" s="3" t="s">
        <v>59</v>
      </c>
      <c r="I1367" s="3" t="s">
        <v>71</v>
      </c>
      <c r="J1367" s="3" t="s">
        <v>61</v>
      </c>
      <c r="K1367" s="2"/>
      <c r="L1367" s="2" t="s">
        <v>7226</v>
      </c>
      <c r="M1367" s="3" t="s">
        <v>1163</v>
      </c>
      <c r="O1367" s="3" t="s">
        <v>65</v>
      </c>
      <c r="P1367" s="3" t="s">
        <v>699</v>
      </c>
      <c r="R1367" s="3" t="s">
        <v>68</v>
      </c>
      <c r="S1367" s="4">
        <v>3</v>
      </c>
      <c r="T1367" s="4">
        <v>3</v>
      </c>
      <c r="U1367" s="5" t="s">
        <v>16723</v>
      </c>
      <c r="V1367" s="5" t="s">
        <v>16723</v>
      </c>
      <c r="W1367" s="5" t="s">
        <v>16398</v>
      </c>
      <c r="X1367" s="5" t="s">
        <v>16398</v>
      </c>
      <c r="Y1367" s="4">
        <v>475</v>
      </c>
      <c r="Z1367" s="4">
        <v>412</v>
      </c>
      <c r="AA1367" s="4">
        <v>577</v>
      </c>
      <c r="AB1367" s="4">
        <v>5</v>
      </c>
      <c r="AC1367" s="4">
        <v>6</v>
      </c>
      <c r="AD1367" s="4">
        <v>15</v>
      </c>
      <c r="AE1367" s="4">
        <v>25</v>
      </c>
      <c r="AF1367" s="4">
        <v>3</v>
      </c>
      <c r="AG1367" s="4">
        <v>8</v>
      </c>
      <c r="AH1367" s="4">
        <v>4</v>
      </c>
      <c r="AI1367" s="4">
        <v>6</v>
      </c>
      <c r="AJ1367" s="4">
        <v>8</v>
      </c>
      <c r="AK1367" s="4">
        <v>15</v>
      </c>
      <c r="AL1367" s="4">
        <v>4</v>
      </c>
      <c r="AM1367" s="4">
        <v>4</v>
      </c>
      <c r="AN1367" s="4">
        <v>0</v>
      </c>
      <c r="AO1367" s="4">
        <v>0</v>
      </c>
      <c r="AP1367" s="3" t="s">
        <v>59</v>
      </c>
      <c r="AQ1367" s="3" t="s">
        <v>71</v>
      </c>
      <c r="AR1367" s="6" t="str">
        <f>HYPERLINK("http://catalog.hathitrust.org/Record/000563113","HathiTrust Record")</f>
        <v>HathiTrust Record</v>
      </c>
      <c r="AS1367" s="6" t="str">
        <f>HYPERLINK("https://creighton-primo.hosted.exlibrisgroup.com/primo-explore/search?tab=default_tab&amp;search_scope=EVERYTHING&amp;vid=01CRU&amp;lang=en_US&amp;offset=0&amp;query=any,contains,991000790219702656","Catalog Record")</f>
        <v>Catalog Record</v>
      </c>
      <c r="AT1367" s="6" t="str">
        <f>HYPERLINK("http://www.worldcat.org/oclc/11090649","WorldCat Record")</f>
        <v>WorldCat Record</v>
      </c>
    </row>
    <row r="1368" spans="1:46" ht="52.5" customHeight="1" x14ac:dyDescent="0.25">
      <c r="A1368" s="7" t="s">
        <v>59</v>
      </c>
      <c r="B1368" s="2" t="s">
        <v>16724</v>
      </c>
      <c r="C1368" s="2" t="s">
        <v>16725</v>
      </c>
      <c r="D1368" s="2" t="s">
        <v>16726</v>
      </c>
      <c r="F1368" s="3" t="s">
        <v>59</v>
      </c>
      <c r="G1368" s="3" t="s">
        <v>60</v>
      </c>
      <c r="H1368" s="3" t="s">
        <v>59</v>
      </c>
      <c r="I1368" s="3" t="s">
        <v>71</v>
      </c>
      <c r="J1368" s="3" t="s">
        <v>61</v>
      </c>
      <c r="K1368" s="2" t="s">
        <v>14470</v>
      </c>
      <c r="L1368" s="2" t="s">
        <v>16727</v>
      </c>
      <c r="M1368" s="3" t="s">
        <v>684</v>
      </c>
      <c r="N1368" t="s">
        <v>16728</v>
      </c>
      <c r="O1368" s="3" t="s">
        <v>65</v>
      </c>
      <c r="P1368" s="3" t="s">
        <v>420</v>
      </c>
      <c r="R1368" s="3" t="s">
        <v>68</v>
      </c>
      <c r="S1368" s="4">
        <v>17</v>
      </c>
      <c r="T1368" s="4">
        <v>17</v>
      </c>
      <c r="U1368" s="5" t="s">
        <v>16729</v>
      </c>
      <c r="V1368" s="5" t="s">
        <v>16729</v>
      </c>
      <c r="W1368" s="5" t="s">
        <v>16730</v>
      </c>
      <c r="X1368" s="5" t="s">
        <v>16730</v>
      </c>
      <c r="Y1368" s="4">
        <v>116</v>
      </c>
      <c r="Z1368" s="4">
        <v>100</v>
      </c>
      <c r="AA1368" s="4">
        <v>1117</v>
      </c>
      <c r="AB1368" s="4">
        <v>2</v>
      </c>
      <c r="AC1368" s="4">
        <v>11</v>
      </c>
      <c r="AD1368" s="4">
        <v>6</v>
      </c>
      <c r="AE1368" s="4">
        <v>50</v>
      </c>
      <c r="AF1368" s="4">
        <v>4</v>
      </c>
      <c r="AG1368" s="4">
        <v>22</v>
      </c>
      <c r="AH1368" s="4">
        <v>1</v>
      </c>
      <c r="AI1368" s="4">
        <v>8</v>
      </c>
      <c r="AJ1368" s="4">
        <v>2</v>
      </c>
      <c r="AK1368" s="4">
        <v>23</v>
      </c>
      <c r="AL1368" s="4">
        <v>1</v>
      </c>
      <c r="AM1368" s="4">
        <v>8</v>
      </c>
      <c r="AN1368" s="4">
        <v>0</v>
      </c>
      <c r="AO1368" s="4">
        <v>1</v>
      </c>
      <c r="AP1368" s="3" t="s">
        <v>59</v>
      </c>
      <c r="AQ1368" s="3" t="s">
        <v>71</v>
      </c>
      <c r="AR1368" s="6" t="str">
        <f>HYPERLINK("http://catalog.hathitrust.org/Record/000566178","HathiTrust Record")</f>
        <v>HathiTrust Record</v>
      </c>
      <c r="AS1368" s="6" t="str">
        <f>HYPERLINK("https://creighton-primo.hosted.exlibrisgroup.com/primo-explore/search?tab=default_tab&amp;search_scope=EVERYTHING&amp;vid=01CRU&amp;lang=en_US&amp;offset=0&amp;query=any,contains,991000762619702656","Catalog Record")</f>
        <v>Catalog Record</v>
      </c>
      <c r="AT1368" s="6" t="str">
        <f>HYPERLINK("http://www.worldcat.org/oclc/9180312","WorldCat Record")</f>
        <v>WorldCat Record</v>
      </c>
    </row>
    <row r="1369" spans="1:46" ht="52.5" customHeight="1" x14ac:dyDescent="0.25">
      <c r="A1369" s="7" t="s">
        <v>59</v>
      </c>
      <c r="B1369" s="2" t="s">
        <v>16731</v>
      </c>
      <c r="C1369" s="2" t="s">
        <v>16732</v>
      </c>
      <c r="D1369" s="2" t="s">
        <v>16733</v>
      </c>
      <c r="F1369" s="3" t="s">
        <v>59</v>
      </c>
      <c r="G1369" s="3" t="s">
        <v>60</v>
      </c>
      <c r="H1369" s="3" t="s">
        <v>59</v>
      </c>
      <c r="I1369" s="3" t="s">
        <v>59</v>
      </c>
      <c r="J1369" s="3" t="s">
        <v>61</v>
      </c>
      <c r="K1369" s="2"/>
      <c r="L1369" s="2" t="s">
        <v>16734</v>
      </c>
      <c r="M1369" s="3" t="s">
        <v>405</v>
      </c>
      <c r="O1369" s="3" t="s">
        <v>65</v>
      </c>
      <c r="P1369" s="3" t="s">
        <v>699</v>
      </c>
      <c r="Q1369" t="s">
        <v>16735</v>
      </c>
      <c r="R1369" s="3" t="s">
        <v>68</v>
      </c>
      <c r="S1369" s="4">
        <v>10</v>
      </c>
      <c r="T1369" s="4">
        <v>10</v>
      </c>
      <c r="U1369" s="5" t="s">
        <v>16714</v>
      </c>
      <c r="V1369" s="5" t="s">
        <v>16714</v>
      </c>
      <c r="W1369" s="5" t="s">
        <v>16398</v>
      </c>
      <c r="X1369" s="5" t="s">
        <v>16398</v>
      </c>
      <c r="Y1369" s="4">
        <v>330</v>
      </c>
      <c r="Z1369" s="4">
        <v>278</v>
      </c>
      <c r="AA1369" s="4">
        <v>281</v>
      </c>
      <c r="AB1369" s="4">
        <v>3</v>
      </c>
      <c r="AC1369" s="4">
        <v>3</v>
      </c>
      <c r="AD1369" s="4">
        <v>14</v>
      </c>
      <c r="AE1369" s="4">
        <v>14</v>
      </c>
      <c r="AF1369" s="4">
        <v>4</v>
      </c>
      <c r="AG1369" s="4">
        <v>4</v>
      </c>
      <c r="AH1369" s="4">
        <v>3</v>
      </c>
      <c r="AI1369" s="4">
        <v>3</v>
      </c>
      <c r="AJ1369" s="4">
        <v>9</v>
      </c>
      <c r="AK1369" s="4">
        <v>9</v>
      </c>
      <c r="AL1369" s="4">
        <v>2</v>
      </c>
      <c r="AM1369" s="4">
        <v>2</v>
      </c>
      <c r="AN1369" s="4">
        <v>0</v>
      </c>
      <c r="AO1369" s="4">
        <v>0</v>
      </c>
      <c r="AP1369" s="3" t="s">
        <v>59</v>
      </c>
      <c r="AQ1369" s="3" t="s">
        <v>71</v>
      </c>
      <c r="AR1369" s="6" t="str">
        <f>HYPERLINK("http://catalog.hathitrust.org/Record/000490937","HathiTrust Record")</f>
        <v>HathiTrust Record</v>
      </c>
      <c r="AS1369" s="6" t="str">
        <f>HYPERLINK("https://creighton-primo.hosted.exlibrisgroup.com/primo-explore/search?tab=default_tab&amp;search_scope=EVERYTHING&amp;vid=01CRU&amp;lang=en_US&amp;offset=0&amp;query=any,contains,991000790199702656","Catalog Record")</f>
        <v>Catalog Record</v>
      </c>
      <c r="AT1369" s="6" t="str">
        <f>HYPERLINK("http://www.worldcat.org/oclc/14099048","WorldCat Record")</f>
        <v>WorldCat Record</v>
      </c>
    </row>
    <row r="1370" spans="1:46" ht="52.5" customHeight="1" x14ac:dyDescent="0.25">
      <c r="A1370" s="7" t="s">
        <v>59</v>
      </c>
      <c r="B1370" s="2" t="s">
        <v>16736</v>
      </c>
      <c r="C1370" s="2" t="s">
        <v>16737</v>
      </c>
      <c r="D1370" s="2" t="s">
        <v>14963</v>
      </c>
      <c r="F1370" s="3" t="s">
        <v>59</v>
      </c>
      <c r="G1370" s="3" t="s">
        <v>60</v>
      </c>
      <c r="H1370" s="3" t="s">
        <v>71</v>
      </c>
      <c r="I1370" s="3" t="s">
        <v>59</v>
      </c>
      <c r="J1370" s="3" t="s">
        <v>61</v>
      </c>
      <c r="K1370" s="2"/>
      <c r="L1370" s="2" t="s">
        <v>14964</v>
      </c>
      <c r="M1370" s="3" t="s">
        <v>475</v>
      </c>
      <c r="O1370" s="3" t="s">
        <v>65</v>
      </c>
      <c r="P1370" s="3" t="s">
        <v>16396</v>
      </c>
      <c r="Q1370" t="s">
        <v>14965</v>
      </c>
      <c r="R1370" s="3" t="s">
        <v>68</v>
      </c>
      <c r="S1370" s="4">
        <v>2</v>
      </c>
      <c r="T1370" s="4">
        <v>2</v>
      </c>
      <c r="U1370" s="5" t="s">
        <v>16738</v>
      </c>
      <c r="V1370" s="5" t="s">
        <v>16738</v>
      </c>
      <c r="W1370" s="5" t="s">
        <v>16559</v>
      </c>
      <c r="X1370" s="5" t="s">
        <v>16559</v>
      </c>
      <c r="Y1370" s="4">
        <v>649</v>
      </c>
      <c r="Z1370" s="4">
        <v>523</v>
      </c>
      <c r="AA1370" s="4">
        <v>524</v>
      </c>
      <c r="AB1370" s="4">
        <v>6</v>
      </c>
      <c r="AC1370" s="4">
        <v>6</v>
      </c>
      <c r="AD1370" s="4">
        <v>26</v>
      </c>
      <c r="AE1370" s="4">
        <v>26</v>
      </c>
      <c r="AF1370" s="4">
        <v>9</v>
      </c>
      <c r="AG1370" s="4">
        <v>9</v>
      </c>
      <c r="AH1370" s="4">
        <v>7</v>
      </c>
      <c r="AI1370" s="4">
        <v>7</v>
      </c>
      <c r="AJ1370" s="4">
        <v>12</v>
      </c>
      <c r="AK1370" s="4">
        <v>12</v>
      </c>
      <c r="AL1370" s="4">
        <v>4</v>
      </c>
      <c r="AM1370" s="4">
        <v>4</v>
      </c>
      <c r="AN1370" s="4">
        <v>0</v>
      </c>
      <c r="AO1370" s="4">
        <v>0</v>
      </c>
      <c r="AP1370" s="3" t="s">
        <v>59</v>
      </c>
      <c r="AQ1370" s="3" t="s">
        <v>59</v>
      </c>
      <c r="AR1370" s="6"/>
      <c r="AS1370" s="6" t="str">
        <f>HYPERLINK("https://creighton-primo.hosted.exlibrisgroup.com/primo-explore/search?tab=default_tab&amp;search_scope=EVERYTHING&amp;vid=01CRU&amp;lang=en_US&amp;offset=0&amp;query=any,contains,991000790109702656","Catalog Record")</f>
        <v>Catalog Record</v>
      </c>
      <c r="AT1370" s="6" t="str">
        <f>HYPERLINK("http://www.worldcat.org/oclc/8907019","WorldCat Record")</f>
        <v>WorldCat Record</v>
      </c>
    </row>
    <row r="1371" spans="1:46" ht="52.5" customHeight="1" x14ac:dyDescent="0.25">
      <c r="A1371" s="7" t="s">
        <v>59</v>
      </c>
      <c r="B1371" s="2" t="s">
        <v>16739</v>
      </c>
      <c r="C1371" s="2" t="s">
        <v>16740</v>
      </c>
      <c r="D1371" s="2" t="s">
        <v>16741</v>
      </c>
      <c r="F1371" s="3" t="s">
        <v>59</v>
      </c>
      <c r="G1371" s="3" t="s">
        <v>60</v>
      </c>
      <c r="H1371" s="3" t="s">
        <v>59</v>
      </c>
      <c r="I1371" s="3" t="s">
        <v>59</v>
      </c>
      <c r="J1371" s="3" t="s">
        <v>61</v>
      </c>
      <c r="K1371" s="2" t="s">
        <v>16742</v>
      </c>
      <c r="L1371" s="2" t="s">
        <v>11317</v>
      </c>
      <c r="M1371" s="3" t="s">
        <v>1163</v>
      </c>
      <c r="O1371" s="3" t="s">
        <v>65</v>
      </c>
      <c r="P1371" s="3" t="s">
        <v>16396</v>
      </c>
      <c r="Q1371" t="s">
        <v>16743</v>
      </c>
      <c r="R1371" s="3" t="s">
        <v>68</v>
      </c>
      <c r="S1371" s="4">
        <v>8</v>
      </c>
      <c r="T1371" s="4">
        <v>8</v>
      </c>
      <c r="U1371" s="5" t="s">
        <v>16744</v>
      </c>
      <c r="V1371" s="5" t="s">
        <v>16744</v>
      </c>
      <c r="W1371" s="5" t="s">
        <v>16745</v>
      </c>
      <c r="X1371" s="5" t="s">
        <v>16745</v>
      </c>
      <c r="Y1371" s="4">
        <v>555</v>
      </c>
      <c r="Z1371" s="4">
        <v>438</v>
      </c>
      <c r="AA1371" s="4">
        <v>448</v>
      </c>
      <c r="AB1371" s="4">
        <v>2</v>
      </c>
      <c r="AC1371" s="4">
        <v>2</v>
      </c>
      <c r="AD1371" s="4">
        <v>20</v>
      </c>
      <c r="AE1371" s="4">
        <v>21</v>
      </c>
      <c r="AF1371" s="4">
        <v>8</v>
      </c>
      <c r="AG1371" s="4">
        <v>9</v>
      </c>
      <c r="AH1371" s="4">
        <v>4</v>
      </c>
      <c r="AI1371" s="4">
        <v>4</v>
      </c>
      <c r="AJ1371" s="4">
        <v>12</v>
      </c>
      <c r="AK1371" s="4">
        <v>13</v>
      </c>
      <c r="AL1371" s="4">
        <v>1</v>
      </c>
      <c r="AM1371" s="4">
        <v>1</v>
      </c>
      <c r="AN1371" s="4">
        <v>0</v>
      </c>
      <c r="AO1371" s="4">
        <v>0</v>
      </c>
      <c r="AP1371" s="3" t="s">
        <v>59</v>
      </c>
      <c r="AQ1371" s="3" t="s">
        <v>71</v>
      </c>
      <c r="AR1371" s="6" t="str">
        <f>HYPERLINK("http://catalog.hathitrust.org/Record/000431624","HathiTrust Record")</f>
        <v>HathiTrust Record</v>
      </c>
      <c r="AS1371" s="6" t="str">
        <f>HYPERLINK("https://creighton-primo.hosted.exlibrisgroup.com/primo-explore/search?tab=default_tab&amp;search_scope=EVERYTHING&amp;vid=01CRU&amp;lang=en_US&amp;offset=0&amp;query=any,contains,991001108439702656","Catalog Record")</f>
        <v>Catalog Record</v>
      </c>
      <c r="AT1371" s="6" t="str">
        <f>HYPERLINK("http://www.worldcat.org/oclc/11384907","WorldCat Record")</f>
        <v>WorldCat Record</v>
      </c>
    </row>
    <row r="1372" spans="1:46" ht="52.5" customHeight="1" x14ac:dyDescent="0.25">
      <c r="A1372" s="7" t="s">
        <v>59</v>
      </c>
      <c r="B1372" s="2" t="s">
        <v>16746</v>
      </c>
      <c r="C1372" s="2" t="s">
        <v>16747</v>
      </c>
      <c r="D1372" s="2" t="s">
        <v>16748</v>
      </c>
      <c r="F1372" s="3" t="s">
        <v>59</v>
      </c>
      <c r="G1372" s="3" t="s">
        <v>60</v>
      </c>
      <c r="H1372" s="3" t="s">
        <v>59</v>
      </c>
      <c r="I1372" s="3" t="s">
        <v>59</v>
      </c>
      <c r="J1372" s="3" t="s">
        <v>61</v>
      </c>
      <c r="K1372" s="2" t="s">
        <v>16749</v>
      </c>
      <c r="L1372" s="2" t="s">
        <v>16750</v>
      </c>
      <c r="M1372" s="3" t="s">
        <v>475</v>
      </c>
      <c r="O1372" s="3" t="s">
        <v>65</v>
      </c>
      <c r="P1372" s="3" t="s">
        <v>16396</v>
      </c>
      <c r="R1372" s="3" t="s">
        <v>68</v>
      </c>
      <c r="S1372" s="4">
        <v>2</v>
      </c>
      <c r="T1372" s="4">
        <v>2</v>
      </c>
      <c r="U1372" s="5" t="s">
        <v>16751</v>
      </c>
      <c r="V1372" s="5" t="s">
        <v>16751</v>
      </c>
      <c r="W1372" s="5" t="s">
        <v>16390</v>
      </c>
      <c r="X1372" s="5" t="s">
        <v>16390</v>
      </c>
      <c r="Y1372" s="4">
        <v>577</v>
      </c>
      <c r="Z1372" s="4">
        <v>519</v>
      </c>
      <c r="AA1372" s="4">
        <v>777</v>
      </c>
      <c r="AB1372" s="4">
        <v>6</v>
      </c>
      <c r="AC1372" s="4">
        <v>7</v>
      </c>
      <c r="AD1372" s="4">
        <v>20</v>
      </c>
      <c r="AE1372" s="4">
        <v>26</v>
      </c>
      <c r="AF1372" s="4">
        <v>6</v>
      </c>
      <c r="AG1372" s="4">
        <v>8</v>
      </c>
      <c r="AH1372" s="4">
        <v>2</v>
      </c>
      <c r="AI1372" s="4">
        <v>4</v>
      </c>
      <c r="AJ1372" s="4">
        <v>10</v>
      </c>
      <c r="AK1372" s="4">
        <v>14</v>
      </c>
      <c r="AL1372" s="4">
        <v>5</v>
      </c>
      <c r="AM1372" s="4">
        <v>6</v>
      </c>
      <c r="AN1372" s="4">
        <v>0</v>
      </c>
      <c r="AO1372" s="4">
        <v>0</v>
      </c>
      <c r="AP1372" s="3" t="s">
        <v>59</v>
      </c>
      <c r="AQ1372" s="3" t="s">
        <v>71</v>
      </c>
      <c r="AR1372" s="6" t="str">
        <f>HYPERLINK("http://catalog.hathitrust.org/Record/000245150","HathiTrust Record")</f>
        <v>HathiTrust Record</v>
      </c>
      <c r="AS1372" s="6" t="str">
        <f>HYPERLINK("https://creighton-primo.hosted.exlibrisgroup.com/primo-explore/search?tab=default_tab&amp;search_scope=EVERYTHING&amp;vid=01CRU&amp;lang=en_US&amp;offset=0&amp;query=any,contains,991000789979702656","Catalog Record")</f>
        <v>Catalog Record</v>
      </c>
      <c r="AT1372" s="6" t="str">
        <f>HYPERLINK("http://www.worldcat.org/oclc/9557059","WorldCat Record")</f>
        <v>WorldCat Record</v>
      </c>
    </row>
    <row r="1373" spans="1:46" ht="52.5" customHeight="1" x14ac:dyDescent="0.25">
      <c r="A1373" s="7" t="s">
        <v>59</v>
      </c>
      <c r="B1373" s="2" t="s">
        <v>16752</v>
      </c>
      <c r="C1373" s="2" t="s">
        <v>16753</v>
      </c>
      <c r="D1373" s="2" t="s">
        <v>16754</v>
      </c>
      <c r="F1373" s="3" t="s">
        <v>59</v>
      </c>
      <c r="G1373" s="3" t="s">
        <v>60</v>
      </c>
      <c r="H1373" s="3" t="s">
        <v>59</v>
      </c>
      <c r="I1373" s="3" t="s">
        <v>59</v>
      </c>
      <c r="J1373" s="3" t="s">
        <v>61</v>
      </c>
      <c r="K1373" s="2" t="s">
        <v>16755</v>
      </c>
      <c r="L1373" s="2" t="s">
        <v>8679</v>
      </c>
      <c r="M1373" s="3" t="s">
        <v>195</v>
      </c>
      <c r="O1373" s="3" t="s">
        <v>65</v>
      </c>
      <c r="P1373" s="3" t="s">
        <v>66</v>
      </c>
      <c r="Q1373" t="s">
        <v>16756</v>
      </c>
      <c r="R1373" s="3" t="s">
        <v>68</v>
      </c>
      <c r="S1373" s="4">
        <v>9</v>
      </c>
      <c r="T1373" s="4">
        <v>9</v>
      </c>
      <c r="U1373" s="5" t="s">
        <v>16757</v>
      </c>
      <c r="V1373" s="5" t="s">
        <v>16757</v>
      </c>
      <c r="W1373" s="5" t="s">
        <v>16390</v>
      </c>
      <c r="X1373" s="5" t="s">
        <v>16390</v>
      </c>
      <c r="Y1373" s="4">
        <v>543</v>
      </c>
      <c r="Z1373" s="4">
        <v>440</v>
      </c>
      <c r="AA1373" s="4">
        <v>459</v>
      </c>
      <c r="AB1373" s="4">
        <v>5</v>
      </c>
      <c r="AC1373" s="4">
        <v>5</v>
      </c>
      <c r="AD1373" s="4">
        <v>19</v>
      </c>
      <c r="AE1373" s="4">
        <v>20</v>
      </c>
      <c r="AF1373" s="4">
        <v>5</v>
      </c>
      <c r="AG1373" s="4">
        <v>6</v>
      </c>
      <c r="AH1373" s="4">
        <v>5</v>
      </c>
      <c r="AI1373" s="4">
        <v>5</v>
      </c>
      <c r="AJ1373" s="4">
        <v>10</v>
      </c>
      <c r="AK1373" s="4">
        <v>10</v>
      </c>
      <c r="AL1373" s="4">
        <v>3</v>
      </c>
      <c r="AM1373" s="4">
        <v>3</v>
      </c>
      <c r="AN1373" s="4">
        <v>0</v>
      </c>
      <c r="AO1373" s="4">
        <v>0</v>
      </c>
      <c r="AP1373" s="3" t="s">
        <v>59</v>
      </c>
      <c r="AQ1373" s="3" t="s">
        <v>71</v>
      </c>
      <c r="AR1373" s="6" t="str">
        <f>HYPERLINK("http://catalog.hathitrust.org/Record/000267072","HathiTrust Record")</f>
        <v>HathiTrust Record</v>
      </c>
      <c r="AS1373" s="6" t="str">
        <f>HYPERLINK("https://creighton-primo.hosted.exlibrisgroup.com/primo-explore/search?tab=default_tab&amp;search_scope=EVERYTHING&amp;vid=01CRU&amp;lang=en_US&amp;offset=0&amp;query=any,contains,991000790049702656","Catalog Record")</f>
        <v>Catalog Record</v>
      </c>
      <c r="AT1373" s="6" t="str">
        <f>HYPERLINK("http://www.worldcat.org/oclc/7946515","WorldCat Record")</f>
        <v>WorldCat Record</v>
      </c>
    </row>
    <row r="1374" spans="1:46" ht="52.5" customHeight="1" x14ac:dyDescent="0.25">
      <c r="A1374" s="7" t="s">
        <v>59</v>
      </c>
      <c r="B1374" s="2" t="s">
        <v>16758</v>
      </c>
      <c r="C1374" s="2" t="s">
        <v>16759</v>
      </c>
      <c r="D1374" s="2" t="s">
        <v>16760</v>
      </c>
      <c r="F1374" s="3" t="s">
        <v>59</v>
      </c>
      <c r="G1374" s="3" t="s">
        <v>60</v>
      </c>
      <c r="H1374" s="3" t="s">
        <v>59</v>
      </c>
      <c r="I1374" s="3" t="s">
        <v>71</v>
      </c>
      <c r="J1374" s="3" t="s">
        <v>61</v>
      </c>
      <c r="K1374" s="2" t="s">
        <v>16761</v>
      </c>
      <c r="L1374" s="2" t="s">
        <v>16762</v>
      </c>
      <c r="M1374" s="3" t="s">
        <v>1233</v>
      </c>
      <c r="O1374" s="3" t="s">
        <v>65</v>
      </c>
      <c r="P1374" s="3" t="s">
        <v>66</v>
      </c>
      <c r="R1374" s="3" t="s">
        <v>68</v>
      </c>
      <c r="S1374" s="4">
        <v>2</v>
      </c>
      <c r="T1374" s="4">
        <v>2</v>
      </c>
      <c r="U1374" s="5" t="s">
        <v>12076</v>
      </c>
      <c r="V1374" s="5" t="s">
        <v>12076</v>
      </c>
      <c r="W1374" s="5" t="s">
        <v>16390</v>
      </c>
      <c r="X1374" s="5" t="s">
        <v>16390</v>
      </c>
      <c r="Y1374" s="4">
        <v>1982</v>
      </c>
      <c r="Z1374" s="4">
        <v>1714</v>
      </c>
      <c r="AA1374" s="4">
        <v>2255</v>
      </c>
      <c r="AB1374" s="4">
        <v>11</v>
      </c>
      <c r="AC1374" s="4">
        <v>13</v>
      </c>
      <c r="AD1374" s="4">
        <v>51</v>
      </c>
      <c r="AE1374" s="4">
        <v>60</v>
      </c>
      <c r="AF1374" s="4">
        <v>24</v>
      </c>
      <c r="AG1374" s="4">
        <v>28</v>
      </c>
      <c r="AH1374" s="4">
        <v>8</v>
      </c>
      <c r="AI1374" s="4">
        <v>11</v>
      </c>
      <c r="AJ1374" s="4">
        <v>22</v>
      </c>
      <c r="AK1374" s="4">
        <v>25</v>
      </c>
      <c r="AL1374" s="4">
        <v>9</v>
      </c>
      <c r="AM1374" s="4">
        <v>9</v>
      </c>
      <c r="AN1374" s="4">
        <v>0</v>
      </c>
      <c r="AO1374" s="4">
        <v>0</v>
      </c>
      <c r="AP1374" s="3" t="s">
        <v>59</v>
      </c>
      <c r="AQ1374" s="3" t="s">
        <v>71</v>
      </c>
      <c r="AR1374" s="6" t="str">
        <f>HYPERLINK("http://catalog.hathitrust.org/Record/000009203","HathiTrust Record")</f>
        <v>HathiTrust Record</v>
      </c>
      <c r="AS1374" s="6" t="str">
        <f>HYPERLINK("https://creighton-primo.hosted.exlibrisgroup.com/primo-explore/search?tab=default_tab&amp;search_scope=EVERYTHING&amp;vid=01CRU&amp;lang=en_US&amp;offset=0&amp;query=any,contains,991000789829702656","Catalog Record")</f>
        <v>Catalog Record</v>
      </c>
      <c r="AT1374" s="6" t="str">
        <f>HYPERLINK("http://www.worldcat.org/oclc/658905","WorldCat Record")</f>
        <v>WorldCat Record</v>
      </c>
    </row>
    <row r="1375" spans="1:46" ht="52.5" customHeight="1" x14ac:dyDescent="0.25">
      <c r="A1375" s="7" t="s">
        <v>59</v>
      </c>
      <c r="B1375" s="2" t="s">
        <v>16763</v>
      </c>
      <c r="C1375" s="2" t="s">
        <v>16764</v>
      </c>
      <c r="D1375" s="2" t="s">
        <v>16765</v>
      </c>
      <c r="F1375" s="3" t="s">
        <v>59</v>
      </c>
      <c r="G1375" s="3" t="s">
        <v>60</v>
      </c>
      <c r="H1375" s="3" t="s">
        <v>59</v>
      </c>
      <c r="I1375" s="3" t="s">
        <v>71</v>
      </c>
      <c r="J1375" s="3" t="s">
        <v>61</v>
      </c>
      <c r="K1375" s="2" t="s">
        <v>16766</v>
      </c>
      <c r="L1375" s="2" t="s">
        <v>16767</v>
      </c>
      <c r="M1375" s="3" t="s">
        <v>4228</v>
      </c>
      <c r="O1375" s="3" t="s">
        <v>65</v>
      </c>
      <c r="P1375" s="3" t="s">
        <v>16396</v>
      </c>
      <c r="R1375" s="3" t="s">
        <v>68</v>
      </c>
      <c r="S1375" s="4">
        <v>18</v>
      </c>
      <c r="T1375" s="4">
        <v>18</v>
      </c>
      <c r="U1375" s="5" t="s">
        <v>16768</v>
      </c>
      <c r="V1375" s="5" t="s">
        <v>16768</v>
      </c>
      <c r="W1375" s="5" t="s">
        <v>16769</v>
      </c>
      <c r="X1375" s="5" t="s">
        <v>16769</v>
      </c>
      <c r="Y1375" s="4">
        <v>794</v>
      </c>
      <c r="Z1375" s="4">
        <v>748</v>
      </c>
      <c r="AA1375" s="4">
        <v>1843</v>
      </c>
      <c r="AB1375" s="4">
        <v>6</v>
      </c>
      <c r="AC1375" s="4">
        <v>21</v>
      </c>
      <c r="AD1375" s="4">
        <v>6</v>
      </c>
      <c r="AE1375" s="4">
        <v>29</v>
      </c>
      <c r="AF1375" s="4">
        <v>3</v>
      </c>
      <c r="AG1375" s="4">
        <v>11</v>
      </c>
      <c r="AH1375" s="4">
        <v>0</v>
      </c>
      <c r="AI1375" s="4">
        <v>4</v>
      </c>
      <c r="AJ1375" s="4">
        <v>4</v>
      </c>
      <c r="AK1375" s="4">
        <v>12</v>
      </c>
      <c r="AL1375" s="4">
        <v>0</v>
      </c>
      <c r="AM1375" s="4">
        <v>7</v>
      </c>
      <c r="AN1375" s="4">
        <v>0</v>
      </c>
      <c r="AO1375" s="4">
        <v>0</v>
      </c>
      <c r="AP1375" s="3" t="s">
        <v>59</v>
      </c>
      <c r="AQ1375" s="3" t="s">
        <v>71</v>
      </c>
      <c r="AR1375" s="6" t="str">
        <f>HYPERLINK("http://catalog.hathitrust.org/Record/101934684","HathiTrust Record")</f>
        <v>HathiTrust Record</v>
      </c>
      <c r="AS1375" s="6" t="str">
        <f>HYPERLINK("https://creighton-primo.hosted.exlibrisgroup.com/primo-explore/search?tab=default_tab&amp;search_scope=EVERYTHING&amp;vid=01CRU&amp;lang=en_US&amp;offset=0&amp;query=any,contains,991001481379702656","Catalog Record")</f>
        <v>Catalog Record</v>
      </c>
      <c r="AT1375" s="6" t="str">
        <f>HYPERLINK("http://www.worldcat.org/oclc/24913222","WorldCat Record")</f>
        <v>WorldCat Record</v>
      </c>
    </row>
    <row r="1376" spans="1:46" ht="52.5" customHeight="1" x14ac:dyDescent="0.25">
      <c r="A1376" s="7" t="s">
        <v>59</v>
      </c>
      <c r="B1376" s="2" t="s">
        <v>16770</v>
      </c>
      <c r="C1376" s="2" t="s">
        <v>16771</v>
      </c>
      <c r="D1376" s="2" t="s">
        <v>16772</v>
      </c>
      <c r="F1376" s="3" t="s">
        <v>59</v>
      </c>
      <c r="G1376" s="3" t="s">
        <v>16773</v>
      </c>
      <c r="H1376" s="3" t="s">
        <v>59</v>
      </c>
      <c r="I1376" s="3" t="s">
        <v>71</v>
      </c>
      <c r="J1376" s="3" t="s">
        <v>61</v>
      </c>
      <c r="K1376" s="2"/>
      <c r="L1376" s="2" t="s">
        <v>16774</v>
      </c>
      <c r="M1376" s="3" t="s">
        <v>224</v>
      </c>
      <c r="O1376" s="3" t="s">
        <v>65</v>
      </c>
      <c r="P1376" s="3" t="s">
        <v>699</v>
      </c>
      <c r="Q1376" t="s">
        <v>16775</v>
      </c>
      <c r="R1376" s="3" t="s">
        <v>68</v>
      </c>
      <c r="S1376" s="4">
        <v>5</v>
      </c>
      <c r="T1376" s="4">
        <v>5</v>
      </c>
      <c r="U1376" s="5" t="s">
        <v>16776</v>
      </c>
      <c r="V1376" s="5" t="s">
        <v>16776</v>
      </c>
      <c r="W1376" s="5" t="s">
        <v>16390</v>
      </c>
      <c r="X1376" s="5" t="s">
        <v>16390</v>
      </c>
      <c r="Y1376" s="4">
        <v>2115</v>
      </c>
      <c r="Z1376" s="4">
        <v>1910</v>
      </c>
      <c r="AA1376" s="4">
        <v>2974</v>
      </c>
      <c r="AB1376" s="4">
        <v>18</v>
      </c>
      <c r="AC1376" s="4">
        <v>25</v>
      </c>
      <c r="AD1376" s="4">
        <v>43</v>
      </c>
      <c r="AE1376" s="4">
        <v>61</v>
      </c>
      <c r="AF1376" s="4">
        <v>16</v>
      </c>
      <c r="AG1376" s="4">
        <v>25</v>
      </c>
      <c r="AH1376" s="4">
        <v>8</v>
      </c>
      <c r="AI1376" s="4">
        <v>10</v>
      </c>
      <c r="AJ1376" s="4">
        <v>23</v>
      </c>
      <c r="AK1376" s="4">
        <v>29</v>
      </c>
      <c r="AL1376" s="4">
        <v>6</v>
      </c>
      <c r="AM1376" s="4">
        <v>10</v>
      </c>
      <c r="AN1376" s="4">
        <v>0</v>
      </c>
      <c r="AO1376" s="4">
        <v>0</v>
      </c>
      <c r="AP1376" s="3" t="s">
        <v>59</v>
      </c>
      <c r="AQ1376" s="3" t="s">
        <v>71</v>
      </c>
      <c r="AR1376" s="6" t="str">
        <f>HYPERLINK("http://catalog.hathitrust.org/Record/004446607","HathiTrust Record")</f>
        <v>HathiTrust Record</v>
      </c>
      <c r="AS1376" s="6" t="str">
        <f>HYPERLINK("https://creighton-primo.hosted.exlibrisgroup.com/primo-explore/search?tab=default_tab&amp;search_scope=EVERYTHING&amp;vid=01CRU&amp;lang=en_US&amp;offset=0&amp;query=any,contains,991000789769702656","Catalog Record")</f>
        <v>Catalog Record</v>
      </c>
      <c r="AT1376" s="6" t="str">
        <f>HYPERLINK("http://www.worldcat.org/oclc/1273611","WorldCat Record")</f>
        <v>WorldCat Record</v>
      </c>
    </row>
    <row r="1377" spans="1:46" ht="52.5" customHeight="1" x14ac:dyDescent="0.25">
      <c r="A1377" s="7" t="s">
        <v>59</v>
      </c>
      <c r="B1377" s="2" t="s">
        <v>16777</v>
      </c>
      <c r="C1377" s="2" t="s">
        <v>16778</v>
      </c>
      <c r="D1377" s="2" t="s">
        <v>16779</v>
      </c>
      <c r="F1377" s="3" t="s">
        <v>59</v>
      </c>
      <c r="G1377" s="3" t="s">
        <v>60</v>
      </c>
      <c r="H1377" s="3" t="s">
        <v>59</v>
      </c>
      <c r="I1377" s="3" t="s">
        <v>59</v>
      </c>
      <c r="J1377" s="3" t="s">
        <v>61</v>
      </c>
      <c r="K1377" s="2"/>
      <c r="L1377" s="2" t="s">
        <v>16780</v>
      </c>
      <c r="M1377" s="3" t="s">
        <v>309</v>
      </c>
      <c r="O1377" s="3" t="s">
        <v>65</v>
      </c>
      <c r="P1377" s="3" t="s">
        <v>66</v>
      </c>
      <c r="Q1377" t="s">
        <v>16781</v>
      </c>
      <c r="R1377" s="3" t="s">
        <v>68</v>
      </c>
      <c r="S1377" s="4">
        <v>1</v>
      </c>
      <c r="T1377" s="4">
        <v>1</v>
      </c>
      <c r="U1377" s="5" t="s">
        <v>16782</v>
      </c>
      <c r="V1377" s="5" t="s">
        <v>16782</v>
      </c>
      <c r="W1377" s="5" t="s">
        <v>16390</v>
      </c>
      <c r="X1377" s="5" t="s">
        <v>16390</v>
      </c>
      <c r="Y1377" s="4">
        <v>62</v>
      </c>
      <c r="Z1377" s="4">
        <v>59</v>
      </c>
      <c r="AA1377" s="4">
        <v>59</v>
      </c>
      <c r="AB1377" s="4">
        <v>1</v>
      </c>
      <c r="AC1377" s="4">
        <v>1</v>
      </c>
      <c r="AD1377" s="4">
        <v>0</v>
      </c>
      <c r="AE1377" s="4">
        <v>0</v>
      </c>
      <c r="AF1377" s="4">
        <v>0</v>
      </c>
      <c r="AG1377" s="4">
        <v>0</v>
      </c>
      <c r="AH1377" s="4">
        <v>0</v>
      </c>
      <c r="AI1377" s="4">
        <v>0</v>
      </c>
      <c r="AJ1377" s="4">
        <v>0</v>
      </c>
      <c r="AK1377" s="4">
        <v>0</v>
      </c>
      <c r="AL1377" s="4">
        <v>0</v>
      </c>
      <c r="AM1377" s="4">
        <v>0</v>
      </c>
      <c r="AN1377" s="4">
        <v>0</v>
      </c>
      <c r="AO1377" s="4">
        <v>0</v>
      </c>
      <c r="AP1377" s="3" t="s">
        <v>59</v>
      </c>
      <c r="AQ1377" s="3" t="s">
        <v>59</v>
      </c>
      <c r="AR1377" s="6"/>
      <c r="AS1377" s="6" t="str">
        <f>HYPERLINK("https://creighton-primo.hosted.exlibrisgroup.com/primo-explore/search?tab=default_tab&amp;search_scope=EVERYTHING&amp;vid=01CRU&amp;lang=en_US&amp;offset=0&amp;query=any,contains,991000789599702656","Catalog Record")</f>
        <v>Catalog Record</v>
      </c>
      <c r="AT1377" s="6" t="str">
        <f>HYPERLINK("http://www.worldcat.org/oclc/3706140","WorldCat Record")</f>
        <v>WorldCat Record</v>
      </c>
    </row>
    <row r="1378" spans="1:46" ht="52.5" customHeight="1" x14ac:dyDescent="0.25">
      <c r="A1378" s="7" t="s">
        <v>59</v>
      </c>
      <c r="B1378" s="2" t="s">
        <v>16783</v>
      </c>
      <c r="C1378" s="2" t="s">
        <v>16784</v>
      </c>
      <c r="D1378" s="2" t="s">
        <v>16785</v>
      </c>
      <c r="F1378" s="3" t="s">
        <v>59</v>
      </c>
      <c r="G1378" s="3" t="s">
        <v>60</v>
      </c>
      <c r="H1378" s="3" t="s">
        <v>59</v>
      </c>
      <c r="I1378" s="3" t="s">
        <v>59</v>
      </c>
      <c r="J1378" s="3" t="s">
        <v>61</v>
      </c>
      <c r="K1378" s="2"/>
      <c r="L1378" s="2" t="s">
        <v>16786</v>
      </c>
      <c r="M1378" s="3" t="s">
        <v>987</v>
      </c>
      <c r="O1378" s="3" t="s">
        <v>65</v>
      </c>
      <c r="P1378" s="3" t="s">
        <v>66</v>
      </c>
      <c r="R1378" s="3" t="s">
        <v>68</v>
      </c>
      <c r="S1378" s="4">
        <v>2</v>
      </c>
      <c r="T1378" s="4">
        <v>2</v>
      </c>
      <c r="U1378" s="5" t="s">
        <v>16787</v>
      </c>
      <c r="V1378" s="5" t="s">
        <v>16787</v>
      </c>
      <c r="W1378" s="5" t="s">
        <v>16522</v>
      </c>
      <c r="X1378" s="5" t="s">
        <v>16522</v>
      </c>
      <c r="Y1378" s="4">
        <v>773</v>
      </c>
      <c r="Z1378" s="4">
        <v>668</v>
      </c>
      <c r="AA1378" s="4">
        <v>753</v>
      </c>
      <c r="AB1378" s="4">
        <v>5</v>
      </c>
      <c r="AC1378" s="4">
        <v>5</v>
      </c>
      <c r="AD1378" s="4">
        <v>26</v>
      </c>
      <c r="AE1378" s="4">
        <v>31</v>
      </c>
      <c r="AF1378" s="4">
        <v>6</v>
      </c>
      <c r="AG1378" s="4">
        <v>9</v>
      </c>
      <c r="AH1378" s="4">
        <v>3</v>
      </c>
      <c r="AI1378" s="4">
        <v>6</v>
      </c>
      <c r="AJ1378" s="4">
        <v>12</v>
      </c>
      <c r="AK1378" s="4">
        <v>13</v>
      </c>
      <c r="AL1378" s="4">
        <v>4</v>
      </c>
      <c r="AM1378" s="4">
        <v>4</v>
      </c>
      <c r="AN1378" s="4">
        <v>6</v>
      </c>
      <c r="AO1378" s="4">
        <v>6</v>
      </c>
      <c r="AP1378" s="3" t="s">
        <v>59</v>
      </c>
      <c r="AQ1378" s="3" t="s">
        <v>59</v>
      </c>
      <c r="AR1378" s="6"/>
      <c r="AS1378" s="6" t="str">
        <f>HYPERLINK("https://creighton-primo.hosted.exlibrisgroup.com/primo-explore/search?tab=default_tab&amp;search_scope=EVERYTHING&amp;vid=01CRU&amp;lang=en_US&amp;offset=0&amp;query=any,contains,991000791409702656","Catalog Record")</f>
        <v>Catalog Record</v>
      </c>
      <c r="AT1378" s="6" t="str">
        <f>HYPERLINK("http://www.worldcat.org/oclc/77800","WorldCat Record")</f>
        <v>WorldCat Record</v>
      </c>
    </row>
    <row r="1379" spans="1:46" ht="52.5" customHeight="1" x14ac:dyDescent="0.25">
      <c r="A1379" s="7" t="s">
        <v>59</v>
      </c>
      <c r="B1379" s="2" t="s">
        <v>16788</v>
      </c>
      <c r="C1379" s="2" t="s">
        <v>16789</v>
      </c>
      <c r="D1379" s="2" t="s">
        <v>16790</v>
      </c>
      <c r="F1379" s="3" t="s">
        <v>59</v>
      </c>
      <c r="G1379" s="3" t="s">
        <v>60</v>
      </c>
      <c r="H1379" s="3" t="s">
        <v>59</v>
      </c>
      <c r="I1379" s="3" t="s">
        <v>59</v>
      </c>
      <c r="J1379" s="3" t="s">
        <v>60</v>
      </c>
      <c r="K1379" s="2"/>
      <c r="L1379" s="2" t="s">
        <v>16791</v>
      </c>
      <c r="M1379" s="3" t="s">
        <v>9841</v>
      </c>
      <c r="O1379" s="3" t="s">
        <v>65</v>
      </c>
      <c r="P1379" s="3" t="s">
        <v>771</v>
      </c>
      <c r="R1379" s="3" t="s">
        <v>68</v>
      </c>
      <c r="S1379" s="4">
        <v>9</v>
      </c>
      <c r="T1379" s="4">
        <v>9</v>
      </c>
      <c r="U1379" s="5" t="s">
        <v>16757</v>
      </c>
      <c r="V1379" s="5" t="s">
        <v>16757</v>
      </c>
      <c r="W1379" s="5" t="s">
        <v>16792</v>
      </c>
      <c r="X1379" s="5" t="s">
        <v>16792</v>
      </c>
      <c r="Y1379" s="4">
        <v>1288</v>
      </c>
      <c r="Z1379" s="4">
        <v>1141</v>
      </c>
      <c r="AA1379" s="4">
        <v>1795</v>
      </c>
      <c r="AB1379" s="4">
        <v>8</v>
      </c>
      <c r="AC1379" s="4">
        <v>18</v>
      </c>
      <c r="AD1379" s="4">
        <v>46</v>
      </c>
      <c r="AE1379" s="4">
        <v>63</v>
      </c>
      <c r="AF1379" s="4">
        <v>17</v>
      </c>
      <c r="AG1379" s="4">
        <v>22</v>
      </c>
      <c r="AH1379" s="4">
        <v>9</v>
      </c>
      <c r="AI1379" s="4">
        <v>11</v>
      </c>
      <c r="AJ1379" s="4">
        <v>25</v>
      </c>
      <c r="AK1379" s="4">
        <v>26</v>
      </c>
      <c r="AL1379" s="4">
        <v>6</v>
      </c>
      <c r="AM1379" s="4">
        <v>15</v>
      </c>
      <c r="AN1379" s="4">
        <v>1</v>
      </c>
      <c r="AO1379" s="4">
        <v>2</v>
      </c>
      <c r="AP1379" s="3" t="s">
        <v>59</v>
      </c>
      <c r="AQ1379" s="3" t="s">
        <v>59</v>
      </c>
      <c r="AR1379" s="6"/>
      <c r="AS1379" s="6" t="str">
        <f>HYPERLINK("https://creighton-primo.hosted.exlibrisgroup.com/primo-explore/search?tab=default_tab&amp;search_scope=EVERYTHING&amp;vid=01CRU&amp;lang=en_US&amp;offset=0&amp;query=any,contains,991001249849702656","Catalog Record")</f>
        <v>Catalog Record</v>
      </c>
      <c r="AT1379" s="6" t="str">
        <f>HYPERLINK("http://www.worldcat.org/oclc/34117429","WorldCat Record")</f>
        <v>WorldCat Record</v>
      </c>
    </row>
    <row r="1380" spans="1:46" ht="52.5" customHeight="1" x14ac:dyDescent="0.25">
      <c r="A1380" s="7" t="s">
        <v>59</v>
      </c>
      <c r="B1380" s="2" t="s">
        <v>16793</v>
      </c>
      <c r="C1380" s="2" t="s">
        <v>16794</v>
      </c>
      <c r="D1380" s="2" t="s">
        <v>16795</v>
      </c>
      <c r="F1380" s="3" t="s">
        <v>59</v>
      </c>
      <c r="G1380" s="3" t="s">
        <v>60</v>
      </c>
      <c r="H1380" s="3" t="s">
        <v>59</v>
      </c>
      <c r="I1380" s="3" t="s">
        <v>59</v>
      </c>
      <c r="J1380" s="3" t="s">
        <v>61</v>
      </c>
      <c r="K1380" s="2" t="s">
        <v>13771</v>
      </c>
      <c r="L1380" s="2" t="s">
        <v>16796</v>
      </c>
      <c r="M1380" s="3" t="s">
        <v>131</v>
      </c>
      <c r="O1380" s="3" t="s">
        <v>65</v>
      </c>
      <c r="P1380" s="3" t="s">
        <v>283</v>
      </c>
      <c r="Q1380" t="s">
        <v>16797</v>
      </c>
      <c r="R1380" s="3" t="s">
        <v>68</v>
      </c>
      <c r="S1380" s="4">
        <v>4</v>
      </c>
      <c r="T1380" s="4">
        <v>4</v>
      </c>
      <c r="U1380" s="5" t="s">
        <v>1356</v>
      </c>
      <c r="V1380" s="5" t="s">
        <v>1356</v>
      </c>
      <c r="W1380" s="5" t="s">
        <v>16390</v>
      </c>
      <c r="X1380" s="5" t="s">
        <v>16390</v>
      </c>
      <c r="Y1380" s="4">
        <v>1100</v>
      </c>
      <c r="Z1380" s="4">
        <v>1003</v>
      </c>
      <c r="AA1380" s="4">
        <v>1007</v>
      </c>
      <c r="AB1380" s="4">
        <v>12</v>
      </c>
      <c r="AC1380" s="4">
        <v>12</v>
      </c>
      <c r="AD1380" s="4">
        <v>32</v>
      </c>
      <c r="AE1380" s="4">
        <v>32</v>
      </c>
      <c r="AF1380" s="4">
        <v>13</v>
      </c>
      <c r="AG1380" s="4">
        <v>13</v>
      </c>
      <c r="AH1380" s="4">
        <v>6</v>
      </c>
      <c r="AI1380" s="4">
        <v>6</v>
      </c>
      <c r="AJ1380" s="4">
        <v>17</v>
      </c>
      <c r="AK1380" s="4">
        <v>17</v>
      </c>
      <c r="AL1380" s="4">
        <v>5</v>
      </c>
      <c r="AM1380" s="4">
        <v>5</v>
      </c>
      <c r="AN1380" s="4">
        <v>0</v>
      </c>
      <c r="AO1380" s="4">
        <v>0</v>
      </c>
      <c r="AP1380" s="3" t="s">
        <v>59</v>
      </c>
      <c r="AQ1380" s="3" t="s">
        <v>71</v>
      </c>
      <c r="AR1380" s="6" t="str">
        <f>HYPERLINK("http://catalog.hathitrust.org/Record/000010393","HathiTrust Record")</f>
        <v>HathiTrust Record</v>
      </c>
      <c r="AS1380" s="6" t="str">
        <f>HYPERLINK("https://creighton-primo.hosted.exlibrisgroup.com/primo-explore/search?tab=default_tab&amp;search_scope=EVERYTHING&amp;vid=01CRU&amp;lang=en_US&amp;offset=0&amp;query=any,contains,991000791369702656","Catalog Record")</f>
        <v>Catalog Record</v>
      </c>
      <c r="AT1380" s="6" t="str">
        <f>HYPERLINK("http://www.worldcat.org/oclc/723005","WorldCat Record")</f>
        <v>WorldCat Record</v>
      </c>
    </row>
    <row r="1381" spans="1:46" ht="52.5" customHeight="1" x14ac:dyDescent="0.25">
      <c r="A1381" s="7" t="s">
        <v>59</v>
      </c>
      <c r="B1381" s="2" t="s">
        <v>16798</v>
      </c>
      <c r="C1381" s="2" t="s">
        <v>16799</v>
      </c>
      <c r="D1381" s="2" t="s">
        <v>16800</v>
      </c>
      <c r="F1381" s="3" t="s">
        <v>59</v>
      </c>
      <c r="G1381" s="3" t="s">
        <v>60</v>
      </c>
      <c r="H1381" s="3" t="s">
        <v>59</v>
      </c>
      <c r="I1381" s="3" t="s">
        <v>59</v>
      </c>
      <c r="J1381" s="3" t="s">
        <v>61</v>
      </c>
      <c r="K1381" s="2" t="s">
        <v>16801</v>
      </c>
      <c r="L1381" s="2" t="s">
        <v>16802</v>
      </c>
      <c r="M1381" s="3" t="s">
        <v>350</v>
      </c>
      <c r="O1381" s="3" t="s">
        <v>65</v>
      </c>
      <c r="P1381" s="3" t="s">
        <v>66</v>
      </c>
      <c r="Q1381" t="s">
        <v>16803</v>
      </c>
      <c r="R1381" s="3" t="s">
        <v>68</v>
      </c>
      <c r="S1381" s="4">
        <v>9</v>
      </c>
      <c r="T1381" s="4">
        <v>9</v>
      </c>
      <c r="U1381" s="5" t="s">
        <v>16757</v>
      </c>
      <c r="V1381" s="5" t="s">
        <v>16757</v>
      </c>
      <c r="W1381" s="5" t="s">
        <v>16804</v>
      </c>
      <c r="X1381" s="5" t="s">
        <v>16804</v>
      </c>
      <c r="Y1381" s="4">
        <v>327</v>
      </c>
      <c r="Z1381" s="4">
        <v>251</v>
      </c>
      <c r="AA1381" s="4">
        <v>258</v>
      </c>
      <c r="AB1381" s="4">
        <v>3</v>
      </c>
      <c r="AC1381" s="4">
        <v>3</v>
      </c>
      <c r="AD1381" s="4">
        <v>10</v>
      </c>
      <c r="AE1381" s="4">
        <v>10</v>
      </c>
      <c r="AF1381" s="4">
        <v>1</v>
      </c>
      <c r="AG1381" s="4">
        <v>1</v>
      </c>
      <c r="AH1381" s="4">
        <v>2</v>
      </c>
      <c r="AI1381" s="4">
        <v>2</v>
      </c>
      <c r="AJ1381" s="4">
        <v>8</v>
      </c>
      <c r="AK1381" s="4">
        <v>8</v>
      </c>
      <c r="AL1381" s="4">
        <v>2</v>
      </c>
      <c r="AM1381" s="4">
        <v>2</v>
      </c>
      <c r="AN1381" s="4">
        <v>0</v>
      </c>
      <c r="AO1381" s="4">
        <v>0</v>
      </c>
      <c r="AP1381" s="3" t="s">
        <v>59</v>
      </c>
      <c r="AQ1381" s="3" t="s">
        <v>71</v>
      </c>
      <c r="AR1381" s="6" t="str">
        <f>HYPERLINK("http://catalog.hathitrust.org/Record/000254303","HathiTrust Record")</f>
        <v>HathiTrust Record</v>
      </c>
      <c r="AS1381" s="6" t="str">
        <f>HYPERLINK("https://creighton-primo.hosted.exlibrisgroup.com/primo-explore/search?tab=default_tab&amp;search_scope=EVERYTHING&amp;vid=01CRU&amp;lang=en_US&amp;offset=0&amp;query=any,contains,991001353309702656","Catalog Record")</f>
        <v>Catalog Record</v>
      </c>
      <c r="AT1381" s="6" t="str">
        <f>HYPERLINK("http://www.worldcat.org/oclc/3090116","WorldCat Record")</f>
        <v>WorldCat Record</v>
      </c>
    </row>
    <row r="1382" spans="1:46" ht="52.5" customHeight="1" x14ac:dyDescent="0.25">
      <c r="A1382" s="7" t="s">
        <v>59</v>
      </c>
      <c r="B1382" s="2" t="s">
        <v>16805</v>
      </c>
      <c r="C1382" s="2" t="s">
        <v>16806</v>
      </c>
      <c r="D1382" s="2" t="s">
        <v>16807</v>
      </c>
      <c r="F1382" s="3" t="s">
        <v>59</v>
      </c>
      <c r="G1382" s="3" t="s">
        <v>60</v>
      </c>
      <c r="H1382" s="3" t="s">
        <v>59</v>
      </c>
      <c r="I1382" s="3" t="s">
        <v>71</v>
      </c>
      <c r="J1382" s="3" t="s">
        <v>60</v>
      </c>
      <c r="K1382" s="2" t="s">
        <v>12268</v>
      </c>
      <c r="L1382" s="2" t="s">
        <v>16808</v>
      </c>
      <c r="M1382" s="3" t="s">
        <v>115</v>
      </c>
      <c r="O1382" s="3" t="s">
        <v>65</v>
      </c>
      <c r="P1382" s="3" t="s">
        <v>66</v>
      </c>
      <c r="R1382" s="3" t="s">
        <v>68</v>
      </c>
      <c r="S1382" s="4">
        <v>2</v>
      </c>
      <c r="T1382" s="4">
        <v>2</v>
      </c>
      <c r="U1382" s="5" t="s">
        <v>16809</v>
      </c>
      <c r="V1382" s="5" t="s">
        <v>16809</v>
      </c>
      <c r="W1382" s="5" t="s">
        <v>16390</v>
      </c>
      <c r="X1382" s="5" t="s">
        <v>16390</v>
      </c>
      <c r="Y1382" s="4">
        <v>1005</v>
      </c>
      <c r="Z1382" s="4">
        <v>878</v>
      </c>
      <c r="AA1382" s="4">
        <v>2132</v>
      </c>
      <c r="AB1382" s="4">
        <v>5</v>
      </c>
      <c r="AC1382" s="4">
        <v>18</v>
      </c>
      <c r="AD1382" s="4">
        <v>34</v>
      </c>
      <c r="AE1382" s="4">
        <v>69</v>
      </c>
      <c r="AF1382" s="4">
        <v>12</v>
      </c>
      <c r="AG1382" s="4">
        <v>27</v>
      </c>
      <c r="AH1382" s="4">
        <v>8</v>
      </c>
      <c r="AI1382" s="4">
        <v>11</v>
      </c>
      <c r="AJ1382" s="4">
        <v>19</v>
      </c>
      <c r="AK1382" s="4">
        <v>28</v>
      </c>
      <c r="AL1382" s="4">
        <v>4</v>
      </c>
      <c r="AM1382" s="4">
        <v>14</v>
      </c>
      <c r="AN1382" s="4">
        <v>0</v>
      </c>
      <c r="AO1382" s="4">
        <v>3</v>
      </c>
      <c r="AP1382" s="3" t="s">
        <v>59</v>
      </c>
      <c r="AQ1382" s="3" t="s">
        <v>71</v>
      </c>
      <c r="AR1382" s="6" t="str">
        <f>HYPERLINK("http://catalog.hathitrust.org/Record/000431798","HathiTrust Record")</f>
        <v>HathiTrust Record</v>
      </c>
      <c r="AS1382" s="6" t="str">
        <f>HYPERLINK("https://creighton-primo.hosted.exlibrisgroup.com/primo-explore/search?tab=default_tab&amp;search_scope=EVERYTHING&amp;vid=01CRU&amp;lang=en_US&amp;offset=0&amp;query=any,contains,991000791189702656","Catalog Record")</f>
        <v>Catalog Record</v>
      </c>
      <c r="AT1382" s="6" t="str">
        <f>HYPERLINK("http://www.worldcat.org/oclc/389752","WorldCat Record")</f>
        <v>WorldCat Record</v>
      </c>
    </row>
    <row r="1383" spans="1:46" ht="52.5" customHeight="1" x14ac:dyDescent="0.25">
      <c r="A1383" s="7" t="s">
        <v>59</v>
      </c>
      <c r="B1383" s="2" t="s">
        <v>16810</v>
      </c>
      <c r="C1383" s="2" t="s">
        <v>16811</v>
      </c>
      <c r="D1383" s="2" t="s">
        <v>16812</v>
      </c>
      <c r="F1383" s="3" t="s">
        <v>59</v>
      </c>
      <c r="G1383" s="3" t="s">
        <v>60</v>
      </c>
      <c r="H1383" s="3" t="s">
        <v>59</v>
      </c>
      <c r="I1383" s="3" t="s">
        <v>59</v>
      </c>
      <c r="J1383" s="3" t="s">
        <v>61</v>
      </c>
      <c r="K1383" s="2" t="s">
        <v>15796</v>
      </c>
      <c r="L1383" s="2" t="s">
        <v>16813</v>
      </c>
      <c r="M1383" s="3" t="s">
        <v>684</v>
      </c>
      <c r="O1383" s="3" t="s">
        <v>65</v>
      </c>
      <c r="P1383" s="3" t="s">
        <v>66</v>
      </c>
      <c r="R1383" s="3" t="s">
        <v>68</v>
      </c>
      <c r="S1383" s="4">
        <v>5</v>
      </c>
      <c r="T1383" s="4">
        <v>5</v>
      </c>
      <c r="U1383" s="5" t="s">
        <v>16809</v>
      </c>
      <c r="V1383" s="5" t="s">
        <v>16809</v>
      </c>
      <c r="W1383" s="5" t="s">
        <v>16390</v>
      </c>
      <c r="X1383" s="5" t="s">
        <v>16390</v>
      </c>
      <c r="Y1383" s="4">
        <v>1658</v>
      </c>
      <c r="Z1383" s="4">
        <v>1511</v>
      </c>
      <c r="AA1383" s="4">
        <v>2043</v>
      </c>
      <c r="AB1383" s="4">
        <v>10</v>
      </c>
      <c r="AC1383" s="4">
        <v>12</v>
      </c>
      <c r="AD1383" s="4">
        <v>28</v>
      </c>
      <c r="AE1383" s="4">
        <v>33</v>
      </c>
      <c r="AF1383" s="4">
        <v>13</v>
      </c>
      <c r="AG1383" s="4">
        <v>15</v>
      </c>
      <c r="AH1383" s="4">
        <v>9</v>
      </c>
      <c r="AI1383" s="4">
        <v>9</v>
      </c>
      <c r="AJ1383" s="4">
        <v>10</v>
      </c>
      <c r="AK1383" s="4">
        <v>13</v>
      </c>
      <c r="AL1383" s="4">
        <v>2</v>
      </c>
      <c r="AM1383" s="4">
        <v>3</v>
      </c>
      <c r="AN1383" s="4">
        <v>0</v>
      </c>
      <c r="AO1383" s="4">
        <v>0</v>
      </c>
      <c r="AP1383" s="3" t="s">
        <v>59</v>
      </c>
      <c r="AQ1383" s="3" t="s">
        <v>71</v>
      </c>
      <c r="AR1383" s="6" t="str">
        <f>HYPERLINK("http://catalog.hathitrust.org/Record/000085462","HathiTrust Record")</f>
        <v>HathiTrust Record</v>
      </c>
      <c r="AS1383" s="6" t="str">
        <f>HYPERLINK("https://creighton-primo.hosted.exlibrisgroup.com/primo-explore/search?tab=default_tab&amp;search_scope=EVERYTHING&amp;vid=01CRU&amp;lang=en_US&amp;offset=0&amp;query=any,contains,991000791019702656","Catalog Record")</f>
        <v>Catalog Record</v>
      </c>
      <c r="AT1383" s="6" t="str">
        <f>HYPERLINK("http://www.worldcat.org/oclc/7170440","WorldCat Record")</f>
        <v>WorldCat Record</v>
      </c>
    </row>
    <row r="1384" spans="1:46" ht="52.5" customHeight="1" x14ac:dyDescent="0.25">
      <c r="A1384" s="7" t="s">
        <v>59</v>
      </c>
      <c r="B1384" s="2" t="s">
        <v>16814</v>
      </c>
      <c r="C1384" s="2" t="s">
        <v>16815</v>
      </c>
      <c r="D1384" s="2" t="s">
        <v>16816</v>
      </c>
      <c r="F1384" s="3" t="s">
        <v>59</v>
      </c>
      <c r="G1384" s="3" t="s">
        <v>60</v>
      </c>
      <c r="H1384" s="3" t="s">
        <v>59</v>
      </c>
      <c r="I1384" s="3" t="s">
        <v>59</v>
      </c>
      <c r="J1384" s="3" t="s">
        <v>61</v>
      </c>
      <c r="K1384" s="2" t="s">
        <v>16817</v>
      </c>
      <c r="L1384" s="2" t="s">
        <v>16818</v>
      </c>
      <c r="M1384" s="3" t="s">
        <v>1163</v>
      </c>
      <c r="O1384" s="3" t="s">
        <v>65</v>
      </c>
      <c r="P1384" s="3" t="s">
        <v>1530</v>
      </c>
      <c r="R1384" s="3" t="s">
        <v>68</v>
      </c>
      <c r="S1384" s="4">
        <v>8</v>
      </c>
      <c r="T1384" s="4">
        <v>8</v>
      </c>
      <c r="U1384" s="5" t="s">
        <v>16819</v>
      </c>
      <c r="V1384" s="5" t="s">
        <v>16819</v>
      </c>
      <c r="W1384" s="5" t="s">
        <v>16390</v>
      </c>
      <c r="X1384" s="5" t="s">
        <v>16390</v>
      </c>
      <c r="Y1384" s="4">
        <v>126</v>
      </c>
      <c r="Z1384" s="4">
        <v>121</v>
      </c>
      <c r="AA1384" s="4">
        <v>605</v>
      </c>
      <c r="AB1384" s="4">
        <v>1</v>
      </c>
      <c r="AC1384" s="4">
        <v>3</v>
      </c>
      <c r="AD1384" s="4">
        <v>6</v>
      </c>
      <c r="AE1384" s="4">
        <v>13</v>
      </c>
      <c r="AF1384" s="4">
        <v>1</v>
      </c>
      <c r="AG1384" s="4">
        <v>3</v>
      </c>
      <c r="AH1384" s="4">
        <v>1</v>
      </c>
      <c r="AI1384" s="4">
        <v>3</v>
      </c>
      <c r="AJ1384" s="4">
        <v>4</v>
      </c>
      <c r="AK1384" s="4">
        <v>8</v>
      </c>
      <c r="AL1384" s="4">
        <v>0</v>
      </c>
      <c r="AM1384" s="4">
        <v>1</v>
      </c>
      <c r="AN1384" s="4">
        <v>0</v>
      </c>
      <c r="AO1384" s="4">
        <v>0</v>
      </c>
      <c r="AP1384" s="3" t="s">
        <v>59</v>
      </c>
      <c r="AQ1384" s="3" t="s">
        <v>59</v>
      </c>
      <c r="AR1384" s="6"/>
      <c r="AS1384" s="6" t="str">
        <f>HYPERLINK("https://creighton-primo.hosted.exlibrisgroup.com/primo-explore/search?tab=default_tab&amp;search_scope=EVERYTHING&amp;vid=01CRU&amp;lang=en_US&amp;offset=0&amp;query=any,contains,991000791049702656","Catalog Record")</f>
        <v>Catalog Record</v>
      </c>
      <c r="AT1384" s="6" t="str">
        <f>HYPERLINK("http://www.worldcat.org/oclc/12656860","WorldCat Record")</f>
        <v>WorldCat Record</v>
      </c>
    </row>
    <row r="1385" spans="1:46" ht="52.5" customHeight="1" x14ac:dyDescent="0.25">
      <c r="A1385" s="7" t="s">
        <v>59</v>
      </c>
      <c r="B1385" s="2" t="s">
        <v>16820</v>
      </c>
      <c r="C1385" s="2" t="s">
        <v>16821</v>
      </c>
      <c r="D1385" s="2" t="s">
        <v>16822</v>
      </c>
      <c r="F1385" s="3" t="s">
        <v>59</v>
      </c>
      <c r="G1385" s="3" t="s">
        <v>60</v>
      </c>
      <c r="H1385" s="3" t="s">
        <v>59</v>
      </c>
      <c r="I1385" s="3" t="s">
        <v>59</v>
      </c>
      <c r="J1385" s="3" t="s">
        <v>61</v>
      </c>
      <c r="K1385" s="2" t="s">
        <v>16823</v>
      </c>
      <c r="L1385" s="2" t="s">
        <v>16824</v>
      </c>
      <c r="M1385" s="3" t="s">
        <v>131</v>
      </c>
      <c r="O1385" s="3" t="s">
        <v>65</v>
      </c>
      <c r="P1385" s="3" t="s">
        <v>7774</v>
      </c>
      <c r="R1385" s="3" t="s">
        <v>68</v>
      </c>
      <c r="S1385" s="4">
        <v>4</v>
      </c>
      <c r="T1385" s="4">
        <v>4</v>
      </c>
      <c r="U1385" s="5" t="s">
        <v>16825</v>
      </c>
      <c r="V1385" s="5" t="s">
        <v>16825</v>
      </c>
      <c r="W1385" s="5" t="s">
        <v>16390</v>
      </c>
      <c r="X1385" s="5" t="s">
        <v>16390</v>
      </c>
      <c r="Y1385" s="4">
        <v>336</v>
      </c>
      <c r="Z1385" s="4">
        <v>308</v>
      </c>
      <c r="AA1385" s="4">
        <v>308</v>
      </c>
      <c r="AB1385" s="4">
        <v>5</v>
      </c>
      <c r="AC1385" s="4">
        <v>5</v>
      </c>
      <c r="AD1385" s="4">
        <v>14</v>
      </c>
      <c r="AE1385" s="4">
        <v>14</v>
      </c>
      <c r="AF1385" s="4">
        <v>7</v>
      </c>
      <c r="AG1385" s="4">
        <v>7</v>
      </c>
      <c r="AH1385" s="4">
        <v>4</v>
      </c>
      <c r="AI1385" s="4">
        <v>4</v>
      </c>
      <c r="AJ1385" s="4">
        <v>6</v>
      </c>
      <c r="AK1385" s="4">
        <v>6</v>
      </c>
      <c r="AL1385" s="4">
        <v>3</v>
      </c>
      <c r="AM1385" s="4">
        <v>3</v>
      </c>
      <c r="AN1385" s="4">
        <v>0</v>
      </c>
      <c r="AO1385" s="4">
        <v>0</v>
      </c>
      <c r="AP1385" s="3" t="s">
        <v>59</v>
      </c>
      <c r="AQ1385" s="3" t="s">
        <v>59</v>
      </c>
      <c r="AR1385" s="6"/>
      <c r="AS1385" s="6" t="str">
        <f>HYPERLINK("https://creighton-primo.hosted.exlibrisgroup.com/primo-explore/search?tab=default_tab&amp;search_scope=EVERYTHING&amp;vid=01CRU&amp;lang=en_US&amp;offset=0&amp;query=any,contains,991000790969702656","Catalog Record")</f>
        <v>Catalog Record</v>
      </c>
      <c r="AT1385" s="6" t="str">
        <f>HYPERLINK("http://www.worldcat.org/oclc/922896","WorldCat Record")</f>
        <v>WorldCat Record</v>
      </c>
    </row>
    <row r="1386" spans="1:46" ht="52.5" customHeight="1" x14ac:dyDescent="0.25">
      <c r="A1386" s="7" t="s">
        <v>59</v>
      </c>
      <c r="B1386" s="2" t="s">
        <v>16826</v>
      </c>
      <c r="C1386" s="2" t="s">
        <v>16827</v>
      </c>
      <c r="D1386" s="2" t="s">
        <v>16828</v>
      </c>
      <c r="F1386" s="3" t="s">
        <v>59</v>
      </c>
      <c r="G1386" s="3" t="s">
        <v>60</v>
      </c>
      <c r="H1386" s="3" t="s">
        <v>59</v>
      </c>
      <c r="I1386" s="3" t="s">
        <v>59</v>
      </c>
      <c r="J1386" s="3" t="s">
        <v>61</v>
      </c>
      <c r="K1386" s="2" t="s">
        <v>16829</v>
      </c>
      <c r="L1386" s="2" t="s">
        <v>16830</v>
      </c>
      <c r="M1386" s="3" t="s">
        <v>684</v>
      </c>
      <c r="O1386" s="3" t="s">
        <v>65</v>
      </c>
      <c r="P1386" s="3" t="s">
        <v>1262</v>
      </c>
      <c r="Q1386" t="s">
        <v>16831</v>
      </c>
      <c r="R1386" s="3" t="s">
        <v>68</v>
      </c>
      <c r="S1386" s="4">
        <v>3</v>
      </c>
      <c r="T1386" s="4">
        <v>3</v>
      </c>
      <c r="U1386" s="5" t="s">
        <v>16832</v>
      </c>
      <c r="V1386" s="5" t="s">
        <v>16832</v>
      </c>
      <c r="W1386" s="5" t="s">
        <v>16390</v>
      </c>
      <c r="X1386" s="5" t="s">
        <v>16390</v>
      </c>
      <c r="Y1386" s="4">
        <v>289</v>
      </c>
      <c r="Z1386" s="4">
        <v>141</v>
      </c>
      <c r="AA1386" s="4">
        <v>147</v>
      </c>
      <c r="AB1386" s="4">
        <v>1</v>
      </c>
      <c r="AC1386" s="4">
        <v>1</v>
      </c>
      <c r="AD1386" s="4">
        <v>4</v>
      </c>
      <c r="AE1386" s="4">
        <v>4</v>
      </c>
      <c r="AF1386" s="4">
        <v>1</v>
      </c>
      <c r="AG1386" s="4">
        <v>1</v>
      </c>
      <c r="AH1386" s="4">
        <v>3</v>
      </c>
      <c r="AI1386" s="4">
        <v>3</v>
      </c>
      <c r="AJ1386" s="4">
        <v>2</v>
      </c>
      <c r="AK1386" s="4">
        <v>2</v>
      </c>
      <c r="AL1386" s="4">
        <v>0</v>
      </c>
      <c r="AM1386" s="4">
        <v>0</v>
      </c>
      <c r="AN1386" s="4">
        <v>0</v>
      </c>
      <c r="AO1386" s="4">
        <v>0</v>
      </c>
      <c r="AP1386" s="3" t="s">
        <v>59</v>
      </c>
      <c r="AQ1386" s="3" t="s">
        <v>59</v>
      </c>
      <c r="AR1386" s="6"/>
      <c r="AS1386" s="6" t="str">
        <f>HYPERLINK("https://creighton-primo.hosted.exlibrisgroup.com/primo-explore/search?tab=default_tab&amp;search_scope=EVERYTHING&amp;vid=01CRU&amp;lang=en_US&amp;offset=0&amp;query=any,contains,991000790929702656","Catalog Record")</f>
        <v>Catalog Record</v>
      </c>
      <c r="AT1386" s="6" t="str">
        <f>HYPERLINK("http://www.worldcat.org/oclc/8284271","WorldCat Record")</f>
        <v>WorldCat Record</v>
      </c>
    </row>
    <row r="1387" spans="1:46" ht="52.5" customHeight="1" x14ac:dyDescent="0.25">
      <c r="A1387" s="7" t="s">
        <v>59</v>
      </c>
      <c r="B1387" s="2" t="s">
        <v>16833</v>
      </c>
      <c r="C1387" s="2" t="s">
        <v>16834</v>
      </c>
      <c r="D1387" s="2" t="s">
        <v>16835</v>
      </c>
      <c r="F1387" s="3" t="s">
        <v>59</v>
      </c>
      <c r="G1387" s="3" t="s">
        <v>60</v>
      </c>
      <c r="H1387" s="3" t="s">
        <v>59</v>
      </c>
      <c r="I1387" s="3" t="s">
        <v>59</v>
      </c>
      <c r="J1387" s="3" t="s">
        <v>61</v>
      </c>
      <c r="K1387" s="2"/>
      <c r="L1387" s="2" t="s">
        <v>16836</v>
      </c>
      <c r="M1387" s="3" t="s">
        <v>164</v>
      </c>
      <c r="O1387" s="3" t="s">
        <v>65</v>
      </c>
      <c r="P1387" s="3" t="s">
        <v>66</v>
      </c>
      <c r="Q1387" t="s">
        <v>16837</v>
      </c>
      <c r="R1387" s="3" t="s">
        <v>68</v>
      </c>
      <c r="S1387" s="4">
        <v>1</v>
      </c>
      <c r="T1387" s="4">
        <v>1</v>
      </c>
      <c r="U1387" s="5" t="s">
        <v>16838</v>
      </c>
      <c r="V1387" s="5" t="s">
        <v>16838</v>
      </c>
      <c r="W1387" s="5" t="s">
        <v>16390</v>
      </c>
      <c r="X1387" s="5" t="s">
        <v>16390</v>
      </c>
      <c r="Y1387" s="4">
        <v>402</v>
      </c>
      <c r="Z1387" s="4">
        <v>339</v>
      </c>
      <c r="AA1387" s="4">
        <v>363</v>
      </c>
      <c r="AB1387" s="4">
        <v>2</v>
      </c>
      <c r="AC1387" s="4">
        <v>3</v>
      </c>
      <c r="AD1387" s="4">
        <v>14</v>
      </c>
      <c r="AE1387" s="4">
        <v>17</v>
      </c>
      <c r="AF1387" s="4">
        <v>6</v>
      </c>
      <c r="AG1387" s="4">
        <v>7</v>
      </c>
      <c r="AH1387" s="4">
        <v>4</v>
      </c>
      <c r="AI1387" s="4">
        <v>5</v>
      </c>
      <c r="AJ1387" s="4">
        <v>8</v>
      </c>
      <c r="AK1387" s="4">
        <v>8</v>
      </c>
      <c r="AL1387" s="4">
        <v>1</v>
      </c>
      <c r="AM1387" s="4">
        <v>2</v>
      </c>
      <c r="AN1387" s="4">
        <v>0</v>
      </c>
      <c r="AO1387" s="4">
        <v>0</v>
      </c>
      <c r="AP1387" s="3" t="s">
        <v>59</v>
      </c>
      <c r="AQ1387" s="3" t="s">
        <v>71</v>
      </c>
      <c r="AR1387" s="6" t="str">
        <f>HYPERLINK("http://catalog.hathitrust.org/Record/000112040","HathiTrust Record")</f>
        <v>HathiTrust Record</v>
      </c>
      <c r="AS1387" s="6" t="str">
        <f>HYPERLINK("https://creighton-primo.hosted.exlibrisgroup.com/primo-explore/search?tab=default_tab&amp;search_scope=EVERYTHING&amp;vid=01CRU&amp;lang=en_US&amp;offset=0&amp;query=any,contains,991000790819702656","Catalog Record")</f>
        <v>Catalog Record</v>
      </c>
      <c r="AT1387" s="6" t="str">
        <f>HYPERLINK("http://www.worldcat.org/oclc/4884766","WorldCat Record")</f>
        <v>WorldCat Record</v>
      </c>
    </row>
    <row r="1388" spans="1:46" ht="52.5" customHeight="1" x14ac:dyDescent="0.25">
      <c r="A1388" s="7" t="s">
        <v>59</v>
      </c>
      <c r="B1388" s="2" t="s">
        <v>16839</v>
      </c>
      <c r="C1388" s="2" t="s">
        <v>16840</v>
      </c>
      <c r="D1388" s="2" t="s">
        <v>16841</v>
      </c>
      <c r="F1388" s="3" t="s">
        <v>59</v>
      </c>
      <c r="G1388" s="3" t="s">
        <v>60</v>
      </c>
      <c r="H1388" s="3" t="s">
        <v>59</v>
      </c>
      <c r="I1388" s="3" t="s">
        <v>59</v>
      </c>
      <c r="J1388" s="3" t="s">
        <v>61</v>
      </c>
      <c r="K1388" s="2" t="s">
        <v>16842</v>
      </c>
      <c r="L1388" s="2" t="s">
        <v>16843</v>
      </c>
      <c r="M1388" s="3" t="s">
        <v>1163</v>
      </c>
      <c r="O1388" s="3" t="s">
        <v>65</v>
      </c>
      <c r="P1388" s="3" t="s">
        <v>16396</v>
      </c>
      <c r="R1388" s="3" t="s">
        <v>68</v>
      </c>
      <c r="S1388" s="4">
        <v>1</v>
      </c>
      <c r="T1388" s="4">
        <v>1</v>
      </c>
      <c r="U1388" s="5" t="s">
        <v>16844</v>
      </c>
      <c r="V1388" s="5" t="s">
        <v>16844</v>
      </c>
      <c r="W1388" s="5" t="s">
        <v>16845</v>
      </c>
      <c r="X1388" s="5" t="s">
        <v>16845</v>
      </c>
      <c r="Y1388" s="4">
        <v>423</v>
      </c>
      <c r="Z1388" s="4">
        <v>377</v>
      </c>
      <c r="AA1388" s="4">
        <v>379</v>
      </c>
      <c r="AB1388" s="4">
        <v>2</v>
      </c>
      <c r="AC1388" s="4">
        <v>2</v>
      </c>
      <c r="AD1388" s="4">
        <v>14</v>
      </c>
      <c r="AE1388" s="4">
        <v>14</v>
      </c>
      <c r="AF1388" s="4">
        <v>5</v>
      </c>
      <c r="AG1388" s="4">
        <v>5</v>
      </c>
      <c r="AH1388" s="4">
        <v>4</v>
      </c>
      <c r="AI1388" s="4">
        <v>4</v>
      </c>
      <c r="AJ1388" s="4">
        <v>7</v>
      </c>
      <c r="AK1388" s="4">
        <v>7</v>
      </c>
      <c r="AL1388" s="4">
        <v>1</v>
      </c>
      <c r="AM1388" s="4">
        <v>1</v>
      </c>
      <c r="AN1388" s="4">
        <v>0</v>
      </c>
      <c r="AO1388" s="4">
        <v>0</v>
      </c>
      <c r="AP1388" s="3" t="s">
        <v>71</v>
      </c>
      <c r="AQ1388" s="3" t="s">
        <v>59</v>
      </c>
      <c r="AR1388" s="6" t="str">
        <f>HYPERLINK("http://catalog.hathitrust.org/Record/000653217","HathiTrust Record")</f>
        <v>HathiTrust Record</v>
      </c>
      <c r="AS1388" s="6" t="str">
        <f>HYPERLINK("https://creighton-primo.hosted.exlibrisgroup.com/primo-explore/search?tab=default_tab&amp;search_scope=EVERYTHING&amp;vid=01CRU&amp;lang=en_US&amp;offset=0&amp;query=any,contains,991000773849702656","Catalog Record")</f>
        <v>Catalog Record</v>
      </c>
      <c r="AT1388" s="6" t="str">
        <f>HYPERLINK("http://www.worldcat.org/oclc/11972576","WorldCat Record")</f>
        <v>WorldCat Record</v>
      </c>
    </row>
    <row r="1389" spans="1:46" ht="52.5" customHeight="1" x14ac:dyDescent="0.25">
      <c r="A1389" s="7" t="s">
        <v>59</v>
      </c>
      <c r="B1389" s="2" t="s">
        <v>16846</v>
      </c>
      <c r="C1389" s="2" t="s">
        <v>16847</v>
      </c>
      <c r="D1389" s="2" t="s">
        <v>16009</v>
      </c>
      <c r="F1389" s="3" t="s">
        <v>59</v>
      </c>
      <c r="G1389" s="3" t="s">
        <v>60</v>
      </c>
      <c r="H1389" s="3" t="s">
        <v>71</v>
      </c>
      <c r="I1389" s="3" t="s">
        <v>59</v>
      </c>
      <c r="J1389" s="3" t="s">
        <v>61</v>
      </c>
      <c r="K1389" s="2" t="s">
        <v>16010</v>
      </c>
      <c r="L1389" s="2" t="s">
        <v>16848</v>
      </c>
      <c r="M1389" s="3" t="s">
        <v>1163</v>
      </c>
      <c r="O1389" s="3" t="s">
        <v>65</v>
      </c>
      <c r="P1389" s="3" t="s">
        <v>16396</v>
      </c>
      <c r="R1389" s="3" t="s">
        <v>68</v>
      </c>
      <c r="S1389" s="4">
        <v>3</v>
      </c>
      <c r="T1389" s="4">
        <v>3</v>
      </c>
      <c r="U1389" s="5" t="s">
        <v>16809</v>
      </c>
      <c r="V1389" s="5" t="s">
        <v>16809</v>
      </c>
      <c r="W1389" s="5" t="s">
        <v>16390</v>
      </c>
      <c r="X1389" s="5" t="s">
        <v>16390</v>
      </c>
      <c r="Y1389" s="4">
        <v>348</v>
      </c>
      <c r="Z1389" s="4">
        <v>288</v>
      </c>
      <c r="AA1389" s="4">
        <v>290</v>
      </c>
      <c r="AB1389" s="4">
        <v>5</v>
      </c>
      <c r="AC1389" s="4">
        <v>5</v>
      </c>
      <c r="AD1389" s="4">
        <v>14</v>
      </c>
      <c r="AE1389" s="4">
        <v>14</v>
      </c>
      <c r="AF1389" s="4">
        <v>5</v>
      </c>
      <c r="AG1389" s="4">
        <v>5</v>
      </c>
      <c r="AH1389" s="4">
        <v>3</v>
      </c>
      <c r="AI1389" s="4">
        <v>3</v>
      </c>
      <c r="AJ1389" s="4">
        <v>11</v>
      </c>
      <c r="AK1389" s="4">
        <v>11</v>
      </c>
      <c r="AL1389" s="4">
        <v>2</v>
      </c>
      <c r="AM1389" s="4">
        <v>2</v>
      </c>
      <c r="AN1389" s="4">
        <v>0</v>
      </c>
      <c r="AO1389" s="4">
        <v>0</v>
      </c>
      <c r="AP1389" s="3" t="s">
        <v>59</v>
      </c>
      <c r="AQ1389" s="3" t="s">
        <v>71</v>
      </c>
      <c r="AR1389" s="6" t="str">
        <f>HYPERLINK("http://catalog.hathitrust.org/Record/000616176","HathiTrust Record")</f>
        <v>HathiTrust Record</v>
      </c>
      <c r="AS1389" s="6" t="str">
        <f>HYPERLINK("https://creighton-primo.hosted.exlibrisgroup.com/primo-explore/search?tab=default_tab&amp;search_scope=EVERYTHING&amp;vid=01CRU&amp;lang=en_US&amp;offset=0&amp;query=any,contains,991000790569702656","Catalog Record")</f>
        <v>Catalog Record</v>
      </c>
      <c r="AT1389" s="6" t="str">
        <f>HYPERLINK("http://www.worldcat.org/oclc/11867244","WorldCat Record")</f>
        <v>WorldCat Record</v>
      </c>
    </row>
    <row r="1390" spans="1:46" ht="52.5" customHeight="1" x14ac:dyDescent="0.25">
      <c r="A1390" s="7" t="s">
        <v>59</v>
      </c>
      <c r="B1390" s="2" t="s">
        <v>16849</v>
      </c>
      <c r="C1390" s="2" t="s">
        <v>16850</v>
      </c>
      <c r="D1390" s="2" t="s">
        <v>16851</v>
      </c>
      <c r="F1390" s="3" t="s">
        <v>59</v>
      </c>
      <c r="G1390" s="3" t="s">
        <v>60</v>
      </c>
      <c r="H1390" s="3" t="s">
        <v>59</v>
      </c>
      <c r="I1390" s="3" t="s">
        <v>59</v>
      </c>
      <c r="J1390" s="3" t="s">
        <v>61</v>
      </c>
      <c r="K1390" s="2" t="s">
        <v>16852</v>
      </c>
      <c r="L1390" s="2"/>
      <c r="M1390" s="3" t="s">
        <v>549</v>
      </c>
      <c r="O1390" s="3" t="s">
        <v>65</v>
      </c>
      <c r="P1390" s="3" t="s">
        <v>2845</v>
      </c>
      <c r="R1390" s="3" t="s">
        <v>68</v>
      </c>
      <c r="S1390" s="4">
        <v>6</v>
      </c>
      <c r="T1390" s="4">
        <v>6</v>
      </c>
      <c r="U1390" s="5" t="s">
        <v>16853</v>
      </c>
      <c r="V1390" s="5" t="s">
        <v>16853</v>
      </c>
      <c r="W1390" s="5" t="s">
        <v>16854</v>
      </c>
      <c r="X1390" s="5" t="s">
        <v>16854</v>
      </c>
      <c r="Y1390" s="4">
        <v>1</v>
      </c>
      <c r="Z1390" s="4">
        <v>1</v>
      </c>
      <c r="AA1390" s="4">
        <v>1</v>
      </c>
      <c r="AB1390" s="4">
        <v>1</v>
      </c>
      <c r="AC1390" s="4">
        <v>1</v>
      </c>
      <c r="AD1390" s="4">
        <v>0</v>
      </c>
      <c r="AE1390" s="4">
        <v>0</v>
      </c>
      <c r="AF1390" s="4">
        <v>0</v>
      </c>
      <c r="AG1390" s="4">
        <v>0</v>
      </c>
      <c r="AH1390" s="4">
        <v>0</v>
      </c>
      <c r="AI1390" s="4">
        <v>0</v>
      </c>
      <c r="AJ1390" s="4">
        <v>0</v>
      </c>
      <c r="AK1390" s="4">
        <v>0</v>
      </c>
      <c r="AL1390" s="4">
        <v>0</v>
      </c>
      <c r="AM1390" s="4">
        <v>0</v>
      </c>
      <c r="AN1390" s="4">
        <v>0</v>
      </c>
      <c r="AO1390" s="4">
        <v>0</v>
      </c>
      <c r="AP1390" s="3" t="s">
        <v>59</v>
      </c>
      <c r="AQ1390" s="3" t="s">
        <v>59</v>
      </c>
      <c r="AR1390" s="6"/>
      <c r="AS1390" s="6" t="str">
        <f>HYPERLINK("https://creighton-primo.hosted.exlibrisgroup.com/primo-explore/search?tab=default_tab&amp;search_scope=EVERYTHING&amp;vid=01CRU&amp;lang=en_US&amp;offset=0&amp;query=any,contains,991001243059702656","Catalog Record")</f>
        <v>Catalog Record</v>
      </c>
      <c r="AT1390" s="6" t="str">
        <f>HYPERLINK("http://www.worldcat.org/oclc/18215434","WorldCat Record")</f>
        <v>WorldCat Record</v>
      </c>
    </row>
    <row r="1391" spans="1:46" ht="52.5" customHeight="1" x14ac:dyDescent="0.25">
      <c r="A1391" s="7" t="s">
        <v>59</v>
      </c>
      <c r="B1391" s="2" t="s">
        <v>16855</v>
      </c>
      <c r="C1391" s="2" t="s">
        <v>16856</v>
      </c>
      <c r="D1391" s="2" t="s">
        <v>16857</v>
      </c>
      <c r="F1391" s="3" t="s">
        <v>59</v>
      </c>
      <c r="G1391" s="3" t="s">
        <v>60</v>
      </c>
      <c r="H1391" s="3" t="s">
        <v>59</v>
      </c>
      <c r="I1391" s="3" t="s">
        <v>59</v>
      </c>
      <c r="J1391" s="3" t="s">
        <v>61</v>
      </c>
      <c r="K1391" s="2" t="s">
        <v>16858</v>
      </c>
      <c r="L1391" s="2" t="s">
        <v>16859</v>
      </c>
      <c r="M1391" s="3" t="s">
        <v>405</v>
      </c>
      <c r="N1391" t="s">
        <v>16860</v>
      </c>
      <c r="O1391" s="3" t="s">
        <v>65</v>
      </c>
      <c r="P1391" s="3" t="s">
        <v>16861</v>
      </c>
      <c r="R1391" s="3" t="s">
        <v>68</v>
      </c>
      <c r="S1391" s="4">
        <v>7</v>
      </c>
      <c r="T1391" s="4">
        <v>7</v>
      </c>
      <c r="U1391" s="5" t="s">
        <v>16862</v>
      </c>
      <c r="V1391" s="5" t="s">
        <v>16862</v>
      </c>
      <c r="W1391" s="5" t="s">
        <v>16863</v>
      </c>
      <c r="X1391" s="5" t="s">
        <v>16863</v>
      </c>
      <c r="Y1391" s="4">
        <v>40</v>
      </c>
      <c r="Z1391" s="4">
        <v>17</v>
      </c>
      <c r="AA1391" s="4">
        <v>79</v>
      </c>
      <c r="AB1391" s="4">
        <v>1</v>
      </c>
      <c r="AC1391" s="4">
        <v>1</v>
      </c>
      <c r="AD1391" s="4">
        <v>0</v>
      </c>
      <c r="AE1391" s="4">
        <v>0</v>
      </c>
      <c r="AF1391" s="4">
        <v>0</v>
      </c>
      <c r="AG1391" s="4">
        <v>0</v>
      </c>
      <c r="AH1391" s="4">
        <v>0</v>
      </c>
      <c r="AI1391" s="4">
        <v>0</v>
      </c>
      <c r="AJ1391" s="4">
        <v>0</v>
      </c>
      <c r="AK1391" s="4">
        <v>0</v>
      </c>
      <c r="AL1391" s="4">
        <v>0</v>
      </c>
      <c r="AM1391" s="4">
        <v>0</v>
      </c>
      <c r="AN1391" s="4">
        <v>0</v>
      </c>
      <c r="AO1391" s="4">
        <v>0</v>
      </c>
      <c r="AP1391" s="3" t="s">
        <v>59</v>
      </c>
      <c r="AQ1391" s="3" t="s">
        <v>59</v>
      </c>
      <c r="AR1391" s="6"/>
      <c r="AS1391" s="6" t="str">
        <f>HYPERLINK("https://creighton-primo.hosted.exlibrisgroup.com/primo-explore/search?tab=default_tab&amp;search_scope=EVERYTHING&amp;vid=01CRU&amp;lang=en_US&amp;offset=0&amp;query=any,contains,991001186579702656","Catalog Record")</f>
        <v>Catalog Record</v>
      </c>
      <c r="AT1391" s="6" t="str">
        <f>HYPERLINK("http://www.worldcat.org/oclc/18383216","WorldCat Record")</f>
        <v>WorldCat Record</v>
      </c>
    </row>
    <row r="1392" spans="1:46" ht="52.5" customHeight="1" x14ac:dyDescent="0.25">
      <c r="A1392" s="7" t="s">
        <v>59</v>
      </c>
      <c r="B1392" s="2" t="s">
        <v>16864</v>
      </c>
      <c r="C1392" s="2" t="s">
        <v>16865</v>
      </c>
      <c r="D1392" s="2" t="s">
        <v>16866</v>
      </c>
      <c r="F1392" s="3" t="s">
        <v>59</v>
      </c>
      <c r="G1392" s="3" t="s">
        <v>60</v>
      </c>
      <c r="H1392" s="3" t="s">
        <v>59</v>
      </c>
      <c r="I1392" s="3" t="s">
        <v>59</v>
      </c>
      <c r="J1392" s="3" t="s">
        <v>61</v>
      </c>
      <c r="K1392" s="2" t="s">
        <v>16867</v>
      </c>
      <c r="L1392" s="2" t="s">
        <v>16868</v>
      </c>
      <c r="M1392" s="3" t="s">
        <v>4228</v>
      </c>
      <c r="O1392" s="3" t="s">
        <v>65</v>
      </c>
      <c r="P1392" s="3" t="s">
        <v>66</v>
      </c>
      <c r="Q1392" t="s">
        <v>16869</v>
      </c>
      <c r="R1392" s="3" t="s">
        <v>68</v>
      </c>
      <c r="S1392" s="4">
        <v>2</v>
      </c>
      <c r="T1392" s="4">
        <v>2</v>
      </c>
      <c r="U1392" s="5" t="s">
        <v>16870</v>
      </c>
      <c r="V1392" s="5" t="s">
        <v>16870</v>
      </c>
      <c r="W1392" s="5" t="s">
        <v>134</v>
      </c>
      <c r="X1392" s="5" t="s">
        <v>134</v>
      </c>
      <c r="Y1392" s="4">
        <v>486</v>
      </c>
      <c r="Z1392" s="4">
        <v>426</v>
      </c>
      <c r="AA1392" s="4">
        <v>428</v>
      </c>
      <c r="AB1392" s="4">
        <v>4</v>
      </c>
      <c r="AC1392" s="4">
        <v>4</v>
      </c>
      <c r="AD1392" s="4">
        <v>22</v>
      </c>
      <c r="AE1392" s="4">
        <v>22</v>
      </c>
      <c r="AF1392" s="4">
        <v>8</v>
      </c>
      <c r="AG1392" s="4">
        <v>8</v>
      </c>
      <c r="AH1392" s="4">
        <v>4</v>
      </c>
      <c r="AI1392" s="4">
        <v>4</v>
      </c>
      <c r="AJ1392" s="4">
        <v>12</v>
      </c>
      <c r="AK1392" s="4">
        <v>12</v>
      </c>
      <c r="AL1392" s="4">
        <v>2</v>
      </c>
      <c r="AM1392" s="4">
        <v>2</v>
      </c>
      <c r="AN1392" s="4">
        <v>0</v>
      </c>
      <c r="AO1392" s="4">
        <v>0</v>
      </c>
      <c r="AP1392" s="3" t="s">
        <v>59</v>
      </c>
      <c r="AQ1392" s="3" t="s">
        <v>71</v>
      </c>
      <c r="AR1392" s="6" t="str">
        <f>HYPERLINK("http://catalog.hathitrust.org/Record/002635504","HathiTrust Record")</f>
        <v>HathiTrust Record</v>
      </c>
      <c r="AS1392" s="6" t="str">
        <f>HYPERLINK("https://creighton-primo.hosted.exlibrisgroup.com/primo-explore/search?tab=default_tab&amp;search_scope=EVERYTHING&amp;vid=01CRU&amp;lang=en_US&amp;offset=0&amp;query=any,contains,991000234229702656","Catalog Record")</f>
        <v>Catalog Record</v>
      </c>
      <c r="AT1392" s="6" t="str">
        <f>HYPERLINK("http://www.worldcat.org/oclc/25784207","WorldCat Record")</f>
        <v>WorldCat Record</v>
      </c>
    </row>
    <row r="1393" spans="1:46" ht="52.5" customHeight="1" x14ac:dyDescent="0.25">
      <c r="A1393" s="7" t="s">
        <v>59</v>
      </c>
      <c r="B1393" s="2" t="s">
        <v>16871</v>
      </c>
      <c r="C1393" s="2" t="s">
        <v>16872</v>
      </c>
      <c r="D1393" s="2" t="s">
        <v>16873</v>
      </c>
      <c r="F1393" s="3" t="s">
        <v>59</v>
      </c>
      <c r="G1393" s="3" t="s">
        <v>60</v>
      </c>
      <c r="H1393" s="3" t="s">
        <v>59</v>
      </c>
      <c r="I1393" s="3" t="s">
        <v>59</v>
      </c>
      <c r="J1393" s="3" t="s">
        <v>61</v>
      </c>
      <c r="K1393" s="2" t="s">
        <v>16874</v>
      </c>
      <c r="L1393" s="2" t="s">
        <v>16875</v>
      </c>
      <c r="M1393" s="3" t="s">
        <v>549</v>
      </c>
      <c r="O1393" s="3" t="s">
        <v>65</v>
      </c>
      <c r="P1393" s="3" t="s">
        <v>16396</v>
      </c>
      <c r="R1393" s="3" t="s">
        <v>68</v>
      </c>
      <c r="S1393" s="4">
        <v>2</v>
      </c>
      <c r="T1393" s="4">
        <v>2</v>
      </c>
      <c r="U1393" s="5" t="s">
        <v>16876</v>
      </c>
      <c r="V1393" s="5" t="s">
        <v>16876</v>
      </c>
      <c r="W1393" s="5" t="s">
        <v>16390</v>
      </c>
      <c r="X1393" s="5" t="s">
        <v>16390</v>
      </c>
      <c r="Y1393" s="4">
        <v>402</v>
      </c>
      <c r="Z1393" s="4">
        <v>347</v>
      </c>
      <c r="AA1393" s="4">
        <v>363</v>
      </c>
      <c r="AB1393" s="4">
        <v>2</v>
      </c>
      <c r="AC1393" s="4">
        <v>2</v>
      </c>
      <c r="AD1393" s="4">
        <v>19</v>
      </c>
      <c r="AE1393" s="4">
        <v>20</v>
      </c>
      <c r="AF1393" s="4">
        <v>7</v>
      </c>
      <c r="AG1393" s="4">
        <v>8</v>
      </c>
      <c r="AH1393" s="4">
        <v>5</v>
      </c>
      <c r="AI1393" s="4">
        <v>5</v>
      </c>
      <c r="AJ1393" s="4">
        <v>10</v>
      </c>
      <c r="AK1393" s="4">
        <v>10</v>
      </c>
      <c r="AL1393" s="4">
        <v>1</v>
      </c>
      <c r="AM1393" s="4">
        <v>1</v>
      </c>
      <c r="AN1393" s="4">
        <v>0</v>
      </c>
      <c r="AO1393" s="4">
        <v>0</v>
      </c>
      <c r="AP1393" s="3" t="s">
        <v>59</v>
      </c>
      <c r="AQ1393" s="3" t="s">
        <v>59</v>
      </c>
      <c r="AR1393" s="6"/>
      <c r="AS1393" s="6" t="str">
        <f>HYPERLINK("https://creighton-primo.hosted.exlibrisgroup.com/primo-explore/search?tab=default_tab&amp;search_scope=EVERYTHING&amp;vid=01CRU&amp;lang=en_US&amp;offset=0&amp;query=any,contains,991000790429702656","Catalog Record")</f>
        <v>Catalog Record</v>
      </c>
      <c r="AT1393" s="6" t="str">
        <f>HYPERLINK("http://www.worldcat.org/oclc/12421861","WorldCat Record")</f>
        <v>WorldCat Record</v>
      </c>
    </row>
    <row r="1394" spans="1:46" ht="52.5" customHeight="1" x14ac:dyDescent="0.25">
      <c r="A1394" s="7" t="s">
        <v>59</v>
      </c>
      <c r="B1394" s="2" t="s">
        <v>16877</v>
      </c>
      <c r="C1394" s="2" t="s">
        <v>16878</v>
      </c>
      <c r="D1394" s="2" t="s">
        <v>16879</v>
      </c>
      <c r="F1394" s="3" t="s">
        <v>59</v>
      </c>
      <c r="G1394" s="3" t="s">
        <v>60</v>
      </c>
      <c r="H1394" s="3" t="s">
        <v>59</v>
      </c>
      <c r="I1394" s="3" t="s">
        <v>59</v>
      </c>
      <c r="J1394" s="3" t="s">
        <v>61</v>
      </c>
      <c r="K1394" s="2"/>
      <c r="L1394" s="2" t="s">
        <v>16880</v>
      </c>
      <c r="M1394" s="3" t="s">
        <v>16881</v>
      </c>
      <c r="N1394" t="s">
        <v>1975</v>
      </c>
      <c r="O1394" s="3" t="s">
        <v>65</v>
      </c>
      <c r="P1394" s="3" t="s">
        <v>283</v>
      </c>
      <c r="R1394" s="3" t="s">
        <v>68</v>
      </c>
      <c r="S1394" s="4">
        <v>0</v>
      </c>
      <c r="T1394" s="4">
        <v>0</v>
      </c>
      <c r="U1394" s="5" t="s">
        <v>1870</v>
      </c>
      <c r="V1394" s="5" t="s">
        <v>1870</v>
      </c>
      <c r="W1394" s="5" t="s">
        <v>16882</v>
      </c>
      <c r="X1394" s="5" t="s">
        <v>16882</v>
      </c>
      <c r="Y1394" s="4">
        <v>244</v>
      </c>
      <c r="Z1394" s="4">
        <v>159</v>
      </c>
      <c r="AA1394" s="4">
        <v>495</v>
      </c>
      <c r="AB1394" s="4">
        <v>3</v>
      </c>
      <c r="AC1394" s="4">
        <v>6</v>
      </c>
      <c r="AD1394" s="4">
        <v>9</v>
      </c>
      <c r="AE1394" s="4">
        <v>27</v>
      </c>
      <c r="AF1394" s="4">
        <v>1</v>
      </c>
      <c r="AG1394" s="4">
        <v>8</v>
      </c>
      <c r="AH1394" s="4">
        <v>2</v>
      </c>
      <c r="AI1394" s="4">
        <v>4</v>
      </c>
      <c r="AJ1394" s="4">
        <v>6</v>
      </c>
      <c r="AK1394" s="4">
        <v>16</v>
      </c>
      <c r="AL1394" s="4">
        <v>2</v>
      </c>
      <c r="AM1394" s="4">
        <v>5</v>
      </c>
      <c r="AN1394" s="4">
        <v>0</v>
      </c>
      <c r="AO1394" s="4">
        <v>0</v>
      </c>
      <c r="AP1394" s="3" t="s">
        <v>59</v>
      </c>
      <c r="AQ1394" s="3" t="s">
        <v>59</v>
      </c>
      <c r="AR1394" s="6"/>
      <c r="AS1394" s="6" t="str">
        <f>HYPERLINK("https://creighton-primo.hosted.exlibrisgroup.com/primo-explore/search?tab=default_tab&amp;search_scope=EVERYTHING&amp;vid=01CRU&amp;lang=en_US&amp;offset=0&amp;query=any,contains,991001476079702656","Catalog Record")</f>
        <v>Catalog Record</v>
      </c>
      <c r="AT1394" s="6" t="str">
        <f>HYPERLINK("http://www.worldcat.org/oclc/191763341","WorldCat Record")</f>
        <v>WorldCat Record</v>
      </c>
    </row>
    <row r="1395" spans="1:46" ht="52.5" customHeight="1" x14ac:dyDescent="0.25">
      <c r="A1395" s="7" t="s">
        <v>59</v>
      </c>
      <c r="B1395" s="2" t="s">
        <v>16883</v>
      </c>
      <c r="C1395" s="2" t="s">
        <v>16884</v>
      </c>
      <c r="D1395" s="2" t="s">
        <v>16885</v>
      </c>
      <c r="F1395" s="3" t="s">
        <v>59</v>
      </c>
      <c r="G1395" s="3" t="s">
        <v>60</v>
      </c>
      <c r="H1395" s="3" t="s">
        <v>59</v>
      </c>
      <c r="I1395" s="3" t="s">
        <v>59</v>
      </c>
      <c r="J1395" s="3" t="s">
        <v>61</v>
      </c>
      <c r="K1395" s="2" t="s">
        <v>432</v>
      </c>
      <c r="L1395" s="2" t="s">
        <v>16886</v>
      </c>
      <c r="M1395" s="3" t="s">
        <v>115</v>
      </c>
      <c r="N1395" t="s">
        <v>1975</v>
      </c>
      <c r="O1395" s="3" t="s">
        <v>65</v>
      </c>
      <c r="P1395" s="3" t="s">
        <v>66</v>
      </c>
      <c r="R1395" s="3" t="s">
        <v>68</v>
      </c>
      <c r="S1395" s="4">
        <v>4</v>
      </c>
      <c r="T1395" s="4">
        <v>4</v>
      </c>
      <c r="U1395" s="5" t="s">
        <v>16887</v>
      </c>
      <c r="V1395" s="5" t="s">
        <v>16887</v>
      </c>
      <c r="W1395" s="5" t="s">
        <v>16888</v>
      </c>
      <c r="X1395" s="5" t="s">
        <v>16888</v>
      </c>
      <c r="Y1395" s="4">
        <v>598</v>
      </c>
      <c r="Z1395" s="4">
        <v>498</v>
      </c>
      <c r="AA1395" s="4">
        <v>1238</v>
      </c>
      <c r="AB1395" s="4">
        <v>3</v>
      </c>
      <c r="AC1395" s="4">
        <v>9</v>
      </c>
      <c r="AD1395" s="4">
        <v>21</v>
      </c>
      <c r="AE1395" s="4">
        <v>47</v>
      </c>
      <c r="AF1395" s="4">
        <v>5</v>
      </c>
      <c r="AG1395" s="4">
        <v>20</v>
      </c>
      <c r="AH1395" s="4">
        <v>5</v>
      </c>
      <c r="AI1395" s="4">
        <v>9</v>
      </c>
      <c r="AJ1395" s="4">
        <v>14</v>
      </c>
      <c r="AK1395" s="4">
        <v>25</v>
      </c>
      <c r="AL1395" s="4">
        <v>2</v>
      </c>
      <c r="AM1395" s="4">
        <v>6</v>
      </c>
      <c r="AN1395" s="4">
        <v>0</v>
      </c>
      <c r="AO1395" s="4">
        <v>0</v>
      </c>
      <c r="AP1395" s="3" t="s">
        <v>59</v>
      </c>
      <c r="AQ1395" s="3" t="s">
        <v>71</v>
      </c>
      <c r="AR1395" s="6" t="str">
        <f>HYPERLINK("http://catalog.hathitrust.org/Record/000580967","HathiTrust Record")</f>
        <v>HathiTrust Record</v>
      </c>
      <c r="AS1395" s="6" t="str">
        <f>HYPERLINK("https://creighton-primo.hosted.exlibrisgroup.com/primo-explore/search?tab=default_tab&amp;search_scope=EVERYTHING&amp;vid=01CRU&amp;lang=en_US&amp;offset=0&amp;query=any,contains,991000786719702656","Catalog Record")</f>
        <v>Catalog Record</v>
      </c>
      <c r="AT1395" s="6" t="str">
        <f>HYPERLINK("http://www.worldcat.org/oclc/352696","WorldCat Record")</f>
        <v>WorldCat Record</v>
      </c>
    </row>
    <row r="1396" spans="1:46" ht="52.5" customHeight="1" x14ac:dyDescent="0.25">
      <c r="A1396" s="7" t="s">
        <v>59</v>
      </c>
      <c r="B1396" s="2" t="s">
        <v>16889</v>
      </c>
      <c r="C1396" s="2" t="s">
        <v>16890</v>
      </c>
      <c r="D1396" s="2" t="s">
        <v>16891</v>
      </c>
      <c r="F1396" s="3" t="s">
        <v>59</v>
      </c>
      <c r="G1396" s="3" t="s">
        <v>60</v>
      </c>
      <c r="H1396" s="3" t="s">
        <v>59</v>
      </c>
      <c r="I1396" s="3" t="s">
        <v>59</v>
      </c>
      <c r="J1396" s="3" t="s">
        <v>61</v>
      </c>
      <c r="K1396" s="2" t="s">
        <v>16892</v>
      </c>
      <c r="L1396" s="2" t="s">
        <v>16893</v>
      </c>
      <c r="M1396" s="3" t="s">
        <v>115</v>
      </c>
      <c r="N1396" t="s">
        <v>435</v>
      </c>
      <c r="O1396" s="3" t="s">
        <v>65</v>
      </c>
      <c r="P1396" s="3" t="s">
        <v>283</v>
      </c>
      <c r="R1396" s="3" t="s">
        <v>68</v>
      </c>
      <c r="S1396" s="4">
        <v>5</v>
      </c>
      <c r="T1396" s="4">
        <v>5</v>
      </c>
      <c r="U1396" s="5" t="s">
        <v>13115</v>
      </c>
      <c r="V1396" s="5" t="s">
        <v>13115</v>
      </c>
      <c r="W1396" s="5" t="s">
        <v>16894</v>
      </c>
      <c r="X1396" s="5" t="s">
        <v>16894</v>
      </c>
      <c r="Y1396" s="4">
        <v>236</v>
      </c>
      <c r="Z1396" s="4">
        <v>184</v>
      </c>
      <c r="AA1396" s="4">
        <v>185</v>
      </c>
      <c r="AB1396" s="4">
        <v>2</v>
      </c>
      <c r="AC1396" s="4">
        <v>2</v>
      </c>
      <c r="AD1396" s="4">
        <v>5</v>
      </c>
      <c r="AE1396" s="4">
        <v>5</v>
      </c>
      <c r="AF1396" s="4">
        <v>1</v>
      </c>
      <c r="AG1396" s="4">
        <v>1</v>
      </c>
      <c r="AH1396" s="4">
        <v>2</v>
      </c>
      <c r="AI1396" s="4">
        <v>2</v>
      </c>
      <c r="AJ1396" s="4">
        <v>2</v>
      </c>
      <c r="AK1396" s="4">
        <v>2</v>
      </c>
      <c r="AL1396" s="4">
        <v>1</v>
      </c>
      <c r="AM1396" s="4">
        <v>1</v>
      </c>
      <c r="AN1396" s="4">
        <v>0</v>
      </c>
      <c r="AO1396" s="4">
        <v>0</v>
      </c>
      <c r="AP1396" s="3" t="s">
        <v>59</v>
      </c>
      <c r="AQ1396" s="3" t="s">
        <v>71</v>
      </c>
      <c r="AR1396" s="6" t="str">
        <f>HYPERLINK("http://catalog.hathitrust.org/Record/009063337","HathiTrust Record")</f>
        <v>HathiTrust Record</v>
      </c>
      <c r="AS1396" s="6" t="str">
        <f>HYPERLINK("https://creighton-primo.hosted.exlibrisgroup.com/primo-explore/search?tab=default_tab&amp;search_scope=EVERYTHING&amp;vid=01CRU&amp;lang=en_US&amp;offset=0&amp;query=any,contains,991000803219702656","Catalog Record")</f>
        <v>Catalog Record</v>
      </c>
      <c r="AT1396" s="6" t="str">
        <f>HYPERLINK("http://www.worldcat.org/oclc/278498","WorldCat Record")</f>
        <v>WorldCat Record</v>
      </c>
    </row>
    <row r="1397" spans="1:46" ht="52.5" customHeight="1" x14ac:dyDescent="0.25">
      <c r="A1397" s="7" t="s">
        <v>59</v>
      </c>
      <c r="B1397" s="2" t="s">
        <v>16895</v>
      </c>
      <c r="C1397" s="2" t="s">
        <v>16896</v>
      </c>
      <c r="D1397" s="2" t="s">
        <v>16410</v>
      </c>
      <c r="F1397" s="3" t="s">
        <v>71</v>
      </c>
      <c r="G1397" s="3" t="s">
        <v>60</v>
      </c>
      <c r="H1397" s="3" t="s">
        <v>71</v>
      </c>
      <c r="I1397" s="3" t="s">
        <v>59</v>
      </c>
      <c r="J1397" s="3" t="s">
        <v>61</v>
      </c>
      <c r="K1397" s="2"/>
      <c r="L1397" s="2" t="s">
        <v>16411</v>
      </c>
      <c r="M1397" s="3" t="s">
        <v>10267</v>
      </c>
      <c r="O1397" s="3" t="s">
        <v>65</v>
      </c>
      <c r="P1397" s="3" t="s">
        <v>1262</v>
      </c>
      <c r="R1397" s="3" t="s">
        <v>68</v>
      </c>
      <c r="S1397" s="4">
        <v>1</v>
      </c>
      <c r="T1397" s="4">
        <v>3</v>
      </c>
      <c r="U1397" s="5" t="s">
        <v>16412</v>
      </c>
      <c r="V1397" s="5" t="s">
        <v>16412</v>
      </c>
      <c r="W1397" s="5" t="s">
        <v>16412</v>
      </c>
      <c r="X1397" s="5" t="s">
        <v>16412</v>
      </c>
      <c r="Y1397" s="4">
        <v>754</v>
      </c>
      <c r="Z1397" s="4">
        <v>552</v>
      </c>
      <c r="AA1397" s="4">
        <v>563</v>
      </c>
      <c r="AB1397" s="4">
        <v>5</v>
      </c>
      <c r="AC1397" s="4">
        <v>5</v>
      </c>
      <c r="AD1397" s="4">
        <v>23</v>
      </c>
      <c r="AE1397" s="4">
        <v>24</v>
      </c>
      <c r="AF1397" s="4">
        <v>5</v>
      </c>
      <c r="AG1397" s="4">
        <v>6</v>
      </c>
      <c r="AH1397" s="4">
        <v>6</v>
      </c>
      <c r="AI1397" s="4">
        <v>6</v>
      </c>
      <c r="AJ1397" s="4">
        <v>14</v>
      </c>
      <c r="AK1397" s="4">
        <v>15</v>
      </c>
      <c r="AL1397" s="4">
        <v>4</v>
      </c>
      <c r="AM1397" s="4">
        <v>4</v>
      </c>
      <c r="AN1397" s="4">
        <v>0</v>
      </c>
      <c r="AO1397" s="4">
        <v>0</v>
      </c>
      <c r="AP1397" s="3" t="s">
        <v>59</v>
      </c>
      <c r="AQ1397" s="3" t="s">
        <v>59</v>
      </c>
      <c r="AR1397" s="6"/>
      <c r="AS1397" s="6" t="str">
        <f>HYPERLINK("https://creighton-primo.hosted.exlibrisgroup.com/primo-explore/search?tab=default_tab&amp;search_scope=EVERYTHING&amp;vid=01CRU&amp;lang=en_US&amp;offset=0&amp;query=any,contains,991000671639702656","Catalog Record")</f>
        <v>Catalog Record</v>
      </c>
      <c r="AT1397" s="6" t="str">
        <f>HYPERLINK("http://www.worldcat.org/oclc/29703951","WorldCat Record")</f>
        <v>WorldCat Record</v>
      </c>
    </row>
    <row r="1398" spans="1:46" ht="52.5" customHeight="1" x14ac:dyDescent="0.25">
      <c r="A1398" s="7" t="s">
        <v>59</v>
      </c>
      <c r="B1398" s="2" t="s">
        <v>16897</v>
      </c>
      <c r="C1398" s="2" t="s">
        <v>16898</v>
      </c>
      <c r="D1398" s="2" t="s">
        <v>16899</v>
      </c>
      <c r="F1398" s="3" t="s">
        <v>59</v>
      </c>
      <c r="G1398" s="3" t="s">
        <v>60</v>
      </c>
      <c r="H1398" s="3" t="s">
        <v>59</v>
      </c>
      <c r="I1398" s="3" t="s">
        <v>59</v>
      </c>
      <c r="J1398" s="3" t="s">
        <v>60</v>
      </c>
      <c r="K1398" s="2" t="s">
        <v>16900</v>
      </c>
      <c r="L1398" s="2" t="s">
        <v>16901</v>
      </c>
      <c r="M1398" s="3" t="s">
        <v>1586</v>
      </c>
      <c r="O1398" s="3" t="s">
        <v>65</v>
      </c>
      <c r="P1398" s="3" t="s">
        <v>66</v>
      </c>
      <c r="R1398" s="3" t="s">
        <v>68</v>
      </c>
      <c r="S1398" s="4">
        <v>3</v>
      </c>
      <c r="T1398" s="4">
        <v>3</v>
      </c>
      <c r="U1398" s="5" t="s">
        <v>16902</v>
      </c>
      <c r="V1398" s="5" t="s">
        <v>16902</v>
      </c>
      <c r="W1398" s="5" t="s">
        <v>16903</v>
      </c>
      <c r="X1398" s="5" t="s">
        <v>16903</v>
      </c>
      <c r="Y1398" s="4">
        <v>780</v>
      </c>
      <c r="Z1398" s="4">
        <v>730</v>
      </c>
      <c r="AA1398" s="4">
        <v>2102</v>
      </c>
      <c r="AB1398" s="4">
        <v>4</v>
      </c>
      <c r="AC1398" s="4">
        <v>18</v>
      </c>
      <c r="AD1398" s="4">
        <v>29</v>
      </c>
      <c r="AE1398" s="4">
        <v>66</v>
      </c>
      <c r="AF1398" s="4">
        <v>12</v>
      </c>
      <c r="AG1398" s="4">
        <v>23</v>
      </c>
      <c r="AH1398" s="4">
        <v>8</v>
      </c>
      <c r="AI1398" s="4">
        <v>12</v>
      </c>
      <c r="AJ1398" s="4">
        <v>14</v>
      </c>
      <c r="AK1398" s="4">
        <v>25</v>
      </c>
      <c r="AL1398" s="4">
        <v>3</v>
      </c>
      <c r="AM1398" s="4">
        <v>16</v>
      </c>
      <c r="AN1398" s="4">
        <v>0</v>
      </c>
      <c r="AO1398" s="4">
        <v>2</v>
      </c>
      <c r="AP1398" s="3" t="s">
        <v>59</v>
      </c>
      <c r="AQ1398" s="3" t="s">
        <v>59</v>
      </c>
      <c r="AR1398" s="6" t="str">
        <f>HYPERLINK("http://catalog.hathitrust.org/Record/000355011","HathiTrust Record")</f>
        <v>HathiTrust Record</v>
      </c>
      <c r="AS1398" s="6" t="str">
        <f>HYPERLINK("https://creighton-primo.hosted.exlibrisgroup.com/primo-explore/search?tab=default_tab&amp;search_scope=EVERYTHING&amp;vid=01CRU&amp;lang=en_US&amp;offset=0&amp;query=any,contains,991001130679702656","Catalog Record")</f>
        <v>Catalog Record</v>
      </c>
      <c r="AT1398" s="6" t="str">
        <f>HYPERLINK("http://www.worldcat.org/oclc/192097","WorldCat Record")</f>
        <v>WorldCat Record</v>
      </c>
    </row>
    <row r="1399" spans="1:46" ht="52.5" customHeight="1" x14ac:dyDescent="0.25">
      <c r="A1399" s="7" t="s">
        <v>59</v>
      </c>
      <c r="B1399" s="2" t="s">
        <v>16904</v>
      </c>
      <c r="C1399" s="2" t="s">
        <v>16905</v>
      </c>
      <c r="D1399" s="2" t="s">
        <v>16906</v>
      </c>
      <c r="F1399" s="3" t="s">
        <v>59</v>
      </c>
      <c r="G1399" s="3" t="s">
        <v>60</v>
      </c>
      <c r="H1399" s="3" t="s">
        <v>59</v>
      </c>
      <c r="I1399" s="3" t="s">
        <v>59</v>
      </c>
      <c r="J1399" s="3" t="s">
        <v>61</v>
      </c>
      <c r="K1399" s="2" t="s">
        <v>16907</v>
      </c>
      <c r="L1399" s="2" t="s">
        <v>16908</v>
      </c>
      <c r="M1399" s="3" t="s">
        <v>1163</v>
      </c>
      <c r="O1399" s="3" t="s">
        <v>65</v>
      </c>
      <c r="P1399" s="3" t="s">
        <v>16396</v>
      </c>
      <c r="R1399" s="3" t="s">
        <v>68</v>
      </c>
      <c r="S1399" s="4">
        <v>9</v>
      </c>
      <c r="T1399" s="4">
        <v>9</v>
      </c>
      <c r="U1399" s="5" t="s">
        <v>16909</v>
      </c>
      <c r="V1399" s="5" t="s">
        <v>16909</v>
      </c>
      <c r="W1399" s="5" t="s">
        <v>16910</v>
      </c>
      <c r="X1399" s="5" t="s">
        <v>16910</v>
      </c>
      <c r="Y1399" s="4">
        <v>409</v>
      </c>
      <c r="Z1399" s="4">
        <v>360</v>
      </c>
      <c r="AA1399" s="4">
        <v>361</v>
      </c>
      <c r="AB1399" s="4">
        <v>4</v>
      </c>
      <c r="AC1399" s="4">
        <v>4</v>
      </c>
      <c r="AD1399" s="4">
        <v>18</v>
      </c>
      <c r="AE1399" s="4">
        <v>18</v>
      </c>
      <c r="AF1399" s="4">
        <v>5</v>
      </c>
      <c r="AG1399" s="4">
        <v>5</v>
      </c>
      <c r="AH1399" s="4">
        <v>3</v>
      </c>
      <c r="AI1399" s="4">
        <v>3</v>
      </c>
      <c r="AJ1399" s="4">
        <v>11</v>
      </c>
      <c r="AK1399" s="4">
        <v>11</v>
      </c>
      <c r="AL1399" s="4">
        <v>3</v>
      </c>
      <c r="AM1399" s="4">
        <v>3</v>
      </c>
      <c r="AN1399" s="4">
        <v>0</v>
      </c>
      <c r="AO1399" s="4">
        <v>0</v>
      </c>
      <c r="AP1399" s="3" t="s">
        <v>59</v>
      </c>
      <c r="AQ1399" s="3" t="s">
        <v>71</v>
      </c>
      <c r="AR1399" s="6" t="str">
        <f>HYPERLINK("http://catalog.hathitrust.org/Record/000652780","HathiTrust Record")</f>
        <v>HathiTrust Record</v>
      </c>
      <c r="AS1399" s="6" t="str">
        <f>HYPERLINK("https://creighton-primo.hosted.exlibrisgroup.com/primo-explore/search?tab=default_tab&amp;search_scope=EVERYTHING&amp;vid=01CRU&amp;lang=en_US&amp;offset=0&amp;query=any,contains,991000938939702656","Catalog Record")</f>
        <v>Catalog Record</v>
      </c>
      <c r="AT1399" s="6" t="str">
        <f>HYPERLINK("http://www.worldcat.org/oclc/10997277","WorldCat Record")</f>
        <v>WorldCat Record</v>
      </c>
    </row>
    <row r="1400" spans="1:46" ht="52.5" customHeight="1" x14ac:dyDescent="0.25">
      <c r="A1400" s="7" t="s">
        <v>59</v>
      </c>
      <c r="B1400" s="2" t="s">
        <v>16911</v>
      </c>
      <c r="C1400" s="2" t="s">
        <v>16912</v>
      </c>
      <c r="D1400" s="2" t="s">
        <v>16913</v>
      </c>
      <c r="F1400" s="3" t="s">
        <v>59</v>
      </c>
      <c r="G1400" s="3" t="s">
        <v>60</v>
      </c>
      <c r="H1400" s="3" t="s">
        <v>59</v>
      </c>
      <c r="I1400" s="3" t="s">
        <v>59</v>
      </c>
      <c r="J1400" s="3" t="s">
        <v>61</v>
      </c>
      <c r="K1400" s="2" t="s">
        <v>16914</v>
      </c>
      <c r="L1400" s="2" t="s">
        <v>16915</v>
      </c>
      <c r="M1400" s="3" t="s">
        <v>1000</v>
      </c>
      <c r="O1400" s="3" t="s">
        <v>65</v>
      </c>
      <c r="P1400" s="3" t="s">
        <v>66</v>
      </c>
      <c r="R1400" s="3" t="s">
        <v>68</v>
      </c>
      <c r="S1400" s="4">
        <v>2</v>
      </c>
      <c r="T1400" s="4">
        <v>2</v>
      </c>
      <c r="U1400" s="5" t="s">
        <v>16916</v>
      </c>
      <c r="V1400" s="5" t="s">
        <v>16916</v>
      </c>
      <c r="W1400" s="5" t="s">
        <v>16398</v>
      </c>
      <c r="X1400" s="5" t="s">
        <v>16398</v>
      </c>
      <c r="Y1400" s="4">
        <v>477</v>
      </c>
      <c r="Z1400" s="4">
        <v>369</v>
      </c>
      <c r="AA1400" s="4">
        <v>508</v>
      </c>
      <c r="AB1400" s="4">
        <v>3</v>
      </c>
      <c r="AC1400" s="4">
        <v>3</v>
      </c>
      <c r="AD1400" s="4">
        <v>14</v>
      </c>
      <c r="AE1400" s="4">
        <v>19</v>
      </c>
      <c r="AF1400" s="4">
        <v>5</v>
      </c>
      <c r="AG1400" s="4">
        <v>7</v>
      </c>
      <c r="AH1400" s="4">
        <v>3</v>
      </c>
      <c r="AI1400" s="4">
        <v>4</v>
      </c>
      <c r="AJ1400" s="4">
        <v>8</v>
      </c>
      <c r="AK1400" s="4">
        <v>12</v>
      </c>
      <c r="AL1400" s="4">
        <v>2</v>
      </c>
      <c r="AM1400" s="4">
        <v>2</v>
      </c>
      <c r="AN1400" s="4">
        <v>0</v>
      </c>
      <c r="AO1400" s="4">
        <v>0</v>
      </c>
      <c r="AP1400" s="3" t="s">
        <v>59</v>
      </c>
      <c r="AQ1400" s="3" t="s">
        <v>71</v>
      </c>
      <c r="AR1400" s="6" t="str">
        <f>HYPERLINK("http://catalog.hathitrust.org/Record/000041718","HathiTrust Record")</f>
        <v>HathiTrust Record</v>
      </c>
      <c r="AS1400" s="6" t="str">
        <f>HYPERLINK("https://creighton-primo.hosted.exlibrisgroup.com/primo-explore/search?tab=default_tab&amp;search_scope=EVERYTHING&amp;vid=01CRU&amp;lang=en_US&amp;offset=0&amp;query=any,contains,991000786999702656","Catalog Record")</f>
        <v>Catalog Record</v>
      </c>
      <c r="AT1400" s="6" t="str">
        <f>HYPERLINK("http://www.worldcat.org/oclc/4493228","WorldCat Record")</f>
        <v>WorldCat Record</v>
      </c>
    </row>
    <row r="1401" spans="1:46" ht="52.5" customHeight="1" x14ac:dyDescent="0.25">
      <c r="A1401" s="7" t="s">
        <v>59</v>
      </c>
      <c r="B1401" s="2" t="s">
        <v>16917</v>
      </c>
      <c r="C1401" s="2" t="s">
        <v>16918</v>
      </c>
      <c r="D1401" s="2" t="s">
        <v>16919</v>
      </c>
      <c r="F1401" s="3" t="s">
        <v>59</v>
      </c>
      <c r="G1401" s="3" t="s">
        <v>60</v>
      </c>
      <c r="H1401" s="3" t="s">
        <v>59</v>
      </c>
      <c r="I1401" s="3" t="s">
        <v>59</v>
      </c>
      <c r="J1401" s="3" t="s">
        <v>61</v>
      </c>
      <c r="K1401" s="2"/>
      <c r="L1401" s="2" t="s">
        <v>16920</v>
      </c>
      <c r="M1401" s="3" t="s">
        <v>16921</v>
      </c>
      <c r="O1401" s="3" t="s">
        <v>65</v>
      </c>
      <c r="P1401" s="3" t="s">
        <v>420</v>
      </c>
      <c r="R1401" s="3" t="s">
        <v>68</v>
      </c>
      <c r="S1401" s="4">
        <v>3</v>
      </c>
      <c r="T1401" s="4">
        <v>3</v>
      </c>
      <c r="U1401" s="5" t="s">
        <v>604</v>
      </c>
      <c r="V1401" s="5" t="s">
        <v>604</v>
      </c>
      <c r="W1401" s="5" t="s">
        <v>16922</v>
      </c>
      <c r="X1401" s="5" t="s">
        <v>16922</v>
      </c>
      <c r="Y1401" s="4">
        <v>313</v>
      </c>
      <c r="Z1401" s="4">
        <v>227</v>
      </c>
      <c r="AA1401" s="4">
        <v>290</v>
      </c>
      <c r="AB1401" s="4">
        <v>4</v>
      </c>
      <c r="AC1401" s="4">
        <v>4</v>
      </c>
      <c r="AD1401" s="4">
        <v>17</v>
      </c>
      <c r="AE1401" s="4">
        <v>19</v>
      </c>
      <c r="AF1401" s="4">
        <v>5</v>
      </c>
      <c r="AG1401" s="4">
        <v>6</v>
      </c>
      <c r="AH1401" s="4">
        <v>5</v>
      </c>
      <c r="AI1401" s="4">
        <v>6</v>
      </c>
      <c r="AJ1401" s="4">
        <v>9</v>
      </c>
      <c r="AK1401" s="4">
        <v>9</v>
      </c>
      <c r="AL1401" s="4">
        <v>3</v>
      </c>
      <c r="AM1401" s="4">
        <v>3</v>
      </c>
      <c r="AN1401" s="4">
        <v>0</v>
      </c>
      <c r="AO1401" s="4">
        <v>0</v>
      </c>
      <c r="AP1401" s="3" t="s">
        <v>59</v>
      </c>
      <c r="AQ1401" s="3" t="s">
        <v>71</v>
      </c>
      <c r="AR1401" s="6" t="str">
        <f>HYPERLINK("http://catalog.hathitrust.org/Record/004276862","HathiTrust Record")</f>
        <v>HathiTrust Record</v>
      </c>
      <c r="AS1401" s="6" t="str">
        <f>HYPERLINK("https://creighton-primo.hosted.exlibrisgroup.com/primo-explore/search?tab=default_tab&amp;search_scope=EVERYTHING&amp;vid=01CRU&amp;lang=en_US&amp;offset=0&amp;query=any,contains,991000329749702656","Catalog Record")</f>
        <v>Catalog Record</v>
      </c>
      <c r="AT1401" s="6" t="str">
        <f>HYPERLINK("http://www.worldcat.org/oclc/49795362","WorldCat Record")</f>
        <v>WorldCat Record</v>
      </c>
    </row>
    <row r="1402" spans="1:46" ht="52.5" customHeight="1" x14ac:dyDescent="0.25">
      <c r="A1402" s="7" t="s">
        <v>59</v>
      </c>
      <c r="B1402" s="2" t="s">
        <v>16923</v>
      </c>
      <c r="C1402" s="2" t="s">
        <v>16924</v>
      </c>
      <c r="D1402" s="2" t="s">
        <v>16925</v>
      </c>
      <c r="F1402" s="3" t="s">
        <v>59</v>
      </c>
      <c r="G1402" s="3" t="s">
        <v>60</v>
      </c>
      <c r="H1402" s="3" t="s">
        <v>59</v>
      </c>
      <c r="I1402" s="3" t="s">
        <v>71</v>
      </c>
      <c r="J1402" s="3" t="s">
        <v>61</v>
      </c>
      <c r="K1402" s="2" t="s">
        <v>4054</v>
      </c>
      <c r="L1402" s="2" t="s">
        <v>16926</v>
      </c>
      <c r="M1402" s="3" t="s">
        <v>15624</v>
      </c>
      <c r="N1402" t="s">
        <v>1975</v>
      </c>
      <c r="O1402" s="3" t="s">
        <v>65</v>
      </c>
      <c r="P1402" s="3" t="s">
        <v>296</v>
      </c>
      <c r="R1402" s="3" t="s">
        <v>68</v>
      </c>
      <c r="S1402" s="4">
        <v>0</v>
      </c>
      <c r="T1402" s="4">
        <v>0</v>
      </c>
      <c r="U1402" s="5" t="s">
        <v>16927</v>
      </c>
      <c r="V1402" s="5" t="s">
        <v>16927</v>
      </c>
      <c r="W1402" s="5" t="s">
        <v>16928</v>
      </c>
      <c r="X1402" s="5" t="s">
        <v>16928</v>
      </c>
      <c r="Y1402" s="4">
        <v>345</v>
      </c>
      <c r="Z1402" s="4">
        <v>220</v>
      </c>
      <c r="AA1402" s="4">
        <v>693</v>
      </c>
      <c r="AB1402" s="4">
        <v>3</v>
      </c>
      <c r="AC1402" s="4">
        <v>12</v>
      </c>
      <c r="AD1402" s="4">
        <v>7</v>
      </c>
      <c r="AE1402" s="4">
        <v>32</v>
      </c>
      <c r="AF1402" s="4">
        <v>2</v>
      </c>
      <c r="AG1402" s="4">
        <v>14</v>
      </c>
      <c r="AH1402" s="4">
        <v>1</v>
      </c>
      <c r="AI1402" s="4">
        <v>3</v>
      </c>
      <c r="AJ1402" s="4">
        <v>4</v>
      </c>
      <c r="AK1402" s="4">
        <v>13</v>
      </c>
      <c r="AL1402" s="4">
        <v>2</v>
      </c>
      <c r="AM1402" s="4">
        <v>10</v>
      </c>
      <c r="AN1402" s="4">
        <v>0</v>
      </c>
      <c r="AO1402" s="4">
        <v>0</v>
      </c>
      <c r="AP1402" s="3" t="s">
        <v>59</v>
      </c>
      <c r="AQ1402" s="3" t="s">
        <v>71</v>
      </c>
      <c r="AR1402" s="6" t="str">
        <f>HYPERLINK("http://catalog.hathitrust.org/Record/004766086","HathiTrust Record")</f>
        <v>HathiTrust Record</v>
      </c>
      <c r="AS1402" s="6" t="str">
        <f>HYPERLINK("https://creighton-primo.hosted.exlibrisgroup.com/primo-explore/search?tab=default_tab&amp;search_scope=EVERYTHING&amp;vid=01CRU&amp;lang=en_US&amp;offset=0&amp;query=any,contains,991000405749702656","Catalog Record")</f>
        <v>Catalog Record</v>
      </c>
      <c r="AT1402" s="6" t="str">
        <f>HYPERLINK("http://www.worldcat.org/oclc/53485359","WorldCat Record")</f>
        <v>WorldCat Record</v>
      </c>
    </row>
    <row r="1403" spans="1:46" ht="52.5" customHeight="1" x14ac:dyDescent="0.25">
      <c r="A1403" s="7" t="s">
        <v>59</v>
      </c>
      <c r="B1403" s="2" t="s">
        <v>16929</v>
      </c>
      <c r="C1403" s="2" t="s">
        <v>16930</v>
      </c>
      <c r="D1403" s="2" t="s">
        <v>16931</v>
      </c>
      <c r="E1403" t="s">
        <v>16932</v>
      </c>
      <c r="F1403" s="3" t="s">
        <v>71</v>
      </c>
      <c r="G1403" s="3" t="s">
        <v>60</v>
      </c>
      <c r="H1403" s="3" t="s">
        <v>71</v>
      </c>
      <c r="I1403" s="3" t="s">
        <v>59</v>
      </c>
      <c r="J1403" s="3" t="s">
        <v>61</v>
      </c>
      <c r="K1403" s="2"/>
      <c r="L1403" s="2" t="s">
        <v>16933</v>
      </c>
      <c r="M1403" s="3" t="s">
        <v>10267</v>
      </c>
      <c r="O1403" s="3" t="s">
        <v>65</v>
      </c>
      <c r="P1403" s="3" t="s">
        <v>420</v>
      </c>
      <c r="R1403" s="3" t="s">
        <v>68</v>
      </c>
      <c r="S1403" s="4">
        <v>2</v>
      </c>
      <c r="T1403" s="4">
        <v>36</v>
      </c>
      <c r="U1403" s="5" t="s">
        <v>16934</v>
      </c>
      <c r="V1403" s="5" t="s">
        <v>16935</v>
      </c>
      <c r="W1403" s="5" t="s">
        <v>16936</v>
      </c>
      <c r="X1403" s="5" t="s">
        <v>16936</v>
      </c>
      <c r="Y1403" s="4">
        <v>953</v>
      </c>
      <c r="Z1403" s="4">
        <v>783</v>
      </c>
      <c r="AA1403" s="4">
        <v>786</v>
      </c>
      <c r="AB1403" s="4">
        <v>7</v>
      </c>
      <c r="AC1403" s="4">
        <v>7</v>
      </c>
      <c r="AD1403" s="4">
        <v>25</v>
      </c>
      <c r="AE1403" s="4">
        <v>25</v>
      </c>
      <c r="AF1403" s="4">
        <v>8</v>
      </c>
      <c r="AG1403" s="4">
        <v>8</v>
      </c>
      <c r="AH1403" s="4">
        <v>5</v>
      </c>
      <c r="AI1403" s="4">
        <v>5</v>
      </c>
      <c r="AJ1403" s="4">
        <v>12</v>
      </c>
      <c r="AK1403" s="4">
        <v>12</v>
      </c>
      <c r="AL1403" s="4">
        <v>5</v>
      </c>
      <c r="AM1403" s="4">
        <v>5</v>
      </c>
      <c r="AN1403" s="4">
        <v>0</v>
      </c>
      <c r="AO1403" s="4">
        <v>0</v>
      </c>
      <c r="AP1403" s="3" t="s">
        <v>59</v>
      </c>
      <c r="AQ1403" s="3" t="s">
        <v>71</v>
      </c>
      <c r="AR1403" s="6" t="str">
        <f>HYPERLINK("http://catalog.hathitrust.org/Record/002811940","HathiTrust Record")</f>
        <v>HathiTrust Record</v>
      </c>
      <c r="AS1403" s="6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T1403" s="6" t="str">
        <f>HYPERLINK("http://www.worldcat.org/oclc/28799810","WorldCat Record")</f>
        <v>WorldCat Record</v>
      </c>
    </row>
    <row r="1404" spans="1:46" ht="52.5" customHeight="1" x14ac:dyDescent="0.25">
      <c r="A1404" s="7" t="s">
        <v>59</v>
      </c>
      <c r="B1404" s="2" t="s">
        <v>16929</v>
      </c>
      <c r="C1404" s="2" t="s">
        <v>16930</v>
      </c>
      <c r="D1404" s="2" t="s">
        <v>16931</v>
      </c>
      <c r="E1404" t="s">
        <v>8174</v>
      </c>
      <c r="F1404" s="3" t="s">
        <v>71</v>
      </c>
      <c r="G1404" s="3" t="s">
        <v>60</v>
      </c>
      <c r="H1404" s="3" t="s">
        <v>71</v>
      </c>
      <c r="I1404" s="3" t="s">
        <v>59</v>
      </c>
      <c r="J1404" s="3" t="s">
        <v>61</v>
      </c>
      <c r="K1404" s="2"/>
      <c r="L1404" s="2" t="s">
        <v>16933</v>
      </c>
      <c r="M1404" s="3" t="s">
        <v>10267</v>
      </c>
      <c r="O1404" s="3" t="s">
        <v>65</v>
      </c>
      <c r="P1404" s="3" t="s">
        <v>420</v>
      </c>
      <c r="R1404" s="3" t="s">
        <v>68</v>
      </c>
      <c r="S1404" s="4">
        <v>1</v>
      </c>
      <c r="T1404" s="4">
        <v>36</v>
      </c>
      <c r="U1404" s="5" t="s">
        <v>16934</v>
      </c>
      <c r="V1404" s="5" t="s">
        <v>16935</v>
      </c>
      <c r="W1404" s="5" t="s">
        <v>16936</v>
      </c>
      <c r="X1404" s="5" t="s">
        <v>16936</v>
      </c>
      <c r="Y1404" s="4">
        <v>953</v>
      </c>
      <c r="Z1404" s="4">
        <v>783</v>
      </c>
      <c r="AA1404" s="4">
        <v>786</v>
      </c>
      <c r="AB1404" s="4">
        <v>7</v>
      </c>
      <c r="AC1404" s="4">
        <v>7</v>
      </c>
      <c r="AD1404" s="4">
        <v>25</v>
      </c>
      <c r="AE1404" s="4">
        <v>25</v>
      </c>
      <c r="AF1404" s="4">
        <v>8</v>
      </c>
      <c r="AG1404" s="4">
        <v>8</v>
      </c>
      <c r="AH1404" s="4">
        <v>5</v>
      </c>
      <c r="AI1404" s="4">
        <v>5</v>
      </c>
      <c r="AJ1404" s="4">
        <v>12</v>
      </c>
      <c r="AK1404" s="4">
        <v>12</v>
      </c>
      <c r="AL1404" s="4">
        <v>5</v>
      </c>
      <c r="AM1404" s="4">
        <v>5</v>
      </c>
      <c r="AN1404" s="4">
        <v>0</v>
      </c>
      <c r="AO1404" s="4">
        <v>0</v>
      </c>
      <c r="AP1404" s="3" t="s">
        <v>59</v>
      </c>
      <c r="AQ1404" s="3" t="s">
        <v>71</v>
      </c>
      <c r="AR1404" s="6" t="str">
        <f>HYPERLINK("http://catalog.hathitrust.org/Record/002811940","HathiTrust Record")</f>
        <v>HathiTrust Record</v>
      </c>
      <c r="AS1404" s="6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T1404" s="6" t="str">
        <f>HYPERLINK("http://www.worldcat.org/oclc/28799810","WorldCat Record")</f>
        <v>WorldCat Record</v>
      </c>
    </row>
    <row r="1405" spans="1:46" ht="52.5" customHeight="1" x14ac:dyDescent="0.25">
      <c r="A1405" s="7" t="s">
        <v>59</v>
      </c>
      <c r="B1405" s="2" t="s">
        <v>16929</v>
      </c>
      <c r="C1405" s="2" t="s">
        <v>16930</v>
      </c>
      <c r="D1405" s="2" t="s">
        <v>16931</v>
      </c>
      <c r="E1405" t="s">
        <v>4503</v>
      </c>
      <c r="F1405" s="3" t="s">
        <v>71</v>
      </c>
      <c r="G1405" s="3" t="s">
        <v>60</v>
      </c>
      <c r="H1405" s="3" t="s">
        <v>71</v>
      </c>
      <c r="I1405" s="3" t="s">
        <v>59</v>
      </c>
      <c r="J1405" s="3" t="s">
        <v>61</v>
      </c>
      <c r="K1405" s="2"/>
      <c r="L1405" s="2" t="s">
        <v>16933</v>
      </c>
      <c r="M1405" s="3" t="s">
        <v>10267</v>
      </c>
      <c r="O1405" s="3" t="s">
        <v>65</v>
      </c>
      <c r="P1405" s="3" t="s">
        <v>420</v>
      </c>
      <c r="R1405" s="3" t="s">
        <v>68</v>
      </c>
      <c r="S1405" s="4">
        <v>2</v>
      </c>
      <c r="T1405" s="4">
        <v>36</v>
      </c>
      <c r="U1405" s="5" t="s">
        <v>16934</v>
      </c>
      <c r="V1405" s="5" t="s">
        <v>16935</v>
      </c>
      <c r="W1405" s="5" t="s">
        <v>16936</v>
      </c>
      <c r="X1405" s="5" t="s">
        <v>16936</v>
      </c>
      <c r="Y1405" s="4">
        <v>953</v>
      </c>
      <c r="Z1405" s="4">
        <v>783</v>
      </c>
      <c r="AA1405" s="4">
        <v>786</v>
      </c>
      <c r="AB1405" s="4">
        <v>7</v>
      </c>
      <c r="AC1405" s="4">
        <v>7</v>
      </c>
      <c r="AD1405" s="4">
        <v>25</v>
      </c>
      <c r="AE1405" s="4">
        <v>25</v>
      </c>
      <c r="AF1405" s="4">
        <v>8</v>
      </c>
      <c r="AG1405" s="4">
        <v>8</v>
      </c>
      <c r="AH1405" s="4">
        <v>5</v>
      </c>
      <c r="AI1405" s="4">
        <v>5</v>
      </c>
      <c r="AJ1405" s="4">
        <v>12</v>
      </c>
      <c r="AK1405" s="4">
        <v>12</v>
      </c>
      <c r="AL1405" s="4">
        <v>5</v>
      </c>
      <c r="AM1405" s="4">
        <v>5</v>
      </c>
      <c r="AN1405" s="4">
        <v>0</v>
      </c>
      <c r="AO1405" s="4">
        <v>0</v>
      </c>
      <c r="AP1405" s="3" t="s">
        <v>59</v>
      </c>
      <c r="AQ1405" s="3" t="s">
        <v>71</v>
      </c>
      <c r="AR1405" s="6" t="str">
        <f>HYPERLINK("http://catalog.hathitrust.org/Record/002811940","HathiTrust Record")</f>
        <v>HathiTrust Record</v>
      </c>
      <c r="AS1405" s="6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T1405" s="6" t="str">
        <f>HYPERLINK("http://www.worldcat.org/oclc/28799810","WorldCat Record")</f>
        <v>WorldCat Record</v>
      </c>
    </row>
    <row r="1406" spans="1:46" ht="52.5" customHeight="1" x14ac:dyDescent="0.25">
      <c r="A1406" s="7" t="s">
        <v>59</v>
      </c>
      <c r="B1406" s="2" t="s">
        <v>16929</v>
      </c>
      <c r="C1406" s="2" t="s">
        <v>16930</v>
      </c>
      <c r="D1406" s="2" t="s">
        <v>16931</v>
      </c>
      <c r="E1406" t="s">
        <v>4495</v>
      </c>
      <c r="F1406" s="3" t="s">
        <v>71</v>
      </c>
      <c r="G1406" s="3" t="s">
        <v>60</v>
      </c>
      <c r="H1406" s="3" t="s">
        <v>71</v>
      </c>
      <c r="I1406" s="3" t="s">
        <v>59</v>
      </c>
      <c r="J1406" s="3" t="s">
        <v>61</v>
      </c>
      <c r="K1406" s="2"/>
      <c r="L1406" s="2" t="s">
        <v>16933</v>
      </c>
      <c r="M1406" s="3" t="s">
        <v>10267</v>
      </c>
      <c r="O1406" s="3" t="s">
        <v>65</v>
      </c>
      <c r="P1406" s="3" t="s">
        <v>420</v>
      </c>
      <c r="R1406" s="3" t="s">
        <v>68</v>
      </c>
      <c r="S1406" s="4">
        <v>2</v>
      </c>
      <c r="T1406" s="4">
        <v>36</v>
      </c>
      <c r="U1406" s="5" t="s">
        <v>16934</v>
      </c>
      <c r="V1406" s="5" t="s">
        <v>16935</v>
      </c>
      <c r="W1406" s="5" t="s">
        <v>16936</v>
      </c>
      <c r="X1406" s="5" t="s">
        <v>16936</v>
      </c>
      <c r="Y1406" s="4">
        <v>953</v>
      </c>
      <c r="Z1406" s="4">
        <v>783</v>
      </c>
      <c r="AA1406" s="4">
        <v>786</v>
      </c>
      <c r="AB1406" s="4">
        <v>7</v>
      </c>
      <c r="AC1406" s="4">
        <v>7</v>
      </c>
      <c r="AD1406" s="4">
        <v>25</v>
      </c>
      <c r="AE1406" s="4">
        <v>25</v>
      </c>
      <c r="AF1406" s="4">
        <v>8</v>
      </c>
      <c r="AG1406" s="4">
        <v>8</v>
      </c>
      <c r="AH1406" s="4">
        <v>5</v>
      </c>
      <c r="AI1406" s="4">
        <v>5</v>
      </c>
      <c r="AJ1406" s="4">
        <v>12</v>
      </c>
      <c r="AK1406" s="4">
        <v>12</v>
      </c>
      <c r="AL1406" s="4">
        <v>5</v>
      </c>
      <c r="AM1406" s="4">
        <v>5</v>
      </c>
      <c r="AN1406" s="4">
        <v>0</v>
      </c>
      <c r="AO1406" s="4">
        <v>0</v>
      </c>
      <c r="AP1406" s="3" t="s">
        <v>59</v>
      </c>
      <c r="AQ1406" s="3" t="s">
        <v>71</v>
      </c>
      <c r="AR1406" s="6" t="str">
        <f>HYPERLINK("http://catalog.hathitrust.org/Record/002811940","HathiTrust Record")</f>
        <v>HathiTrust Record</v>
      </c>
      <c r="AS1406" s="6" t="str">
        <f>HYPERLINK("https://creighton-primo.hosted.exlibrisgroup.com/primo-explore/search?tab=default_tab&amp;search_scope=EVERYTHING&amp;vid=01CRU&amp;lang=en_US&amp;offset=0&amp;query=any,contains,991001690309702656","Catalog Record")</f>
        <v>Catalog Record</v>
      </c>
      <c r="AT1406" s="6" t="str">
        <f>HYPERLINK("http://www.worldcat.org/oclc/28799810","WorldCat Record")</f>
        <v>WorldCat Record</v>
      </c>
    </row>
    <row r="1407" spans="1:46" ht="52.5" customHeight="1" x14ac:dyDescent="0.25">
      <c r="A1407" s="7" t="s">
        <v>59</v>
      </c>
      <c r="B1407" s="2" t="s">
        <v>16937</v>
      </c>
      <c r="C1407" s="2" t="s">
        <v>16938</v>
      </c>
      <c r="D1407" s="2" t="s">
        <v>16939</v>
      </c>
      <c r="F1407" s="3" t="s">
        <v>59</v>
      </c>
      <c r="G1407" s="3" t="s">
        <v>60</v>
      </c>
      <c r="H1407" s="3" t="s">
        <v>71</v>
      </c>
      <c r="I1407" s="3" t="s">
        <v>59</v>
      </c>
      <c r="J1407" s="3" t="s">
        <v>61</v>
      </c>
      <c r="K1407" s="2" t="s">
        <v>16940</v>
      </c>
      <c r="L1407" s="2" t="s">
        <v>16941</v>
      </c>
      <c r="M1407" s="3" t="s">
        <v>115</v>
      </c>
      <c r="O1407" s="3" t="s">
        <v>65</v>
      </c>
      <c r="P1407" s="3" t="s">
        <v>491</v>
      </c>
      <c r="R1407" s="3" t="s">
        <v>68</v>
      </c>
      <c r="S1407" s="4">
        <v>2</v>
      </c>
      <c r="T1407" s="4">
        <v>3</v>
      </c>
      <c r="U1407" s="5"/>
      <c r="V1407" s="5" t="s">
        <v>16942</v>
      </c>
      <c r="W1407" s="5" t="s">
        <v>16943</v>
      </c>
      <c r="X1407" s="5" t="s">
        <v>2364</v>
      </c>
      <c r="Y1407" s="4">
        <v>196</v>
      </c>
      <c r="Z1407" s="4">
        <v>163</v>
      </c>
      <c r="AA1407" s="4">
        <v>163</v>
      </c>
      <c r="AB1407" s="4">
        <v>2</v>
      </c>
      <c r="AC1407" s="4">
        <v>2</v>
      </c>
      <c r="AD1407" s="4">
        <v>4</v>
      </c>
      <c r="AE1407" s="4">
        <v>4</v>
      </c>
      <c r="AF1407" s="4">
        <v>2</v>
      </c>
      <c r="AG1407" s="4">
        <v>2</v>
      </c>
      <c r="AH1407" s="4">
        <v>0</v>
      </c>
      <c r="AI1407" s="4">
        <v>0</v>
      </c>
      <c r="AJ1407" s="4">
        <v>2</v>
      </c>
      <c r="AK1407" s="4">
        <v>2</v>
      </c>
      <c r="AL1407" s="4">
        <v>0</v>
      </c>
      <c r="AM1407" s="4">
        <v>0</v>
      </c>
      <c r="AN1407" s="4">
        <v>0</v>
      </c>
      <c r="AO1407" s="4">
        <v>0</v>
      </c>
      <c r="AP1407" s="3" t="s">
        <v>59</v>
      </c>
      <c r="AQ1407" s="3" t="s">
        <v>59</v>
      </c>
      <c r="AR1407" s="6"/>
      <c r="AS1407" s="6" t="str">
        <f>HYPERLINK("https://creighton-primo.hosted.exlibrisgroup.com/primo-explore/search?tab=default_tab&amp;search_scope=EVERYTHING&amp;vid=01CRU&amp;lang=en_US&amp;offset=0&amp;query=any,contains,991001765839702656","Catalog Record")</f>
        <v>Catalog Record</v>
      </c>
      <c r="AT1407" s="6" t="str">
        <f>HYPERLINK("http://www.worldcat.org/oclc/931950","WorldCat Record")</f>
        <v>WorldCat Record</v>
      </c>
    </row>
    <row r="1408" spans="1:46" ht="52.5" customHeight="1" x14ac:dyDescent="0.25">
      <c r="A1408" s="7" t="s">
        <v>59</v>
      </c>
      <c r="B1408" s="2" t="s">
        <v>5444</v>
      </c>
      <c r="C1408" s="2" t="s">
        <v>5445</v>
      </c>
      <c r="D1408" s="2" t="s">
        <v>5446</v>
      </c>
      <c r="F1408" s="3" t="s">
        <v>59</v>
      </c>
      <c r="G1408" s="3" t="s">
        <v>60</v>
      </c>
      <c r="H1408" s="3" t="s">
        <v>71</v>
      </c>
      <c r="I1408" s="3" t="s">
        <v>59</v>
      </c>
      <c r="J1408" s="3" t="s">
        <v>61</v>
      </c>
      <c r="K1408" s="2" t="s">
        <v>5447</v>
      </c>
      <c r="L1408" s="2" t="s">
        <v>5448</v>
      </c>
      <c r="M1408" s="3" t="s">
        <v>538</v>
      </c>
      <c r="O1408" s="3" t="s">
        <v>65</v>
      </c>
      <c r="P1408" s="3" t="s">
        <v>66</v>
      </c>
      <c r="R1408" s="3" t="s">
        <v>68</v>
      </c>
      <c r="S1408" s="4">
        <v>4</v>
      </c>
      <c r="T1408" s="4">
        <v>12</v>
      </c>
      <c r="U1408" s="5" t="s">
        <v>3732</v>
      </c>
      <c r="V1408" s="5" t="s">
        <v>5449</v>
      </c>
      <c r="W1408" s="5" t="s">
        <v>16503</v>
      </c>
      <c r="X1408" s="5" t="s">
        <v>5437</v>
      </c>
      <c r="Y1408" s="4">
        <v>869</v>
      </c>
      <c r="Z1408" s="4">
        <v>779</v>
      </c>
      <c r="AA1408" s="4">
        <v>787</v>
      </c>
      <c r="AB1408" s="4">
        <v>10</v>
      </c>
      <c r="AC1408" s="4">
        <v>10</v>
      </c>
      <c r="AD1408" s="4">
        <v>32</v>
      </c>
      <c r="AE1408" s="4">
        <v>32</v>
      </c>
      <c r="AF1408" s="4">
        <v>12</v>
      </c>
      <c r="AG1408" s="4">
        <v>12</v>
      </c>
      <c r="AH1408" s="4">
        <v>4</v>
      </c>
      <c r="AI1408" s="4">
        <v>4</v>
      </c>
      <c r="AJ1408" s="4">
        <v>14</v>
      </c>
      <c r="AK1408" s="4">
        <v>14</v>
      </c>
      <c r="AL1408" s="4">
        <v>7</v>
      </c>
      <c r="AM1408" s="4">
        <v>7</v>
      </c>
      <c r="AN1408" s="4">
        <v>0</v>
      </c>
      <c r="AO1408" s="4">
        <v>0</v>
      </c>
      <c r="AP1408" s="3" t="s">
        <v>59</v>
      </c>
      <c r="AQ1408" s="3" t="s">
        <v>71</v>
      </c>
      <c r="AR1408" s="6" t="str">
        <f>HYPERLINK("http://catalog.hathitrust.org/Record/000355014","HathiTrust Record")</f>
        <v>HathiTrust Record</v>
      </c>
      <c r="AS1408" s="6" t="str">
        <f>HYPERLINK("https://creighton-primo.hosted.exlibrisgroup.com/primo-explore/search?tab=default_tab&amp;search_scope=EVERYTHING&amp;vid=01CRU&amp;lang=en_US&amp;offset=0&amp;query=any,contains,991001762039702656","Catalog Record")</f>
        <v>Catalog Record</v>
      </c>
      <c r="AT1408" s="6" t="str">
        <f>HYPERLINK("http://www.worldcat.org/oclc/224491","WorldCat Record")</f>
        <v>WorldCat Record</v>
      </c>
    </row>
    <row r="1409" spans="1:46" ht="52.5" customHeight="1" x14ac:dyDescent="0.25">
      <c r="A1409" s="7" t="s">
        <v>59</v>
      </c>
      <c r="B1409" s="2" t="s">
        <v>16944</v>
      </c>
      <c r="C1409" s="2" t="s">
        <v>16945</v>
      </c>
      <c r="D1409" s="2" t="s">
        <v>16946</v>
      </c>
      <c r="F1409" s="3" t="s">
        <v>59</v>
      </c>
      <c r="G1409" s="3" t="s">
        <v>60</v>
      </c>
      <c r="H1409" s="3" t="s">
        <v>59</v>
      </c>
      <c r="I1409" s="3" t="s">
        <v>59</v>
      </c>
      <c r="J1409" s="3" t="s">
        <v>61</v>
      </c>
      <c r="K1409" s="2" t="s">
        <v>16947</v>
      </c>
      <c r="L1409" s="2" t="s">
        <v>16948</v>
      </c>
      <c r="M1409" s="3" t="s">
        <v>254</v>
      </c>
      <c r="N1409" t="s">
        <v>435</v>
      </c>
      <c r="O1409" s="3" t="s">
        <v>65</v>
      </c>
      <c r="P1409" s="3" t="s">
        <v>420</v>
      </c>
      <c r="Q1409" t="s">
        <v>16949</v>
      </c>
      <c r="R1409" s="3" t="s">
        <v>68</v>
      </c>
      <c r="S1409" s="4">
        <v>11</v>
      </c>
      <c r="T1409" s="4">
        <v>11</v>
      </c>
      <c r="U1409" s="5" t="s">
        <v>16950</v>
      </c>
      <c r="V1409" s="5" t="s">
        <v>16950</v>
      </c>
      <c r="W1409" s="5" t="s">
        <v>16503</v>
      </c>
      <c r="X1409" s="5" t="s">
        <v>16503</v>
      </c>
      <c r="Y1409" s="4">
        <v>835</v>
      </c>
      <c r="Z1409" s="4">
        <v>745</v>
      </c>
      <c r="AA1409" s="4">
        <v>756</v>
      </c>
      <c r="AB1409" s="4">
        <v>4</v>
      </c>
      <c r="AC1409" s="4">
        <v>4</v>
      </c>
      <c r="AD1409" s="4">
        <v>42</v>
      </c>
      <c r="AE1409" s="4">
        <v>42</v>
      </c>
      <c r="AF1409" s="4">
        <v>17</v>
      </c>
      <c r="AG1409" s="4">
        <v>17</v>
      </c>
      <c r="AH1409" s="4">
        <v>11</v>
      </c>
      <c r="AI1409" s="4">
        <v>11</v>
      </c>
      <c r="AJ1409" s="4">
        <v>23</v>
      </c>
      <c r="AK1409" s="4">
        <v>23</v>
      </c>
      <c r="AL1409" s="4">
        <v>3</v>
      </c>
      <c r="AM1409" s="4">
        <v>3</v>
      </c>
      <c r="AN1409" s="4">
        <v>0</v>
      </c>
      <c r="AO1409" s="4">
        <v>0</v>
      </c>
      <c r="AP1409" s="3" t="s">
        <v>59</v>
      </c>
      <c r="AQ1409" s="3" t="s">
        <v>71</v>
      </c>
      <c r="AR1409" s="6" t="str">
        <f>HYPERLINK("http://catalog.hathitrust.org/Record/000355225","HathiTrust Record")</f>
        <v>HathiTrust Record</v>
      </c>
      <c r="AS1409" s="6" t="str">
        <f>HYPERLINK("https://creighton-primo.hosted.exlibrisgroup.com/primo-explore/search?tab=default_tab&amp;search_scope=EVERYTHING&amp;vid=01CRU&amp;lang=en_US&amp;offset=0&amp;query=any,contains,991000787339702656","Catalog Record")</f>
        <v>Catalog Record</v>
      </c>
      <c r="AT1409" s="6" t="str">
        <f>HYPERLINK("http://www.worldcat.org/oclc/31274","WorldCat Record")</f>
        <v>WorldCat Record</v>
      </c>
    </row>
    <row r="1410" spans="1:46" ht="52.5" customHeight="1" x14ac:dyDescent="0.25">
      <c r="A1410" s="7" t="s">
        <v>59</v>
      </c>
      <c r="B1410" s="2" t="s">
        <v>16951</v>
      </c>
      <c r="C1410" s="2" t="s">
        <v>16952</v>
      </c>
      <c r="D1410" s="2" t="s">
        <v>16953</v>
      </c>
      <c r="F1410" s="3" t="s">
        <v>59</v>
      </c>
      <c r="G1410" s="3" t="s">
        <v>60</v>
      </c>
      <c r="H1410" s="3" t="s">
        <v>59</v>
      </c>
      <c r="I1410" s="3" t="s">
        <v>71</v>
      </c>
      <c r="J1410" s="3" t="s">
        <v>61</v>
      </c>
      <c r="K1410" s="2" t="s">
        <v>16954</v>
      </c>
      <c r="L1410" s="2" t="s">
        <v>16955</v>
      </c>
      <c r="M1410" s="3" t="s">
        <v>915</v>
      </c>
      <c r="O1410" s="3" t="s">
        <v>65</v>
      </c>
      <c r="P1410" s="3" t="s">
        <v>66</v>
      </c>
      <c r="R1410" s="3" t="s">
        <v>68</v>
      </c>
      <c r="S1410" s="4">
        <v>12</v>
      </c>
      <c r="T1410" s="4">
        <v>12</v>
      </c>
      <c r="U1410" s="5" t="s">
        <v>13300</v>
      </c>
      <c r="V1410" s="5" t="s">
        <v>13300</v>
      </c>
      <c r="W1410" s="5" t="s">
        <v>16956</v>
      </c>
      <c r="X1410" s="5" t="s">
        <v>16956</v>
      </c>
      <c r="Y1410" s="4">
        <v>1130</v>
      </c>
      <c r="Z1410" s="4">
        <v>1054</v>
      </c>
      <c r="AA1410" s="4">
        <v>1362</v>
      </c>
      <c r="AB1410" s="4">
        <v>5</v>
      </c>
      <c r="AC1410" s="4">
        <v>7</v>
      </c>
      <c r="AD1410" s="4">
        <v>31</v>
      </c>
      <c r="AE1410" s="4">
        <v>40</v>
      </c>
      <c r="AF1410" s="4">
        <v>12</v>
      </c>
      <c r="AG1410" s="4">
        <v>17</v>
      </c>
      <c r="AH1410" s="4">
        <v>5</v>
      </c>
      <c r="AI1410" s="4">
        <v>7</v>
      </c>
      <c r="AJ1410" s="4">
        <v>18</v>
      </c>
      <c r="AK1410" s="4">
        <v>21</v>
      </c>
      <c r="AL1410" s="4">
        <v>4</v>
      </c>
      <c r="AM1410" s="4">
        <v>5</v>
      </c>
      <c r="AN1410" s="4">
        <v>0</v>
      </c>
      <c r="AO1410" s="4">
        <v>0</v>
      </c>
      <c r="AP1410" s="3" t="s">
        <v>59</v>
      </c>
      <c r="AQ1410" s="3" t="s">
        <v>71</v>
      </c>
      <c r="AR1410" s="6" t="str">
        <f>HYPERLINK("http://catalog.hathitrust.org/Record/002622463","HathiTrust Record")</f>
        <v>HathiTrust Record</v>
      </c>
      <c r="AS1410" s="6" t="str">
        <f>HYPERLINK("https://creighton-primo.hosted.exlibrisgroup.com/primo-explore/search?tab=default_tab&amp;search_scope=EVERYTHING&amp;vid=01CRU&amp;lang=en_US&amp;offset=0&amp;query=any,contains,991000328559702656","Catalog Record")</f>
        <v>Catalog Record</v>
      </c>
      <c r="AT1410" s="6" t="str">
        <f>HYPERLINK("http://www.worldcat.org/oclc/27011419","WorldCat Record")</f>
        <v>WorldCat Record</v>
      </c>
    </row>
    <row r="1411" spans="1:46" ht="52.5" customHeight="1" x14ac:dyDescent="0.25">
      <c r="A1411" s="7" t="s">
        <v>59</v>
      </c>
      <c r="B1411" s="2" t="s">
        <v>16957</v>
      </c>
      <c r="C1411" s="2" t="s">
        <v>16958</v>
      </c>
      <c r="D1411" s="2" t="s">
        <v>16959</v>
      </c>
      <c r="F1411" s="3" t="s">
        <v>59</v>
      </c>
      <c r="G1411" s="3" t="s">
        <v>60</v>
      </c>
      <c r="H1411" s="3" t="s">
        <v>71</v>
      </c>
      <c r="I1411" s="3" t="s">
        <v>59</v>
      </c>
      <c r="J1411" s="3" t="s">
        <v>61</v>
      </c>
      <c r="K1411" s="2" t="s">
        <v>16960</v>
      </c>
      <c r="L1411" s="2" t="s">
        <v>16508</v>
      </c>
      <c r="M1411" s="3" t="s">
        <v>405</v>
      </c>
      <c r="O1411" s="3" t="s">
        <v>65</v>
      </c>
      <c r="P1411" s="3" t="s">
        <v>283</v>
      </c>
      <c r="R1411" s="3" t="s">
        <v>68</v>
      </c>
      <c r="S1411" s="4">
        <v>3</v>
      </c>
      <c r="T1411" s="4">
        <v>15</v>
      </c>
      <c r="U1411" s="5" t="s">
        <v>1493</v>
      </c>
      <c r="V1411" s="5" t="s">
        <v>7035</v>
      </c>
      <c r="W1411" s="5" t="s">
        <v>16509</v>
      </c>
      <c r="X1411" s="5" t="s">
        <v>6856</v>
      </c>
      <c r="Y1411" s="4">
        <v>236</v>
      </c>
      <c r="Z1411" s="4">
        <v>199</v>
      </c>
      <c r="AA1411" s="4">
        <v>200</v>
      </c>
      <c r="AB1411" s="4">
        <v>4</v>
      </c>
      <c r="AC1411" s="4">
        <v>4</v>
      </c>
      <c r="AD1411" s="4">
        <v>9</v>
      </c>
      <c r="AE1411" s="4">
        <v>9</v>
      </c>
      <c r="AF1411" s="4">
        <v>2</v>
      </c>
      <c r="AG1411" s="4">
        <v>2</v>
      </c>
      <c r="AH1411" s="4">
        <v>2</v>
      </c>
      <c r="AI1411" s="4">
        <v>2</v>
      </c>
      <c r="AJ1411" s="4">
        <v>6</v>
      </c>
      <c r="AK1411" s="4">
        <v>6</v>
      </c>
      <c r="AL1411" s="4">
        <v>2</v>
      </c>
      <c r="AM1411" s="4">
        <v>2</v>
      </c>
      <c r="AN1411" s="4">
        <v>0</v>
      </c>
      <c r="AO1411" s="4">
        <v>0</v>
      </c>
      <c r="AP1411" s="3" t="s">
        <v>59</v>
      </c>
      <c r="AQ1411" s="3" t="s">
        <v>71</v>
      </c>
      <c r="AR1411" s="6" t="str">
        <f>HYPERLINK("http://catalog.hathitrust.org/Record/007131114","HathiTrust Record")</f>
        <v>HathiTrust Record</v>
      </c>
      <c r="AS1411" s="6" t="str">
        <f>HYPERLINK("https://creighton-primo.hosted.exlibrisgroup.com/primo-explore/search?tab=default_tab&amp;search_scope=EVERYTHING&amp;vid=01CRU&amp;lang=en_US&amp;offset=0&amp;query=any,contains,991001805479702656","Catalog Record")</f>
        <v>Catalog Record</v>
      </c>
      <c r="AT1411" s="6" t="str">
        <f>HYPERLINK("http://www.worldcat.org/oclc/14412922","WorldCat Record")</f>
        <v>WorldCat Record</v>
      </c>
    </row>
    <row r="1412" spans="1:46" ht="52.5" customHeight="1" x14ac:dyDescent="0.25">
      <c r="A1412" s="7" t="s">
        <v>59</v>
      </c>
      <c r="B1412" s="2" t="s">
        <v>6864</v>
      </c>
      <c r="C1412" s="2" t="s">
        <v>6865</v>
      </c>
      <c r="D1412" s="2" t="s">
        <v>6866</v>
      </c>
      <c r="F1412" s="3" t="s">
        <v>59</v>
      </c>
      <c r="G1412" s="3" t="s">
        <v>60</v>
      </c>
      <c r="H1412" s="3" t="s">
        <v>71</v>
      </c>
      <c r="I1412" s="3" t="s">
        <v>59</v>
      </c>
      <c r="J1412" s="3" t="s">
        <v>61</v>
      </c>
      <c r="K1412" s="2"/>
      <c r="L1412" s="2" t="s">
        <v>6867</v>
      </c>
      <c r="M1412" s="3" t="s">
        <v>148</v>
      </c>
      <c r="O1412" s="3" t="s">
        <v>65</v>
      </c>
      <c r="P1412" s="3" t="s">
        <v>699</v>
      </c>
      <c r="R1412" s="3" t="s">
        <v>68</v>
      </c>
      <c r="S1412" s="4">
        <v>0</v>
      </c>
      <c r="T1412" s="4">
        <v>6</v>
      </c>
      <c r="U1412" s="5"/>
      <c r="V1412" s="5" t="s">
        <v>6868</v>
      </c>
      <c r="W1412" s="5" t="s">
        <v>6869</v>
      </c>
      <c r="X1412" s="5" t="s">
        <v>6869</v>
      </c>
      <c r="Y1412" s="4">
        <v>736</v>
      </c>
      <c r="Z1412" s="4">
        <v>562</v>
      </c>
      <c r="AA1412" s="4">
        <v>562</v>
      </c>
      <c r="AB1412" s="4">
        <v>4</v>
      </c>
      <c r="AC1412" s="4">
        <v>4</v>
      </c>
      <c r="AD1412" s="4">
        <v>28</v>
      </c>
      <c r="AE1412" s="4">
        <v>28</v>
      </c>
      <c r="AF1412" s="4">
        <v>13</v>
      </c>
      <c r="AG1412" s="4">
        <v>13</v>
      </c>
      <c r="AH1412" s="4">
        <v>8</v>
      </c>
      <c r="AI1412" s="4">
        <v>8</v>
      </c>
      <c r="AJ1412" s="4">
        <v>14</v>
      </c>
      <c r="AK1412" s="4">
        <v>14</v>
      </c>
      <c r="AL1412" s="4">
        <v>2</v>
      </c>
      <c r="AM1412" s="4">
        <v>2</v>
      </c>
      <c r="AN1412" s="4">
        <v>0</v>
      </c>
      <c r="AO1412" s="4">
        <v>0</v>
      </c>
      <c r="AP1412" s="3" t="s">
        <v>59</v>
      </c>
      <c r="AQ1412" s="3" t="s">
        <v>59</v>
      </c>
      <c r="AR1412" s="6"/>
      <c r="AS1412" s="6" t="str">
        <f>HYPERLINK("https://creighton-primo.hosted.exlibrisgroup.com/primo-explore/search?tab=default_tab&amp;search_scope=EVERYTHING&amp;vid=01CRU&amp;lang=en_US&amp;offset=0&amp;query=any,contains,991001653719702656","Catalog Record")</f>
        <v>Catalog Record</v>
      </c>
      <c r="AT1412" s="6" t="str">
        <f>HYPERLINK("http://www.worldcat.org/oclc/2310630","WorldCat Record")</f>
        <v>WorldCat Record</v>
      </c>
    </row>
    <row r="1413" spans="1:46" ht="52.5" customHeight="1" x14ac:dyDescent="0.25">
      <c r="A1413" s="7" t="s">
        <v>59</v>
      </c>
      <c r="B1413" s="2" t="s">
        <v>16961</v>
      </c>
      <c r="C1413" s="2" t="s">
        <v>16962</v>
      </c>
      <c r="D1413" s="2" t="s">
        <v>16963</v>
      </c>
      <c r="F1413" s="3" t="s">
        <v>59</v>
      </c>
      <c r="G1413" s="3" t="s">
        <v>60</v>
      </c>
      <c r="H1413" s="3" t="s">
        <v>59</v>
      </c>
      <c r="I1413" s="3" t="s">
        <v>59</v>
      </c>
      <c r="J1413" s="3" t="s">
        <v>60</v>
      </c>
      <c r="K1413" s="2" t="s">
        <v>16964</v>
      </c>
      <c r="L1413" s="2" t="s">
        <v>16965</v>
      </c>
      <c r="M1413" s="3" t="s">
        <v>16966</v>
      </c>
      <c r="O1413" s="3" t="s">
        <v>65</v>
      </c>
      <c r="P1413" s="3" t="s">
        <v>420</v>
      </c>
      <c r="Q1413" t="s">
        <v>16967</v>
      </c>
      <c r="R1413" s="3" t="s">
        <v>68</v>
      </c>
      <c r="S1413" s="4">
        <v>1</v>
      </c>
      <c r="T1413" s="4">
        <v>1</v>
      </c>
      <c r="U1413" s="5" t="s">
        <v>16968</v>
      </c>
      <c r="V1413" s="5" t="s">
        <v>16968</v>
      </c>
      <c r="W1413" s="5" t="s">
        <v>16969</v>
      </c>
      <c r="X1413" s="5" t="s">
        <v>16969</v>
      </c>
      <c r="Y1413" s="4">
        <v>394</v>
      </c>
      <c r="Z1413" s="4">
        <v>338</v>
      </c>
      <c r="AA1413" s="4">
        <v>1034</v>
      </c>
      <c r="AB1413" s="4">
        <v>4</v>
      </c>
      <c r="AC1413" s="4">
        <v>15</v>
      </c>
      <c r="AD1413" s="4">
        <v>16</v>
      </c>
      <c r="AE1413" s="4">
        <v>41</v>
      </c>
      <c r="AF1413" s="4">
        <v>3</v>
      </c>
      <c r="AG1413" s="4">
        <v>12</v>
      </c>
      <c r="AH1413" s="4">
        <v>5</v>
      </c>
      <c r="AI1413" s="4">
        <v>9</v>
      </c>
      <c r="AJ1413" s="4">
        <v>11</v>
      </c>
      <c r="AK1413" s="4">
        <v>16</v>
      </c>
      <c r="AL1413" s="4">
        <v>3</v>
      </c>
      <c r="AM1413" s="4">
        <v>13</v>
      </c>
      <c r="AN1413" s="4">
        <v>0</v>
      </c>
      <c r="AO1413" s="4">
        <v>1</v>
      </c>
      <c r="AP1413" s="3" t="s">
        <v>59</v>
      </c>
      <c r="AQ1413" s="3" t="s">
        <v>59</v>
      </c>
      <c r="AR1413" s="6"/>
      <c r="AS1413" s="6" t="str">
        <f>HYPERLINK("https://creighton-primo.hosted.exlibrisgroup.com/primo-explore/search?tab=default_tab&amp;search_scope=EVERYTHING&amp;vid=01CRU&amp;lang=en_US&amp;offset=0&amp;query=any,contains,991000476119702656","Catalog Record")</f>
        <v>Catalog Record</v>
      </c>
      <c r="AT1413" s="6" t="str">
        <f>HYPERLINK("http://www.worldcat.org/oclc/43859346","WorldCat Record")</f>
        <v>WorldCat Record</v>
      </c>
    </row>
    <row r="1414" spans="1:46" ht="52.5" customHeight="1" x14ac:dyDescent="0.25">
      <c r="A1414" s="7" t="s">
        <v>59</v>
      </c>
      <c r="B1414" s="2" t="s">
        <v>7363</v>
      </c>
      <c r="C1414" s="2" t="s">
        <v>7364</v>
      </c>
      <c r="D1414" s="2" t="s">
        <v>7365</v>
      </c>
      <c r="F1414" s="3" t="s">
        <v>59</v>
      </c>
      <c r="G1414" s="3" t="s">
        <v>60</v>
      </c>
      <c r="H1414" s="3" t="s">
        <v>71</v>
      </c>
      <c r="I1414" s="3" t="s">
        <v>59</v>
      </c>
      <c r="J1414" s="3" t="s">
        <v>61</v>
      </c>
      <c r="K1414" s="2" t="s">
        <v>4606</v>
      </c>
      <c r="L1414" s="2" t="s">
        <v>7366</v>
      </c>
      <c r="M1414" s="3" t="s">
        <v>684</v>
      </c>
      <c r="O1414" s="3" t="s">
        <v>65</v>
      </c>
      <c r="P1414" s="3" t="s">
        <v>1218</v>
      </c>
      <c r="R1414" s="3" t="s">
        <v>68</v>
      </c>
      <c r="S1414" s="4">
        <v>3</v>
      </c>
      <c r="T1414" s="4">
        <v>8</v>
      </c>
      <c r="U1414" s="5" t="s">
        <v>1963</v>
      </c>
      <c r="V1414" s="5" t="s">
        <v>1963</v>
      </c>
      <c r="W1414" s="5" t="s">
        <v>16970</v>
      </c>
      <c r="X1414" s="5" t="s">
        <v>7368</v>
      </c>
      <c r="Y1414" s="4">
        <v>857</v>
      </c>
      <c r="Z1414" s="4">
        <v>785</v>
      </c>
      <c r="AA1414" s="4">
        <v>800</v>
      </c>
      <c r="AB1414" s="4">
        <v>7</v>
      </c>
      <c r="AC1414" s="4">
        <v>7</v>
      </c>
      <c r="AD1414" s="4">
        <v>43</v>
      </c>
      <c r="AE1414" s="4">
        <v>43</v>
      </c>
      <c r="AF1414" s="4">
        <v>18</v>
      </c>
      <c r="AG1414" s="4">
        <v>18</v>
      </c>
      <c r="AH1414" s="4">
        <v>11</v>
      </c>
      <c r="AI1414" s="4">
        <v>11</v>
      </c>
      <c r="AJ1414" s="4">
        <v>21</v>
      </c>
      <c r="AK1414" s="4">
        <v>21</v>
      </c>
      <c r="AL1414" s="4">
        <v>5</v>
      </c>
      <c r="AM1414" s="4">
        <v>5</v>
      </c>
      <c r="AN1414" s="4">
        <v>0</v>
      </c>
      <c r="AO1414" s="4">
        <v>0</v>
      </c>
      <c r="AP1414" s="3" t="s">
        <v>59</v>
      </c>
      <c r="AQ1414" s="3" t="s">
        <v>59</v>
      </c>
      <c r="AR1414" s="6"/>
      <c r="AS1414" s="6" t="str">
        <f>HYPERLINK("https://creighton-primo.hosted.exlibrisgroup.com/primo-explore/search?tab=default_tab&amp;search_scope=EVERYTHING&amp;vid=01CRU&amp;lang=en_US&amp;offset=0&amp;query=any,contains,991001762209702656","Catalog Record")</f>
        <v>Catalog Record</v>
      </c>
      <c r="AT1414" s="6" t="str">
        <f>HYPERLINK("http://www.worldcat.org/oclc/8155099","WorldCat Record")</f>
        <v>WorldCat Record</v>
      </c>
    </row>
    <row r="1415" spans="1:46" ht="52.5" customHeight="1" x14ac:dyDescent="0.25">
      <c r="A1415" s="7" t="s">
        <v>59</v>
      </c>
      <c r="B1415" s="2" t="s">
        <v>7440</v>
      </c>
      <c r="C1415" s="2" t="s">
        <v>7441</v>
      </c>
      <c r="D1415" s="2" t="s">
        <v>7442</v>
      </c>
      <c r="F1415" s="3" t="s">
        <v>71</v>
      </c>
      <c r="G1415" s="3" t="s">
        <v>60</v>
      </c>
      <c r="H1415" s="3" t="s">
        <v>71</v>
      </c>
      <c r="I1415" s="3" t="s">
        <v>59</v>
      </c>
      <c r="J1415" s="3" t="s">
        <v>61</v>
      </c>
      <c r="K1415" s="2" t="s">
        <v>7443</v>
      </c>
      <c r="L1415" s="2" t="s">
        <v>7444</v>
      </c>
      <c r="M1415" s="3" t="s">
        <v>549</v>
      </c>
      <c r="O1415" s="3" t="s">
        <v>65</v>
      </c>
      <c r="P1415" s="3" t="s">
        <v>283</v>
      </c>
      <c r="Q1415" t="s">
        <v>7445</v>
      </c>
      <c r="R1415" s="3" t="s">
        <v>68</v>
      </c>
      <c r="S1415" s="4">
        <v>4</v>
      </c>
      <c r="T1415" s="4">
        <v>7</v>
      </c>
      <c r="U1415" s="5" t="s">
        <v>7447</v>
      </c>
      <c r="V1415" s="5" t="s">
        <v>7447</v>
      </c>
      <c r="W1415" s="5" t="s">
        <v>16398</v>
      </c>
      <c r="X1415" s="5" t="s">
        <v>7448</v>
      </c>
      <c r="Y1415" s="4">
        <v>978</v>
      </c>
      <c r="Z1415" s="4">
        <v>763</v>
      </c>
      <c r="AA1415" s="4">
        <v>800</v>
      </c>
      <c r="AB1415" s="4">
        <v>6</v>
      </c>
      <c r="AC1415" s="4">
        <v>6</v>
      </c>
      <c r="AD1415" s="4">
        <v>36</v>
      </c>
      <c r="AE1415" s="4">
        <v>36</v>
      </c>
      <c r="AF1415" s="4">
        <v>17</v>
      </c>
      <c r="AG1415" s="4">
        <v>17</v>
      </c>
      <c r="AH1415" s="4">
        <v>9</v>
      </c>
      <c r="AI1415" s="4">
        <v>9</v>
      </c>
      <c r="AJ1415" s="4">
        <v>18</v>
      </c>
      <c r="AK1415" s="4">
        <v>18</v>
      </c>
      <c r="AL1415" s="4">
        <v>3</v>
      </c>
      <c r="AM1415" s="4">
        <v>3</v>
      </c>
      <c r="AN1415" s="4">
        <v>0</v>
      </c>
      <c r="AO1415" s="4">
        <v>0</v>
      </c>
      <c r="AP1415" s="3" t="s">
        <v>59</v>
      </c>
      <c r="AQ1415" s="3" t="s">
        <v>59</v>
      </c>
      <c r="AR1415" s="6"/>
      <c r="AS1415" s="6" t="str">
        <f>HYPERLINK("https://creighton-primo.hosted.exlibrisgroup.com/primo-explore/search?tab=default_tab&amp;search_scope=EVERYTHING&amp;vid=01CRU&amp;lang=en_US&amp;offset=0&amp;query=any,contains,991001762259702656","Catalog Record")</f>
        <v>Catalog Record</v>
      </c>
      <c r="AT1415" s="6" t="str">
        <f>HYPERLINK("http://www.worldcat.org/oclc/12837549","WorldCat Record")</f>
        <v>WorldCat Record</v>
      </c>
    </row>
    <row r="1416" spans="1:46" ht="52.5" customHeight="1" x14ac:dyDescent="0.25">
      <c r="A1416" s="7" t="s">
        <v>59</v>
      </c>
      <c r="B1416" s="2" t="s">
        <v>16971</v>
      </c>
      <c r="C1416" s="2" t="s">
        <v>16972</v>
      </c>
      <c r="D1416" s="2" t="s">
        <v>16973</v>
      </c>
      <c r="F1416" s="3" t="s">
        <v>59</v>
      </c>
      <c r="G1416" s="3" t="s">
        <v>60</v>
      </c>
      <c r="H1416" s="3" t="s">
        <v>71</v>
      </c>
      <c r="I1416" s="3" t="s">
        <v>59</v>
      </c>
      <c r="J1416" s="3" t="s">
        <v>61</v>
      </c>
      <c r="K1416" s="2" t="s">
        <v>16974</v>
      </c>
      <c r="L1416" s="2" t="s">
        <v>12281</v>
      </c>
      <c r="M1416" s="3" t="s">
        <v>549</v>
      </c>
      <c r="N1416" t="s">
        <v>3938</v>
      </c>
      <c r="O1416" s="3" t="s">
        <v>65</v>
      </c>
      <c r="P1416" s="3" t="s">
        <v>829</v>
      </c>
      <c r="R1416" s="3" t="s">
        <v>68</v>
      </c>
      <c r="S1416" s="4">
        <v>4</v>
      </c>
      <c r="T1416" s="4">
        <v>10</v>
      </c>
      <c r="U1416" s="5" t="s">
        <v>16975</v>
      </c>
      <c r="V1416" s="5" t="s">
        <v>3121</v>
      </c>
      <c r="W1416" s="5" t="s">
        <v>16976</v>
      </c>
      <c r="X1416" s="5" t="s">
        <v>6295</v>
      </c>
      <c r="Y1416" s="4">
        <v>291</v>
      </c>
      <c r="Z1416" s="4">
        <v>241</v>
      </c>
      <c r="AA1416" s="4">
        <v>660</v>
      </c>
      <c r="AB1416" s="4">
        <v>3</v>
      </c>
      <c r="AC1416" s="4">
        <v>7</v>
      </c>
      <c r="AD1416" s="4">
        <v>10</v>
      </c>
      <c r="AE1416" s="4">
        <v>37</v>
      </c>
      <c r="AF1416" s="4">
        <v>5</v>
      </c>
      <c r="AG1416" s="4">
        <v>16</v>
      </c>
      <c r="AH1416" s="4">
        <v>1</v>
      </c>
      <c r="AI1416" s="4">
        <v>6</v>
      </c>
      <c r="AJ1416" s="4">
        <v>7</v>
      </c>
      <c r="AK1416" s="4">
        <v>18</v>
      </c>
      <c r="AL1416" s="4">
        <v>1</v>
      </c>
      <c r="AM1416" s="4">
        <v>5</v>
      </c>
      <c r="AN1416" s="4">
        <v>0</v>
      </c>
      <c r="AO1416" s="4">
        <v>0</v>
      </c>
      <c r="AP1416" s="3" t="s">
        <v>59</v>
      </c>
      <c r="AQ1416" s="3" t="s">
        <v>59</v>
      </c>
      <c r="AR1416" s="6"/>
      <c r="AS1416" s="6" t="str">
        <f>HYPERLINK("https://creighton-primo.hosted.exlibrisgroup.com/primo-explore/search?tab=default_tab&amp;search_scope=EVERYTHING&amp;vid=01CRU&amp;lang=en_US&amp;offset=0&amp;query=any,contains,991001774969702656","Catalog Record")</f>
        <v>Catalog Record</v>
      </c>
      <c r="AT1416" s="6" t="str">
        <f>HYPERLINK("http://www.worldcat.org/oclc/13330804","WorldCat Record")</f>
        <v>WorldCat Record</v>
      </c>
    </row>
    <row r="1417" spans="1:46" ht="52.5" customHeight="1" x14ac:dyDescent="0.25">
      <c r="A1417" s="7" t="s">
        <v>59</v>
      </c>
      <c r="B1417" s="2" t="s">
        <v>7825</v>
      </c>
      <c r="C1417" s="2" t="s">
        <v>7826</v>
      </c>
      <c r="D1417" s="2" t="s">
        <v>7827</v>
      </c>
      <c r="F1417" s="3" t="s">
        <v>59</v>
      </c>
      <c r="G1417" s="3" t="s">
        <v>60</v>
      </c>
      <c r="H1417" s="3" t="s">
        <v>71</v>
      </c>
      <c r="I1417" s="3" t="s">
        <v>59</v>
      </c>
      <c r="J1417" s="3" t="s">
        <v>61</v>
      </c>
      <c r="K1417" s="2"/>
      <c r="L1417" s="2" t="s">
        <v>7828</v>
      </c>
      <c r="M1417" s="3" t="s">
        <v>309</v>
      </c>
      <c r="O1417" s="3" t="s">
        <v>65</v>
      </c>
      <c r="P1417" s="3" t="s">
        <v>66</v>
      </c>
      <c r="R1417" s="3" t="s">
        <v>68</v>
      </c>
      <c r="S1417" s="4">
        <v>12</v>
      </c>
      <c r="T1417" s="4">
        <v>18</v>
      </c>
      <c r="U1417" s="5" t="s">
        <v>7830</v>
      </c>
      <c r="V1417" s="5" t="s">
        <v>7830</v>
      </c>
      <c r="W1417" s="5" t="s">
        <v>16977</v>
      </c>
      <c r="X1417" s="5" t="s">
        <v>1454</v>
      </c>
      <c r="Y1417" s="4">
        <v>487</v>
      </c>
      <c r="Z1417" s="4">
        <v>358</v>
      </c>
      <c r="AA1417" s="4">
        <v>501</v>
      </c>
      <c r="AB1417" s="4">
        <v>4</v>
      </c>
      <c r="AC1417" s="4">
        <v>4</v>
      </c>
      <c r="AD1417" s="4">
        <v>22</v>
      </c>
      <c r="AE1417" s="4">
        <v>27</v>
      </c>
      <c r="AF1417" s="4">
        <v>10</v>
      </c>
      <c r="AG1417" s="4">
        <v>12</v>
      </c>
      <c r="AH1417" s="4">
        <v>6</v>
      </c>
      <c r="AI1417" s="4">
        <v>6</v>
      </c>
      <c r="AJ1417" s="4">
        <v>10</v>
      </c>
      <c r="AK1417" s="4">
        <v>15</v>
      </c>
      <c r="AL1417" s="4">
        <v>2</v>
      </c>
      <c r="AM1417" s="4">
        <v>2</v>
      </c>
      <c r="AN1417" s="4">
        <v>0</v>
      </c>
      <c r="AO1417" s="4">
        <v>0</v>
      </c>
      <c r="AP1417" s="3" t="s">
        <v>59</v>
      </c>
      <c r="AQ1417" s="3" t="s">
        <v>71</v>
      </c>
      <c r="AR1417" s="6" t="str">
        <f>HYPERLINK("http://catalog.hathitrust.org/Record/000214651","HathiTrust Record")</f>
        <v>HathiTrust Record</v>
      </c>
      <c r="AS1417" s="6" t="str">
        <f>HYPERLINK("https://creighton-primo.hosted.exlibrisgroup.com/primo-explore/search?tab=default_tab&amp;search_scope=EVERYTHING&amp;vid=01CRU&amp;lang=en_US&amp;offset=0&amp;query=any,contains,991001791419702656","Catalog Record")</f>
        <v>Catalog Record</v>
      </c>
      <c r="AT1417" s="6" t="str">
        <f>HYPERLINK("http://www.worldcat.org/oclc/4136788","WorldCat Record")</f>
        <v>WorldCat Record</v>
      </c>
    </row>
    <row r="1418" spans="1:46" ht="52.5" customHeight="1" x14ac:dyDescent="0.25">
      <c r="A1418" s="7" t="s">
        <v>59</v>
      </c>
      <c r="B1418" s="2" t="s">
        <v>16978</v>
      </c>
      <c r="C1418" s="2" t="s">
        <v>16979</v>
      </c>
      <c r="D1418" s="2" t="s">
        <v>16980</v>
      </c>
      <c r="F1418" s="3" t="s">
        <v>59</v>
      </c>
      <c r="G1418" s="3" t="s">
        <v>60</v>
      </c>
      <c r="H1418" s="3" t="s">
        <v>59</v>
      </c>
      <c r="I1418" s="3" t="s">
        <v>59</v>
      </c>
      <c r="J1418" s="3" t="s">
        <v>61</v>
      </c>
      <c r="K1418" s="2" t="s">
        <v>16981</v>
      </c>
      <c r="L1418" s="2" t="s">
        <v>16982</v>
      </c>
      <c r="M1418" s="3" t="s">
        <v>2599</v>
      </c>
      <c r="O1418" s="3" t="s">
        <v>65</v>
      </c>
      <c r="P1418" s="3" t="s">
        <v>491</v>
      </c>
      <c r="R1418" s="3" t="s">
        <v>68</v>
      </c>
      <c r="S1418" s="4">
        <v>4</v>
      </c>
      <c r="T1418" s="4">
        <v>4</v>
      </c>
      <c r="U1418" s="5" t="s">
        <v>16553</v>
      </c>
      <c r="V1418" s="5" t="s">
        <v>16553</v>
      </c>
      <c r="W1418" s="5" t="s">
        <v>16559</v>
      </c>
      <c r="X1418" s="5" t="s">
        <v>16559</v>
      </c>
      <c r="Y1418" s="4">
        <v>131</v>
      </c>
      <c r="Z1418" s="4">
        <v>119</v>
      </c>
      <c r="AA1418" s="4">
        <v>119</v>
      </c>
      <c r="AB1418" s="4">
        <v>1</v>
      </c>
      <c r="AC1418" s="4">
        <v>1</v>
      </c>
      <c r="AD1418" s="4">
        <v>17</v>
      </c>
      <c r="AE1418" s="4">
        <v>17</v>
      </c>
      <c r="AF1418" s="4">
        <v>3</v>
      </c>
      <c r="AG1418" s="4">
        <v>3</v>
      </c>
      <c r="AH1418" s="4">
        <v>5</v>
      </c>
      <c r="AI1418" s="4">
        <v>5</v>
      </c>
      <c r="AJ1418" s="4">
        <v>14</v>
      </c>
      <c r="AK1418" s="4">
        <v>14</v>
      </c>
      <c r="AL1418" s="4">
        <v>0</v>
      </c>
      <c r="AM1418" s="4">
        <v>0</v>
      </c>
      <c r="AN1418" s="4">
        <v>0</v>
      </c>
      <c r="AO1418" s="4">
        <v>0</v>
      </c>
      <c r="AP1418" s="3" t="s">
        <v>59</v>
      </c>
      <c r="AQ1418" s="3" t="s">
        <v>59</v>
      </c>
      <c r="AR1418" s="6"/>
      <c r="AS1418" s="6" t="str">
        <f>HYPERLINK("https://creighton-primo.hosted.exlibrisgroup.com/primo-explore/search?tab=default_tab&amp;search_scope=EVERYTHING&amp;vid=01CRU&amp;lang=en_US&amp;offset=0&amp;query=any,contains,991000787879702656","Catalog Record")</f>
        <v>Catalog Record</v>
      </c>
      <c r="AT1418" s="6" t="str">
        <f>HYPERLINK("http://www.worldcat.org/oclc/1406018","WorldCat Record")</f>
        <v>WorldCat Record</v>
      </c>
    </row>
    <row r="1419" spans="1:46" ht="52.5" customHeight="1" x14ac:dyDescent="0.25">
      <c r="A1419" s="7" t="s">
        <v>59</v>
      </c>
      <c r="B1419" s="2" t="s">
        <v>16983</v>
      </c>
      <c r="C1419" s="2" t="s">
        <v>16984</v>
      </c>
      <c r="D1419" s="2" t="s">
        <v>16985</v>
      </c>
      <c r="F1419" s="3" t="s">
        <v>59</v>
      </c>
      <c r="G1419" s="3" t="s">
        <v>60</v>
      </c>
      <c r="H1419" s="3" t="s">
        <v>59</v>
      </c>
      <c r="I1419" s="3" t="s">
        <v>59</v>
      </c>
      <c r="J1419" s="3" t="s">
        <v>61</v>
      </c>
      <c r="K1419" s="2" t="s">
        <v>16986</v>
      </c>
      <c r="L1419" s="2" t="s">
        <v>16987</v>
      </c>
      <c r="M1419" s="3" t="s">
        <v>987</v>
      </c>
      <c r="O1419" s="3" t="s">
        <v>65</v>
      </c>
      <c r="P1419" s="3" t="s">
        <v>7774</v>
      </c>
      <c r="R1419" s="3" t="s">
        <v>68</v>
      </c>
      <c r="S1419" s="4">
        <v>8</v>
      </c>
      <c r="T1419" s="4">
        <v>8</v>
      </c>
      <c r="U1419" s="5" t="s">
        <v>16609</v>
      </c>
      <c r="V1419" s="5" t="s">
        <v>16609</v>
      </c>
      <c r="W1419" s="5" t="s">
        <v>16559</v>
      </c>
      <c r="X1419" s="5" t="s">
        <v>16559</v>
      </c>
      <c r="Y1419" s="4">
        <v>746</v>
      </c>
      <c r="Z1419" s="4">
        <v>668</v>
      </c>
      <c r="AA1419" s="4">
        <v>679</v>
      </c>
      <c r="AB1419" s="4">
        <v>3</v>
      </c>
      <c r="AC1419" s="4">
        <v>3</v>
      </c>
      <c r="AD1419" s="4">
        <v>27</v>
      </c>
      <c r="AE1419" s="4">
        <v>27</v>
      </c>
      <c r="AF1419" s="4">
        <v>12</v>
      </c>
      <c r="AG1419" s="4">
        <v>12</v>
      </c>
      <c r="AH1419" s="4">
        <v>5</v>
      </c>
      <c r="AI1419" s="4">
        <v>5</v>
      </c>
      <c r="AJ1419" s="4">
        <v>11</v>
      </c>
      <c r="AK1419" s="4">
        <v>11</v>
      </c>
      <c r="AL1419" s="4">
        <v>1</v>
      </c>
      <c r="AM1419" s="4">
        <v>1</v>
      </c>
      <c r="AN1419" s="4">
        <v>0</v>
      </c>
      <c r="AO1419" s="4">
        <v>0</v>
      </c>
      <c r="AP1419" s="3" t="s">
        <v>59</v>
      </c>
      <c r="AQ1419" s="3" t="s">
        <v>71</v>
      </c>
      <c r="AR1419" s="6" t="str">
        <f>HYPERLINK("http://catalog.hathitrust.org/Record/001920936","HathiTrust Record")</f>
        <v>HathiTrust Record</v>
      </c>
      <c r="AS1419" s="6" t="str">
        <f>HYPERLINK("https://creighton-primo.hosted.exlibrisgroup.com/primo-explore/search?tab=default_tab&amp;search_scope=EVERYTHING&amp;vid=01CRU&amp;lang=en_US&amp;offset=0&amp;query=any,contains,991000788469702656","Catalog Record")</f>
        <v>Catalog Record</v>
      </c>
      <c r="AT1419" s="6" t="str">
        <f>HYPERLINK("http://www.worldcat.org/oclc/106345","WorldCat Record")</f>
        <v>WorldCat Record</v>
      </c>
    </row>
    <row r="1420" spans="1:46" ht="52.5" customHeight="1" x14ac:dyDescent="0.25">
      <c r="A1420" s="7" t="s">
        <v>59</v>
      </c>
      <c r="B1420" s="2" t="s">
        <v>16988</v>
      </c>
      <c r="C1420" s="2" t="s">
        <v>16989</v>
      </c>
      <c r="D1420" s="2" t="s">
        <v>16990</v>
      </c>
      <c r="F1420" s="3" t="s">
        <v>59</v>
      </c>
      <c r="G1420" s="3" t="s">
        <v>60</v>
      </c>
      <c r="H1420" s="3" t="s">
        <v>71</v>
      </c>
      <c r="I1420" s="3" t="s">
        <v>59</v>
      </c>
      <c r="J1420" s="3" t="s">
        <v>61</v>
      </c>
      <c r="K1420" s="2" t="s">
        <v>16991</v>
      </c>
      <c r="L1420" s="2" t="s">
        <v>16992</v>
      </c>
      <c r="M1420" s="3" t="s">
        <v>1233</v>
      </c>
      <c r="O1420" s="3" t="s">
        <v>65</v>
      </c>
      <c r="P1420" s="3" t="s">
        <v>699</v>
      </c>
      <c r="Q1420" t="s">
        <v>16993</v>
      </c>
      <c r="R1420" s="3" t="s">
        <v>68</v>
      </c>
      <c r="S1420" s="4">
        <v>9</v>
      </c>
      <c r="T1420" s="4">
        <v>9</v>
      </c>
      <c r="U1420" s="5" t="s">
        <v>7367</v>
      </c>
      <c r="V1420" s="5" t="s">
        <v>7367</v>
      </c>
      <c r="W1420" s="5" t="s">
        <v>686</v>
      </c>
      <c r="X1420" s="5" t="s">
        <v>686</v>
      </c>
      <c r="Y1420" s="4">
        <v>1181</v>
      </c>
      <c r="Z1420" s="4">
        <v>940</v>
      </c>
      <c r="AA1420" s="4">
        <v>949</v>
      </c>
      <c r="AB1420" s="4">
        <v>10</v>
      </c>
      <c r="AC1420" s="4">
        <v>10</v>
      </c>
      <c r="AD1420" s="4">
        <v>32</v>
      </c>
      <c r="AE1420" s="4">
        <v>32</v>
      </c>
      <c r="AF1420" s="4">
        <v>11</v>
      </c>
      <c r="AG1420" s="4">
        <v>11</v>
      </c>
      <c r="AH1420" s="4">
        <v>7</v>
      </c>
      <c r="AI1420" s="4">
        <v>7</v>
      </c>
      <c r="AJ1420" s="4">
        <v>17</v>
      </c>
      <c r="AK1420" s="4">
        <v>17</v>
      </c>
      <c r="AL1420" s="4">
        <v>7</v>
      </c>
      <c r="AM1420" s="4">
        <v>7</v>
      </c>
      <c r="AN1420" s="4">
        <v>0</v>
      </c>
      <c r="AO1420" s="4">
        <v>0</v>
      </c>
      <c r="AP1420" s="3" t="s">
        <v>59</v>
      </c>
      <c r="AQ1420" s="3" t="s">
        <v>71</v>
      </c>
      <c r="AR1420" s="6" t="str">
        <f>HYPERLINK("http://catalog.hathitrust.org/Record/000974073","HathiTrust Record")</f>
        <v>HathiTrust Record</v>
      </c>
      <c r="AS1420" s="6" t="str">
        <f>HYPERLINK("https://creighton-primo.hosted.exlibrisgroup.com/primo-explore/search?tab=default_tab&amp;search_scope=EVERYTHING&amp;vid=01CRU&amp;lang=en_US&amp;offset=0&amp;query=any,contains,991001446929702656","Catalog Record")</f>
        <v>Catalog Record</v>
      </c>
      <c r="AT1420" s="6" t="str">
        <f>HYPERLINK("http://www.worldcat.org/oclc/42863067","WorldCat Record")</f>
        <v>WorldCat Record</v>
      </c>
    </row>
    <row r="1421" spans="1:46" ht="52.5" customHeight="1" x14ac:dyDescent="0.25">
      <c r="A1421" s="7" t="s">
        <v>59</v>
      </c>
      <c r="B1421" s="2" t="s">
        <v>16994</v>
      </c>
      <c r="C1421" s="2" t="s">
        <v>16995</v>
      </c>
      <c r="D1421" s="2" t="s">
        <v>16996</v>
      </c>
      <c r="F1421" s="3" t="s">
        <v>59</v>
      </c>
      <c r="G1421" s="3" t="s">
        <v>60</v>
      </c>
      <c r="H1421" s="3" t="s">
        <v>59</v>
      </c>
      <c r="I1421" s="3" t="s">
        <v>59</v>
      </c>
      <c r="J1421" s="3" t="s">
        <v>61</v>
      </c>
      <c r="K1421" s="2" t="s">
        <v>16997</v>
      </c>
      <c r="L1421" s="2" t="s">
        <v>16998</v>
      </c>
      <c r="M1421" s="3" t="s">
        <v>16921</v>
      </c>
      <c r="O1421" s="3" t="s">
        <v>65</v>
      </c>
      <c r="P1421" s="3" t="s">
        <v>66</v>
      </c>
      <c r="R1421" s="3" t="s">
        <v>68</v>
      </c>
      <c r="S1421" s="4">
        <v>1</v>
      </c>
      <c r="T1421" s="4">
        <v>1</v>
      </c>
      <c r="U1421" s="5" t="s">
        <v>16999</v>
      </c>
      <c r="V1421" s="5" t="s">
        <v>16999</v>
      </c>
      <c r="W1421" s="5" t="s">
        <v>6128</v>
      </c>
      <c r="X1421" s="5" t="s">
        <v>6128</v>
      </c>
      <c r="Y1421" s="4">
        <v>59</v>
      </c>
      <c r="Z1421" s="4">
        <v>50</v>
      </c>
      <c r="AA1421" s="4">
        <v>74</v>
      </c>
      <c r="AB1421" s="4">
        <v>2</v>
      </c>
      <c r="AC1421" s="4">
        <v>2</v>
      </c>
      <c r="AD1421" s="4">
        <v>1</v>
      </c>
      <c r="AE1421" s="4">
        <v>2</v>
      </c>
      <c r="AF1421" s="4">
        <v>0</v>
      </c>
      <c r="AG1421" s="4">
        <v>1</v>
      </c>
      <c r="AH1421" s="4">
        <v>0</v>
      </c>
      <c r="AI1421" s="4">
        <v>0</v>
      </c>
      <c r="AJ1421" s="4">
        <v>0</v>
      </c>
      <c r="AK1421" s="4">
        <v>0</v>
      </c>
      <c r="AL1421" s="4">
        <v>1</v>
      </c>
      <c r="AM1421" s="4">
        <v>1</v>
      </c>
      <c r="AN1421" s="4">
        <v>0</v>
      </c>
      <c r="AO1421" s="4">
        <v>0</v>
      </c>
      <c r="AP1421" s="3" t="s">
        <v>59</v>
      </c>
      <c r="AQ1421" s="3" t="s">
        <v>59</v>
      </c>
      <c r="AR1421" s="6"/>
      <c r="AS1421" s="6" t="str">
        <f>HYPERLINK("https://creighton-primo.hosted.exlibrisgroup.com/primo-explore/search?tab=default_tab&amp;search_scope=EVERYTHING&amp;vid=01CRU&amp;lang=en_US&amp;offset=0&amp;query=any,contains,991000366699702656","Catalog Record")</f>
        <v>Catalog Record</v>
      </c>
      <c r="AT1421" s="6" t="str">
        <f>HYPERLINK("http://www.worldcat.org/oclc/51653253","WorldCat Record")</f>
        <v>WorldCat Record</v>
      </c>
    </row>
    <row r="1422" spans="1:46" ht="52.5" customHeight="1" x14ac:dyDescent="0.25">
      <c r="A1422" s="7" t="s">
        <v>59</v>
      </c>
      <c r="B1422" s="2" t="s">
        <v>17000</v>
      </c>
      <c r="C1422" s="2" t="s">
        <v>17001</v>
      </c>
      <c r="D1422" s="2" t="s">
        <v>17002</v>
      </c>
      <c r="F1422" s="3" t="s">
        <v>59</v>
      </c>
      <c r="G1422" s="3" t="s">
        <v>60</v>
      </c>
      <c r="H1422" s="3" t="s">
        <v>59</v>
      </c>
      <c r="I1422" s="3" t="s">
        <v>59</v>
      </c>
      <c r="J1422" s="3" t="s">
        <v>60</v>
      </c>
      <c r="K1422" s="2" t="s">
        <v>17003</v>
      </c>
      <c r="L1422" s="2" t="s">
        <v>17004</v>
      </c>
      <c r="M1422" s="3" t="s">
        <v>15624</v>
      </c>
      <c r="N1422" t="s">
        <v>887</v>
      </c>
      <c r="O1422" s="3" t="s">
        <v>65</v>
      </c>
      <c r="P1422" s="3" t="s">
        <v>323</v>
      </c>
      <c r="R1422" s="3" t="s">
        <v>68</v>
      </c>
      <c r="S1422" s="4">
        <v>0</v>
      </c>
      <c r="T1422" s="4">
        <v>0</v>
      </c>
      <c r="U1422" s="5" t="s">
        <v>17005</v>
      </c>
      <c r="V1422" s="5" t="s">
        <v>17005</v>
      </c>
      <c r="W1422" s="5" t="s">
        <v>17006</v>
      </c>
      <c r="X1422" s="5" t="s">
        <v>17006</v>
      </c>
      <c r="Y1422" s="4">
        <v>194</v>
      </c>
      <c r="Z1422" s="4">
        <v>173</v>
      </c>
      <c r="AA1422" s="4">
        <v>1180</v>
      </c>
      <c r="AB1422" s="4">
        <v>1</v>
      </c>
      <c r="AC1422" s="4">
        <v>14</v>
      </c>
      <c r="AD1422" s="4">
        <v>4</v>
      </c>
      <c r="AE1422" s="4">
        <v>42</v>
      </c>
      <c r="AF1422" s="4">
        <v>2</v>
      </c>
      <c r="AG1422" s="4">
        <v>13</v>
      </c>
      <c r="AH1422" s="4">
        <v>1</v>
      </c>
      <c r="AI1422" s="4">
        <v>9</v>
      </c>
      <c r="AJ1422" s="4">
        <v>2</v>
      </c>
      <c r="AK1422" s="4">
        <v>13</v>
      </c>
      <c r="AL1422" s="4">
        <v>0</v>
      </c>
      <c r="AM1422" s="4">
        <v>12</v>
      </c>
      <c r="AN1422" s="4">
        <v>0</v>
      </c>
      <c r="AO1422" s="4">
        <v>2</v>
      </c>
      <c r="AP1422" s="3" t="s">
        <v>59</v>
      </c>
      <c r="AQ1422" s="3" t="s">
        <v>59</v>
      </c>
      <c r="AR1422" s="6"/>
      <c r="AS1422" s="6" t="str">
        <f>HYPERLINK("https://creighton-primo.hosted.exlibrisgroup.com/primo-explore/search?tab=default_tab&amp;search_scope=EVERYTHING&amp;vid=01CRU&amp;lang=en_US&amp;offset=0&amp;query=any,contains,991000477899702656","Catalog Record")</f>
        <v>Catalog Record</v>
      </c>
      <c r="AT1422" s="6" t="str">
        <f>HYPERLINK("http://www.worldcat.org/oclc/53131648","WorldCat Record")</f>
        <v>WorldCat Record</v>
      </c>
    </row>
    <row r="1423" spans="1:46" ht="52.5" customHeight="1" x14ac:dyDescent="0.25">
      <c r="A1423" s="7" t="s">
        <v>59</v>
      </c>
      <c r="B1423" s="2" t="s">
        <v>17007</v>
      </c>
      <c r="C1423" s="2" t="s">
        <v>17008</v>
      </c>
      <c r="D1423" s="2" t="s">
        <v>17009</v>
      </c>
      <c r="F1423" s="3" t="s">
        <v>59</v>
      </c>
      <c r="G1423" s="3" t="s">
        <v>60</v>
      </c>
      <c r="H1423" s="3" t="s">
        <v>71</v>
      </c>
      <c r="I1423" s="3" t="s">
        <v>59</v>
      </c>
      <c r="J1423" s="3" t="s">
        <v>61</v>
      </c>
      <c r="K1423" s="2"/>
      <c r="L1423" s="2" t="s">
        <v>17010</v>
      </c>
      <c r="M1423" s="3" t="s">
        <v>549</v>
      </c>
      <c r="O1423" s="3" t="s">
        <v>65</v>
      </c>
      <c r="P1423" s="3" t="s">
        <v>296</v>
      </c>
      <c r="R1423" s="3" t="s">
        <v>68</v>
      </c>
      <c r="S1423" s="4">
        <v>11</v>
      </c>
      <c r="T1423" s="4">
        <v>32</v>
      </c>
      <c r="U1423" s="5" t="s">
        <v>17011</v>
      </c>
      <c r="V1423" s="5" t="s">
        <v>17012</v>
      </c>
      <c r="W1423" s="5" t="s">
        <v>16398</v>
      </c>
      <c r="X1423" s="5" t="s">
        <v>8565</v>
      </c>
      <c r="Y1423" s="4">
        <v>630</v>
      </c>
      <c r="Z1423" s="4">
        <v>559</v>
      </c>
      <c r="AA1423" s="4">
        <v>565</v>
      </c>
      <c r="AB1423" s="4">
        <v>7</v>
      </c>
      <c r="AC1423" s="4">
        <v>7</v>
      </c>
      <c r="AD1423" s="4">
        <v>27</v>
      </c>
      <c r="AE1423" s="4">
        <v>27</v>
      </c>
      <c r="AF1423" s="4">
        <v>14</v>
      </c>
      <c r="AG1423" s="4">
        <v>14</v>
      </c>
      <c r="AH1423" s="4">
        <v>4</v>
      </c>
      <c r="AI1423" s="4">
        <v>4</v>
      </c>
      <c r="AJ1423" s="4">
        <v>12</v>
      </c>
      <c r="AK1423" s="4">
        <v>12</v>
      </c>
      <c r="AL1423" s="4">
        <v>4</v>
      </c>
      <c r="AM1423" s="4">
        <v>4</v>
      </c>
      <c r="AN1423" s="4">
        <v>0</v>
      </c>
      <c r="AO1423" s="4">
        <v>0</v>
      </c>
      <c r="AP1423" s="3" t="s">
        <v>59</v>
      </c>
      <c r="AQ1423" s="3" t="s">
        <v>71</v>
      </c>
      <c r="AR1423" s="6" t="str">
        <f>HYPERLINK("http://catalog.hathitrust.org/Record/007104551","HathiTrust Record")</f>
        <v>HathiTrust Record</v>
      </c>
      <c r="AS1423" s="6" t="str">
        <f>HYPERLINK("https://creighton-primo.hosted.exlibrisgroup.com/primo-explore/search?tab=default_tab&amp;search_scope=EVERYTHING&amp;vid=01CRU&amp;lang=en_US&amp;offset=0&amp;query=any,contains,991001762339702656","Catalog Record")</f>
        <v>Catalog Record</v>
      </c>
      <c r="AT1423" s="6" t="str">
        <f>HYPERLINK("http://www.worldcat.org/oclc/14248435","WorldCat Record")</f>
        <v>WorldCat Record</v>
      </c>
    </row>
    <row r="1424" spans="1:46" ht="52.5" customHeight="1" x14ac:dyDescent="0.25">
      <c r="A1424" s="7" t="s">
        <v>59</v>
      </c>
      <c r="B1424" s="2" t="s">
        <v>17013</v>
      </c>
      <c r="C1424" s="2" t="s">
        <v>17014</v>
      </c>
      <c r="D1424" s="2" t="s">
        <v>17015</v>
      </c>
      <c r="F1424" s="3" t="s">
        <v>59</v>
      </c>
      <c r="G1424" s="3" t="s">
        <v>60</v>
      </c>
      <c r="H1424" s="3" t="s">
        <v>71</v>
      </c>
      <c r="I1424" s="3" t="s">
        <v>59</v>
      </c>
      <c r="J1424" s="3" t="s">
        <v>60</v>
      </c>
      <c r="K1424" s="2" t="s">
        <v>17016</v>
      </c>
      <c r="L1424" s="2" t="s">
        <v>114</v>
      </c>
      <c r="M1424" s="3" t="s">
        <v>115</v>
      </c>
      <c r="O1424" s="3" t="s">
        <v>65</v>
      </c>
      <c r="P1424" s="3" t="s">
        <v>66</v>
      </c>
      <c r="R1424" s="3" t="s">
        <v>68</v>
      </c>
      <c r="S1424" s="4">
        <v>4</v>
      </c>
      <c r="T1424" s="4">
        <v>21</v>
      </c>
      <c r="U1424" s="5" t="s">
        <v>6968</v>
      </c>
      <c r="V1424" s="5" t="s">
        <v>17017</v>
      </c>
      <c r="W1424" s="5" t="s">
        <v>16634</v>
      </c>
      <c r="X1424" s="5" t="s">
        <v>5507</v>
      </c>
      <c r="Y1424" s="4">
        <v>920</v>
      </c>
      <c r="Z1424" s="4">
        <v>833</v>
      </c>
      <c r="AA1424" s="4">
        <v>1595</v>
      </c>
      <c r="AB1424" s="4">
        <v>4</v>
      </c>
      <c r="AC1424" s="4">
        <v>16</v>
      </c>
      <c r="AD1424" s="4">
        <v>29</v>
      </c>
      <c r="AE1424" s="4">
        <v>58</v>
      </c>
      <c r="AF1424" s="4">
        <v>11</v>
      </c>
      <c r="AG1424" s="4">
        <v>20</v>
      </c>
      <c r="AH1424" s="4">
        <v>6</v>
      </c>
      <c r="AI1424" s="4">
        <v>10</v>
      </c>
      <c r="AJ1424" s="4">
        <v>15</v>
      </c>
      <c r="AK1424" s="4">
        <v>22</v>
      </c>
      <c r="AL1424" s="4">
        <v>2</v>
      </c>
      <c r="AM1424" s="4">
        <v>14</v>
      </c>
      <c r="AN1424" s="4">
        <v>0</v>
      </c>
      <c r="AO1424" s="4">
        <v>1</v>
      </c>
      <c r="AP1424" s="3" t="s">
        <v>59</v>
      </c>
      <c r="AQ1424" s="3" t="s">
        <v>71</v>
      </c>
      <c r="AR1424" s="6" t="str">
        <f>HYPERLINK("http://catalog.hathitrust.org/Record/000360565","HathiTrust Record")</f>
        <v>HathiTrust Record</v>
      </c>
      <c r="AS1424" s="6" t="str">
        <f>HYPERLINK("https://creighton-primo.hosted.exlibrisgroup.com/primo-explore/search?tab=default_tab&amp;search_scope=EVERYTHING&amp;vid=01CRU&amp;lang=en_US&amp;offset=0&amp;query=any,contains,991001762399702656","Catalog Record")</f>
        <v>Catalog Record</v>
      </c>
      <c r="AT1424" s="6" t="str">
        <f>HYPERLINK("http://www.worldcat.org/oclc/482679","WorldCat Record")</f>
        <v>WorldCat Record</v>
      </c>
    </row>
    <row r="1425" spans="1:46" ht="52.5" customHeight="1" x14ac:dyDescent="0.25">
      <c r="A1425" s="7" t="s">
        <v>59</v>
      </c>
      <c r="B1425" s="2" t="s">
        <v>17018</v>
      </c>
      <c r="C1425" s="2" t="s">
        <v>17019</v>
      </c>
      <c r="D1425" s="2" t="s">
        <v>17020</v>
      </c>
      <c r="F1425" s="3" t="s">
        <v>59</v>
      </c>
      <c r="G1425" s="3" t="s">
        <v>60</v>
      </c>
      <c r="H1425" s="3" t="s">
        <v>71</v>
      </c>
      <c r="I1425" s="3" t="s">
        <v>59</v>
      </c>
      <c r="J1425" s="3" t="s">
        <v>61</v>
      </c>
      <c r="K1425" s="2" t="s">
        <v>17021</v>
      </c>
      <c r="L1425" s="2" t="s">
        <v>17022</v>
      </c>
      <c r="M1425" s="3" t="s">
        <v>1217</v>
      </c>
      <c r="O1425" s="3" t="s">
        <v>65</v>
      </c>
      <c r="P1425" s="3" t="s">
        <v>296</v>
      </c>
      <c r="R1425" s="3" t="s">
        <v>68</v>
      </c>
      <c r="S1425" s="4">
        <v>10</v>
      </c>
      <c r="T1425" s="4">
        <v>34</v>
      </c>
      <c r="U1425" s="5" t="s">
        <v>16609</v>
      </c>
      <c r="V1425" s="5" t="s">
        <v>17023</v>
      </c>
      <c r="W1425" s="5" t="s">
        <v>16398</v>
      </c>
      <c r="X1425" s="5" t="s">
        <v>5121</v>
      </c>
      <c r="Y1425" s="4">
        <v>955</v>
      </c>
      <c r="Z1425" s="4">
        <v>825</v>
      </c>
      <c r="AA1425" s="4">
        <v>833</v>
      </c>
      <c r="AB1425" s="4">
        <v>11</v>
      </c>
      <c r="AC1425" s="4">
        <v>11</v>
      </c>
      <c r="AD1425" s="4">
        <v>36</v>
      </c>
      <c r="AE1425" s="4">
        <v>36</v>
      </c>
      <c r="AF1425" s="4">
        <v>12</v>
      </c>
      <c r="AG1425" s="4">
        <v>12</v>
      </c>
      <c r="AH1425" s="4">
        <v>9</v>
      </c>
      <c r="AI1425" s="4">
        <v>9</v>
      </c>
      <c r="AJ1425" s="4">
        <v>14</v>
      </c>
      <c r="AK1425" s="4">
        <v>14</v>
      </c>
      <c r="AL1425" s="4">
        <v>6</v>
      </c>
      <c r="AM1425" s="4">
        <v>6</v>
      </c>
      <c r="AN1425" s="4">
        <v>0</v>
      </c>
      <c r="AO1425" s="4">
        <v>0</v>
      </c>
      <c r="AP1425" s="3" t="s">
        <v>59</v>
      </c>
      <c r="AQ1425" s="3" t="s">
        <v>71</v>
      </c>
      <c r="AR1425" s="6" t="str">
        <f>HYPERLINK("http://catalog.hathitrust.org/Record/002644854","HathiTrust Record")</f>
        <v>HathiTrust Record</v>
      </c>
      <c r="AS1425" s="6" t="str">
        <f>HYPERLINK("https://creighton-primo.hosted.exlibrisgroup.com/primo-explore/search?tab=default_tab&amp;search_scope=EVERYTHING&amp;vid=01CRU&amp;lang=en_US&amp;offset=0&amp;query=any,contains,991001762429702656","Catalog Record")</f>
        <v>Catalog Record</v>
      </c>
      <c r="AT1425" s="6" t="str">
        <f>HYPERLINK("http://www.worldcat.org/oclc/11527314","WorldCat Record")</f>
        <v>WorldCat Record</v>
      </c>
    </row>
    <row r="1426" spans="1:46" ht="52.5" customHeight="1" x14ac:dyDescent="0.25">
      <c r="A1426" s="7" t="s">
        <v>59</v>
      </c>
      <c r="B1426" s="2" t="s">
        <v>17024</v>
      </c>
      <c r="C1426" s="2" t="s">
        <v>17025</v>
      </c>
      <c r="D1426" s="2" t="s">
        <v>17026</v>
      </c>
      <c r="F1426" s="3" t="s">
        <v>59</v>
      </c>
      <c r="G1426" s="3" t="s">
        <v>60</v>
      </c>
      <c r="H1426" s="3" t="s">
        <v>59</v>
      </c>
      <c r="I1426" s="3" t="s">
        <v>71</v>
      </c>
      <c r="J1426" s="3" t="s">
        <v>61</v>
      </c>
      <c r="K1426" s="2" t="s">
        <v>7814</v>
      </c>
      <c r="L1426" s="2" t="s">
        <v>17027</v>
      </c>
      <c r="M1426" s="3" t="s">
        <v>5648</v>
      </c>
      <c r="N1426" t="s">
        <v>887</v>
      </c>
      <c r="O1426" s="3" t="s">
        <v>65</v>
      </c>
      <c r="P1426" s="3" t="s">
        <v>66</v>
      </c>
      <c r="R1426" s="3" t="s">
        <v>68</v>
      </c>
      <c r="S1426" s="4">
        <v>9</v>
      </c>
      <c r="T1426" s="4">
        <v>9</v>
      </c>
      <c r="U1426" s="5" t="s">
        <v>17028</v>
      </c>
      <c r="V1426" s="5" t="s">
        <v>17028</v>
      </c>
      <c r="W1426" s="5" t="s">
        <v>3237</v>
      </c>
      <c r="X1426" s="5" t="s">
        <v>3237</v>
      </c>
      <c r="Y1426" s="4">
        <v>1435</v>
      </c>
      <c r="Z1426" s="4">
        <v>1288</v>
      </c>
      <c r="AA1426" s="4">
        <v>2289</v>
      </c>
      <c r="AB1426" s="4">
        <v>10</v>
      </c>
      <c r="AC1426" s="4">
        <v>18</v>
      </c>
      <c r="AD1426" s="4">
        <v>33</v>
      </c>
      <c r="AE1426" s="4">
        <v>54</v>
      </c>
      <c r="AF1426" s="4">
        <v>11</v>
      </c>
      <c r="AG1426" s="4">
        <v>23</v>
      </c>
      <c r="AH1426" s="4">
        <v>8</v>
      </c>
      <c r="AI1426" s="4">
        <v>10</v>
      </c>
      <c r="AJ1426" s="4">
        <v>13</v>
      </c>
      <c r="AK1426" s="4">
        <v>19</v>
      </c>
      <c r="AL1426" s="4">
        <v>6</v>
      </c>
      <c r="AM1426" s="4">
        <v>10</v>
      </c>
      <c r="AN1426" s="4">
        <v>1</v>
      </c>
      <c r="AO1426" s="4">
        <v>1</v>
      </c>
      <c r="AP1426" s="3" t="s">
        <v>59</v>
      </c>
      <c r="AQ1426" s="3" t="s">
        <v>59</v>
      </c>
      <c r="AR1426" s="6"/>
      <c r="AS1426" s="6" t="str">
        <f>HYPERLINK("https://creighton-primo.hosted.exlibrisgroup.com/primo-explore/search?tab=default_tab&amp;search_scope=EVERYTHING&amp;vid=01CRU&amp;lang=en_US&amp;offset=0&amp;query=any,contains,991000852869702656","Catalog Record")</f>
        <v>Catalog Record</v>
      </c>
      <c r="AT1426" s="6" t="str">
        <f>HYPERLINK("http://www.worldcat.org/oclc/20392741","WorldCat Record")</f>
        <v>WorldCat Record</v>
      </c>
    </row>
    <row r="1427" spans="1:46" ht="52.5" customHeight="1" x14ac:dyDescent="0.25">
      <c r="A1427" s="7" t="s">
        <v>59</v>
      </c>
      <c r="B1427" s="2" t="s">
        <v>17029</v>
      </c>
      <c r="C1427" s="2" t="s">
        <v>17030</v>
      </c>
      <c r="D1427" s="2" t="s">
        <v>17031</v>
      </c>
      <c r="F1427" s="3" t="s">
        <v>59</v>
      </c>
      <c r="G1427" s="3" t="s">
        <v>60</v>
      </c>
      <c r="H1427" s="3" t="s">
        <v>59</v>
      </c>
      <c r="I1427" s="3" t="s">
        <v>71</v>
      </c>
      <c r="J1427" s="3" t="s">
        <v>61</v>
      </c>
      <c r="K1427" s="2" t="s">
        <v>17032</v>
      </c>
      <c r="L1427" s="2" t="s">
        <v>17033</v>
      </c>
      <c r="M1427" s="3" t="s">
        <v>15624</v>
      </c>
      <c r="N1427" t="s">
        <v>887</v>
      </c>
      <c r="O1427" s="3" t="s">
        <v>65</v>
      </c>
      <c r="P1427" s="3" t="s">
        <v>66</v>
      </c>
      <c r="R1427" s="3" t="s">
        <v>68</v>
      </c>
      <c r="S1427" s="4">
        <v>0</v>
      </c>
      <c r="T1427" s="4">
        <v>0</v>
      </c>
      <c r="U1427" s="5" t="s">
        <v>17034</v>
      </c>
      <c r="V1427" s="5" t="s">
        <v>17034</v>
      </c>
      <c r="W1427" s="5" t="s">
        <v>17034</v>
      </c>
      <c r="X1427" s="5" t="s">
        <v>17034</v>
      </c>
      <c r="Y1427" s="4">
        <v>1548</v>
      </c>
      <c r="Z1427" s="4">
        <v>1449</v>
      </c>
      <c r="AA1427" s="4">
        <v>1589</v>
      </c>
      <c r="AB1427" s="4">
        <v>14</v>
      </c>
      <c r="AC1427" s="4">
        <v>17</v>
      </c>
      <c r="AD1427" s="4">
        <v>43</v>
      </c>
      <c r="AE1427" s="4">
        <v>46</v>
      </c>
      <c r="AF1427" s="4">
        <v>18</v>
      </c>
      <c r="AG1427" s="4">
        <v>19</v>
      </c>
      <c r="AH1427" s="4">
        <v>7</v>
      </c>
      <c r="AI1427" s="4">
        <v>7</v>
      </c>
      <c r="AJ1427" s="4">
        <v>18</v>
      </c>
      <c r="AK1427" s="4">
        <v>20</v>
      </c>
      <c r="AL1427" s="4">
        <v>8</v>
      </c>
      <c r="AM1427" s="4">
        <v>9</v>
      </c>
      <c r="AN1427" s="4">
        <v>0</v>
      </c>
      <c r="AO1427" s="4">
        <v>0</v>
      </c>
      <c r="AP1427" s="3" t="s">
        <v>59</v>
      </c>
      <c r="AQ1427" s="3" t="s">
        <v>71</v>
      </c>
      <c r="AR1427" s="6" t="str">
        <f>HYPERLINK("http://catalog.hathitrust.org/Record/004764155","HathiTrust Record")</f>
        <v>HathiTrust Record</v>
      </c>
      <c r="AS1427" s="6" t="str">
        <f>HYPERLINK("https://creighton-primo.hosted.exlibrisgroup.com/primo-explore/search?tab=default_tab&amp;search_scope=EVERYTHING&amp;vid=01CRU&amp;lang=en_US&amp;offset=0&amp;query=any,contains,991000424209702656","Catalog Record")</f>
        <v>Catalog Record</v>
      </c>
      <c r="AT1427" s="6" t="str">
        <f>HYPERLINK("http://www.worldcat.org/oclc/54767487","WorldCat Record")</f>
        <v>WorldCat Record</v>
      </c>
    </row>
    <row r="1428" spans="1:46" ht="52.5" customHeight="1" x14ac:dyDescent="0.25">
      <c r="A1428" s="7" t="s">
        <v>59</v>
      </c>
      <c r="B1428" s="2" t="s">
        <v>8871</v>
      </c>
      <c r="C1428" s="2" t="s">
        <v>8872</v>
      </c>
      <c r="D1428" s="2" t="s">
        <v>8873</v>
      </c>
      <c r="F1428" s="3" t="s">
        <v>59</v>
      </c>
      <c r="G1428" s="3" t="s">
        <v>60</v>
      </c>
      <c r="H1428" s="3" t="s">
        <v>71</v>
      </c>
      <c r="I1428" s="3" t="s">
        <v>59</v>
      </c>
      <c r="J1428" s="3" t="s">
        <v>61</v>
      </c>
      <c r="K1428" s="2" t="s">
        <v>8874</v>
      </c>
      <c r="L1428" s="2" t="s">
        <v>8590</v>
      </c>
      <c r="M1428" s="3" t="s">
        <v>131</v>
      </c>
      <c r="O1428" s="3" t="s">
        <v>65</v>
      </c>
      <c r="P1428" s="3" t="s">
        <v>66</v>
      </c>
      <c r="R1428" s="3" t="s">
        <v>68</v>
      </c>
      <c r="S1428" s="4">
        <v>12</v>
      </c>
      <c r="T1428" s="4">
        <v>19</v>
      </c>
      <c r="U1428" s="5" t="s">
        <v>17035</v>
      </c>
      <c r="V1428" s="5" t="s">
        <v>8875</v>
      </c>
      <c r="W1428" s="5" t="s">
        <v>17036</v>
      </c>
      <c r="X1428" s="5" t="s">
        <v>8876</v>
      </c>
      <c r="Y1428" s="4">
        <v>737</v>
      </c>
      <c r="Z1428" s="4">
        <v>600</v>
      </c>
      <c r="AA1428" s="4">
        <v>608</v>
      </c>
      <c r="AB1428" s="4">
        <v>5</v>
      </c>
      <c r="AC1428" s="4">
        <v>5</v>
      </c>
      <c r="AD1428" s="4">
        <v>29</v>
      </c>
      <c r="AE1428" s="4">
        <v>29</v>
      </c>
      <c r="AF1428" s="4">
        <v>14</v>
      </c>
      <c r="AG1428" s="4">
        <v>14</v>
      </c>
      <c r="AH1428" s="4">
        <v>6</v>
      </c>
      <c r="AI1428" s="4">
        <v>6</v>
      </c>
      <c r="AJ1428" s="4">
        <v>14</v>
      </c>
      <c r="AK1428" s="4">
        <v>14</v>
      </c>
      <c r="AL1428" s="4">
        <v>2</v>
      </c>
      <c r="AM1428" s="4">
        <v>2</v>
      </c>
      <c r="AN1428" s="4">
        <v>0</v>
      </c>
      <c r="AO1428" s="4">
        <v>0</v>
      </c>
      <c r="AP1428" s="3" t="s">
        <v>59</v>
      </c>
      <c r="AQ1428" s="3" t="s">
        <v>71</v>
      </c>
      <c r="AR1428" s="6" t="str">
        <f>HYPERLINK("http://catalog.hathitrust.org/Record/000013611","HathiTrust Record")</f>
        <v>HathiTrust Record</v>
      </c>
      <c r="AS1428" s="6" t="str">
        <f>HYPERLINK("https://creighton-primo.hosted.exlibrisgroup.com/primo-explore/search?tab=default_tab&amp;search_scope=EVERYTHING&amp;vid=01CRU&amp;lang=en_US&amp;offset=0&amp;query=any,contains,991001781769702656","Catalog Record")</f>
        <v>Catalog Record</v>
      </c>
      <c r="AT1428" s="6" t="str">
        <f>HYPERLINK("http://www.worldcat.org/oclc/874186","WorldCat Record")</f>
        <v>WorldCat Record</v>
      </c>
    </row>
    <row r="1429" spans="1:46" ht="52.5" customHeight="1" x14ac:dyDescent="0.25">
      <c r="A1429" s="7" t="s">
        <v>59</v>
      </c>
      <c r="B1429" s="2" t="s">
        <v>17037</v>
      </c>
      <c r="C1429" s="2" t="s">
        <v>17038</v>
      </c>
      <c r="D1429" s="2" t="s">
        <v>17039</v>
      </c>
      <c r="F1429" s="3" t="s">
        <v>59</v>
      </c>
      <c r="G1429" s="3" t="s">
        <v>60</v>
      </c>
      <c r="H1429" s="3" t="s">
        <v>71</v>
      </c>
      <c r="I1429" s="3" t="s">
        <v>59</v>
      </c>
      <c r="J1429" s="3" t="s">
        <v>61</v>
      </c>
      <c r="K1429" s="2" t="s">
        <v>8911</v>
      </c>
      <c r="L1429" s="2" t="s">
        <v>17040</v>
      </c>
      <c r="M1429" s="3" t="s">
        <v>1217</v>
      </c>
      <c r="O1429" s="3" t="s">
        <v>65</v>
      </c>
      <c r="P1429" s="3" t="s">
        <v>66</v>
      </c>
      <c r="R1429" s="3" t="s">
        <v>68</v>
      </c>
      <c r="S1429" s="4">
        <v>32</v>
      </c>
      <c r="T1429" s="4">
        <v>62</v>
      </c>
      <c r="U1429" s="5" t="s">
        <v>3172</v>
      </c>
      <c r="V1429" s="5" t="s">
        <v>3172</v>
      </c>
      <c r="W1429" s="5" t="s">
        <v>16398</v>
      </c>
      <c r="X1429" s="5" t="s">
        <v>10495</v>
      </c>
      <c r="Y1429" s="4">
        <v>1223</v>
      </c>
      <c r="Z1429" s="4">
        <v>971</v>
      </c>
      <c r="AA1429" s="4">
        <v>999</v>
      </c>
      <c r="AB1429" s="4">
        <v>9</v>
      </c>
      <c r="AC1429" s="4">
        <v>9</v>
      </c>
      <c r="AD1429" s="4">
        <v>48</v>
      </c>
      <c r="AE1429" s="4">
        <v>49</v>
      </c>
      <c r="AF1429" s="4">
        <v>21</v>
      </c>
      <c r="AG1429" s="4">
        <v>21</v>
      </c>
      <c r="AH1429" s="4">
        <v>11</v>
      </c>
      <c r="AI1429" s="4">
        <v>11</v>
      </c>
      <c r="AJ1429" s="4">
        <v>20</v>
      </c>
      <c r="AK1429" s="4">
        <v>21</v>
      </c>
      <c r="AL1429" s="4">
        <v>7</v>
      </c>
      <c r="AM1429" s="4">
        <v>7</v>
      </c>
      <c r="AN1429" s="4">
        <v>0</v>
      </c>
      <c r="AO1429" s="4">
        <v>0</v>
      </c>
      <c r="AP1429" s="3" t="s">
        <v>59</v>
      </c>
      <c r="AQ1429" s="3" t="s">
        <v>71</v>
      </c>
      <c r="AR1429" s="6" t="str">
        <f>HYPERLINK("http://catalog.hathitrust.org/Record/000246960","HathiTrust Record")</f>
        <v>HathiTrust Record</v>
      </c>
      <c r="AS1429" s="6" t="str">
        <f>HYPERLINK("https://creighton-primo.hosted.exlibrisgroup.com/primo-explore/search?tab=default_tab&amp;search_scope=EVERYTHING&amp;vid=01CRU&amp;lang=en_US&amp;offset=0&amp;query=any,contains,991001762469702656","Catalog Record")</f>
        <v>Catalog Record</v>
      </c>
      <c r="AT1429" s="6" t="str">
        <f>HYPERLINK("http://www.worldcat.org/oclc/10754235","WorldCat Record")</f>
        <v>WorldCat Record</v>
      </c>
    </row>
    <row r="1430" spans="1:46" ht="52.5" customHeight="1" x14ac:dyDescent="0.25">
      <c r="A1430" s="7" t="s">
        <v>59</v>
      </c>
      <c r="B1430" s="2" t="s">
        <v>17041</v>
      </c>
      <c r="C1430" s="2" t="s">
        <v>17042</v>
      </c>
      <c r="D1430" s="2" t="s">
        <v>17043</v>
      </c>
      <c r="F1430" s="3" t="s">
        <v>59</v>
      </c>
      <c r="G1430" s="3" t="s">
        <v>60</v>
      </c>
      <c r="H1430" s="3" t="s">
        <v>59</v>
      </c>
      <c r="I1430" s="3" t="s">
        <v>59</v>
      </c>
      <c r="J1430" s="3" t="s">
        <v>61</v>
      </c>
      <c r="K1430" s="2"/>
      <c r="L1430" s="2" t="s">
        <v>17044</v>
      </c>
      <c r="M1430" s="3" t="s">
        <v>549</v>
      </c>
      <c r="O1430" s="3" t="s">
        <v>65</v>
      </c>
      <c r="P1430" s="3" t="s">
        <v>1218</v>
      </c>
      <c r="Q1430" t="s">
        <v>17045</v>
      </c>
      <c r="R1430" s="3" t="s">
        <v>68</v>
      </c>
      <c r="S1430" s="4">
        <v>6</v>
      </c>
      <c r="T1430" s="4">
        <v>6</v>
      </c>
      <c r="U1430" s="5" t="s">
        <v>5813</v>
      </c>
      <c r="V1430" s="5" t="s">
        <v>5813</v>
      </c>
      <c r="W1430" s="5" t="s">
        <v>16398</v>
      </c>
      <c r="X1430" s="5" t="s">
        <v>16398</v>
      </c>
      <c r="Y1430" s="4">
        <v>617</v>
      </c>
      <c r="Z1430" s="4">
        <v>531</v>
      </c>
      <c r="AA1430" s="4">
        <v>555</v>
      </c>
      <c r="AB1430" s="4">
        <v>4</v>
      </c>
      <c r="AC1430" s="4">
        <v>4</v>
      </c>
      <c r="AD1430" s="4">
        <v>22</v>
      </c>
      <c r="AE1430" s="4">
        <v>22</v>
      </c>
      <c r="AF1430" s="4">
        <v>7</v>
      </c>
      <c r="AG1430" s="4">
        <v>7</v>
      </c>
      <c r="AH1430" s="4">
        <v>7</v>
      </c>
      <c r="AI1430" s="4">
        <v>7</v>
      </c>
      <c r="AJ1430" s="4">
        <v>12</v>
      </c>
      <c r="AK1430" s="4">
        <v>12</v>
      </c>
      <c r="AL1430" s="4">
        <v>3</v>
      </c>
      <c r="AM1430" s="4">
        <v>3</v>
      </c>
      <c r="AN1430" s="4">
        <v>0</v>
      </c>
      <c r="AO1430" s="4">
        <v>0</v>
      </c>
      <c r="AP1430" s="3" t="s">
        <v>59</v>
      </c>
      <c r="AQ1430" s="3" t="s">
        <v>59</v>
      </c>
      <c r="AR1430" s="6"/>
      <c r="AS1430" s="6" t="str">
        <f>HYPERLINK("https://creighton-primo.hosted.exlibrisgroup.com/primo-explore/search?tab=default_tab&amp;search_scope=EVERYTHING&amp;vid=01CRU&amp;lang=en_US&amp;offset=0&amp;query=any,contains,991000787949702656","Catalog Record")</f>
        <v>Catalog Record</v>
      </c>
      <c r="AT1430" s="6" t="str">
        <f>HYPERLINK("http://www.worldcat.org/oclc/11548708","WorldCat Record")</f>
        <v>WorldCat Record</v>
      </c>
    </row>
    <row r="1431" spans="1:46" ht="52.5" customHeight="1" x14ac:dyDescent="0.25">
      <c r="A1431" s="7" t="s">
        <v>59</v>
      </c>
      <c r="B1431" s="2" t="s">
        <v>9463</v>
      </c>
      <c r="C1431" s="2" t="s">
        <v>9464</v>
      </c>
      <c r="D1431" s="2" t="s">
        <v>9465</v>
      </c>
      <c r="F1431" s="3" t="s">
        <v>59</v>
      </c>
      <c r="G1431" s="3" t="s">
        <v>60</v>
      </c>
      <c r="H1431" s="3" t="s">
        <v>71</v>
      </c>
      <c r="I1431" s="3" t="s">
        <v>59</v>
      </c>
      <c r="J1431" s="3" t="s">
        <v>61</v>
      </c>
      <c r="K1431" s="2" t="s">
        <v>9466</v>
      </c>
      <c r="L1431" s="2" t="s">
        <v>9467</v>
      </c>
      <c r="M1431" s="3" t="s">
        <v>475</v>
      </c>
      <c r="O1431" s="3" t="s">
        <v>65</v>
      </c>
      <c r="P1431" s="3" t="s">
        <v>1262</v>
      </c>
      <c r="R1431" s="3" t="s">
        <v>68</v>
      </c>
      <c r="S1431" s="4">
        <v>5</v>
      </c>
      <c r="T1431" s="4">
        <v>24</v>
      </c>
      <c r="U1431" s="5" t="s">
        <v>17046</v>
      </c>
      <c r="V1431" s="5" t="s">
        <v>9468</v>
      </c>
      <c r="W1431" s="5" t="s">
        <v>17047</v>
      </c>
      <c r="X1431" s="5" t="s">
        <v>5949</v>
      </c>
      <c r="Y1431" s="4">
        <v>543</v>
      </c>
      <c r="Z1431" s="4">
        <v>425</v>
      </c>
      <c r="AA1431" s="4">
        <v>431</v>
      </c>
      <c r="AB1431" s="4">
        <v>4</v>
      </c>
      <c r="AC1431" s="4">
        <v>4</v>
      </c>
      <c r="AD1431" s="4">
        <v>18</v>
      </c>
      <c r="AE1431" s="4">
        <v>18</v>
      </c>
      <c r="AF1431" s="4">
        <v>5</v>
      </c>
      <c r="AG1431" s="4">
        <v>5</v>
      </c>
      <c r="AH1431" s="4">
        <v>4</v>
      </c>
      <c r="AI1431" s="4">
        <v>4</v>
      </c>
      <c r="AJ1431" s="4">
        <v>12</v>
      </c>
      <c r="AK1431" s="4">
        <v>12</v>
      </c>
      <c r="AL1431" s="4">
        <v>2</v>
      </c>
      <c r="AM1431" s="4">
        <v>2</v>
      </c>
      <c r="AN1431" s="4">
        <v>0</v>
      </c>
      <c r="AO1431" s="4">
        <v>0</v>
      </c>
      <c r="AP1431" s="3" t="s">
        <v>59</v>
      </c>
      <c r="AQ1431" s="3" t="s">
        <v>71</v>
      </c>
      <c r="AR1431" s="6" t="str">
        <f>HYPERLINK("http://catalog.hathitrust.org/Record/000202924","HathiTrust Record")</f>
        <v>HathiTrust Record</v>
      </c>
      <c r="AS1431" s="6" t="str">
        <f>HYPERLINK("https://creighton-primo.hosted.exlibrisgroup.com/primo-explore/search?tab=default_tab&amp;search_scope=EVERYTHING&amp;vid=01CRU&amp;lang=en_US&amp;offset=0&amp;query=any,contains,991001762539702656","Catalog Record")</f>
        <v>Catalog Record</v>
      </c>
      <c r="AT1431" s="6" t="str">
        <f>HYPERLINK("http://www.worldcat.org/oclc/9082713","WorldCat Record")</f>
        <v>WorldCat Record</v>
      </c>
    </row>
    <row r="1432" spans="1:46" ht="52.5" customHeight="1" x14ac:dyDescent="0.25">
      <c r="A1432" s="7" t="s">
        <v>59</v>
      </c>
      <c r="B1432" s="2" t="s">
        <v>10022</v>
      </c>
      <c r="C1432" s="2" t="s">
        <v>10023</v>
      </c>
      <c r="D1432" s="2" t="s">
        <v>10024</v>
      </c>
      <c r="F1432" s="3" t="s">
        <v>59</v>
      </c>
      <c r="G1432" s="3" t="s">
        <v>60</v>
      </c>
      <c r="H1432" s="3" t="s">
        <v>71</v>
      </c>
      <c r="I1432" s="3" t="s">
        <v>59</v>
      </c>
      <c r="J1432" s="3" t="s">
        <v>61</v>
      </c>
      <c r="K1432" s="2" t="s">
        <v>10025</v>
      </c>
      <c r="L1432" s="2" t="s">
        <v>10026</v>
      </c>
      <c r="M1432" s="3" t="s">
        <v>1015</v>
      </c>
      <c r="O1432" s="3" t="s">
        <v>65</v>
      </c>
      <c r="P1432" s="3" t="s">
        <v>66</v>
      </c>
      <c r="R1432" s="3" t="s">
        <v>68</v>
      </c>
      <c r="S1432" s="4">
        <v>1</v>
      </c>
      <c r="T1432" s="4">
        <v>3</v>
      </c>
      <c r="U1432" s="5" t="s">
        <v>17048</v>
      </c>
      <c r="V1432" s="5" t="s">
        <v>9869</v>
      </c>
      <c r="W1432" s="5" t="s">
        <v>17049</v>
      </c>
      <c r="X1432" s="5" t="s">
        <v>10027</v>
      </c>
      <c r="Y1432" s="4">
        <v>444</v>
      </c>
      <c r="Z1432" s="4">
        <v>389</v>
      </c>
      <c r="AA1432" s="4">
        <v>464</v>
      </c>
      <c r="AB1432" s="4">
        <v>8</v>
      </c>
      <c r="AC1432" s="4">
        <v>8</v>
      </c>
      <c r="AD1432" s="4">
        <v>27</v>
      </c>
      <c r="AE1432" s="4">
        <v>32</v>
      </c>
      <c r="AF1432" s="4">
        <v>6</v>
      </c>
      <c r="AG1432" s="4">
        <v>8</v>
      </c>
      <c r="AH1432" s="4">
        <v>8</v>
      </c>
      <c r="AI1432" s="4">
        <v>10</v>
      </c>
      <c r="AJ1432" s="4">
        <v>17</v>
      </c>
      <c r="AK1432" s="4">
        <v>18</v>
      </c>
      <c r="AL1432" s="4">
        <v>4</v>
      </c>
      <c r="AM1432" s="4">
        <v>4</v>
      </c>
      <c r="AN1432" s="4">
        <v>0</v>
      </c>
      <c r="AO1432" s="4">
        <v>0</v>
      </c>
      <c r="AP1432" s="3" t="s">
        <v>59</v>
      </c>
      <c r="AQ1432" s="3" t="s">
        <v>71</v>
      </c>
      <c r="AR1432" s="6" t="str">
        <f>HYPERLINK("http://catalog.hathitrust.org/Record/004508869","HathiTrust Record")</f>
        <v>HathiTrust Record</v>
      </c>
      <c r="AS1432" s="6" t="str">
        <f>HYPERLINK("https://creighton-primo.hosted.exlibrisgroup.com/primo-explore/search?tab=default_tab&amp;search_scope=EVERYTHING&amp;vid=01CRU&amp;lang=en_US&amp;offset=0&amp;query=any,contains,991001785639702656","Catalog Record")</f>
        <v>Catalog Record</v>
      </c>
      <c r="AT1432" s="6" t="str">
        <f>HYPERLINK("http://www.worldcat.org/oclc/21263","WorldCat Record")</f>
        <v>WorldCat Record</v>
      </c>
    </row>
    <row r="1433" spans="1:46" ht="52.5" customHeight="1" x14ac:dyDescent="0.25">
      <c r="A1433" s="7" t="s">
        <v>59</v>
      </c>
      <c r="B1433" s="2" t="s">
        <v>10060</v>
      </c>
      <c r="C1433" s="2" t="s">
        <v>10061</v>
      </c>
      <c r="D1433" s="2" t="s">
        <v>10062</v>
      </c>
      <c r="F1433" s="3" t="s">
        <v>59</v>
      </c>
      <c r="G1433" s="3" t="s">
        <v>60</v>
      </c>
      <c r="H1433" s="3" t="s">
        <v>71</v>
      </c>
      <c r="I1433" s="3" t="s">
        <v>59</v>
      </c>
      <c r="J1433" s="3" t="s">
        <v>61</v>
      </c>
      <c r="K1433" s="2" t="s">
        <v>10063</v>
      </c>
      <c r="L1433" s="2" t="s">
        <v>10064</v>
      </c>
      <c r="M1433" s="3" t="s">
        <v>3482</v>
      </c>
      <c r="O1433" s="3" t="s">
        <v>65</v>
      </c>
      <c r="P1433" s="3" t="s">
        <v>1530</v>
      </c>
      <c r="R1433" s="3" t="s">
        <v>68</v>
      </c>
      <c r="S1433" s="4">
        <v>2</v>
      </c>
      <c r="T1433" s="4">
        <v>7</v>
      </c>
      <c r="U1433" s="5" t="s">
        <v>17050</v>
      </c>
      <c r="V1433" s="5" t="s">
        <v>10065</v>
      </c>
      <c r="W1433" s="5" t="s">
        <v>16559</v>
      </c>
      <c r="X1433" s="5" t="s">
        <v>10066</v>
      </c>
      <c r="Y1433" s="4">
        <v>393</v>
      </c>
      <c r="Z1433" s="4">
        <v>359</v>
      </c>
      <c r="AA1433" s="4">
        <v>431</v>
      </c>
      <c r="AB1433" s="4">
        <v>6</v>
      </c>
      <c r="AC1433" s="4">
        <v>6</v>
      </c>
      <c r="AD1433" s="4">
        <v>16</v>
      </c>
      <c r="AE1433" s="4">
        <v>19</v>
      </c>
      <c r="AF1433" s="4">
        <v>5</v>
      </c>
      <c r="AG1433" s="4">
        <v>7</v>
      </c>
      <c r="AH1433" s="4">
        <v>1</v>
      </c>
      <c r="AI1433" s="4">
        <v>2</v>
      </c>
      <c r="AJ1433" s="4">
        <v>9</v>
      </c>
      <c r="AK1433" s="4">
        <v>10</v>
      </c>
      <c r="AL1433" s="4">
        <v>3</v>
      </c>
      <c r="AM1433" s="4">
        <v>3</v>
      </c>
      <c r="AN1433" s="4">
        <v>0</v>
      </c>
      <c r="AO1433" s="4">
        <v>0</v>
      </c>
      <c r="AP1433" s="3" t="s">
        <v>59</v>
      </c>
      <c r="AQ1433" s="3" t="s">
        <v>59</v>
      </c>
      <c r="AR1433" s="6" t="str">
        <f>HYPERLINK("http://catalog.hathitrust.org/Record/000386791","HathiTrust Record")</f>
        <v>HathiTrust Record</v>
      </c>
      <c r="AS1433" s="6" t="str">
        <f>HYPERLINK("https://creighton-primo.hosted.exlibrisgroup.com/primo-explore/search?tab=default_tab&amp;search_scope=EVERYTHING&amp;vid=01CRU&amp;lang=en_US&amp;offset=0&amp;query=any,contains,991001762509702656","Catalog Record")</f>
        <v>Catalog Record</v>
      </c>
      <c r="AT1433" s="6" t="str">
        <f>HYPERLINK("http://www.worldcat.org/oclc/194124","WorldCat Record")</f>
        <v>WorldCat Record</v>
      </c>
    </row>
    <row r="1434" spans="1:46" ht="52.5" customHeight="1" x14ac:dyDescent="0.25">
      <c r="A1434" s="7" t="s">
        <v>59</v>
      </c>
      <c r="B1434" s="2" t="s">
        <v>10768</v>
      </c>
      <c r="C1434" s="2" t="s">
        <v>10769</v>
      </c>
      <c r="D1434" s="2" t="s">
        <v>10770</v>
      </c>
      <c r="F1434" s="3" t="s">
        <v>59</v>
      </c>
      <c r="G1434" s="3" t="s">
        <v>60</v>
      </c>
      <c r="H1434" s="3" t="s">
        <v>71</v>
      </c>
      <c r="I1434" s="3" t="s">
        <v>59</v>
      </c>
      <c r="J1434" s="3" t="s">
        <v>61</v>
      </c>
      <c r="K1434" s="2"/>
      <c r="L1434" s="2" t="s">
        <v>10771</v>
      </c>
      <c r="M1434" s="3" t="s">
        <v>4228</v>
      </c>
      <c r="O1434" s="3" t="s">
        <v>65</v>
      </c>
      <c r="P1434" s="3" t="s">
        <v>1262</v>
      </c>
      <c r="Q1434" t="s">
        <v>10772</v>
      </c>
      <c r="R1434" s="3" t="s">
        <v>68</v>
      </c>
      <c r="S1434" s="4">
        <v>5</v>
      </c>
      <c r="T1434" s="4">
        <v>12</v>
      </c>
      <c r="U1434" s="5" t="s">
        <v>17051</v>
      </c>
      <c r="V1434" s="5" t="s">
        <v>10773</v>
      </c>
      <c r="W1434" s="5" t="s">
        <v>17052</v>
      </c>
      <c r="X1434" s="5" t="s">
        <v>10774</v>
      </c>
      <c r="Y1434" s="4">
        <v>406</v>
      </c>
      <c r="Z1434" s="4">
        <v>231</v>
      </c>
      <c r="AA1434" s="4">
        <v>239</v>
      </c>
      <c r="AB1434" s="4">
        <v>3</v>
      </c>
      <c r="AC1434" s="4">
        <v>3</v>
      </c>
      <c r="AD1434" s="4">
        <v>7</v>
      </c>
      <c r="AE1434" s="4">
        <v>7</v>
      </c>
      <c r="AF1434" s="4">
        <v>2</v>
      </c>
      <c r="AG1434" s="4">
        <v>2</v>
      </c>
      <c r="AH1434" s="4">
        <v>2</v>
      </c>
      <c r="AI1434" s="4">
        <v>2</v>
      </c>
      <c r="AJ1434" s="4">
        <v>2</v>
      </c>
      <c r="AK1434" s="4">
        <v>2</v>
      </c>
      <c r="AL1434" s="4">
        <v>1</v>
      </c>
      <c r="AM1434" s="4">
        <v>1</v>
      </c>
      <c r="AN1434" s="4">
        <v>0</v>
      </c>
      <c r="AO1434" s="4">
        <v>0</v>
      </c>
      <c r="AP1434" s="3" t="s">
        <v>59</v>
      </c>
      <c r="AQ1434" s="3" t="s">
        <v>71</v>
      </c>
      <c r="AR1434" s="6" t="str">
        <f>HYPERLINK("http://catalog.hathitrust.org/Record/002560673","HathiTrust Record")</f>
        <v>HathiTrust Record</v>
      </c>
      <c r="AS1434" s="6" t="str">
        <f>HYPERLINK("https://creighton-primo.hosted.exlibrisgroup.com/primo-explore/search?tab=default_tab&amp;search_scope=EVERYTHING&amp;vid=01CRU&amp;lang=en_US&amp;offset=0&amp;query=any,contains,991001796279702656","Catalog Record")</f>
        <v>Catalog Record</v>
      </c>
      <c r="AT1434" s="6" t="str">
        <f>HYPERLINK("http://www.worldcat.org/oclc/23968596","WorldCat Record")</f>
        <v>WorldCat Record</v>
      </c>
    </row>
    <row r="1435" spans="1:46" ht="52.5" customHeight="1" x14ac:dyDescent="0.25">
      <c r="A1435" s="7" t="s">
        <v>59</v>
      </c>
      <c r="B1435" s="2" t="s">
        <v>17053</v>
      </c>
      <c r="C1435" s="2" t="s">
        <v>17054</v>
      </c>
      <c r="D1435" s="2" t="s">
        <v>17055</v>
      </c>
      <c r="F1435" s="3" t="s">
        <v>59</v>
      </c>
      <c r="G1435" s="3" t="s">
        <v>60</v>
      </c>
      <c r="H1435" s="3" t="s">
        <v>59</v>
      </c>
      <c r="I1435" s="3" t="s">
        <v>71</v>
      </c>
      <c r="J1435" s="3" t="s">
        <v>61</v>
      </c>
      <c r="K1435" s="2" t="s">
        <v>3065</v>
      </c>
      <c r="L1435" s="2" t="s">
        <v>17056</v>
      </c>
      <c r="M1435" s="3" t="s">
        <v>1015</v>
      </c>
      <c r="N1435" t="s">
        <v>435</v>
      </c>
      <c r="O1435" s="3" t="s">
        <v>65</v>
      </c>
      <c r="P1435" s="3" t="s">
        <v>66</v>
      </c>
      <c r="R1435" s="3" t="s">
        <v>68</v>
      </c>
      <c r="S1435" s="4">
        <v>16</v>
      </c>
      <c r="T1435" s="4">
        <v>16</v>
      </c>
      <c r="U1435" s="5" t="s">
        <v>17057</v>
      </c>
      <c r="V1435" s="5" t="s">
        <v>17057</v>
      </c>
      <c r="W1435" s="5" t="s">
        <v>16398</v>
      </c>
      <c r="X1435" s="5" t="s">
        <v>16398</v>
      </c>
      <c r="Y1435" s="4">
        <v>2230</v>
      </c>
      <c r="Z1435" s="4">
        <v>1926</v>
      </c>
      <c r="AA1435" s="4">
        <v>2241</v>
      </c>
      <c r="AB1435" s="4">
        <v>16</v>
      </c>
      <c r="AC1435" s="4">
        <v>19</v>
      </c>
      <c r="AD1435" s="4">
        <v>59</v>
      </c>
      <c r="AE1435" s="4">
        <v>63</v>
      </c>
      <c r="AF1435" s="4">
        <v>25</v>
      </c>
      <c r="AG1435" s="4">
        <v>26</v>
      </c>
      <c r="AH1435" s="4">
        <v>10</v>
      </c>
      <c r="AI1435" s="4">
        <v>11</v>
      </c>
      <c r="AJ1435" s="4">
        <v>25</v>
      </c>
      <c r="AK1435" s="4">
        <v>26</v>
      </c>
      <c r="AL1435" s="4">
        <v>10</v>
      </c>
      <c r="AM1435" s="4">
        <v>12</v>
      </c>
      <c r="AN1435" s="4">
        <v>0</v>
      </c>
      <c r="AO1435" s="4">
        <v>0</v>
      </c>
      <c r="AP1435" s="3" t="s">
        <v>59</v>
      </c>
      <c r="AQ1435" s="3" t="s">
        <v>59</v>
      </c>
      <c r="AR1435" s="6"/>
      <c r="AS1435" s="6" t="str">
        <f>HYPERLINK("https://creighton-primo.hosted.exlibrisgroup.com/primo-explore/search?tab=default_tab&amp;search_scope=EVERYTHING&amp;vid=01CRU&amp;lang=en_US&amp;offset=0&amp;query=any,contains,991000788879702656","Catalog Record")</f>
        <v>Catalog Record</v>
      </c>
      <c r="AT1435" s="6" t="str">
        <f>HYPERLINK("http://www.worldcat.org/oclc/204288","WorldCat Record")</f>
        <v>WorldCat Record</v>
      </c>
    </row>
    <row r="1436" spans="1:46" ht="52.5" customHeight="1" x14ac:dyDescent="0.25">
      <c r="A1436" s="7" t="s">
        <v>59</v>
      </c>
      <c r="B1436" s="2" t="s">
        <v>11569</v>
      </c>
      <c r="C1436" s="2" t="s">
        <v>11570</v>
      </c>
      <c r="D1436" s="2" t="s">
        <v>11571</v>
      </c>
      <c r="F1436" s="3" t="s">
        <v>59</v>
      </c>
      <c r="G1436" s="3" t="s">
        <v>60</v>
      </c>
      <c r="H1436" s="3" t="s">
        <v>71</v>
      </c>
      <c r="I1436" s="3" t="s">
        <v>59</v>
      </c>
      <c r="J1436" s="3" t="s">
        <v>61</v>
      </c>
      <c r="K1436" s="2" t="s">
        <v>11572</v>
      </c>
      <c r="L1436" s="2" t="s">
        <v>2871</v>
      </c>
      <c r="M1436" s="3" t="s">
        <v>1000</v>
      </c>
      <c r="O1436" s="3" t="s">
        <v>65</v>
      </c>
      <c r="P1436" s="3" t="s">
        <v>66</v>
      </c>
      <c r="R1436" s="3" t="s">
        <v>68</v>
      </c>
      <c r="S1436" s="4">
        <v>11</v>
      </c>
      <c r="T1436" s="4">
        <v>15</v>
      </c>
      <c r="U1436" s="5" t="s">
        <v>16553</v>
      </c>
      <c r="V1436" s="5" t="s">
        <v>11513</v>
      </c>
      <c r="W1436" s="5" t="s">
        <v>16910</v>
      </c>
      <c r="X1436" s="5" t="s">
        <v>4230</v>
      </c>
      <c r="Y1436" s="4">
        <v>792</v>
      </c>
      <c r="Z1436" s="4">
        <v>675</v>
      </c>
      <c r="AA1436" s="4">
        <v>787</v>
      </c>
      <c r="AB1436" s="4">
        <v>8</v>
      </c>
      <c r="AC1436" s="4">
        <v>8</v>
      </c>
      <c r="AD1436" s="4">
        <v>30</v>
      </c>
      <c r="AE1436" s="4">
        <v>34</v>
      </c>
      <c r="AF1436" s="4">
        <v>13</v>
      </c>
      <c r="AG1436" s="4">
        <v>16</v>
      </c>
      <c r="AH1436" s="4">
        <v>5</v>
      </c>
      <c r="AI1436" s="4">
        <v>6</v>
      </c>
      <c r="AJ1436" s="4">
        <v>13</v>
      </c>
      <c r="AK1436" s="4">
        <v>15</v>
      </c>
      <c r="AL1436" s="4">
        <v>4</v>
      </c>
      <c r="AM1436" s="4">
        <v>4</v>
      </c>
      <c r="AN1436" s="4">
        <v>0</v>
      </c>
      <c r="AO1436" s="4">
        <v>0</v>
      </c>
      <c r="AP1436" s="3" t="s">
        <v>59</v>
      </c>
      <c r="AQ1436" s="3" t="s">
        <v>71</v>
      </c>
      <c r="AR1436" s="6" t="str">
        <f>HYPERLINK("http://catalog.hathitrust.org/Record/000256270","HathiTrust Record")</f>
        <v>HathiTrust Record</v>
      </c>
      <c r="AS1436" s="6" t="str">
        <f>HYPERLINK("https://creighton-primo.hosted.exlibrisgroup.com/primo-explore/search?tab=default_tab&amp;search_scope=EVERYTHING&amp;vid=01CRU&amp;lang=en_US&amp;offset=0&amp;query=any,contains,991001777159702656","Catalog Record")</f>
        <v>Catalog Record</v>
      </c>
      <c r="AT1436" s="6" t="str">
        <f>HYPERLINK("http://www.worldcat.org/oclc/4495621","WorldCat Record")</f>
        <v>WorldCat Record</v>
      </c>
    </row>
    <row r="1437" spans="1:46" ht="52.5" customHeight="1" x14ac:dyDescent="0.25">
      <c r="A1437" s="7" t="s">
        <v>59</v>
      </c>
      <c r="B1437" s="2" t="s">
        <v>12033</v>
      </c>
      <c r="C1437" s="2" t="s">
        <v>12034</v>
      </c>
      <c r="D1437" s="2" t="s">
        <v>12035</v>
      </c>
      <c r="F1437" s="3" t="s">
        <v>59</v>
      </c>
      <c r="G1437" s="3" t="s">
        <v>60</v>
      </c>
      <c r="H1437" s="3" t="s">
        <v>71</v>
      </c>
      <c r="I1437" s="3" t="s">
        <v>59</v>
      </c>
      <c r="J1437" s="3" t="s">
        <v>61</v>
      </c>
      <c r="K1437" s="2"/>
      <c r="L1437" s="2" t="s">
        <v>12036</v>
      </c>
      <c r="M1437" s="3" t="s">
        <v>684</v>
      </c>
      <c r="O1437" s="3" t="s">
        <v>65</v>
      </c>
      <c r="P1437" s="3" t="s">
        <v>66</v>
      </c>
      <c r="R1437" s="3" t="s">
        <v>68</v>
      </c>
      <c r="S1437" s="4">
        <v>7</v>
      </c>
      <c r="T1437" s="4">
        <v>11</v>
      </c>
      <c r="U1437" s="5" t="s">
        <v>12038</v>
      </c>
      <c r="V1437" s="5" t="s">
        <v>12038</v>
      </c>
      <c r="W1437" s="5" t="s">
        <v>17058</v>
      </c>
      <c r="X1437" s="5" t="s">
        <v>11054</v>
      </c>
      <c r="Y1437" s="4">
        <v>358</v>
      </c>
      <c r="Z1437" s="4">
        <v>317</v>
      </c>
      <c r="AA1437" s="4">
        <v>319</v>
      </c>
      <c r="AB1437" s="4">
        <v>4</v>
      </c>
      <c r="AC1437" s="4">
        <v>4</v>
      </c>
      <c r="AD1437" s="4">
        <v>13</v>
      </c>
      <c r="AE1437" s="4">
        <v>13</v>
      </c>
      <c r="AF1437" s="4">
        <v>5</v>
      </c>
      <c r="AG1437" s="4">
        <v>5</v>
      </c>
      <c r="AH1437" s="4">
        <v>2</v>
      </c>
      <c r="AI1437" s="4">
        <v>2</v>
      </c>
      <c r="AJ1437" s="4">
        <v>7</v>
      </c>
      <c r="AK1437" s="4">
        <v>7</v>
      </c>
      <c r="AL1437" s="4">
        <v>2</v>
      </c>
      <c r="AM1437" s="4">
        <v>2</v>
      </c>
      <c r="AN1437" s="4">
        <v>0</v>
      </c>
      <c r="AO1437" s="4">
        <v>0</v>
      </c>
      <c r="AP1437" s="3" t="s">
        <v>59</v>
      </c>
      <c r="AQ1437" s="3" t="s">
        <v>71</v>
      </c>
      <c r="AR1437" s="6" t="str">
        <f>HYPERLINK("http://catalog.hathitrust.org/Record/000098908","HathiTrust Record")</f>
        <v>HathiTrust Record</v>
      </c>
      <c r="AS1437" s="6" t="str">
        <f>HYPERLINK("https://creighton-primo.hosted.exlibrisgroup.com/primo-explore/search?tab=default_tab&amp;search_scope=EVERYTHING&amp;vid=01CRU&amp;lang=en_US&amp;offset=0&amp;query=any,contains,991001781579702656","Catalog Record")</f>
        <v>Catalog Record</v>
      </c>
      <c r="AT1437" s="6" t="str">
        <f>HYPERLINK("http://www.worldcat.org/oclc/6943237","WorldCat Record")</f>
        <v>WorldCat Record</v>
      </c>
    </row>
    <row r="1438" spans="1:46" ht="52.5" customHeight="1" x14ac:dyDescent="0.25">
      <c r="A1438" s="7" t="s">
        <v>59</v>
      </c>
      <c r="B1438" s="2" t="s">
        <v>17059</v>
      </c>
      <c r="C1438" s="2" t="s">
        <v>17060</v>
      </c>
      <c r="D1438" s="2" t="s">
        <v>17061</v>
      </c>
      <c r="F1438" s="3" t="s">
        <v>59</v>
      </c>
      <c r="G1438" s="3" t="s">
        <v>60</v>
      </c>
      <c r="H1438" s="3" t="s">
        <v>71</v>
      </c>
      <c r="I1438" s="3" t="s">
        <v>59</v>
      </c>
      <c r="J1438" s="3" t="s">
        <v>61</v>
      </c>
      <c r="K1438" s="2" t="s">
        <v>13883</v>
      </c>
      <c r="L1438" s="2" t="s">
        <v>17062</v>
      </c>
      <c r="M1438" s="3" t="s">
        <v>15624</v>
      </c>
      <c r="N1438" t="s">
        <v>17063</v>
      </c>
      <c r="O1438" s="3" t="s">
        <v>65</v>
      </c>
      <c r="P1438" s="3" t="s">
        <v>283</v>
      </c>
      <c r="R1438" s="3" t="s">
        <v>68</v>
      </c>
      <c r="S1438" s="4">
        <v>0</v>
      </c>
      <c r="T1438" s="4">
        <v>3</v>
      </c>
      <c r="U1438" s="5" t="s">
        <v>17064</v>
      </c>
      <c r="V1438" s="5" t="s">
        <v>17064</v>
      </c>
      <c r="W1438" s="5" t="s">
        <v>8189</v>
      </c>
      <c r="X1438" s="5" t="s">
        <v>8189</v>
      </c>
      <c r="Y1438" s="4">
        <v>1116</v>
      </c>
      <c r="Z1438" s="4">
        <v>993</v>
      </c>
      <c r="AA1438" s="4">
        <v>1099</v>
      </c>
      <c r="AB1438" s="4">
        <v>8</v>
      </c>
      <c r="AC1438" s="4">
        <v>8</v>
      </c>
      <c r="AD1438" s="4">
        <v>26</v>
      </c>
      <c r="AE1438" s="4">
        <v>28</v>
      </c>
      <c r="AF1438" s="4">
        <v>7</v>
      </c>
      <c r="AG1438" s="4">
        <v>9</v>
      </c>
      <c r="AH1438" s="4">
        <v>5</v>
      </c>
      <c r="AI1438" s="4">
        <v>6</v>
      </c>
      <c r="AJ1438" s="4">
        <v>14</v>
      </c>
      <c r="AK1438" s="4">
        <v>14</v>
      </c>
      <c r="AL1438" s="4">
        <v>5</v>
      </c>
      <c r="AM1438" s="4">
        <v>5</v>
      </c>
      <c r="AN1438" s="4">
        <v>0</v>
      </c>
      <c r="AO1438" s="4">
        <v>0</v>
      </c>
      <c r="AP1438" s="3" t="s">
        <v>59</v>
      </c>
      <c r="AQ1438" s="3" t="s">
        <v>71</v>
      </c>
      <c r="AR1438" s="6" t="str">
        <f>HYPERLINK("http://catalog.hathitrust.org/Record/004920070","HathiTrust Record")</f>
        <v>HathiTrust Record</v>
      </c>
      <c r="AS1438" s="6" t="str">
        <f>HYPERLINK("https://creighton-primo.hosted.exlibrisgroup.com/primo-explore/search?tab=default_tab&amp;search_scope=EVERYTHING&amp;vid=01CRU&amp;lang=en_US&amp;offset=0&amp;query=any,contains,991001730279702656","Catalog Record")</f>
        <v>Catalog Record</v>
      </c>
      <c r="AT1438" s="6" t="str">
        <f>HYPERLINK("http://www.worldcat.org/oclc/55131380","WorldCat Record")</f>
        <v>WorldCat Record</v>
      </c>
    </row>
    <row r="1439" spans="1:46" ht="52.5" customHeight="1" x14ac:dyDescent="0.25">
      <c r="A1439" s="7" t="s">
        <v>59</v>
      </c>
      <c r="B1439" s="2" t="s">
        <v>12353</v>
      </c>
      <c r="C1439" s="2" t="s">
        <v>12354</v>
      </c>
      <c r="D1439" s="2" t="s">
        <v>12355</v>
      </c>
      <c r="F1439" s="3" t="s">
        <v>59</v>
      </c>
      <c r="G1439" s="3" t="s">
        <v>60</v>
      </c>
      <c r="H1439" s="3" t="s">
        <v>71</v>
      </c>
      <c r="I1439" s="3" t="s">
        <v>59</v>
      </c>
      <c r="J1439" s="3" t="s">
        <v>61</v>
      </c>
      <c r="K1439" s="2"/>
      <c r="L1439" s="2" t="s">
        <v>12356</v>
      </c>
      <c r="M1439" s="3" t="s">
        <v>1000</v>
      </c>
      <c r="O1439" s="3" t="s">
        <v>65</v>
      </c>
      <c r="P1439" s="3" t="s">
        <v>66</v>
      </c>
      <c r="R1439" s="3" t="s">
        <v>68</v>
      </c>
      <c r="S1439" s="4">
        <v>11</v>
      </c>
      <c r="T1439" s="4">
        <v>19</v>
      </c>
      <c r="U1439" s="5" t="s">
        <v>17065</v>
      </c>
      <c r="V1439" s="5" t="s">
        <v>12293</v>
      </c>
      <c r="W1439" s="5" t="s">
        <v>17066</v>
      </c>
      <c r="X1439" s="5" t="s">
        <v>12357</v>
      </c>
      <c r="Y1439" s="4">
        <v>415</v>
      </c>
      <c r="Z1439" s="4">
        <v>333</v>
      </c>
      <c r="AA1439" s="4">
        <v>335</v>
      </c>
      <c r="AB1439" s="4">
        <v>3</v>
      </c>
      <c r="AC1439" s="4">
        <v>3</v>
      </c>
      <c r="AD1439" s="4">
        <v>15</v>
      </c>
      <c r="AE1439" s="4">
        <v>15</v>
      </c>
      <c r="AF1439" s="4">
        <v>6</v>
      </c>
      <c r="AG1439" s="4">
        <v>6</v>
      </c>
      <c r="AH1439" s="4">
        <v>4</v>
      </c>
      <c r="AI1439" s="4">
        <v>4</v>
      </c>
      <c r="AJ1439" s="4">
        <v>9</v>
      </c>
      <c r="AK1439" s="4">
        <v>9</v>
      </c>
      <c r="AL1439" s="4">
        <v>1</v>
      </c>
      <c r="AM1439" s="4">
        <v>1</v>
      </c>
      <c r="AN1439" s="4">
        <v>0</v>
      </c>
      <c r="AO1439" s="4">
        <v>0</v>
      </c>
      <c r="AP1439" s="3" t="s">
        <v>59</v>
      </c>
      <c r="AQ1439" s="3" t="s">
        <v>71</v>
      </c>
      <c r="AR1439" s="6" t="str">
        <f>HYPERLINK("http://catalog.hathitrust.org/Record/000177841","HathiTrust Record")</f>
        <v>HathiTrust Record</v>
      </c>
      <c r="AS1439" s="6" t="str">
        <f>HYPERLINK("https://creighton-primo.hosted.exlibrisgroup.com/primo-explore/search?tab=default_tab&amp;search_scope=EVERYTHING&amp;vid=01CRU&amp;lang=en_US&amp;offset=0&amp;query=any,contains,991001759529702656","Catalog Record")</f>
        <v>Catalog Record</v>
      </c>
      <c r="AT1439" s="6" t="str">
        <f>HYPERLINK("http://www.worldcat.org/oclc/4036839","WorldCat Record")</f>
        <v>WorldCat Record</v>
      </c>
    </row>
    <row r="1440" spans="1:46" ht="52.5" customHeight="1" x14ac:dyDescent="0.25">
      <c r="A1440" s="7" t="s">
        <v>59</v>
      </c>
      <c r="B1440" s="2" t="s">
        <v>17067</v>
      </c>
      <c r="C1440" s="2" t="s">
        <v>17068</v>
      </c>
      <c r="D1440" s="2" t="s">
        <v>17069</v>
      </c>
      <c r="F1440" s="3" t="s">
        <v>59</v>
      </c>
      <c r="G1440" s="3" t="s">
        <v>60</v>
      </c>
      <c r="H1440" s="3" t="s">
        <v>59</v>
      </c>
      <c r="I1440" s="3" t="s">
        <v>71</v>
      </c>
      <c r="J1440" s="3" t="s">
        <v>61</v>
      </c>
      <c r="K1440" s="2" t="s">
        <v>16712</v>
      </c>
      <c r="L1440" s="2" t="s">
        <v>17070</v>
      </c>
      <c r="M1440" s="3" t="s">
        <v>15624</v>
      </c>
      <c r="N1440" t="s">
        <v>17071</v>
      </c>
      <c r="O1440" s="3" t="s">
        <v>65</v>
      </c>
      <c r="P1440" s="3" t="s">
        <v>283</v>
      </c>
      <c r="R1440" s="3" t="s">
        <v>68</v>
      </c>
      <c r="S1440" s="4">
        <v>16</v>
      </c>
      <c r="T1440" s="4">
        <v>16</v>
      </c>
      <c r="U1440" s="5" t="s">
        <v>17072</v>
      </c>
      <c r="V1440" s="5" t="s">
        <v>17072</v>
      </c>
      <c r="W1440" s="5" t="s">
        <v>17073</v>
      </c>
      <c r="X1440" s="5" t="s">
        <v>17073</v>
      </c>
      <c r="Y1440" s="4">
        <v>114</v>
      </c>
      <c r="Z1440" s="4">
        <v>73</v>
      </c>
      <c r="AA1440" s="4">
        <v>911</v>
      </c>
      <c r="AB1440" s="4">
        <v>1</v>
      </c>
      <c r="AC1440" s="4">
        <v>9</v>
      </c>
      <c r="AD1440" s="4">
        <v>0</v>
      </c>
      <c r="AE1440" s="4">
        <v>29</v>
      </c>
      <c r="AF1440" s="4">
        <v>0</v>
      </c>
      <c r="AG1440" s="4">
        <v>12</v>
      </c>
      <c r="AH1440" s="4">
        <v>0</v>
      </c>
      <c r="AI1440" s="4">
        <v>4</v>
      </c>
      <c r="AJ1440" s="4">
        <v>0</v>
      </c>
      <c r="AK1440" s="4">
        <v>14</v>
      </c>
      <c r="AL1440" s="4">
        <v>0</v>
      </c>
      <c r="AM1440" s="4">
        <v>6</v>
      </c>
      <c r="AN1440" s="4">
        <v>0</v>
      </c>
      <c r="AO1440" s="4">
        <v>0</v>
      </c>
      <c r="AP1440" s="3" t="s">
        <v>59</v>
      </c>
      <c r="AQ1440" s="3" t="s">
        <v>59</v>
      </c>
      <c r="AR1440" s="6"/>
      <c r="AS1440" s="6" t="str">
        <f>HYPERLINK("https://creighton-primo.hosted.exlibrisgroup.com/primo-explore/search?tab=default_tab&amp;search_scope=EVERYTHING&amp;vid=01CRU&amp;lang=en_US&amp;offset=0&amp;query=any,contains,991001724009702656","Catalog Record")</f>
        <v>Catalog Record</v>
      </c>
      <c r="AT1440" s="6" t="str">
        <f>HYPERLINK("http://www.worldcat.org/oclc/51534775","WorldCat Record")</f>
        <v>WorldCat Record</v>
      </c>
    </row>
    <row r="1441" spans="1:46" ht="52.5" customHeight="1" x14ac:dyDescent="0.25">
      <c r="A1441" s="7" t="s">
        <v>59</v>
      </c>
      <c r="B1441" s="2" t="s">
        <v>17074</v>
      </c>
      <c r="C1441" s="2" t="s">
        <v>17075</v>
      </c>
      <c r="D1441" s="2" t="s">
        <v>17076</v>
      </c>
      <c r="F1441" s="3" t="s">
        <v>59</v>
      </c>
      <c r="G1441" s="3" t="s">
        <v>60</v>
      </c>
      <c r="H1441" s="3" t="s">
        <v>71</v>
      </c>
      <c r="I1441" s="3" t="s">
        <v>59</v>
      </c>
      <c r="J1441" s="3" t="s">
        <v>60</v>
      </c>
      <c r="K1441" s="2" t="s">
        <v>17077</v>
      </c>
      <c r="L1441" s="2" t="s">
        <v>17078</v>
      </c>
      <c r="M1441" s="3" t="s">
        <v>1000</v>
      </c>
      <c r="O1441" s="3" t="s">
        <v>65</v>
      </c>
      <c r="P1441" s="3" t="s">
        <v>283</v>
      </c>
      <c r="R1441" s="3" t="s">
        <v>68</v>
      </c>
      <c r="S1441" s="4">
        <v>3</v>
      </c>
      <c r="T1441" s="4">
        <v>17</v>
      </c>
      <c r="U1441" s="5" t="s">
        <v>12345</v>
      </c>
      <c r="V1441" s="5" t="s">
        <v>8341</v>
      </c>
      <c r="W1441" s="5" t="s">
        <v>17079</v>
      </c>
      <c r="X1441" s="5" t="s">
        <v>12219</v>
      </c>
      <c r="Y1441" s="4">
        <v>1366</v>
      </c>
      <c r="Z1441" s="4">
        <v>1090</v>
      </c>
      <c r="AA1441" s="4">
        <v>1780</v>
      </c>
      <c r="AB1441" s="4">
        <v>12</v>
      </c>
      <c r="AC1441" s="4">
        <v>19</v>
      </c>
      <c r="AD1441" s="4">
        <v>41</v>
      </c>
      <c r="AE1441" s="4">
        <v>62</v>
      </c>
      <c r="AF1441" s="4">
        <v>18</v>
      </c>
      <c r="AG1441" s="4">
        <v>23</v>
      </c>
      <c r="AH1441" s="4">
        <v>6</v>
      </c>
      <c r="AI1441" s="4">
        <v>11</v>
      </c>
      <c r="AJ1441" s="4">
        <v>15</v>
      </c>
      <c r="AK1441" s="4">
        <v>21</v>
      </c>
      <c r="AL1441" s="4">
        <v>9</v>
      </c>
      <c r="AM1441" s="4">
        <v>16</v>
      </c>
      <c r="AN1441" s="4">
        <v>0</v>
      </c>
      <c r="AO1441" s="4">
        <v>2</v>
      </c>
      <c r="AP1441" s="3" t="s">
        <v>59</v>
      </c>
      <c r="AQ1441" s="3" t="s">
        <v>71</v>
      </c>
      <c r="AR1441" s="6" t="str">
        <f>HYPERLINK("http://catalog.hathitrust.org/Record/000017100","HathiTrust Record")</f>
        <v>HathiTrust Record</v>
      </c>
      <c r="AS1441" s="6" t="str">
        <f>HYPERLINK("https://creighton-primo.hosted.exlibrisgroup.com/primo-explore/search?tab=default_tab&amp;search_scope=EVERYTHING&amp;vid=01CRU&amp;lang=en_US&amp;offset=0&amp;query=any,contains,991001784679702656","Catalog Record")</f>
        <v>Catalog Record</v>
      </c>
      <c r="AT1441" s="6" t="str">
        <f>HYPERLINK("http://www.worldcat.org/oclc/4515541","WorldCat Record")</f>
        <v>WorldCat Record</v>
      </c>
    </row>
    <row r="1442" spans="1:46" ht="52.5" customHeight="1" x14ac:dyDescent="0.25">
      <c r="A1442" s="7" t="s">
        <v>59</v>
      </c>
      <c r="B1442" s="2" t="s">
        <v>13232</v>
      </c>
      <c r="C1442" s="2" t="s">
        <v>13233</v>
      </c>
      <c r="D1442" s="2" t="s">
        <v>13234</v>
      </c>
      <c r="F1442" s="3" t="s">
        <v>59</v>
      </c>
      <c r="G1442" s="3" t="s">
        <v>60</v>
      </c>
      <c r="H1442" s="3" t="s">
        <v>71</v>
      </c>
      <c r="I1442" s="3" t="s">
        <v>59</v>
      </c>
      <c r="J1442" s="3" t="s">
        <v>61</v>
      </c>
      <c r="K1442" s="2"/>
      <c r="L1442" s="2" t="s">
        <v>13235</v>
      </c>
      <c r="M1442" s="3" t="s">
        <v>1217</v>
      </c>
      <c r="O1442" s="3" t="s">
        <v>65</v>
      </c>
      <c r="P1442" s="3" t="s">
        <v>603</v>
      </c>
      <c r="R1442" s="3" t="s">
        <v>68</v>
      </c>
      <c r="S1442" s="4">
        <v>2</v>
      </c>
      <c r="T1442" s="4">
        <v>4</v>
      </c>
      <c r="U1442" s="5" t="s">
        <v>13237</v>
      </c>
      <c r="V1442" s="5" t="s">
        <v>13237</v>
      </c>
      <c r="W1442" s="5" t="s">
        <v>16398</v>
      </c>
      <c r="X1442" s="5" t="s">
        <v>12723</v>
      </c>
      <c r="Y1442" s="4">
        <v>687</v>
      </c>
      <c r="Z1442" s="4">
        <v>609</v>
      </c>
      <c r="AA1442" s="4">
        <v>614</v>
      </c>
      <c r="AB1442" s="4">
        <v>6</v>
      </c>
      <c r="AC1442" s="4">
        <v>6</v>
      </c>
      <c r="AD1442" s="4">
        <v>29</v>
      </c>
      <c r="AE1442" s="4">
        <v>29</v>
      </c>
      <c r="AF1442" s="4">
        <v>14</v>
      </c>
      <c r="AG1442" s="4">
        <v>14</v>
      </c>
      <c r="AH1442" s="4">
        <v>6</v>
      </c>
      <c r="AI1442" s="4">
        <v>6</v>
      </c>
      <c r="AJ1442" s="4">
        <v>14</v>
      </c>
      <c r="AK1442" s="4">
        <v>14</v>
      </c>
      <c r="AL1442" s="4">
        <v>4</v>
      </c>
      <c r="AM1442" s="4">
        <v>4</v>
      </c>
      <c r="AN1442" s="4">
        <v>0</v>
      </c>
      <c r="AO1442" s="4">
        <v>0</v>
      </c>
      <c r="AP1442" s="3" t="s">
        <v>59</v>
      </c>
      <c r="AQ1442" s="3" t="s">
        <v>71</v>
      </c>
      <c r="AR1442" s="6" t="str">
        <f>HYPERLINK("http://catalog.hathitrust.org/Record/000608436","HathiTrust Record")</f>
        <v>HathiTrust Record</v>
      </c>
      <c r="AS1442" s="6" t="str">
        <f>HYPERLINK("https://creighton-primo.hosted.exlibrisgroup.com/primo-explore/search?tab=default_tab&amp;search_scope=EVERYTHING&amp;vid=01CRU&amp;lang=en_US&amp;offset=0&amp;query=any,contains,991001762769702656","Catalog Record")</f>
        <v>Catalog Record</v>
      </c>
      <c r="AT1442" s="6" t="str">
        <f>HYPERLINK("http://www.worldcat.org/oclc/10925015","WorldCat Record")</f>
        <v>WorldCat Record</v>
      </c>
    </row>
    <row r="1443" spans="1:46" ht="52.5" customHeight="1" x14ac:dyDescent="0.25">
      <c r="A1443" s="7" t="s">
        <v>59</v>
      </c>
      <c r="B1443" s="2" t="s">
        <v>17080</v>
      </c>
      <c r="C1443" s="2" t="s">
        <v>17081</v>
      </c>
      <c r="D1443" s="2" t="s">
        <v>17082</v>
      </c>
      <c r="F1443" s="3" t="s">
        <v>59</v>
      </c>
      <c r="G1443" s="3" t="s">
        <v>60</v>
      </c>
      <c r="H1443" s="3" t="s">
        <v>59</v>
      </c>
      <c r="I1443" s="3" t="s">
        <v>59</v>
      </c>
      <c r="J1443" s="3" t="s">
        <v>61</v>
      </c>
      <c r="K1443" s="2" t="s">
        <v>4749</v>
      </c>
      <c r="L1443" s="2" t="s">
        <v>17083</v>
      </c>
      <c r="M1443" s="3" t="s">
        <v>756</v>
      </c>
      <c r="O1443" s="3" t="s">
        <v>65</v>
      </c>
      <c r="P1443" s="3" t="s">
        <v>66</v>
      </c>
      <c r="Q1443" t="s">
        <v>17084</v>
      </c>
      <c r="R1443" s="3" t="s">
        <v>68</v>
      </c>
      <c r="S1443" s="4">
        <v>3</v>
      </c>
      <c r="T1443" s="4">
        <v>3</v>
      </c>
      <c r="U1443" s="5" t="s">
        <v>17085</v>
      </c>
      <c r="V1443" s="5" t="s">
        <v>17085</v>
      </c>
      <c r="W1443" s="5" t="s">
        <v>17086</v>
      </c>
      <c r="X1443" s="5" t="s">
        <v>17086</v>
      </c>
      <c r="Y1443" s="4">
        <v>725</v>
      </c>
      <c r="Z1443" s="4">
        <v>661</v>
      </c>
      <c r="AA1443" s="4">
        <v>1158</v>
      </c>
      <c r="AB1443" s="4">
        <v>4</v>
      </c>
      <c r="AC1443" s="4">
        <v>8</v>
      </c>
      <c r="AD1443" s="4">
        <v>23</v>
      </c>
      <c r="AE1443" s="4">
        <v>49</v>
      </c>
      <c r="AF1443" s="4">
        <v>8</v>
      </c>
      <c r="AG1443" s="4">
        <v>21</v>
      </c>
      <c r="AH1443" s="4">
        <v>3</v>
      </c>
      <c r="AI1443" s="4">
        <v>9</v>
      </c>
      <c r="AJ1443" s="4">
        <v>11</v>
      </c>
      <c r="AK1443" s="4">
        <v>23</v>
      </c>
      <c r="AL1443" s="4">
        <v>3</v>
      </c>
      <c r="AM1443" s="4">
        <v>7</v>
      </c>
      <c r="AN1443" s="4">
        <v>0</v>
      </c>
      <c r="AO1443" s="4">
        <v>0</v>
      </c>
      <c r="AP1443" s="3" t="s">
        <v>59</v>
      </c>
      <c r="AQ1443" s="3" t="s">
        <v>59</v>
      </c>
      <c r="AR1443" s="6"/>
      <c r="AS1443" s="6" t="str">
        <f>HYPERLINK("https://creighton-primo.hosted.exlibrisgroup.com/primo-explore/search?tab=default_tab&amp;search_scope=EVERYTHING&amp;vid=01CRU&amp;lang=en_US&amp;offset=0&amp;query=any,contains,991001096409702656","Catalog Record")</f>
        <v>Catalog Record</v>
      </c>
      <c r="AT1443" s="6" t="str">
        <f>HYPERLINK("http://www.worldcat.org/oclc/444733","WorldCat Record")</f>
        <v>WorldCat Record</v>
      </c>
    </row>
    <row r="1444" spans="1:46" ht="52.5" customHeight="1" x14ac:dyDescent="0.25">
      <c r="A1444" s="7" t="s">
        <v>59</v>
      </c>
      <c r="B1444" s="2" t="s">
        <v>14163</v>
      </c>
      <c r="C1444" s="2" t="s">
        <v>14164</v>
      </c>
      <c r="D1444" s="2" t="s">
        <v>14165</v>
      </c>
      <c r="F1444" s="3" t="s">
        <v>59</v>
      </c>
      <c r="G1444" s="3" t="s">
        <v>60</v>
      </c>
      <c r="H1444" s="3" t="s">
        <v>71</v>
      </c>
      <c r="I1444" s="3" t="s">
        <v>59</v>
      </c>
      <c r="J1444" s="3" t="s">
        <v>61</v>
      </c>
      <c r="K1444" s="2" t="s">
        <v>14166</v>
      </c>
      <c r="L1444" s="2" t="s">
        <v>14167</v>
      </c>
      <c r="M1444" s="3" t="s">
        <v>405</v>
      </c>
      <c r="O1444" s="3" t="s">
        <v>65</v>
      </c>
      <c r="P1444" s="3" t="s">
        <v>66</v>
      </c>
      <c r="R1444" s="3" t="s">
        <v>68</v>
      </c>
      <c r="S1444" s="4">
        <v>6</v>
      </c>
      <c r="T1444" s="4">
        <v>16</v>
      </c>
      <c r="U1444" s="5" t="s">
        <v>17087</v>
      </c>
      <c r="V1444" s="5" t="s">
        <v>2429</v>
      </c>
      <c r="W1444" s="5" t="s">
        <v>17088</v>
      </c>
      <c r="X1444" s="5" t="s">
        <v>14130</v>
      </c>
      <c r="Y1444" s="4">
        <v>465</v>
      </c>
      <c r="Z1444" s="4">
        <v>354</v>
      </c>
      <c r="AA1444" s="4">
        <v>355</v>
      </c>
      <c r="AB1444" s="4">
        <v>6</v>
      </c>
      <c r="AC1444" s="4">
        <v>6</v>
      </c>
      <c r="AD1444" s="4">
        <v>21</v>
      </c>
      <c r="AE1444" s="4">
        <v>21</v>
      </c>
      <c r="AF1444" s="4">
        <v>7</v>
      </c>
      <c r="AG1444" s="4">
        <v>7</v>
      </c>
      <c r="AH1444" s="4">
        <v>4</v>
      </c>
      <c r="AI1444" s="4">
        <v>4</v>
      </c>
      <c r="AJ1444" s="4">
        <v>11</v>
      </c>
      <c r="AK1444" s="4">
        <v>11</v>
      </c>
      <c r="AL1444" s="4">
        <v>4</v>
      </c>
      <c r="AM1444" s="4">
        <v>4</v>
      </c>
      <c r="AN1444" s="4">
        <v>0</v>
      </c>
      <c r="AO1444" s="4">
        <v>0</v>
      </c>
      <c r="AP1444" s="3" t="s">
        <v>59</v>
      </c>
      <c r="AQ1444" s="3" t="s">
        <v>71</v>
      </c>
      <c r="AR1444" s="6" t="str">
        <f>HYPERLINK("http://catalog.hathitrust.org/Record/000858010","HathiTrust Record")</f>
        <v>HathiTrust Record</v>
      </c>
      <c r="AS1444" s="6" t="str">
        <f>HYPERLINK("https://creighton-primo.hosted.exlibrisgroup.com/primo-explore/search?tab=default_tab&amp;search_scope=EVERYTHING&amp;vid=01CRU&amp;lang=en_US&amp;offset=0&amp;query=any,contains,991001788569702656","Catalog Record")</f>
        <v>Catalog Record</v>
      </c>
      <c r="AT1444" s="6" t="str">
        <f>HYPERLINK("http://www.worldcat.org/oclc/15549708","WorldCat Record")</f>
        <v>WorldCat Record</v>
      </c>
    </row>
    <row r="1445" spans="1:46" ht="52.5" customHeight="1" x14ac:dyDescent="0.25">
      <c r="A1445" s="7" t="s">
        <v>59</v>
      </c>
      <c r="B1445" s="2" t="s">
        <v>14222</v>
      </c>
      <c r="C1445" s="2" t="s">
        <v>14223</v>
      </c>
      <c r="D1445" s="2" t="s">
        <v>14224</v>
      </c>
      <c r="F1445" s="3" t="s">
        <v>59</v>
      </c>
      <c r="G1445" s="3" t="s">
        <v>60</v>
      </c>
      <c r="H1445" s="3" t="s">
        <v>71</v>
      </c>
      <c r="I1445" s="3" t="s">
        <v>59</v>
      </c>
      <c r="J1445" s="3" t="s">
        <v>61</v>
      </c>
      <c r="K1445" s="2"/>
      <c r="L1445" s="2" t="s">
        <v>14225</v>
      </c>
      <c r="M1445" s="3" t="s">
        <v>195</v>
      </c>
      <c r="O1445" s="3" t="s">
        <v>65</v>
      </c>
      <c r="P1445" s="3" t="s">
        <v>1262</v>
      </c>
      <c r="Q1445" t="s">
        <v>7670</v>
      </c>
      <c r="R1445" s="3" t="s">
        <v>68</v>
      </c>
      <c r="S1445" s="4">
        <v>5</v>
      </c>
      <c r="T1445" s="4">
        <v>7</v>
      </c>
      <c r="U1445" s="5" t="s">
        <v>14227</v>
      </c>
      <c r="V1445" s="5" t="s">
        <v>14227</v>
      </c>
      <c r="W1445" s="5" t="s">
        <v>17079</v>
      </c>
      <c r="X1445" s="5" t="s">
        <v>12723</v>
      </c>
      <c r="Y1445" s="4">
        <v>399</v>
      </c>
      <c r="Z1445" s="4">
        <v>278</v>
      </c>
      <c r="AA1445" s="4">
        <v>284</v>
      </c>
      <c r="AB1445" s="4">
        <v>4</v>
      </c>
      <c r="AC1445" s="4">
        <v>4</v>
      </c>
      <c r="AD1445" s="4">
        <v>11</v>
      </c>
      <c r="AE1445" s="4">
        <v>11</v>
      </c>
      <c r="AF1445" s="4">
        <v>2</v>
      </c>
      <c r="AG1445" s="4">
        <v>2</v>
      </c>
      <c r="AH1445" s="4">
        <v>4</v>
      </c>
      <c r="AI1445" s="4">
        <v>4</v>
      </c>
      <c r="AJ1445" s="4">
        <v>5</v>
      </c>
      <c r="AK1445" s="4">
        <v>5</v>
      </c>
      <c r="AL1445" s="4">
        <v>2</v>
      </c>
      <c r="AM1445" s="4">
        <v>2</v>
      </c>
      <c r="AN1445" s="4">
        <v>0</v>
      </c>
      <c r="AO1445" s="4">
        <v>0</v>
      </c>
      <c r="AP1445" s="3" t="s">
        <v>59</v>
      </c>
      <c r="AQ1445" s="3" t="s">
        <v>71</v>
      </c>
      <c r="AR1445" s="6" t="str">
        <f>HYPERLINK("http://catalog.hathitrust.org/Record/000764835","HathiTrust Record")</f>
        <v>HathiTrust Record</v>
      </c>
      <c r="AS1445" s="6" t="str">
        <f>HYPERLINK("https://creighton-primo.hosted.exlibrisgroup.com/primo-explore/search?tab=default_tab&amp;search_scope=EVERYTHING&amp;vid=01CRU&amp;lang=en_US&amp;offset=0&amp;query=any,contains,991001784779702656","Catalog Record")</f>
        <v>Catalog Record</v>
      </c>
      <c r="AT1445" s="6" t="str">
        <f>HYPERLINK("http://www.worldcat.org/oclc/7795126","WorldCat Record")</f>
        <v>WorldCat Record</v>
      </c>
    </row>
    <row r="1446" spans="1:46" ht="52.5" customHeight="1" x14ac:dyDescent="0.25">
      <c r="A1446" s="7" t="s">
        <v>59</v>
      </c>
      <c r="B1446" s="2" t="s">
        <v>14247</v>
      </c>
      <c r="C1446" s="2" t="s">
        <v>14248</v>
      </c>
      <c r="D1446" s="2" t="s">
        <v>14249</v>
      </c>
      <c r="F1446" s="3" t="s">
        <v>59</v>
      </c>
      <c r="G1446" s="3" t="s">
        <v>60</v>
      </c>
      <c r="H1446" s="3" t="s">
        <v>71</v>
      </c>
      <c r="I1446" s="3" t="s">
        <v>59</v>
      </c>
      <c r="J1446" s="3" t="s">
        <v>61</v>
      </c>
      <c r="K1446" s="2" t="s">
        <v>14250</v>
      </c>
      <c r="L1446" s="2" t="s">
        <v>14251</v>
      </c>
      <c r="M1446" s="3" t="s">
        <v>309</v>
      </c>
      <c r="O1446" s="3" t="s">
        <v>65</v>
      </c>
      <c r="P1446" s="3" t="s">
        <v>66</v>
      </c>
      <c r="R1446" s="3" t="s">
        <v>68</v>
      </c>
      <c r="S1446" s="4">
        <v>0</v>
      </c>
      <c r="T1446" s="4">
        <v>9</v>
      </c>
      <c r="U1446" s="5"/>
      <c r="V1446" s="5" t="s">
        <v>14252</v>
      </c>
      <c r="W1446" s="5" t="s">
        <v>17089</v>
      </c>
      <c r="X1446" s="5" t="s">
        <v>1638</v>
      </c>
      <c r="Y1446" s="4">
        <v>541</v>
      </c>
      <c r="Z1446" s="4">
        <v>471</v>
      </c>
      <c r="AA1446" s="4">
        <v>473</v>
      </c>
      <c r="AB1446" s="4">
        <v>4</v>
      </c>
      <c r="AC1446" s="4">
        <v>4</v>
      </c>
      <c r="AD1446" s="4">
        <v>16</v>
      </c>
      <c r="AE1446" s="4">
        <v>16</v>
      </c>
      <c r="AF1446" s="4">
        <v>5</v>
      </c>
      <c r="AG1446" s="4">
        <v>5</v>
      </c>
      <c r="AH1446" s="4">
        <v>4</v>
      </c>
      <c r="AI1446" s="4">
        <v>4</v>
      </c>
      <c r="AJ1446" s="4">
        <v>10</v>
      </c>
      <c r="AK1446" s="4">
        <v>10</v>
      </c>
      <c r="AL1446" s="4">
        <v>1</v>
      </c>
      <c r="AM1446" s="4">
        <v>1</v>
      </c>
      <c r="AN1446" s="4">
        <v>0</v>
      </c>
      <c r="AO1446" s="4">
        <v>0</v>
      </c>
      <c r="AP1446" s="3" t="s">
        <v>59</v>
      </c>
      <c r="AQ1446" s="3" t="s">
        <v>71</v>
      </c>
      <c r="AR1446" s="6" t="str">
        <f>HYPERLINK("http://catalog.hathitrust.org/Record/000138766","HathiTrust Record")</f>
        <v>HathiTrust Record</v>
      </c>
      <c r="AS1446" s="6" t="str">
        <f>HYPERLINK("https://creighton-primo.hosted.exlibrisgroup.com/primo-explore/search?tab=default_tab&amp;search_scope=EVERYTHING&amp;vid=01CRU&amp;lang=en_US&amp;offset=0&amp;query=any,contains,991001785009702656","Catalog Record")</f>
        <v>Catalog Record</v>
      </c>
      <c r="AT1446" s="6" t="str">
        <f>HYPERLINK("http://www.worldcat.org/oclc/3631390","WorldCat Record")</f>
        <v>WorldCat Record</v>
      </c>
    </row>
    <row r="1447" spans="1:46" ht="52.5" customHeight="1" x14ac:dyDescent="0.25">
      <c r="A1447" s="7" t="s">
        <v>59</v>
      </c>
      <c r="B1447" s="2" t="s">
        <v>14610</v>
      </c>
      <c r="C1447" s="2" t="s">
        <v>14611</v>
      </c>
      <c r="D1447" s="2" t="s">
        <v>14612</v>
      </c>
      <c r="F1447" s="3" t="s">
        <v>59</v>
      </c>
      <c r="G1447" s="3" t="s">
        <v>60</v>
      </c>
      <c r="H1447" s="3" t="s">
        <v>71</v>
      </c>
      <c r="I1447" s="3" t="s">
        <v>59</v>
      </c>
      <c r="J1447" s="3" t="s">
        <v>61</v>
      </c>
      <c r="K1447" s="2" t="s">
        <v>14613</v>
      </c>
      <c r="L1447" s="2" t="s">
        <v>14191</v>
      </c>
      <c r="M1447" s="3" t="s">
        <v>164</v>
      </c>
      <c r="N1447" t="s">
        <v>7264</v>
      </c>
      <c r="O1447" s="3" t="s">
        <v>65</v>
      </c>
      <c r="P1447" s="3" t="s">
        <v>283</v>
      </c>
      <c r="R1447" s="3" t="s">
        <v>68</v>
      </c>
      <c r="S1447" s="4">
        <v>5</v>
      </c>
      <c r="T1447" s="4">
        <v>18</v>
      </c>
      <c r="U1447" s="5" t="s">
        <v>14615</v>
      </c>
      <c r="V1447" s="5" t="s">
        <v>14615</v>
      </c>
      <c r="W1447" s="5" t="s">
        <v>17090</v>
      </c>
      <c r="X1447" s="5" t="s">
        <v>477</v>
      </c>
      <c r="Y1447" s="4">
        <v>286</v>
      </c>
      <c r="Z1447" s="4">
        <v>218</v>
      </c>
      <c r="AA1447" s="4">
        <v>851</v>
      </c>
      <c r="AB1447" s="4">
        <v>5</v>
      </c>
      <c r="AC1447" s="4">
        <v>9</v>
      </c>
      <c r="AD1447" s="4">
        <v>8</v>
      </c>
      <c r="AE1447" s="4">
        <v>31</v>
      </c>
      <c r="AF1447" s="4">
        <v>0</v>
      </c>
      <c r="AG1447" s="4">
        <v>9</v>
      </c>
      <c r="AH1447" s="4">
        <v>1</v>
      </c>
      <c r="AI1447" s="4">
        <v>7</v>
      </c>
      <c r="AJ1447" s="4">
        <v>6</v>
      </c>
      <c r="AK1447" s="4">
        <v>17</v>
      </c>
      <c r="AL1447" s="4">
        <v>2</v>
      </c>
      <c r="AM1447" s="4">
        <v>5</v>
      </c>
      <c r="AN1447" s="4">
        <v>0</v>
      </c>
      <c r="AO1447" s="4">
        <v>0</v>
      </c>
      <c r="AP1447" s="3" t="s">
        <v>59</v>
      </c>
      <c r="AQ1447" s="3" t="s">
        <v>71</v>
      </c>
      <c r="AR1447" s="6" t="str">
        <f>HYPERLINK("http://catalog.hathitrust.org/Record/102214541","HathiTrust Record")</f>
        <v>HathiTrust Record</v>
      </c>
      <c r="AS1447" s="6" t="str">
        <f>HYPERLINK("https://creighton-primo.hosted.exlibrisgroup.com/primo-explore/search?tab=default_tab&amp;search_scope=EVERYTHING&amp;vid=01CRU&amp;lang=en_US&amp;offset=0&amp;query=any,contains,991001772939702656","Catalog Record")</f>
        <v>Catalog Record</v>
      </c>
      <c r="AT1447" s="6" t="str">
        <f>HYPERLINK("http://www.worldcat.org/oclc/5676006","WorldCat Record")</f>
        <v>WorldCat Record</v>
      </c>
    </row>
    <row r="1448" spans="1:46" ht="52.5" customHeight="1" x14ac:dyDescent="0.25">
      <c r="A1448" s="7" t="s">
        <v>59</v>
      </c>
      <c r="B1448" s="2" t="s">
        <v>14898</v>
      </c>
      <c r="C1448" s="2" t="s">
        <v>14899</v>
      </c>
      <c r="D1448" s="2" t="s">
        <v>14900</v>
      </c>
      <c r="F1448" s="3" t="s">
        <v>59</v>
      </c>
      <c r="G1448" s="3" t="s">
        <v>60</v>
      </c>
      <c r="H1448" s="3" t="s">
        <v>71</v>
      </c>
      <c r="I1448" s="3" t="s">
        <v>59</v>
      </c>
      <c r="J1448" s="3" t="s">
        <v>61</v>
      </c>
      <c r="K1448" s="2"/>
      <c r="L1448" s="2" t="s">
        <v>14901</v>
      </c>
      <c r="M1448" s="3" t="s">
        <v>549</v>
      </c>
      <c r="O1448" s="3" t="s">
        <v>65</v>
      </c>
      <c r="P1448" s="3" t="s">
        <v>66</v>
      </c>
      <c r="R1448" s="3" t="s">
        <v>68</v>
      </c>
      <c r="S1448" s="4">
        <v>5</v>
      </c>
      <c r="T1448" s="4">
        <v>21</v>
      </c>
      <c r="U1448" s="5" t="s">
        <v>16844</v>
      </c>
      <c r="V1448" s="5" t="s">
        <v>831</v>
      </c>
      <c r="W1448" s="5" t="s">
        <v>16398</v>
      </c>
      <c r="X1448" s="5" t="s">
        <v>9857</v>
      </c>
      <c r="Y1448" s="4">
        <v>922</v>
      </c>
      <c r="Z1448" s="4">
        <v>829</v>
      </c>
      <c r="AA1448" s="4">
        <v>835</v>
      </c>
      <c r="AB1448" s="4">
        <v>10</v>
      </c>
      <c r="AC1448" s="4">
        <v>10</v>
      </c>
      <c r="AD1448" s="4">
        <v>35</v>
      </c>
      <c r="AE1448" s="4">
        <v>35</v>
      </c>
      <c r="AF1448" s="4">
        <v>13</v>
      </c>
      <c r="AG1448" s="4">
        <v>13</v>
      </c>
      <c r="AH1448" s="4">
        <v>8</v>
      </c>
      <c r="AI1448" s="4">
        <v>8</v>
      </c>
      <c r="AJ1448" s="4">
        <v>17</v>
      </c>
      <c r="AK1448" s="4">
        <v>17</v>
      </c>
      <c r="AL1448" s="4">
        <v>7</v>
      </c>
      <c r="AM1448" s="4">
        <v>7</v>
      </c>
      <c r="AN1448" s="4">
        <v>0</v>
      </c>
      <c r="AO1448" s="4">
        <v>0</v>
      </c>
      <c r="AP1448" s="3" t="s">
        <v>59</v>
      </c>
      <c r="AQ1448" s="3" t="s">
        <v>71</v>
      </c>
      <c r="AR1448" s="6" t="str">
        <f>HYPERLINK("http://catalog.hathitrust.org/Record/000435143","HathiTrust Record")</f>
        <v>HathiTrust Record</v>
      </c>
      <c r="AS1448" s="6" t="str">
        <f>HYPERLINK("https://creighton-primo.hosted.exlibrisgroup.com/primo-explore/search?tab=default_tab&amp;search_scope=EVERYTHING&amp;vid=01CRU&amp;lang=en_US&amp;offset=0&amp;query=any,contains,991001762699702656","Catalog Record")</f>
        <v>Catalog Record</v>
      </c>
      <c r="AT1448" s="6" t="str">
        <f>HYPERLINK("http://www.worldcat.org/oclc/13064677","WorldCat Record")</f>
        <v>WorldCat Record</v>
      </c>
    </row>
    <row r="1449" spans="1:46" ht="52.5" customHeight="1" x14ac:dyDescent="0.25">
      <c r="A1449" s="7" t="s">
        <v>59</v>
      </c>
      <c r="B1449" s="2" t="s">
        <v>17091</v>
      </c>
      <c r="C1449" s="2" t="s">
        <v>17092</v>
      </c>
      <c r="D1449" s="2" t="s">
        <v>17093</v>
      </c>
      <c r="F1449" s="3" t="s">
        <v>59</v>
      </c>
      <c r="G1449" s="3" t="s">
        <v>60</v>
      </c>
      <c r="H1449" s="3" t="s">
        <v>71</v>
      </c>
      <c r="I1449" s="3" t="s">
        <v>59</v>
      </c>
      <c r="J1449" s="3" t="s">
        <v>61</v>
      </c>
      <c r="K1449" s="2"/>
      <c r="L1449" s="2" t="s">
        <v>17094</v>
      </c>
      <c r="M1449" s="3" t="s">
        <v>5648</v>
      </c>
      <c r="N1449" t="s">
        <v>1975</v>
      </c>
      <c r="O1449" s="3" t="s">
        <v>65</v>
      </c>
      <c r="P1449" s="3" t="s">
        <v>420</v>
      </c>
      <c r="Q1449" t="s">
        <v>17095</v>
      </c>
      <c r="R1449" s="3" t="s">
        <v>68</v>
      </c>
      <c r="S1449" s="4">
        <v>8</v>
      </c>
      <c r="T1449" s="4">
        <v>109</v>
      </c>
      <c r="U1449" s="5" t="s">
        <v>15962</v>
      </c>
      <c r="V1449" s="5" t="s">
        <v>17096</v>
      </c>
      <c r="W1449" s="5" t="s">
        <v>17097</v>
      </c>
      <c r="X1449" s="5" t="s">
        <v>17097</v>
      </c>
      <c r="Y1449" s="4">
        <v>665</v>
      </c>
      <c r="Z1449" s="4">
        <v>494</v>
      </c>
      <c r="AA1449" s="4">
        <v>540</v>
      </c>
      <c r="AB1449" s="4">
        <v>4</v>
      </c>
      <c r="AC1449" s="4">
        <v>5</v>
      </c>
      <c r="AD1449" s="4">
        <v>23</v>
      </c>
      <c r="AE1449" s="4">
        <v>26</v>
      </c>
      <c r="AF1449" s="4">
        <v>9</v>
      </c>
      <c r="AG1449" s="4">
        <v>10</v>
      </c>
      <c r="AH1449" s="4">
        <v>7</v>
      </c>
      <c r="AI1449" s="4">
        <v>8</v>
      </c>
      <c r="AJ1449" s="4">
        <v>14</v>
      </c>
      <c r="AK1449" s="4">
        <v>14</v>
      </c>
      <c r="AL1449" s="4">
        <v>2</v>
      </c>
      <c r="AM1449" s="4">
        <v>3</v>
      </c>
      <c r="AN1449" s="4">
        <v>0</v>
      </c>
      <c r="AO1449" s="4">
        <v>0</v>
      </c>
      <c r="AP1449" s="3" t="s">
        <v>59</v>
      </c>
      <c r="AQ1449" s="3" t="s">
        <v>71</v>
      </c>
      <c r="AR1449" s="6" t="str">
        <f>HYPERLINK("http://catalog.hathitrust.org/Record/001837734","HathiTrust Record")</f>
        <v>HathiTrust Record</v>
      </c>
      <c r="AS1449" s="6" t="str">
        <f>HYPERLINK("https://creighton-primo.hosted.exlibrisgroup.com/primo-explore/search?tab=default_tab&amp;search_scope=EVERYTHING&amp;vid=01CRU&amp;lang=en_US&amp;offset=0&amp;query=any,contains,991001796519702656","Catalog Record")</f>
        <v>Catalog Record</v>
      </c>
      <c r="AT1449" s="6" t="str">
        <f>HYPERLINK("http://www.worldcat.org/oclc/19921974","WorldCat Record")</f>
        <v>WorldCat Record</v>
      </c>
    </row>
    <row r="1450" spans="1:46" ht="52.5" customHeight="1" x14ac:dyDescent="0.25">
      <c r="A1450" s="7" t="s">
        <v>59</v>
      </c>
      <c r="B1450" s="2" t="s">
        <v>15229</v>
      </c>
      <c r="C1450" s="2" t="s">
        <v>15230</v>
      </c>
      <c r="D1450" s="2" t="s">
        <v>15231</v>
      </c>
      <c r="F1450" s="3" t="s">
        <v>59</v>
      </c>
      <c r="G1450" s="3" t="s">
        <v>60</v>
      </c>
      <c r="H1450" s="3" t="s">
        <v>71</v>
      </c>
      <c r="I1450" s="3" t="s">
        <v>59</v>
      </c>
      <c r="J1450" s="3" t="s">
        <v>61</v>
      </c>
      <c r="K1450" s="2" t="s">
        <v>15232</v>
      </c>
      <c r="L1450" s="2" t="s">
        <v>15233</v>
      </c>
      <c r="M1450" s="3" t="s">
        <v>1000</v>
      </c>
      <c r="O1450" s="3" t="s">
        <v>65</v>
      </c>
      <c r="P1450" s="3" t="s">
        <v>66</v>
      </c>
      <c r="Q1450" t="s">
        <v>15234</v>
      </c>
      <c r="R1450" s="3" t="s">
        <v>68</v>
      </c>
      <c r="S1450" s="4">
        <v>8</v>
      </c>
      <c r="T1450" s="4">
        <v>11</v>
      </c>
      <c r="U1450" s="5" t="s">
        <v>17098</v>
      </c>
      <c r="V1450" s="5" t="s">
        <v>15235</v>
      </c>
      <c r="W1450" s="5" t="s">
        <v>17090</v>
      </c>
      <c r="X1450" s="5" t="s">
        <v>70</v>
      </c>
      <c r="Y1450" s="4">
        <v>779</v>
      </c>
      <c r="Z1450" s="4">
        <v>675</v>
      </c>
      <c r="AA1450" s="4">
        <v>682</v>
      </c>
      <c r="AB1450" s="4">
        <v>6</v>
      </c>
      <c r="AC1450" s="4">
        <v>6</v>
      </c>
      <c r="AD1450" s="4">
        <v>28</v>
      </c>
      <c r="AE1450" s="4">
        <v>28</v>
      </c>
      <c r="AF1450" s="4">
        <v>15</v>
      </c>
      <c r="AG1450" s="4">
        <v>15</v>
      </c>
      <c r="AH1450" s="4">
        <v>5</v>
      </c>
      <c r="AI1450" s="4">
        <v>5</v>
      </c>
      <c r="AJ1450" s="4">
        <v>12</v>
      </c>
      <c r="AK1450" s="4">
        <v>12</v>
      </c>
      <c r="AL1450" s="4">
        <v>4</v>
      </c>
      <c r="AM1450" s="4">
        <v>4</v>
      </c>
      <c r="AN1450" s="4">
        <v>0</v>
      </c>
      <c r="AO1450" s="4">
        <v>0</v>
      </c>
      <c r="AP1450" s="3" t="s">
        <v>59</v>
      </c>
      <c r="AQ1450" s="3" t="s">
        <v>71</v>
      </c>
      <c r="AR1450" s="6" t="str">
        <f>HYPERLINK("http://catalog.hathitrust.org/Record/000127129","HathiTrust Record")</f>
        <v>HathiTrust Record</v>
      </c>
      <c r="AS1450" s="6" t="str">
        <f>HYPERLINK("https://creighton-primo.hosted.exlibrisgroup.com/primo-explore/search?tab=default_tab&amp;search_scope=EVERYTHING&amp;vid=01CRU&amp;lang=en_US&amp;offset=0&amp;query=any,contains,991001782679702656","Catalog Record")</f>
        <v>Catalog Record</v>
      </c>
      <c r="AT1450" s="6" t="str">
        <f>HYPERLINK("http://www.worldcat.org/oclc/4493613","WorldCat Record")</f>
        <v>WorldCat Record</v>
      </c>
    </row>
    <row r="1451" spans="1:46" ht="52.5" customHeight="1" x14ac:dyDescent="0.25">
      <c r="A1451" s="7" t="s">
        <v>59</v>
      </c>
      <c r="B1451" s="2" t="s">
        <v>15266</v>
      </c>
      <c r="C1451" s="2" t="s">
        <v>15267</v>
      </c>
      <c r="D1451" s="2" t="s">
        <v>15268</v>
      </c>
      <c r="F1451" s="3" t="s">
        <v>59</v>
      </c>
      <c r="G1451" s="3" t="s">
        <v>60</v>
      </c>
      <c r="H1451" s="3" t="s">
        <v>71</v>
      </c>
      <c r="I1451" s="3" t="s">
        <v>59</v>
      </c>
      <c r="J1451" s="3" t="s">
        <v>61</v>
      </c>
      <c r="K1451" s="2" t="s">
        <v>15269</v>
      </c>
      <c r="L1451" s="2" t="s">
        <v>15270</v>
      </c>
      <c r="M1451" s="3" t="s">
        <v>350</v>
      </c>
      <c r="O1451" s="3" t="s">
        <v>65</v>
      </c>
      <c r="P1451" s="3" t="s">
        <v>66</v>
      </c>
      <c r="Q1451" t="s">
        <v>15271</v>
      </c>
      <c r="R1451" s="3" t="s">
        <v>68</v>
      </c>
      <c r="S1451" s="4">
        <v>0</v>
      </c>
      <c r="T1451" s="4">
        <v>2</v>
      </c>
      <c r="U1451" s="5"/>
      <c r="V1451" s="5" t="s">
        <v>15259</v>
      </c>
      <c r="W1451" s="5" t="s">
        <v>17099</v>
      </c>
      <c r="X1451" s="5" t="s">
        <v>227</v>
      </c>
      <c r="Y1451" s="4">
        <v>573</v>
      </c>
      <c r="Z1451" s="4">
        <v>492</v>
      </c>
      <c r="AA1451" s="4">
        <v>500</v>
      </c>
      <c r="AB1451" s="4">
        <v>6</v>
      </c>
      <c r="AC1451" s="4">
        <v>6</v>
      </c>
      <c r="AD1451" s="4">
        <v>22</v>
      </c>
      <c r="AE1451" s="4">
        <v>22</v>
      </c>
      <c r="AF1451" s="4">
        <v>12</v>
      </c>
      <c r="AG1451" s="4">
        <v>12</v>
      </c>
      <c r="AH1451" s="4">
        <v>2</v>
      </c>
      <c r="AI1451" s="4">
        <v>2</v>
      </c>
      <c r="AJ1451" s="4">
        <v>11</v>
      </c>
      <c r="AK1451" s="4">
        <v>11</v>
      </c>
      <c r="AL1451" s="4">
        <v>4</v>
      </c>
      <c r="AM1451" s="4">
        <v>4</v>
      </c>
      <c r="AN1451" s="4">
        <v>0</v>
      </c>
      <c r="AO1451" s="4">
        <v>0</v>
      </c>
      <c r="AP1451" s="3" t="s">
        <v>59</v>
      </c>
      <c r="AQ1451" s="3" t="s">
        <v>71</v>
      </c>
      <c r="AR1451" s="6" t="str">
        <f>HYPERLINK("http://catalog.hathitrust.org/Record/000293697","HathiTrust Record")</f>
        <v>HathiTrust Record</v>
      </c>
      <c r="AS1451" s="6" t="str">
        <f>HYPERLINK("https://creighton-primo.hosted.exlibrisgroup.com/primo-explore/search?tab=default_tab&amp;search_scope=EVERYTHING&amp;vid=01CRU&amp;lang=en_US&amp;offset=0&amp;query=any,contains,991001772249702656","Catalog Record")</f>
        <v>Catalog Record</v>
      </c>
      <c r="AT1451" s="6" t="str">
        <f>HYPERLINK("http://www.worldcat.org/oclc/3168772","WorldCat Record")</f>
        <v>WorldCat Record</v>
      </c>
    </row>
    <row r="1452" spans="1:46" ht="52.5" customHeight="1" x14ac:dyDescent="0.25">
      <c r="A1452" s="7" t="s">
        <v>59</v>
      </c>
      <c r="B1452" s="2" t="s">
        <v>17100</v>
      </c>
      <c r="C1452" s="2" t="s">
        <v>17101</v>
      </c>
      <c r="D1452" s="2" t="s">
        <v>17102</v>
      </c>
      <c r="F1452" s="3" t="s">
        <v>59</v>
      </c>
      <c r="G1452" s="3" t="s">
        <v>60</v>
      </c>
      <c r="H1452" s="3" t="s">
        <v>71</v>
      </c>
      <c r="I1452" s="3" t="s">
        <v>59</v>
      </c>
      <c r="J1452" s="3" t="s">
        <v>61</v>
      </c>
      <c r="K1452" s="2" t="s">
        <v>17103</v>
      </c>
      <c r="L1452" s="2" t="s">
        <v>17104</v>
      </c>
      <c r="M1452" s="3" t="s">
        <v>1217</v>
      </c>
      <c r="O1452" s="3" t="s">
        <v>65</v>
      </c>
      <c r="P1452" s="3" t="s">
        <v>296</v>
      </c>
      <c r="Q1452" t="s">
        <v>4524</v>
      </c>
      <c r="R1452" s="3" t="s">
        <v>68</v>
      </c>
      <c r="S1452" s="4">
        <v>6</v>
      </c>
      <c r="T1452" s="4">
        <v>24</v>
      </c>
      <c r="U1452" s="5" t="s">
        <v>12723</v>
      </c>
      <c r="V1452" s="5" t="s">
        <v>15480</v>
      </c>
      <c r="W1452" s="5" t="s">
        <v>16976</v>
      </c>
      <c r="X1452" s="5" t="s">
        <v>1871</v>
      </c>
      <c r="Y1452" s="4">
        <v>324</v>
      </c>
      <c r="Z1452" s="4">
        <v>268</v>
      </c>
      <c r="AA1452" s="4">
        <v>348</v>
      </c>
      <c r="AB1452" s="4">
        <v>4</v>
      </c>
      <c r="AC1452" s="4">
        <v>4</v>
      </c>
      <c r="AD1452" s="4">
        <v>15</v>
      </c>
      <c r="AE1452" s="4">
        <v>19</v>
      </c>
      <c r="AF1452" s="4">
        <v>3</v>
      </c>
      <c r="AG1452" s="4">
        <v>4</v>
      </c>
      <c r="AH1452" s="4">
        <v>5</v>
      </c>
      <c r="AI1452" s="4">
        <v>7</v>
      </c>
      <c r="AJ1452" s="4">
        <v>9</v>
      </c>
      <c r="AK1452" s="4">
        <v>10</v>
      </c>
      <c r="AL1452" s="4">
        <v>2</v>
      </c>
      <c r="AM1452" s="4">
        <v>2</v>
      </c>
      <c r="AN1452" s="4">
        <v>0</v>
      </c>
      <c r="AO1452" s="4">
        <v>0</v>
      </c>
      <c r="AP1452" s="3" t="s">
        <v>59</v>
      </c>
      <c r="AQ1452" s="3" t="s">
        <v>71</v>
      </c>
      <c r="AR1452" s="6" t="str">
        <f>HYPERLINK("http://catalog.hathitrust.org/Record/000283660","HathiTrust Record")</f>
        <v>HathiTrust Record</v>
      </c>
      <c r="AS1452" s="6" t="str">
        <f>HYPERLINK("https://creighton-primo.hosted.exlibrisgroup.com/primo-explore/search?tab=default_tab&amp;search_scope=EVERYTHING&amp;vid=01CRU&amp;lang=en_US&amp;offset=0&amp;query=any,contains,991001761999702656","Catalog Record")</f>
        <v>Catalog Record</v>
      </c>
      <c r="AT1452" s="6" t="str">
        <f>HYPERLINK("http://www.worldcat.org/oclc/11533744","WorldCat Record")</f>
        <v>WorldCat Record</v>
      </c>
    </row>
    <row r="1453" spans="1:46" ht="52.5" customHeight="1" x14ac:dyDescent="0.25">
      <c r="A1453" s="7" t="s">
        <v>59</v>
      </c>
      <c r="B1453" s="2" t="s">
        <v>15685</v>
      </c>
      <c r="C1453" s="2" t="s">
        <v>15686</v>
      </c>
      <c r="D1453" s="2" t="s">
        <v>15687</v>
      </c>
      <c r="F1453" s="3" t="s">
        <v>59</v>
      </c>
      <c r="G1453" s="3" t="s">
        <v>60</v>
      </c>
      <c r="H1453" s="3" t="s">
        <v>71</v>
      </c>
      <c r="I1453" s="3" t="s">
        <v>59</v>
      </c>
      <c r="J1453" s="3" t="s">
        <v>61</v>
      </c>
      <c r="K1453" s="2" t="s">
        <v>6152</v>
      </c>
      <c r="L1453" s="2" t="s">
        <v>15688</v>
      </c>
      <c r="M1453" s="3" t="s">
        <v>1015</v>
      </c>
      <c r="N1453" t="s">
        <v>435</v>
      </c>
      <c r="O1453" s="3" t="s">
        <v>65</v>
      </c>
      <c r="P1453" s="3" t="s">
        <v>420</v>
      </c>
      <c r="Q1453" t="s">
        <v>7816</v>
      </c>
      <c r="R1453" s="3" t="s">
        <v>68</v>
      </c>
      <c r="S1453" s="4">
        <v>15</v>
      </c>
      <c r="T1453" s="4">
        <v>28</v>
      </c>
      <c r="U1453" s="5" t="s">
        <v>17105</v>
      </c>
      <c r="V1453" s="5" t="s">
        <v>5472</v>
      </c>
      <c r="W1453" s="5" t="s">
        <v>16390</v>
      </c>
      <c r="X1453" s="5" t="s">
        <v>227</v>
      </c>
      <c r="Y1453" s="4">
        <v>1096</v>
      </c>
      <c r="Z1453" s="4">
        <v>942</v>
      </c>
      <c r="AA1453" s="4">
        <v>957</v>
      </c>
      <c r="AB1453" s="4">
        <v>9</v>
      </c>
      <c r="AC1453" s="4">
        <v>9</v>
      </c>
      <c r="AD1453" s="4">
        <v>42</v>
      </c>
      <c r="AE1453" s="4">
        <v>43</v>
      </c>
      <c r="AF1453" s="4">
        <v>18</v>
      </c>
      <c r="AG1453" s="4">
        <v>18</v>
      </c>
      <c r="AH1453" s="4">
        <v>6</v>
      </c>
      <c r="AI1453" s="4">
        <v>7</v>
      </c>
      <c r="AJ1453" s="4">
        <v>18</v>
      </c>
      <c r="AK1453" s="4">
        <v>18</v>
      </c>
      <c r="AL1453" s="4">
        <v>7</v>
      </c>
      <c r="AM1453" s="4">
        <v>7</v>
      </c>
      <c r="AN1453" s="4">
        <v>0</v>
      </c>
      <c r="AO1453" s="4">
        <v>0</v>
      </c>
      <c r="AP1453" s="3" t="s">
        <v>59</v>
      </c>
      <c r="AQ1453" s="3" t="s">
        <v>71</v>
      </c>
      <c r="AR1453" s="6" t="str">
        <f>HYPERLINK("http://catalog.hathitrust.org/Record/000472670","HathiTrust Record")</f>
        <v>HathiTrust Record</v>
      </c>
      <c r="AS1453" s="6" t="str">
        <f>HYPERLINK("https://creighton-primo.hosted.exlibrisgroup.com/primo-explore/search?tab=default_tab&amp;search_scope=EVERYTHING&amp;vid=01CRU&amp;lang=en_US&amp;offset=0&amp;query=any,contains,991001762659702656","Catalog Record")</f>
        <v>Catalog Record</v>
      </c>
      <c r="AT1453" s="6" t="str">
        <f>HYPERLINK("http://www.worldcat.org/oclc/223048","WorldCat Record")</f>
        <v>WorldCat Record</v>
      </c>
    </row>
    <row r="1454" spans="1:46" ht="52.5" customHeight="1" x14ac:dyDescent="0.25">
      <c r="A1454" s="7" t="s">
        <v>59</v>
      </c>
      <c r="B1454" s="2" t="s">
        <v>15767</v>
      </c>
      <c r="C1454" s="2" t="s">
        <v>15768</v>
      </c>
      <c r="D1454" s="2" t="s">
        <v>15769</v>
      </c>
      <c r="F1454" s="3" t="s">
        <v>59</v>
      </c>
      <c r="G1454" s="3" t="s">
        <v>60</v>
      </c>
      <c r="H1454" s="3" t="s">
        <v>71</v>
      </c>
      <c r="I1454" s="3" t="s">
        <v>59</v>
      </c>
      <c r="J1454" s="3" t="s">
        <v>61</v>
      </c>
      <c r="K1454" s="2"/>
      <c r="L1454" s="2" t="s">
        <v>15233</v>
      </c>
      <c r="M1454" s="3" t="s">
        <v>1000</v>
      </c>
      <c r="O1454" s="3" t="s">
        <v>65</v>
      </c>
      <c r="P1454" s="3" t="s">
        <v>66</v>
      </c>
      <c r="Q1454" t="s">
        <v>15770</v>
      </c>
      <c r="R1454" s="3" t="s">
        <v>68</v>
      </c>
      <c r="S1454" s="4">
        <v>6</v>
      </c>
      <c r="T1454" s="4">
        <v>8</v>
      </c>
      <c r="U1454" s="5" t="s">
        <v>17106</v>
      </c>
      <c r="V1454" s="5" t="s">
        <v>15771</v>
      </c>
      <c r="W1454" s="5" t="s">
        <v>16390</v>
      </c>
      <c r="X1454" s="5" t="s">
        <v>15772</v>
      </c>
      <c r="Y1454" s="4">
        <v>435</v>
      </c>
      <c r="Z1454" s="4">
        <v>381</v>
      </c>
      <c r="AA1454" s="4">
        <v>388</v>
      </c>
      <c r="AB1454" s="4">
        <v>4</v>
      </c>
      <c r="AC1454" s="4">
        <v>4</v>
      </c>
      <c r="AD1454" s="4">
        <v>10</v>
      </c>
      <c r="AE1454" s="4">
        <v>10</v>
      </c>
      <c r="AF1454" s="4">
        <v>1</v>
      </c>
      <c r="AG1454" s="4">
        <v>1</v>
      </c>
      <c r="AH1454" s="4">
        <v>4</v>
      </c>
      <c r="AI1454" s="4">
        <v>4</v>
      </c>
      <c r="AJ1454" s="4">
        <v>7</v>
      </c>
      <c r="AK1454" s="4">
        <v>7</v>
      </c>
      <c r="AL1454" s="4">
        <v>2</v>
      </c>
      <c r="AM1454" s="4">
        <v>2</v>
      </c>
      <c r="AN1454" s="4">
        <v>0</v>
      </c>
      <c r="AO1454" s="4">
        <v>0</v>
      </c>
      <c r="AP1454" s="3" t="s">
        <v>59</v>
      </c>
      <c r="AQ1454" s="3" t="s">
        <v>71</v>
      </c>
      <c r="AR1454" s="6" t="str">
        <f>HYPERLINK("http://catalog.hathitrust.org/Record/000729630","HathiTrust Record")</f>
        <v>HathiTrust Record</v>
      </c>
      <c r="AS1454" s="6" t="str">
        <f>HYPERLINK("https://creighton-primo.hosted.exlibrisgroup.com/primo-explore/search?tab=default_tab&amp;search_scope=EVERYTHING&amp;vid=01CRU&amp;lang=en_US&amp;offset=0&amp;query=any,contains,991001762639702656","Catalog Record")</f>
        <v>Catalog Record</v>
      </c>
      <c r="AT1454" s="6" t="str">
        <f>HYPERLINK("http://www.worldcat.org/oclc/5239852","WorldCat Record")</f>
        <v>WorldCat Record</v>
      </c>
    </row>
    <row r="1455" spans="1:46" ht="52.5" customHeight="1" x14ac:dyDescent="0.25">
      <c r="A1455" s="7" t="s">
        <v>59</v>
      </c>
      <c r="B1455" s="2" t="s">
        <v>17107</v>
      </c>
      <c r="C1455" s="2" t="s">
        <v>17108</v>
      </c>
      <c r="D1455" s="2" t="s">
        <v>17109</v>
      </c>
      <c r="F1455" s="3" t="s">
        <v>59</v>
      </c>
      <c r="G1455" s="3" t="s">
        <v>60</v>
      </c>
      <c r="H1455" s="3" t="s">
        <v>59</v>
      </c>
      <c r="I1455" s="3" t="s">
        <v>59</v>
      </c>
      <c r="J1455" s="3" t="s">
        <v>61</v>
      </c>
      <c r="K1455" s="2"/>
      <c r="L1455" s="2" t="s">
        <v>17110</v>
      </c>
      <c r="M1455" s="3" t="s">
        <v>17111</v>
      </c>
      <c r="O1455" s="3" t="s">
        <v>65</v>
      </c>
      <c r="P1455" s="3" t="s">
        <v>14374</v>
      </c>
      <c r="R1455" s="3" t="s">
        <v>68</v>
      </c>
      <c r="S1455" s="4">
        <v>2</v>
      </c>
      <c r="T1455" s="4">
        <v>2</v>
      </c>
      <c r="U1455" s="5" t="s">
        <v>17112</v>
      </c>
      <c r="V1455" s="5" t="s">
        <v>17112</v>
      </c>
      <c r="W1455" s="5" t="s">
        <v>15627</v>
      </c>
      <c r="X1455" s="5" t="s">
        <v>15627</v>
      </c>
      <c r="Y1455" s="4">
        <v>28</v>
      </c>
      <c r="Z1455" s="4">
        <v>28</v>
      </c>
      <c r="AA1455" s="4">
        <v>30</v>
      </c>
      <c r="AB1455" s="4">
        <v>1</v>
      </c>
      <c r="AC1455" s="4">
        <v>1</v>
      </c>
      <c r="AD1455" s="4">
        <v>0</v>
      </c>
      <c r="AE1455" s="4">
        <v>0</v>
      </c>
      <c r="AF1455" s="4">
        <v>0</v>
      </c>
      <c r="AG1455" s="4">
        <v>0</v>
      </c>
      <c r="AH1455" s="4">
        <v>0</v>
      </c>
      <c r="AI1455" s="4">
        <v>0</v>
      </c>
      <c r="AJ1455" s="4">
        <v>0</v>
      </c>
      <c r="AK1455" s="4">
        <v>0</v>
      </c>
      <c r="AL1455" s="4">
        <v>0</v>
      </c>
      <c r="AM1455" s="4">
        <v>0</v>
      </c>
      <c r="AN1455" s="4">
        <v>0</v>
      </c>
      <c r="AO1455" s="4">
        <v>0</v>
      </c>
      <c r="AP1455" s="3" t="s">
        <v>59</v>
      </c>
      <c r="AQ1455" s="3" t="s">
        <v>71</v>
      </c>
      <c r="AR1455" s="6" t="str">
        <f>HYPERLINK("http://catalog.hathitrust.org/Record/004158203","HathiTrust Record")</f>
        <v>HathiTrust Record</v>
      </c>
      <c r="AS1455" s="6" t="str">
        <f>HYPERLINK("https://creighton-primo.hosted.exlibrisgroup.com/primo-explore/search?tab=default_tab&amp;search_scope=EVERYTHING&amp;vid=01CRU&amp;lang=en_US&amp;offset=0&amp;query=any,contains,991000399099702656","Catalog Record")</f>
        <v>Catalog Record</v>
      </c>
      <c r="AT1455" s="6" t="str">
        <f>HYPERLINK("http://www.worldcat.org/oclc/44862057","WorldCat Record")</f>
        <v>WorldCat Record</v>
      </c>
    </row>
    <row r="1456" spans="1:46" ht="52.5" customHeight="1" x14ac:dyDescent="0.25">
      <c r="A1456" s="7" t="s">
        <v>59</v>
      </c>
      <c r="B1456" s="2" t="s">
        <v>15842</v>
      </c>
      <c r="C1456" s="2" t="s">
        <v>15843</v>
      </c>
      <c r="D1456" s="2" t="s">
        <v>15844</v>
      </c>
      <c r="F1456" s="3" t="s">
        <v>59</v>
      </c>
      <c r="G1456" s="3" t="s">
        <v>60</v>
      </c>
      <c r="H1456" s="3" t="s">
        <v>71</v>
      </c>
      <c r="I1456" s="3" t="s">
        <v>59</v>
      </c>
      <c r="J1456" s="3" t="s">
        <v>61</v>
      </c>
      <c r="K1456" s="2" t="s">
        <v>15845</v>
      </c>
      <c r="L1456" s="2" t="s">
        <v>15846</v>
      </c>
      <c r="M1456" s="3" t="s">
        <v>148</v>
      </c>
      <c r="N1456" t="s">
        <v>1587</v>
      </c>
      <c r="O1456" s="3" t="s">
        <v>65</v>
      </c>
      <c r="P1456" s="3" t="s">
        <v>829</v>
      </c>
      <c r="R1456" s="3" t="s">
        <v>68</v>
      </c>
      <c r="S1456" s="4">
        <v>1</v>
      </c>
      <c r="T1456" s="4">
        <v>4</v>
      </c>
      <c r="U1456" s="5" t="s">
        <v>4043</v>
      </c>
      <c r="V1456" s="5" t="s">
        <v>15847</v>
      </c>
      <c r="W1456" s="5" t="s">
        <v>16976</v>
      </c>
      <c r="X1456" s="5" t="s">
        <v>7406</v>
      </c>
      <c r="Y1456" s="4">
        <v>473</v>
      </c>
      <c r="Z1456" s="4">
        <v>421</v>
      </c>
      <c r="AA1456" s="4">
        <v>1021</v>
      </c>
      <c r="AB1456" s="4">
        <v>4</v>
      </c>
      <c r="AC1456" s="4">
        <v>9</v>
      </c>
      <c r="AD1456" s="4">
        <v>21</v>
      </c>
      <c r="AE1456" s="4">
        <v>38</v>
      </c>
      <c r="AF1456" s="4">
        <v>9</v>
      </c>
      <c r="AG1456" s="4">
        <v>13</v>
      </c>
      <c r="AH1456" s="4">
        <v>4</v>
      </c>
      <c r="AI1456" s="4">
        <v>6</v>
      </c>
      <c r="AJ1456" s="4">
        <v>11</v>
      </c>
      <c r="AK1456" s="4">
        <v>22</v>
      </c>
      <c r="AL1456" s="4">
        <v>2</v>
      </c>
      <c r="AM1456" s="4">
        <v>6</v>
      </c>
      <c r="AN1456" s="4">
        <v>0</v>
      </c>
      <c r="AO1456" s="4">
        <v>1</v>
      </c>
      <c r="AP1456" s="3" t="s">
        <v>59</v>
      </c>
      <c r="AQ1456" s="3" t="s">
        <v>71</v>
      </c>
      <c r="AR1456" s="6" t="str">
        <f>HYPERLINK("http://catalog.hathitrust.org/Record/007550926","HathiTrust Record")</f>
        <v>HathiTrust Record</v>
      </c>
      <c r="AS1456" s="6" t="str">
        <f>HYPERLINK("https://creighton-primo.hosted.exlibrisgroup.com/primo-explore/search?tab=default_tab&amp;search_scope=EVERYTHING&amp;vid=01CRU&amp;lang=en_US&amp;offset=0&amp;query=any,contains,991001761829702656","Catalog Record")</f>
        <v>Catalog Record</v>
      </c>
      <c r="AT1456" s="6" t="str">
        <f>HYPERLINK("http://www.worldcat.org/oclc/2318294","WorldCat Record")</f>
        <v>WorldCat Record</v>
      </c>
    </row>
    <row r="1457" spans="1:46" ht="52.5" customHeight="1" x14ac:dyDescent="0.25">
      <c r="A1457" s="7" t="s">
        <v>59</v>
      </c>
      <c r="B1457" s="2" t="s">
        <v>17113</v>
      </c>
      <c r="C1457" s="2" t="s">
        <v>17114</v>
      </c>
      <c r="D1457" s="2" t="s">
        <v>17115</v>
      </c>
      <c r="F1457" s="3" t="s">
        <v>59</v>
      </c>
      <c r="G1457" s="3" t="s">
        <v>60</v>
      </c>
      <c r="H1457" s="3" t="s">
        <v>59</v>
      </c>
      <c r="I1457" s="3" t="s">
        <v>59</v>
      </c>
      <c r="J1457" s="3" t="s">
        <v>61</v>
      </c>
      <c r="K1457" s="2"/>
      <c r="L1457" s="2" t="s">
        <v>17116</v>
      </c>
      <c r="M1457" s="3" t="s">
        <v>915</v>
      </c>
      <c r="O1457" s="3" t="s">
        <v>65</v>
      </c>
      <c r="P1457" s="3" t="s">
        <v>1218</v>
      </c>
      <c r="Q1457" t="s">
        <v>10559</v>
      </c>
      <c r="R1457" s="3" t="s">
        <v>68</v>
      </c>
      <c r="S1457" s="4">
        <v>3</v>
      </c>
      <c r="T1457" s="4">
        <v>3</v>
      </c>
      <c r="U1457" s="5" t="s">
        <v>17117</v>
      </c>
      <c r="V1457" s="5" t="s">
        <v>17117</v>
      </c>
      <c r="W1457" s="5" t="s">
        <v>2269</v>
      </c>
      <c r="X1457" s="5" t="s">
        <v>2269</v>
      </c>
      <c r="Y1457" s="4">
        <v>965</v>
      </c>
      <c r="Z1457" s="4">
        <v>805</v>
      </c>
      <c r="AA1457" s="4">
        <v>835</v>
      </c>
      <c r="AB1457" s="4">
        <v>8</v>
      </c>
      <c r="AC1457" s="4">
        <v>8</v>
      </c>
      <c r="AD1457" s="4">
        <v>39</v>
      </c>
      <c r="AE1457" s="4">
        <v>39</v>
      </c>
      <c r="AF1457" s="4">
        <v>13</v>
      </c>
      <c r="AG1457" s="4">
        <v>13</v>
      </c>
      <c r="AH1457" s="4">
        <v>6</v>
      </c>
      <c r="AI1457" s="4">
        <v>6</v>
      </c>
      <c r="AJ1457" s="4">
        <v>21</v>
      </c>
      <c r="AK1457" s="4">
        <v>21</v>
      </c>
      <c r="AL1457" s="4">
        <v>7</v>
      </c>
      <c r="AM1457" s="4">
        <v>7</v>
      </c>
      <c r="AN1457" s="4">
        <v>1</v>
      </c>
      <c r="AO1457" s="4">
        <v>1</v>
      </c>
      <c r="AP1457" s="3" t="s">
        <v>59</v>
      </c>
      <c r="AQ1457" s="3" t="s">
        <v>59</v>
      </c>
      <c r="AR1457" s="6"/>
      <c r="AS1457" s="6" t="str">
        <f>HYPERLINK("https://creighton-primo.hosted.exlibrisgroup.com/primo-explore/search?tab=default_tab&amp;search_scope=EVERYTHING&amp;vid=01CRU&amp;lang=en_US&amp;offset=0&amp;query=any,contains,991000386699702656","Catalog Record")</f>
        <v>Catalog Record</v>
      </c>
      <c r="AT1457" s="6" t="str">
        <f>HYPERLINK("http://www.worldcat.org/oclc/26769037","WorldCat Record")</f>
        <v>WorldCat Record</v>
      </c>
    </row>
    <row r="1458" spans="1:46" ht="52.5" customHeight="1" x14ac:dyDescent="0.25">
      <c r="A1458" s="7" t="s">
        <v>59</v>
      </c>
      <c r="B1458" s="2" t="s">
        <v>17118</v>
      </c>
      <c r="C1458" s="2" t="s">
        <v>17119</v>
      </c>
      <c r="D1458" s="2" t="s">
        <v>17120</v>
      </c>
      <c r="F1458" s="3" t="s">
        <v>59</v>
      </c>
      <c r="G1458" s="3" t="s">
        <v>60</v>
      </c>
      <c r="H1458" s="3" t="s">
        <v>59</v>
      </c>
      <c r="I1458" s="3" t="s">
        <v>71</v>
      </c>
      <c r="J1458" s="3" t="s">
        <v>61</v>
      </c>
      <c r="K1458" s="2" t="s">
        <v>15796</v>
      </c>
      <c r="L1458" s="2" t="s">
        <v>17121</v>
      </c>
      <c r="M1458" s="3" t="s">
        <v>254</v>
      </c>
      <c r="O1458" s="3" t="s">
        <v>65</v>
      </c>
      <c r="P1458" s="3" t="s">
        <v>66</v>
      </c>
      <c r="R1458" s="3" t="s">
        <v>68</v>
      </c>
      <c r="S1458" s="4">
        <v>9</v>
      </c>
      <c r="T1458" s="4">
        <v>9</v>
      </c>
      <c r="U1458" s="5" t="s">
        <v>16453</v>
      </c>
      <c r="V1458" s="5" t="s">
        <v>16453</v>
      </c>
      <c r="W1458" s="5" t="s">
        <v>17122</v>
      </c>
      <c r="X1458" s="5" t="s">
        <v>17122</v>
      </c>
      <c r="Y1458" s="4">
        <v>2526</v>
      </c>
      <c r="Z1458" s="4">
        <v>2363</v>
      </c>
      <c r="AA1458" s="4">
        <v>4412</v>
      </c>
      <c r="AB1458" s="4">
        <v>27</v>
      </c>
      <c r="AC1458" s="4">
        <v>62</v>
      </c>
      <c r="AD1458" s="4">
        <v>48</v>
      </c>
      <c r="AE1458" s="4">
        <v>75</v>
      </c>
      <c r="AF1458" s="4">
        <v>17</v>
      </c>
      <c r="AG1458" s="4">
        <v>30</v>
      </c>
      <c r="AH1458" s="4">
        <v>11</v>
      </c>
      <c r="AI1458" s="4">
        <v>12</v>
      </c>
      <c r="AJ1458" s="4">
        <v>20</v>
      </c>
      <c r="AK1458" s="4">
        <v>28</v>
      </c>
      <c r="AL1458" s="4">
        <v>8</v>
      </c>
      <c r="AM1458" s="4">
        <v>18</v>
      </c>
      <c r="AN1458" s="4">
        <v>1</v>
      </c>
      <c r="AO1458" s="4">
        <v>1</v>
      </c>
      <c r="AP1458" s="3" t="s">
        <v>59</v>
      </c>
      <c r="AQ1458" s="3" t="s">
        <v>71</v>
      </c>
      <c r="AR1458" s="6" t="str">
        <f>HYPERLINK("http://catalog.hathitrust.org/Record/000279270","HathiTrust Record")</f>
        <v>HathiTrust Record</v>
      </c>
      <c r="AS1458" s="6" t="str">
        <f>HYPERLINK("https://creighton-primo.hosted.exlibrisgroup.com/primo-explore/search?tab=default_tab&amp;search_scope=EVERYTHING&amp;vid=01CRU&amp;lang=en_US&amp;offset=0&amp;query=any,contains,991000695669702656","Catalog Record")</f>
        <v>Catalog Record</v>
      </c>
      <c r="AT1458" s="6" t="str">
        <f>HYPERLINK("http://www.worldcat.org/oclc/4238","WorldCat Record")</f>
        <v>WorldCat Record</v>
      </c>
    </row>
    <row r="1459" spans="1:46" ht="52.5" customHeight="1" x14ac:dyDescent="0.25">
      <c r="A1459" s="7" t="s">
        <v>59</v>
      </c>
      <c r="B1459" s="2" t="s">
        <v>17123</v>
      </c>
      <c r="C1459" s="2" t="s">
        <v>17124</v>
      </c>
      <c r="D1459" s="2" t="s">
        <v>17125</v>
      </c>
      <c r="F1459" s="3" t="s">
        <v>59</v>
      </c>
      <c r="G1459" s="3" t="s">
        <v>60</v>
      </c>
      <c r="H1459" s="3" t="s">
        <v>59</v>
      </c>
      <c r="I1459" s="3" t="s">
        <v>59</v>
      </c>
      <c r="J1459" s="3" t="s">
        <v>61</v>
      </c>
      <c r="K1459" s="2" t="s">
        <v>17126</v>
      </c>
      <c r="L1459" s="2" t="s">
        <v>17127</v>
      </c>
      <c r="M1459" s="3" t="s">
        <v>1015</v>
      </c>
      <c r="O1459" s="3" t="s">
        <v>65</v>
      </c>
      <c r="P1459" s="3" t="s">
        <v>296</v>
      </c>
      <c r="R1459" s="3" t="s">
        <v>68</v>
      </c>
      <c r="S1459" s="4">
        <v>4</v>
      </c>
      <c r="T1459" s="4">
        <v>4</v>
      </c>
      <c r="U1459" s="5" t="s">
        <v>16832</v>
      </c>
      <c r="V1459" s="5" t="s">
        <v>16832</v>
      </c>
      <c r="W1459" s="5" t="s">
        <v>17128</v>
      </c>
      <c r="X1459" s="5" t="s">
        <v>17128</v>
      </c>
      <c r="Y1459" s="4">
        <v>880</v>
      </c>
      <c r="Z1459" s="4">
        <v>750</v>
      </c>
      <c r="AA1459" s="4">
        <v>828</v>
      </c>
      <c r="AB1459" s="4">
        <v>5</v>
      </c>
      <c r="AC1459" s="4">
        <v>5</v>
      </c>
      <c r="AD1459" s="4">
        <v>37</v>
      </c>
      <c r="AE1459" s="4">
        <v>41</v>
      </c>
      <c r="AF1459" s="4">
        <v>14</v>
      </c>
      <c r="AG1459" s="4">
        <v>16</v>
      </c>
      <c r="AH1459" s="4">
        <v>7</v>
      </c>
      <c r="AI1459" s="4">
        <v>9</v>
      </c>
      <c r="AJ1459" s="4">
        <v>21</v>
      </c>
      <c r="AK1459" s="4">
        <v>22</v>
      </c>
      <c r="AL1459" s="4">
        <v>4</v>
      </c>
      <c r="AM1459" s="4">
        <v>4</v>
      </c>
      <c r="AN1459" s="4">
        <v>0</v>
      </c>
      <c r="AO1459" s="4">
        <v>0</v>
      </c>
      <c r="AP1459" s="3" t="s">
        <v>59</v>
      </c>
      <c r="AQ1459" s="3" t="s">
        <v>59</v>
      </c>
      <c r="AR1459" s="6"/>
      <c r="AS1459" s="6" t="str">
        <f>HYPERLINK("https://creighton-primo.hosted.exlibrisgroup.com/primo-explore/search?tab=default_tab&amp;search_scope=EVERYTHING&amp;vid=01CRU&amp;lang=en_US&amp;offset=0&amp;query=any,contains,991000792539702656","Catalog Record")</f>
        <v>Catalog Record</v>
      </c>
      <c r="AT1459" s="6" t="str">
        <f>HYPERLINK("http://www.worldcat.org/oclc/953528","WorldCat Record")</f>
        <v>WorldCat Record</v>
      </c>
    </row>
  </sheetData>
  <sheetProtection sheet="1" objects="1" scenarios="1"/>
  <protectedRanges>
    <protectedRange sqref="A2:A1459" name="Range1"/>
    <protectedRange sqref="A1" name="Range1_1"/>
  </protectedRanges>
  <dataValidations count="1">
    <dataValidation type="list" allowBlank="1" showInputMessage="1" showErrorMessage="1" sqref="A2:A1459" xr:uid="{D620A7A6-FFCF-49D3-B9F1-35D057EF4D57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C50764CF-18DF-48A3-99FB-D7E884BDE883}"/>
</file>

<file path=customXml/itemProps2.xml><?xml version="1.0" encoding="utf-8"?>
<ds:datastoreItem xmlns:ds="http://schemas.openxmlformats.org/officeDocument/2006/customXml" ds:itemID="{16C6AED0-6EB5-4F0A-9C01-259C5261AB5E}"/>
</file>

<file path=customXml/itemProps3.xml><?xml version="1.0" encoding="utf-8"?>
<ds:datastoreItem xmlns:ds="http://schemas.openxmlformats.org/officeDocument/2006/customXml" ds:itemID="{D8B27371-5B81-4F31-B89F-29C5E0992F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 J</cp:lastModifiedBy>
  <dcterms:created xsi:type="dcterms:W3CDTF">2022-03-03T22:49:05Z</dcterms:created>
  <dcterms:modified xsi:type="dcterms:W3CDTF">2022-03-03T22:51:16Z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281500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