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docProps/core.xml" ContentType="application/vnd.openxmlformats-package.core-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1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138.xml" ContentType="application/vnd.ms-excel.contro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23B4CC8C-E579-4963-92D8-DE58837BE2A2}" xr6:coauthVersionLast="47" xr6:coauthVersionMax="47" xr10:uidLastSave="{00000000-0000-0000-0000-000000000000}"/>
  <bookViews>
    <workbookView xWindow="28680" yWindow="-120" windowWidth="29040" windowHeight="15840" xr2:uid="{87A01572-8166-4B51-999B-A44A36D2AD6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54" i="1" l="1"/>
  <c r="AU154" i="1"/>
  <c r="AV153" i="1"/>
  <c r="AU153" i="1"/>
  <c r="AT153" i="1"/>
  <c r="AV152" i="1"/>
  <c r="AU152" i="1"/>
  <c r="AV151" i="1"/>
  <c r="AU151" i="1"/>
  <c r="AT151" i="1"/>
  <c r="AV150" i="1"/>
  <c r="AU150" i="1"/>
  <c r="AT150" i="1"/>
  <c r="AV149" i="1"/>
  <c r="AU149" i="1"/>
  <c r="AT149" i="1"/>
  <c r="AV148" i="1"/>
  <c r="AU148" i="1"/>
  <c r="AT148" i="1"/>
  <c r="AV147" i="1"/>
  <c r="AU147" i="1"/>
  <c r="AT147" i="1"/>
  <c r="AV146" i="1"/>
  <c r="AU146" i="1"/>
  <c r="AT146" i="1"/>
  <c r="AV145" i="1"/>
  <c r="AU145" i="1"/>
  <c r="AT145" i="1"/>
  <c r="AV144" i="1"/>
  <c r="AU144" i="1"/>
  <c r="AT144" i="1"/>
  <c r="AV143" i="1"/>
  <c r="AU143" i="1"/>
  <c r="AT143" i="1"/>
  <c r="AV142" i="1"/>
  <c r="AU142" i="1"/>
  <c r="AT142" i="1"/>
  <c r="AV141" i="1"/>
  <c r="AU141" i="1"/>
  <c r="AT141" i="1"/>
  <c r="AV140" i="1"/>
  <c r="AU140" i="1"/>
  <c r="AT140" i="1"/>
  <c r="AV139" i="1"/>
  <c r="AU139" i="1"/>
  <c r="AT139" i="1"/>
  <c r="AV138" i="1"/>
  <c r="AU138" i="1"/>
  <c r="AV137" i="1"/>
  <c r="AU137" i="1"/>
  <c r="AT137" i="1"/>
  <c r="AV136" i="1"/>
  <c r="AU136" i="1"/>
  <c r="AT136" i="1"/>
  <c r="AV135" i="1"/>
  <c r="AU135" i="1"/>
  <c r="AV134" i="1"/>
  <c r="AU134" i="1"/>
  <c r="AT134" i="1"/>
  <c r="AV133" i="1"/>
  <c r="AU133" i="1"/>
  <c r="AT133" i="1"/>
  <c r="AV132" i="1"/>
  <c r="AU132" i="1"/>
  <c r="AT132" i="1"/>
  <c r="AV131" i="1"/>
  <c r="AU131" i="1"/>
  <c r="AT131" i="1"/>
  <c r="AV130" i="1"/>
  <c r="AU130" i="1"/>
  <c r="AV129" i="1"/>
  <c r="AU129" i="1"/>
  <c r="AT129" i="1"/>
  <c r="AV128" i="1"/>
  <c r="AU128" i="1"/>
  <c r="AT128" i="1"/>
  <c r="AV127" i="1"/>
  <c r="AU127" i="1"/>
  <c r="AT127" i="1"/>
  <c r="AV126" i="1"/>
  <c r="AU126" i="1"/>
  <c r="AT126" i="1"/>
  <c r="AV125" i="1"/>
  <c r="AU125" i="1"/>
  <c r="AV124" i="1"/>
  <c r="AU124" i="1"/>
  <c r="AT124" i="1"/>
  <c r="AV123" i="1"/>
  <c r="AU123" i="1"/>
  <c r="AT123" i="1"/>
  <c r="AV122" i="1"/>
  <c r="AU122" i="1"/>
  <c r="AT122" i="1"/>
  <c r="AV121" i="1"/>
  <c r="AU121" i="1"/>
  <c r="AV120" i="1"/>
  <c r="AU120" i="1"/>
  <c r="AT120" i="1"/>
  <c r="AV119" i="1"/>
  <c r="AU119" i="1"/>
  <c r="AT119" i="1"/>
  <c r="AV118" i="1"/>
  <c r="AU118" i="1"/>
  <c r="AT118" i="1"/>
  <c r="AV117" i="1"/>
  <c r="AU117" i="1"/>
  <c r="AV116" i="1"/>
  <c r="AU116" i="1"/>
  <c r="AV115" i="1"/>
  <c r="AU115" i="1"/>
  <c r="AT115" i="1"/>
  <c r="AV114" i="1"/>
  <c r="AU114" i="1"/>
  <c r="AT114" i="1"/>
  <c r="AV113" i="1"/>
  <c r="AU113" i="1"/>
  <c r="AV112" i="1"/>
  <c r="AU112" i="1"/>
  <c r="AT112" i="1"/>
  <c r="AV111" i="1"/>
  <c r="AU111" i="1"/>
  <c r="AV110" i="1"/>
  <c r="AU110" i="1"/>
  <c r="AV109" i="1"/>
  <c r="AU109" i="1"/>
  <c r="AV108" i="1"/>
  <c r="AU108" i="1"/>
  <c r="AV107" i="1"/>
  <c r="AU107" i="1"/>
  <c r="AV106" i="1"/>
  <c r="AU106" i="1"/>
  <c r="AT106" i="1"/>
  <c r="AV105" i="1"/>
  <c r="AU105" i="1"/>
  <c r="AT105" i="1"/>
  <c r="AV104" i="1"/>
  <c r="AU104" i="1"/>
  <c r="AT104" i="1"/>
  <c r="AV103" i="1"/>
  <c r="AU103" i="1"/>
  <c r="AT103" i="1"/>
  <c r="AV102" i="1"/>
  <c r="AU102" i="1"/>
  <c r="AV101" i="1"/>
  <c r="AU101" i="1"/>
  <c r="AT101" i="1"/>
  <c r="AV100" i="1"/>
  <c r="AU100" i="1"/>
  <c r="AT100" i="1"/>
  <c r="AV99" i="1"/>
  <c r="AU99" i="1"/>
  <c r="AT99" i="1"/>
  <c r="AV98" i="1"/>
  <c r="AU98" i="1"/>
  <c r="AT98" i="1"/>
  <c r="AV97" i="1"/>
  <c r="AU97" i="1"/>
  <c r="AT97" i="1"/>
  <c r="AV96" i="1"/>
  <c r="AU96" i="1"/>
  <c r="AT96" i="1"/>
  <c r="AV95" i="1"/>
  <c r="AU95" i="1"/>
  <c r="AT95" i="1"/>
  <c r="AV94" i="1"/>
  <c r="AU94" i="1"/>
  <c r="AT94" i="1"/>
  <c r="AV93" i="1"/>
  <c r="AU93" i="1"/>
  <c r="AT93" i="1"/>
  <c r="AV92" i="1"/>
  <c r="AU92" i="1"/>
  <c r="AV91" i="1"/>
  <c r="AU91" i="1"/>
  <c r="AT91" i="1"/>
  <c r="AV90" i="1"/>
  <c r="AU90" i="1"/>
  <c r="AT90" i="1"/>
  <c r="AV89" i="1"/>
  <c r="AU89" i="1"/>
  <c r="AV88" i="1"/>
  <c r="AU88" i="1"/>
  <c r="AV87" i="1"/>
  <c r="AU87" i="1"/>
  <c r="AT87" i="1"/>
  <c r="AV86" i="1"/>
  <c r="AU86" i="1"/>
  <c r="AV85" i="1"/>
  <c r="AU85" i="1"/>
  <c r="AV84" i="1"/>
  <c r="AU84" i="1"/>
  <c r="AT84" i="1"/>
  <c r="AV83" i="1"/>
  <c r="AU83" i="1"/>
  <c r="AT83" i="1"/>
  <c r="AV82" i="1"/>
  <c r="AU82" i="1"/>
  <c r="AT82" i="1"/>
  <c r="AV81" i="1"/>
  <c r="AU81" i="1"/>
  <c r="AV80" i="1"/>
  <c r="AU80" i="1"/>
  <c r="AV79" i="1"/>
  <c r="AU79" i="1"/>
  <c r="AV78" i="1"/>
  <c r="AU78" i="1"/>
  <c r="AT78" i="1"/>
  <c r="AV77" i="1"/>
  <c r="AU77" i="1"/>
  <c r="AT77" i="1"/>
  <c r="AV76" i="1"/>
  <c r="AU76" i="1"/>
  <c r="AT76" i="1"/>
  <c r="AV75" i="1"/>
  <c r="AU75" i="1"/>
  <c r="AT75" i="1"/>
  <c r="AV74" i="1"/>
  <c r="AU74" i="1"/>
  <c r="AV73" i="1"/>
  <c r="AU73" i="1"/>
  <c r="AV72" i="1"/>
  <c r="AU72" i="1"/>
  <c r="AV71" i="1"/>
  <c r="AU71" i="1"/>
  <c r="AT71" i="1"/>
  <c r="AV70" i="1"/>
  <c r="AU70" i="1"/>
  <c r="AT70" i="1"/>
  <c r="AV69" i="1"/>
  <c r="AU69" i="1"/>
  <c r="AT69" i="1"/>
  <c r="AV68" i="1"/>
  <c r="AU68" i="1"/>
  <c r="AT68" i="1"/>
  <c r="AV67" i="1"/>
  <c r="AU67" i="1"/>
  <c r="AT67" i="1"/>
  <c r="AV66" i="1"/>
  <c r="AU66" i="1"/>
  <c r="AT66" i="1"/>
  <c r="AV65" i="1"/>
  <c r="AU65" i="1"/>
  <c r="AV64" i="1"/>
  <c r="AU64" i="1"/>
  <c r="AT64" i="1"/>
  <c r="AV63" i="1"/>
  <c r="AU63" i="1"/>
  <c r="AT63" i="1"/>
  <c r="AV62" i="1"/>
  <c r="AU62" i="1"/>
  <c r="AT62" i="1"/>
  <c r="AV61" i="1"/>
  <c r="AU61" i="1"/>
  <c r="AV60" i="1"/>
  <c r="AU60" i="1"/>
  <c r="AV59" i="1"/>
  <c r="AU59" i="1"/>
  <c r="AT59" i="1"/>
  <c r="AV58" i="1"/>
  <c r="AU58" i="1"/>
  <c r="AV57" i="1"/>
  <c r="AU57" i="1"/>
  <c r="AT57" i="1"/>
  <c r="AV56" i="1"/>
  <c r="AU56" i="1"/>
  <c r="AT56" i="1"/>
  <c r="AV55" i="1"/>
  <c r="AU55" i="1"/>
  <c r="AT55" i="1"/>
  <c r="AV54" i="1"/>
  <c r="AU54" i="1"/>
  <c r="AV53" i="1"/>
  <c r="AU53" i="1"/>
  <c r="AT53" i="1"/>
  <c r="AV52" i="1"/>
  <c r="AU52" i="1"/>
  <c r="AV51" i="1"/>
  <c r="AU51" i="1"/>
  <c r="AT51" i="1"/>
  <c r="AV50" i="1"/>
  <c r="AU50" i="1"/>
  <c r="AV49" i="1"/>
  <c r="AU49" i="1"/>
  <c r="AV48" i="1"/>
  <c r="AU48" i="1"/>
  <c r="AT48" i="1"/>
  <c r="AV47" i="1"/>
  <c r="AU47" i="1"/>
  <c r="AT47" i="1"/>
  <c r="AV46" i="1"/>
  <c r="AU46" i="1"/>
  <c r="AT46" i="1"/>
  <c r="AV45" i="1"/>
  <c r="AU45" i="1"/>
  <c r="AT45" i="1"/>
  <c r="AV44" i="1"/>
  <c r="AU44" i="1"/>
  <c r="AT44" i="1"/>
  <c r="AV43" i="1"/>
  <c r="AU43" i="1"/>
  <c r="AT43" i="1"/>
  <c r="AV42" i="1"/>
  <c r="AU42" i="1"/>
  <c r="AT42" i="1"/>
  <c r="AV41" i="1"/>
  <c r="AU41" i="1"/>
  <c r="AV40" i="1"/>
  <c r="AU40" i="1"/>
  <c r="AT40" i="1"/>
  <c r="AV39" i="1"/>
  <c r="AU39" i="1"/>
  <c r="AV38" i="1"/>
  <c r="AU38" i="1"/>
  <c r="AT38" i="1"/>
  <c r="AV37" i="1"/>
  <c r="AU37" i="1"/>
  <c r="AT37" i="1"/>
  <c r="AV36" i="1"/>
  <c r="AU36" i="1"/>
  <c r="AV35" i="1"/>
  <c r="AU35" i="1"/>
  <c r="AT35" i="1"/>
  <c r="AV34" i="1"/>
  <c r="AU34" i="1"/>
  <c r="AT34" i="1"/>
  <c r="AV33" i="1"/>
  <c r="AU33" i="1"/>
  <c r="AV32" i="1"/>
  <c r="AU32" i="1"/>
  <c r="AT32" i="1"/>
  <c r="AV31" i="1"/>
  <c r="AU31" i="1"/>
  <c r="AT31" i="1"/>
  <c r="AV30" i="1"/>
  <c r="AU30" i="1"/>
  <c r="AT30" i="1"/>
  <c r="AV29" i="1"/>
  <c r="AU29" i="1"/>
  <c r="AV28" i="1"/>
  <c r="AU28" i="1"/>
  <c r="AV27" i="1"/>
  <c r="AU27" i="1"/>
  <c r="AT27" i="1"/>
  <c r="AV26" i="1"/>
  <c r="AU26" i="1"/>
  <c r="AT26" i="1"/>
  <c r="AV25" i="1"/>
  <c r="AU25" i="1"/>
  <c r="AV24" i="1"/>
  <c r="AU24" i="1"/>
  <c r="AV23" i="1"/>
  <c r="AU23" i="1"/>
  <c r="AV22" i="1"/>
  <c r="AU22" i="1"/>
  <c r="AV21" i="1"/>
  <c r="AU21" i="1"/>
  <c r="AV20" i="1"/>
  <c r="AU20" i="1"/>
  <c r="AT20" i="1"/>
  <c r="AV19" i="1"/>
  <c r="AU19" i="1"/>
  <c r="AT19" i="1"/>
  <c r="AV18" i="1"/>
  <c r="AU18" i="1"/>
  <c r="AT18" i="1"/>
  <c r="AV17" i="1"/>
  <c r="AU17" i="1"/>
  <c r="AT17" i="1"/>
  <c r="AV16" i="1"/>
  <c r="AU16" i="1"/>
  <c r="AT16" i="1"/>
  <c r="AV15" i="1"/>
  <c r="AU15" i="1"/>
  <c r="AT15" i="1"/>
  <c r="AV14" i="1"/>
  <c r="AU14" i="1"/>
  <c r="AV13" i="1"/>
  <c r="AU13" i="1"/>
  <c r="AT13" i="1"/>
  <c r="AV12" i="1"/>
  <c r="AU12" i="1"/>
  <c r="AV11" i="1"/>
  <c r="AU11" i="1"/>
  <c r="AT11" i="1"/>
  <c r="AV10" i="1"/>
  <c r="AU10" i="1"/>
  <c r="AV9" i="1"/>
  <c r="AU9" i="1"/>
  <c r="AV8" i="1"/>
  <c r="AU8" i="1"/>
  <c r="AV7" i="1"/>
  <c r="AU7" i="1"/>
  <c r="AT7" i="1"/>
  <c r="AV6" i="1"/>
  <c r="AU6" i="1"/>
  <c r="AV5" i="1"/>
  <c r="AU5" i="1"/>
  <c r="AT5" i="1"/>
  <c r="AV4" i="1"/>
  <c r="AU4" i="1"/>
  <c r="AT4" i="1"/>
  <c r="AV3" i="1"/>
  <c r="AU3" i="1"/>
  <c r="AT3" i="1"/>
  <c r="AV2" i="1"/>
  <c r="AU2" i="1"/>
  <c r="AT2" i="1"/>
</calcChain>
</file>

<file path=xl/sharedStrings.xml><?xml version="1.0" encoding="utf-8"?>
<sst xmlns="http://schemas.openxmlformats.org/spreadsheetml/2006/main" count="4793" uniqueCount="2156">
  <si>
    <t>Keep in Collection?</t>
  </si>
  <si>
    <t>Collection Code</t>
  </si>
  <si>
    <t>Location Code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</si>
  <si>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</si>
  <si>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</si>
  <si>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</si>
  <si>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</si>
  <si>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</si>
  <si>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</si>
  <si>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</si>
  <si>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</si>
  <si>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</si>
  <si>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</si>
  <si>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</si>
  <si>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</si>
  <si>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</si>
  <si>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</si>
  <si>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</si>
  <si>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</si>
  <si>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</si>
  <si>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</si>
  <si>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</si>
  <si>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</si>
  <si>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</si>
  <si>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</si>
  <si>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</si>
  <si>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</si>
  <si>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</si>
  <si>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 xml:space="preserve">US Holdings 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</si>
  <si>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</si>
  <si>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</si>
  <si>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</si>
  <si>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</si>
  <si>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</si>
  <si>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</si>
  <si>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</si>
  <si>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</si>
  <si>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</si>
  <si>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</si>
  <si>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</si>
  <si>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</si>
  <si>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</si>
  <si>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</si>
  <si>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</si>
  <si>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</si>
  <si>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</si>
  <si>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</si>
  <si>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</si>
  <si>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</si>
  <si>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</si>
  <si>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</si>
  <si>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</si>
  <si>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</si>
  <si>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</si>
  <si>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</si>
  <si>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</si>
  <si>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</si>
  <si>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</si>
  <si>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CUHSL</t>
  </si>
  <si>
    <t>SHELVES</t>
  </si>
  <si>
    <t>BF 1078 B715c 1962</t>
  </si>
  <si>
    <t>0                      BF 1078000B  715c        1962</t>
  </si>
  <si>
    <t>The clinical use of dreams / foreword by Montague Ullman.</t>
  </si>
  <si>
    <t>No</t>
  </si>
  <si>
    <t>1</t>
  </si>
  <si>
    <t>0</t>
  </si>
  <si>
    <t>Bonime, Walter, 1909-2001.</t>
  </si>
  <si>
    <t>New York : Basic Books, [1962]</t>
  </si>
  <si>
    <t>1962</t>
  </si>
  <si>
    <t>eng</t>
  </si>
  <si>
    <t>nyu</t>
  </si>
  <si>
    <t xml:space="preserve">BF </t>
  </si>
  <si>
    <t>1997-07-23</t>
  </si>
  <si>
    <t>1987-09-03</t>
  </si>
  <si>
    <t>422927483:eng</t>
  </si>
  <si>
    <t>993839</t>
  </si>
  <si>
    <t>991000791689702656</t>
  </si>
  <si>
    <t>2256173930002656</t>
  </si>
  <si>
    <t>BOOK</t>
  </si>
  <si>
    <t>30001000067936</t>
  </si>
  <si>
    <t>893161171</t>
  </si>
  <si>
    <t>BF 109.A1 Z96n 1984</t>
  </si>
  <si>
    <t>0                      BF 0109000A  1                  Z  96n         1984</t>
  </si>
  <si>
    <t>Biographical dictionary of psychology / Leonard Zusne.</t>
  </si>
  <si>
    <t>Yes</t>
  </si>
  <si>
    <t>Zusne, Leonard, 1924-2003.</t>
  </si>
  <si>
    <t>Westport, Conn. : Greenwood Press, c1984.</t>
  </si>
  <si>
    <t>1984</t>
  </si>
  <si>
    <t>xxu</t>
  </si>
  <si>
    <t>2002-09-05</t>
  </si>
  <si>
    <t>1987-08-28</t>
  </si>
  <si>
    <t>157734593:eng</t>
  </si>
  <si>
    <t>9853504</t>
  </si>
  <si>
    <t>991001140279702656</t>
  </si>
  <si>
    <t>2260960280002656</t>
  </si>
  <si>
    <t>9780313240270</t>
  </si>
  <si>
    <t>30001000289654</t>
  </si>
  <si>
    <t>893632752</t>
  </si>
  <si>
    <t>BF 1166 C567s 1956</t>
  </si>
  <si>
    <t>0                      BF 1166000C  567s        1956</t>
  </si>
  <si>
    <t>Ciba Foundation symposium on extrasensory perception / editors for the Ciba Foundation: G. E. W. Wolstenholme and Elaine C. P. Millar.</t>
  </si>
  <si>
    <t>Ciba Foundation.</t>
  </si>
  <si>
    <t>Boston : Little, Brown, 1956.</t>
  </si>
  <si>
    <t>1956</t>
  </si>
  <si>
    <t xml:space="preserve">xx </t>
  </si>
  <si>
    <t>1991-11-25</t>
  </si>
  <si>
    <t>4451769705:eng</t>
  </si>
  <si>
    <t>565554</t>
  </si>
  <si>
    <t>991000791489702656</t>
  </si>
  <si>
    <t>2258970650002656</t>
  </si>
  <si>
    <t>30001000067860</t>
  </si>
  <si>
    <t>893373737</t>
  </si>
  <si>
    <t>BF 1171 E33t 1948</t>
  </si>
  <si>
    <t>0                      BF 1171000E  33t         1948</t>
  </si>
  <si>
    <t>Telepathy and medical psychology.</t>
  </si>
  <si>
    <t>Ehrenwald, Jan, 1900-1988.</t>
  </si>
  <si>
    <t>New York : Norton, 1948.</t>
  </si>
  <si>
    <t>1948</t>
  </si>
  <si>
    <t>[1st American ed.]</t>
  </si>
  <si>
    <t>213611900:eng</t>
  </si>
  <si>
    <t>1701629</t>
  </si>
  <si>
    <t>991000791549702656</t>
  </si>
  <si>
    <t>2269938980002656</t>
  </si>
  <si>
    <t>30001000067845</t>
  </si>
  <si>
    <t>893735769</t>
  </si>
  <si>
    <t>BF 121 C737 1994</t>
  </si>
  <si>
    <t>0                      BF 0121000C  737         1994</t>
  </si>
  <si>
    <t>Companion encyclopedia of psychology / edited by Andrew M. Colman.</t>
  </si>
  <si>
    <t>London : Routledge, c1994.</t>
  </si>
  <si>
    <t>1994</t>
  </si>
  <si>
    <t>enk</t>
  </si>
  <si>
    <t>1994-07-13</t>
  </si>
  <si>
    <t>55790140:eng</t>
  </si>
  <si>
    <t>29703951</t>
  </si>
  <si>
    <t>991000671639702656</t>
  </si>
  <si>
    <t>2259827410002656</t>
  </si>
  <si>
    <t>9780415064460</t>
  </si>
  <si>
    <t>30001002696088</t>
  </si>
  <si>
    <t>893283405</t>
  </si>
  <si>
    <t>BF 121 H918 1994</t>
  </si>
  <si>
    <t>0                      BF 0121000H  918         1994</t>
  </si>
  <si>
    <t>Human behavior : an introduction for medical students / edited by Alan Stoudemire ; 27 contributors.</t>
  </si>
  <si>
    <t>Philadelphia : J.B. Lippincott, c1994.</t>
  </si>
  <si>
    <t>2nd ed.</t>
  </si>
  <si>
    <t>pau</t>
  </si>
  <si>
    <t>2006-01-03</t>
  </si>
  <si>
    <t>1995-08-14</t>
  </si>
  <si>
    <t>4883878041:eng</t>
  </si>
  <si>
    <t>28802043</t>
  </si>
  <si>
    <t>991001403979702656</t>
  </si>
  <si>
    <t>2257432360002656</t>
  </si>
  <si>
    <t>9780397513376</t>
  </si>
  <si>
    <t>30001003149368</t>
  </si>
  <si>
    <t>893638290</t>
  </si>
  <si>
    <t>BF 121 H918 1998</t>
  </si>
  <si>
    <t>0                      BF 0121000H  918         1998</t>
  </si>
  <si>
    <t>Human behavior : an introduction for medical students / edited by Alan Stoudemire.</t>
  </si>
  <si>
    <t>Philadelphia, PA: Lippincott-Raven, c1998.</t>
  </si>
  <si>
    <t>1998</t>
  </si>
  <si>
    <t>3rd ed.</t>
  </si>
  <si>
    <t>2007-12-12</t>
  </si>
  <si>
    <t>1999-01-19</t>
  </si>
  <si>
    <t>836749144:eng</t>
  </si>
  <si>
    <t>38311553</t>
  </si>
  <si>
    <t>991001531079702656</t>
  </si>
  <si>
    <t>2271056280002656</t>
  </si>
  <si>
    <t>9780397584611</t>
  </si>
  <si>
    <t>30001003961499</t>
  </si>
  <si>
    <t>893121610</t>
  </si>
  <si>
    <t>BF 121 L183p 1992</t>
  </si>
  <si>
    <t>0                      BF 0121000L  183p        1992</t>
  </si>
  <si>
    <t>Psychology : an introduction / Benjamin B. Lahey.</t>
  </si>
  <si>
    <t>Lahey, Benjamin B.</t>
  </si>
  <si>
    <t>Dubuque, Iowa : Wm. C. Brown Publishers, c1992.</t>
  </si>
  <si>
    <t>1992</t>
  </si>
  <si>
    <t>4th ed.</t>
  </si>
  <si>
    <t>iau</t>
  </si>
  <si>
    <t>2005-02-27</t>
  </si>
  <si>
    <t>1992-08-31</t>
  </si>
  <si>
    <t>4536108006:eng</t>
  </si>
  <si>
    <t>25130935</t>
  </si>
  <si>
    <t>991001341829702656</t>
  </si>
  <si>
    <t>2263063480002656</t>
  </si>
  <si>
    <t>9780697105257</t>
  </si>
  <si>
    <t>30001002456053</t>
  </si>
  <si>
    <t>893741051</t>
  </si>
  <si>
    <t>BF 121 L188p 1992</t>
  </si>
  <si>
    <t>0                      BF 0121000L  188p        1992</t>
  </si>
  <si>
    <t>Psychology / James D. Laird, Nicholas S. Thompson.</t>
  </si>
  <si>
    <t>Laird, James D.</t>
  </si>
  <si>
    <t>Boston : Houghton Mifflin, c1992.</t>
  </si>
  <si>
    <t>mau</t>
  </si>
  <si>
    <t>1999-03-21</t>
  </si>
  <si>
    <t>1363433333:eng</t>
  </si>
  <si>
    <t>25412128</t>
  </si>
  <si>
    <t>991001341609702656</t>
  </si>
  <si>
    <t>2256788220002656</t>
  </si>
  <si>
    <t>9780395470909</t>
  </si>
  <si>
    <t>30001002455972</t>
  </si>
  <si>
    <t>893546588</t>
  </si>
  <si>
    <t>BF 121 M134u 1992</t>
  </si>
  <si>
    <t>0                      BF 0121000M  134u        1992</t>
  </si>
  <si>
    <t>Understanding human behavior / James V. McConnell, Ronald P. Philipchalk.</t>
  </si>
  <si>
    <t>McConnell, James V.</t>
  </si>
  <si>
    <t>Fort Worth : Harcourt Brace Jovanovich College Publishers, c1992.</t>
  </si>
  <si>
    <t>7th ed.</t>
  </si>
  <si>
    <t>txu</t>
  </si>
  <si>
    <t>1998-07-16</t>
  </si>
  <si>
    <t>4417311784:eng</t>
  </si>
  <si>
    <t>24009629</t>
  </si>
  <si>
    <t>991001341689702656</t>
  </si>
  <si>
    <t>2261906800002656</t>
  </si>
  <si>
    <t>9780030557477</t>
  </si>
  <si>
    <t>30001002455998</t>
  </si>
  <si>
    <t>893826665</t>
  </si>
  <si>
    <t>BF 173 E68w 1987</t>
  </si>
  <si>
    <t>0                      BF 0173000E  68w         1987</t>
  </si>
  <si>
    <t>A way of looking at things : selected papers from 1930-1980 / Erik H. Erikson ; edited by Stephen Schlein.</t>
  </si>
  <si>
    <t>Erikson, Erik H. (Erik Homburger), 1902-1994.</t>
  </si>
  <si>
    <t>New York : Norton, c1987.</t>
  </si>
  <si>
    <t>1987</t>
  </si>
  <si>
    <t>1st ed.</t>
  </si>
  <si>
    <t>1992-10-09</t>
  </si>
  <si>
    <t>1987-11-17</t>
  </si>
  <si>
    <t>367900805:eng</t>
  </si>
  <si>
    <t>13524548</t>
  </si>
  <si>
    <t>991001531539702656</t>
  </si>
  <si>
    <t>2264198760002656</t>
  </si>
  <si>
    <t>9780393022674</t>
  </si>
  <si>
    <t>30001000621609</t>
  </si>
  <si>
    <t>893460687</t>
  </si>
  <si>
    <t>BF 176 G881h 1984</t>
  </si>
  <si>
    <t>0                      BF 0176000G  881h        1984</t>
  </si>
  <si>
    <t>Handbook of psychological assessment / Gary Groth-Marnat.</t>
  </si>
  <si>
    <t>Groth-Marnat, Gary.</t>
  </si>
  <si>
    <t>New York, N.Y. : Van Nostrand Reinhold, c1984.</t>
  </si>
  <si>
    <t>2008-01-06</t>
  </si>
  <si>
    <t>3170159:eng</t>
  </si>
  <si>
    <t>10072396</t>
  </si>
  <si>
    <t>991000787039702656</t>
  </si>
  <si>
    <t>2264988310002656</t>
  </si>
  <si>
    <t>9780442229276</t>
  </si>
  <si>
    <t>30001000066011</t>
  </si>
  <si>
    <t>893368557</t>
  </si>
  <si>
    <t>BF 311 G815g 1997</t>
  </si>
  <si>
    <t>0                      BF 0311000G  815g        1997</t>
  </si>
  <si>
    <t>The growth of the mind : and the endangered origins of intelligence / Stanley I. Greenspan with Beryl Lieff Benderly.</t>
  </si>
  <si>
    <t>Greenspan, Stanley I.</t>
  </si>
  <si>
    <t>Reading, Mass. : Perseus Books, c1997.</t>
  </si>
  <si>
    <t>2007-08-31</t>
  </si>
  <si>
    <t>1999-08-18</t>
  </si>
  <si>
    <t>25803726:eng</t>
  </si>
  <si>
    <t>40334501</t>
  </si>
  <si>
    <t>991001565499702656</t>
  </si>
  <si>
    <t>2255912380002656</t>
  </si>
  <si>
    <t>9780738200262</t>
  </si>
  <si>
    <t>30001004012292</t>
  </si>
  <si>
    <t>893284912</t>
  </si>
  <si>
    <t>BF 311 R989a 1986</t>
  </si>
  <si>
    <t>0                      BF 0311000R  989a        1986</t>
  </si>
  <si>
    <t>Adult cognition and aging : developmental changes in processing, thinking, and knowing / John M. Rybash, William J. Hoyer, Paul A. Roodin.</t>
  </si>
  <si>
    <t>Rybash, John M.</t>
  </si>
  <si>
    <t>New York : Pergamon Press, c1986.</t>
  </si>
  <si>
    <t>1986</t>
  </si>
  <si>
    <t>Pergamon general psychology series ; 139</t>
  </si>
  <si>
    <t>2000-03-15</t>
  </si>
  <si>
    <t>291265118:eng</t>
  </si>
  <si>
    <t>13524925</t>
  </si>
  <si>
    <t>991000787229702656</t>
  </si>
  <si>
    <t>2263584210002656</t>
  </si>
  <si>
    <t>9780080331669</t>
  </si>
  <si>
    <t>30001000066052</t>
  </si>
  <si>
    <t>893831251</t>
  </si>
  <si>
    <t>BF 335 C748c 1969</t>
  </si>
  <si>
    <t>0                      BF 0335000C  748c        1969</t>
  </si>
  <si>
    <t>Coping and adaptation / edited by George V. Coelho, David A. Hamburg, John E. Adams.</t>
  </si>
  <si>
    <t>New York : Basic Books, c1974.</t>
  </si>
  <si>
    <t>1974</t>
  </si>
  <si>
    <t>1994-09-09</t>
  </si>
  <si>
    <t>1987-08-14</t>
  </si>
  <si>
    <t>10200720463:eng</t>
  </si>
  <si>
    <t>1098728</t>
  </si>
  <si>
    <t>991000695719702656</t>
  </si>
  <si>
    <t>2267402500002656</t>
  </si>
  <si>
    <t>9780465014279</t>
  </si>
  <si>
    <t>30001000035065</t>
  </si>
  <si>
    <t>893459711</t>
  </si>
  <si>
    <t>BF 335 C7828 1987</t>
  </si>
  <si>
    <t>0                      BF 0335000C  7828        1987</t>
  </si>
  <si>
    <t>Coping with negative life events : clinical and social psychological perspectives / edited by C.R. Snyder and Carol E. Ford.</t>
  </si>
  <si>
    <t>New York : Plenum Press, c1987.</t>
  </si>
  <si>
    <t>The Plenum series on stress and coping.</t>
  </si>
  <si>
    <t>1997-09-23</t>
  </si>
  <si>
    <t>1987-10-28</t>
  </si>
  <si>
    <t>836713476:eng</t>
  </si>
  <si>
    <t>15317472</t>
  </si>
  <si>
    <t>991001529209702656</t>
  </si>
  <si>
    <t>2266307640002656</t>
  </si>
  <si>
    <t>9780306424328</t>
  </si>
  <si>
    <t>30001000620973</t>
  </si>
  <si>
    <t>893374689</t>
  </si>
  <si>
    <t>BF 371 E93 1984</t>
  </si>
  <si>
    <t>0                      BF 0371000E  93          1984</t>
  </si>
  <si>
    <t>Everyday memory : actions and absent-mindedness / edited by J.E. Harris, P.E. Morris.</t>
  </si>
  <si>
    <t>London ; Orlando : Academic Press, c1984.</t>
  </si>
  <si>
    <t>1993-03-03</t>
  </si>
  <si>
    <t>836713549:eng</t>
  </si>
  <si>
    <t>12081159</t>
  </si>
  <si>
    <t>991000787429702656</t>
  </si>
  <si>
    <t>2264526860002656</t>
  </si>
  <si>
    <t>9780123276407</t>
  </si>
  <si>
    <t>30001000066110</t>
  </si>
  <si>
    <t>893373734</t>
  </si>
  <si>
    <t>BF 371 P895 1987</t>
  </si>
  <si>
    <t>0                      BF 0371000P  895         1987</t>
  </si>
  <si>
    <t>Practical aspects of memory : current research and issues / edited by M.M. Gruneberg, P.E. Morris, R.N. Sykes.</t>
  </si>
  <si>
    <t>V. 1</t>
  </si>
  <si>
    <t>New York : Wiley, c1988.</t>
  </si>
  <si>
    <t>1988</t>
  </si>
  <si>
    <t>2010-06-02</t>
  </si>
  <si>
    <t>1989-02-24</t>
  </si>
  <si>
    <t>3855615640:eng</t>
  </si>
  <si>
    <t>17300366</t>
  </si>
  <si>
    <t>991001240389702656</t>
  </si>
  <si>
    <t>2269592560002656</t>
  </si>
  <si>
    <t>9780471912347</t>
  </si>
  <si>
    <t>30001001675455</t>
  </si>
  <si>
    <t>893560930</t>
  </si>
  <si>
    <t>V. 2</t>
  </si>
  <si>
    <t>1994-04-13</t>
  </si>
  <si>
    <t>30001001675497</t>
  </si>
  <si>
    <t>893546478</t>
  </si>
  <si>
    <t>BF 378.S54 N532 2008</t>
  </si>
  <si>
    <t>0                      BF 0378000S  54                 N  532         2008</t>
  </si>
  <si>
    <t>New research on short-term memory / Noah B. Johansen, editor.</t>
  </si>
  <si>
    <t>New York : Nova Biomedical Books, c2008.</t>
  </si>
  <si>
    <t>2008</t>
  </si>
  <si>
    <t>2009-05-21</t>
  </si>
  <si>
    <t>131420647:eng</t>
  </si>
  <si>
    <t>213466507</t>
  </si>
  <si>
    <t>991001462449702656</t>
  </si>
  <si>
    <t>2272389700002656</t>
  </si>
  <si>
    <t>9781604565485</t>
  </si>
  <si>
    <t>30001004916153</t>
  </si>
  <si>
    <t>893816440</t>
  </si>
  <si>
    <t>BF 39 H859s 1997</t>
  </si>
  <si>
    <t>0                      BF 0039000H  859s        1997</t>
  </si>
  <si>
    <t>Statistical methods for psychology / David C. Howell.</t>
  </si>
  <si>
    <t>Howell, David C.</t>
  </si>
  <si>
    <t>Belmont, CA : Duxbury Press, c1997.</t>
  </si>
  <si>
    <t>1997</t>
  </si>
  <si>
    <t>cau</t>
  </si>
  <si>
    <t>2001-03-23</t>
  </si>
  <si>
    <t>1999-12-17</t>
  </si>
  <si>
    <t>639886:eng</t>
  </si>
  <si>
    <t>36103660</t>
  </si>
  <si>
    <t>991001411259702656</t>
  </si>
  <si>
    <t>2263264220002656</t>
  </si>
  <si>
    <t>9780534519933</t>
  </si>
  <si>
    <t>30001003831734</t>
  </si>
  <si>
    <t>893279079</t>
  </si>
  <si>
    <t>BF 408 D287¿ 1971</t>
  </si>
  <si>
    <t>0                      BF 0408000                                                           D287¿ 1971</t>
  </si>
  <si>
    <t>Lateral thinking for management : a handbook of creativity / Edward de Bono.</t>
  </si>
  <si>
    <t>De Bono, Edward, 1933-</t>
  </si>
  <si>
    <t>-- New York : American Management Association, c1971.</t>
  </si>
  <si>
    <t>1971</t>
  </si>
  <si>
    <t>1988-10-19</t>
  </si>
  <si>
    <t>1987-12-29</t>
  </si>
  <si>
    <t>4202539714:eng</t>
  </si>
  <si>
    <t>320754</t>
  </si>
  <si>
    <t>991000787469702656</t>
  </si>
  <si>
    <t>2255853930002656</t>
  </si>
  <si>
    <t>30001000066144</t>
  </si>
  <si>
    <t>893825687</t>
  </si>
  <si>
    <t>BF 431 A291A 1987</t>
  </si>
  <si>
    <t>0                      BF 0431000A  291A        1987</t>
  </si>
  <si>
    <t>Assessment of intellectual functioning / Lewis R. Aiken.</t>
  </si>
  <si>
    <t>Aiken, Lewis R., 1931-</t>
  </si>
  <si>
    <t>Boston : Allyn and Bacon, c1987.</t>
  </si>
  <si>
    <t>1995-03-26</t>
  </si>
  <si>
    <t>1988-01-05</t>
  </si>
  <si>
    <t>7091806:eng</t>
  </si>
  <si>
    <t>13665976</t>
  </si>
  <si>
    <t>991001536169702656</t>
  </si>
  <si>
    <t>2255832130002656</t>
  </si>
  <si>
    <t>9780205088577</t>
  </si>
  <si>
    <t>30001000623035</t>
  </si>
  <si>
    <t>893274246</t>
  </si>
  <si>
    <t>BF 431 F199I 1985</t>
  </si>
  <si>
    <t>0                      BF 0431000F  199I        1985</t>
  </si>
  <si>
    <t>The intelligence men : makers of the I.Q. controversy / Raymond E. Fancher.</t>
  </si>
  <si>
    <t>Fancher, Raymond E.</t>
  </si>
  <si>
    <t>New York : Norton, c1985.</t>
  </si>
  <si>
    <t>1985</t>
  </si>
  <si>
    <t>1999-09-26</t>
  </si>
  <si>
    <t>900689:eng</t>
  </si>
  <si>
    <t>11467960</t>
  </si>
  <si>
    <t>991000787549702656</t>
  </si>
  <si>
    <t>2265409930002656</t>
  </si>
  <si>
    <t>9780393019827</t>
  </si>
  <si>
    <t>30001000066169</t>
  </si>
  <si>
    <t>893464701</t>
  </si>
  <si>
    <t>BF 431 T319m 1916</t>
  </si>
  <si>
    <t>0                      BF 0431000T  319m        1916</t>
  </si>
  <si>
    <t>The measurement of intelligence; an explanation of and a complete guide for the use of the Stanford Revision and Extension of the Binet-Simon Intelligence Scale / by Lewis M. Terman.</t>
  </si>
  <si>
    <t>Terman, Lewis M.</t>
  </si>
  <si>
    <t>Boston : Houghton Mifflin, c1916.</t>
  </si>
  <si>
    <t>1916</t>
  </si>
  <si>
    <t>1996-02-19</t>
  </si>
  <si>
    <t>1989-06-09</t>
  </si>
  <si>
    <t>116911421:eng</t>
  </si>
  <si>
    <t>186102</t>
  </si>
  <si>
    <t>991000787599702656</t>
  </si>
  <si>
    <t>2270445290002656</t>
  </si>
  <si>
    <t>30001000066201</t>
  </si>
  <si>
    <t>893283764</t>
  </si>
  <si>
    <t>BF 432.A1 R118 1975</t>
  </si>
  <si>
    <t>0                      BF 0432000A  1                  R  118         1975</t>
  </si>
  <si>
    <t>Race and IQ / edited by Ashley Montagu.</t>
  </si>
  <si>
    <t>New York : Oxford University Press, 1975.</t>
  </si>
  <si>
    <t>1975</t>
  </si>
  <si>
    <t>364236443:eng</t>
  </si>
  <si>
    <t>1302009</t>
  </si>
  <si>
    <t>991000787639702656</t>
  </si>
  <si>
    <t>2266928460002656</t>
  </si>
  <si>
    <t>9780195018844</t>
  </si>
  <si>
    <t>30001000066227</t>
  </si>
  <si>
    <t>893834327</t>
  </si>
  <si>
    <t>BF 441 E21c 2008</t>
  </si>
  <si>
    <t>0                      BF 0441000E  21c         2008</t>
  </si>
  <si>
    <t>Computing the mind : how the mind really works / Shimon Edelman.</t>
  </si>
  <si>
    <t>Edelman, Shimon.</t>
  </si>
  <si>
    <t>Oxford ; New York : Oxford University Press, c2008.</t>
  </si>
  <si>
    <t>2009-08-18</t>
  </si>
  <si>
    <t>2009-06-29</t>
  </si>
  <si>
    <t>815041139:eng</t>
  </si>
  <si>
    <t>214064378</t>
  </si>
  <si>
    <t>991001474439702656</t>
  </si>
  <si>
    <t>2269836130002656</t>
  </si>
  <si>
    <t>9780195320671</t>
  </si>
  <si>
    <t>30001004918035</t>
  </si>
  <si>
    <t>893279137</t>
  </si>
  <si>
    <t>BF 441 K77u 1991</t>
  </si>
  <si>
    <t>0                      BF 0441000K  77u         1991</t>
  </si>
  <si>
    <t>The universal traveler : a soft-systems guide to creativity, problem-solving &amp; process of reaching goals / by Don Koberg &amp; Jim Bagnall.</t>
  </si>
  <si>
    <t>Koberg, Don, 1930-</t>
  </si>
  <si>
    <t>Los Altos, Calif. : Crisp Publications, c1991.</t>
  </si>
  <si>
    <t>1991</t>
  </si>
  <si>
    <t>New horizons ed.</t>
  </si>
  <si>
    <t>2000-02-16</t>
  </si>
  <si>
    <t>1997-01-22</t>
  </si>
  <si>
    <t>2070203157:eng</t>
  </si>
  <si>
    <t>23768683</t>
  </si>
  <si>
    <t>991001552399702656</t>
  </si>
  <si>
    <t>2269725460002656</t>
  </si>
  <si>
    <t>9781560520450</t>
  </si>
  <si>
    <t>30001003474287</t>
  </si>
  <si>
    <t>893121624</t>
  </si>
  <si>
    <t>BF 449 F664s 1995</t>
  </si>
  <si>
    <t>0                      BF 0449000F  664s        1995</t>
  </si>
  <si>
    <t>Strategies for creative problem solving / H. Scott Fogler, Steven E. LeBlanc.</t>
  </si>
  <si>
    <t>Fogler, H. Scott.</t>
  </si>
  <si>
    <t>Upper Saddle River, N.J. : PTR Prentice Hall, c1995.</t>
  </si>
  <si>
    <t>1995</t>
  </si>
  <si>
    <t>nju</t>
  </si>
  <si>
    <t>2004-04-29</t>
  </si>
  <si>
    <t>1998-02-25</t>
  </si>
  <si>
    <t>1060303:eng</t>
  </si>
  <si>
    <t>30701913</t>
  </si>
  <si>
    <t>991001296269702656</t>
  </si>
  <si>
    <t>2261879090002656</t>
  </si>
  <si>
    <t>9780131793187</t>
  </si>
  <si>
    <t>30001003744127</t>
  </si>
  <si>
    <t>893273999</t>
  </si>
  <si>
    <t>BF 511 A256 1979</t>
  </si>
  <si>
    <t>0                      BF 0511000A  256         1979</t>
  </si>
  <si>
    <t>Affect--psychoanalytic theory and practice / edited by Morton B. Cantor and Myron L. Glucksman.</t>
  </si>
  <si>
    <t>New York : Wiley, c1983.</t>
  </si>
  <si>
    <t>1983</t>
  </si>
  <si>
    <t>Wiley-Interscience publication</t>
  </si>
  <si>
    <t>1998-05-29</t>
  </si>
  <si>
    <t>836625915:eng</t>
  </si>
  <si>
    <t>9762422</t>
  </si>
  <si>
    <t>991000787789702656</t>
  </si>
  <si>
    <t>2262481110002656</t>
  </si>
  <si>
    <t>9780471880714</t>
  </si>
  <si>
    <t>30001000066383</t>
  </si>
  <si>
    <t>893545984</t>
  </si>
  <si>
    <t>BF 511 S989e 1960</t>
  </si>
  <si>
    <t>0                      BF 0511000S  989e        1960</t>
  </si>
  <si>
    <t>Expression of the emotions in man : [symposium held at the meeting of the American Association for the Advancement of Science in New York on December 29-30, 1960] / Edited by Peter H. Knapp.</t>
  </si>
  <si>
    <t>Symposium on Expression of the Emotions in Man (1960 : New York, N.Y.)</t>
  </si>
  <si>
    <t>New York : International Universities Press, c1963.</t>
  </si>
  <si>
    <t>1963</t>
  </si>
  <si>
    <t>1988-02-29</t>
  </si>
  <si>
    <t>366188912:eng</t>
  </si>
  <si>
    <t>14612826</t>
  </si>
  <si>
    <t>991000787909702656</t>
  </si>
  <si>
    <t>2255782560002656</t>
  </si>
  <si>
    <t>30001000066409</t>
  </si>
  <si>
    <t>893743409</t>
  </si>
  <si>
    <t>BF 531 H236 2008</t>
  </si>
  <si>
    <t>0                      BF 0531000H  236         2008</t>
  </si>
  <si>
    <t>Handbook of emotions / edited by Michael Lewis, Jeannette M. Haviland-Jones, and Lisa Feldman Barrett.</t>
  </si>
  <si>
    <t>New York : Guilford Press, c2008.</t>
  </si>
  <si>
    <t>2009-09-21</t>
  </si>
  <si>
    <t>2009-02-20</t>
  </si>
  <si>
    <t>866273171:eng</t>
  </si>
  <si>
    <t>175056027</t>
  </si>
  <si>
    <t>991001366049702656</t>
  </si>
  <si>
    <t>2259854870002656</t>
  </si>
  <si>
    <t>9781593856502</t>
  </si>
  <si>
    <t>30001005389871</t>
  </si>
  <si>
    <t>893741073</t>
  </si>
  <si>
    <t>BF 575. G7 L438d 1994</t>
  </si>
  <si>
    <t>0                      BF 0575000G  7                  L  438d        1994</t>
  </si>
  <si>
    <t>Death notification : a practical guide to the process / by R. Moroni Leash.</t>
  </si>
  <si>
    <t>Leash, R. Moroni (Russell Moroni), 1958-</t>
  </si>
  <si>
    <t>Hinesburg, Vt. : Upper Access, c1994.</t>
  </si>
  <si>
    <t>vtu</t>
  </si>
  <si>
    <t>2005-01-28</t>
  </si>
  <si>
    <t>473798698:eng</t>
  </si>
  <si>
    <t>28293706</t>
  </si>
  <si>
    <t>991000425149702656</t>
  </si>
  <si>
    <t>2259159660002656</t>
  </si>
  <si>
    <t>9780942679083</t>
  </si>
  <si>
    <t>30001004927085</t>
  </si>
  <si>
    <t>893151025</t>
  </si>
  <si>
    <t>BF 575.A3 V215p 1981</t>
  </si>
  <si>
    <t>0                      BF 0575000A  3                  V  215p        1981</t>
  </si>
  <si>
    <t>Psychobiology of aggression and violence / Luigi Valzelli.</t>
  </si>
  <si>
    <t>Valzelli, Luigi, 1927-</t>
  </si>
  <si>
    <t>New York : Raven Press, c1981.</t>
  </si>
  <si>
    <t>1981</t>
  </si>
  <si>
    <t>2003-10-03</t>
  </si>
  <si>
    <t>12139100:eng</t>
  </si>
  <si>
    <t>7169782</t>
  </si>
  <si>
    <t>991000787999702656</t>
  </si>
  <si>
    <t>2268755880002656</t>
  </si>
  <si>
    <t>9780890044032</t>
  </si>
  <si>
    <t>30001000066482</t>
  </si>
  <si>
    <t>893464702</t>
  </si>
  <si>
    <t>BF 575.A3 V7947 1985</t>
  </si>
  <si>
    <t>0                      BF 0575000A  3                  V  7947        1985</t>
  </si>
  <si>
    <t>Violence in America : a public health approach / edited by Mark L. Rosenberg and Mary Ann Fenley.</t>
  </si>
  <si>
    <t>New York : Oxford University Press, c1991.</t>
  </si>
  <si>
    <t>1992-01-09</t>
  </si>
  <si>
    <t>1047592238:eng</t>
  </si>
  <si>
    <t>22764685</t>
  </si>
  <si>
    <t>991001024059702656</t>
  </si>
  <si>
    <t>2261776710002656</t>
  </si>
  <si>
    <t>9780195064377</t>
  </si>
  <si>
    <t>30001002242347</t>
  </si>
  <si>
    <t>893546312</t>
  </si>
  <si>
    <t>BF 575.A3 W919 2004</t>
  </si>
  <si>
    <t>0                      BF 0575000A  3                  W  919         2004</t>
  </si>
  <si>
    <t>Working with dangerous people : the psychotherapy of violence / edited by David Jones ; forewords by Christopher Cordess and Terry A. Kupers.</t>
  </si>
  <si>
    <t>Oxford ; San Francisco : Radcliffe Medical Press ; 2004.</t>
  </si>
  <si>
    <t>2004</t>
  </si>
  <si>
    <t>2004-09-14</t>
  </si>
  <si>
    <t>763547104:eng</t>
  </si>
  <si>
    <t>55634372</t>
  </si>
  <si>
    <t>991000388699702656</t>
  </si>
  <si>
    <t>2270029480002656</t>
  </si>
  <si>
    <t>9781857758245</t>
  </si>
  <si>
    <t>30001004843506</t>
  </si>
  <si>
    <t>893542296</t>
  </si>
  <si>
    <t>BF 575.A6 P558d</t>
  </si>
  <si>
    <t>0                      BF 0575000A  6                  P  558d</t>
  </si>
  <si>
    <t>Day to day anxiety management / E. Lakin Phillips.</t>
  </si>
  <si>
    <t>Phillips, E. Lakin (Ewing Lakin), 1915-1994.</t>
  </si>
  <si>
    <t>-- Huntington, N.Y. : R. E. Krieger Pub. Co., 1977.</t>
  </si>
  <si>
    <t>1977</t>
  </si>
  <si>
    <t>2003-12-09</t>
  </si>
  <si>
    <t>4757448:eng</t>
  </si>
  <si>
    <t>2373362</t>
  </si>
  <si>
    <t>991000788839702656</t>
  </si>
  <si>
    <t>2257216690002656</t>
  </si>
  <si>
    <t>9780882754604</t>
  </si>
  <si>
    <t>30001000066813</t>
  </si>
  <si>
    <t>893637445</t>
  </si>
  <si>
    <t>BF 575.E55 E548 1994</t>
  </si>
  <si>
    <t>0                      BF 0575000E  55                 E  548         1994</t>
  </si>
  <si>
    <t>The empathic practitioner : empathy, gender, and medicine / edited by Ellen Singer More and Maureen A. Milligan.</t>
  </si>
  <si>
    <t>New Brunswick, N.J. : Rutgers University Press, c1994.</t>
  </si>
  <si>
    <t>1999-02-18</t>
  </si>
  <si>
    <t>55805408:eng</t>
  </si>
  <si>
    <t>30071188</t>
  </si>
  <si>
    <t>991000876789702656</t>
  </si>
  <si>
    <t>2263585790002656</t>
  </si>
  <si>
    <t>9780813521183</t>
  </si>
  <si>
    <t>30001004159564</t>
  </si>
  <si>
    <t>893161421</t>
  </si>
  <si>
    <t>BF 575.E55 E555 1990</t>
  </si>
  <si>
    <t>0                      BF 0575000E  55                 E  555         1990</t>
  </si>
  <si>
    <t>Empathy in the helping relationship / Ruth C. MacKay, Jean R. Hughes, E. Joyce Carver, editors.</t>
  </si>
  <si>
    <t>New York, NY : Springer Pub. Co., c1990.</t>
  </si>
  <si>
    <t>1990</t>
  </si>
  <si>
    <t>2009-06-25</t>
  </si>
  <si>
    <t>1990-06-15</t>
  </si>
  <si>
    <t>967559:eng</t>
  </si>
  <si>
    <t>19814790</t>
  </si>
  <si>
    <t>991001449199702656</t>
  </si>
  <si>
    <t>2264649660002656</t>
  </si>
  <si>
    <t>9780826161406</t>
  </si>
  <si>
    <t>30001001882317</t>
  </si>
  <si>
    <t>893552513</t>
  </si>
  <si>
    <t>BF 575.G7 F692 1990</t>
  </si>
  <si>
    <t>0                      BF 0575000G  7                  F  692         1990</t>
  </si>
  <si>
    <t>For the bereaved : the road to recovery / edited by Austin H. Kutscher ... [et al.].</t>
  </si>
  <si>
    <t>Philadelphia : Charles Press, c1990.</t>
  </si>
  <si>
    <t>1998-04-08</t>
  </si>
  <si>
    <t>1993-06-14</t>
  </si>
  <si>
    <t>55247654:eng</t>
  </si>
  <si>
    <t>20217634</t>
  </si>
  <si>
    <t>991001481599702656</t>
  </si>
  <si>
    <t>2265652950002656</t>
  </si>
  <si>
    <t>9780914783329</t>
  </si>
  <si>
    <t>30001002569988</t>
  </si>
  <si>
    <t>893736622</t>
  </si>
  <si>
    <t>BF 575.G7 J69a 1987</t>
  </si>
  <si>
    <t>0                      BF 0575000G  7                  J  69a         1987</t>
  </si>
  <si>
    <t>After a child dies : counseling bereaved families / Sherry E. Johnson.</t>
  </si>
  <si>
    <t>Johnson, Sherry E.</t>
  </si>
  <si>
    <t>New York, NY : Springer Pub. Co., c1987.</t>
  </si>
  <si>
    <t>1997-03-13</t>
  </si>
  <si>
    <t>1988-02-19</t>
  </si>
  <si>
    <t>288935289:eng</t>
  </si>
  <si>
    <t>16226856</t>
  </si>
  <si>
    <t>991001172949702656</t>
  </si>
  <si>
    <t>2263231350002656</t>
  </si>
  <si>
    <t>9780826156907</t>
  </si>
  <si>
    <t>30001000975427</t>
  </si>
  <si>
    <t>893273840</t>
  </si>
  <si>
    <t>BF 575.G7 K63p 1988</t>
  </si>
  <si>
    <t>0                      BF 0575000G  7                  K  63p         1988</t>
  </si>
  <si>
    <t>Parental grief : solace and resolution / Dennis Klass.</t>
  </si>
  <si>
    <t>Klass, Dennis.</t>
  </si>
  <si>
    <t>New York : Springer Pub. Co., c1988.</t>
  </si>
  <si>
    <t>The Springer series on death and suicide ; v. 9.</t>
  </si>
  <si>
    <t>1992-10-30</t>
  </si>
  <si>
    <t>1988-12-28</t>
  </si>
  <si>
    <t>894395876:eng</t>
  </si>
  <si>
    <t>17731076</t>
  </si>
  <si>
    <t>991001112769702656</t>
  </si>
  <si>
    <t>2264449010002656</t>
  </si>
  <si>
    <t>9780826159304</t>
  </si>
  <si>
    <t>30001001612433</t>
  </si>
  <si>
    <t>893648907</t>
  </si>
  <si>
    <t>BF 575.G7 L881 1986</t>
  </si>
  <si>
    <t>0                      BF 0575000G  7                  L  881         1986</t>
  </si>
  <si>
    <t>Loss and anticipatory grief / edited by Therese A. Rando ; foreword by Robert Fulton.</t>
  </si>
  <si>
    <t>Lexington, Mass. : Lexington Books, c1986.</t>
  </si>
  <si>
    <t>1991-07-29</t>
  </si>
  <si>
    <t>5540787:eng</t>
  </si>
  <si>
    <t>13066620</t>
  </si>
  <si>
    <t>991000788139702656</t>
  </si>
  <si>
    <t>2256335660002656</t>
  </si>
  <si>
    <t>9780669111446</t>
  </si>
  <si>
    <t>30001000066524</t>
  </si>
  <si>
    <t>893642542</t>
  </si>
  <si>
    <t>BF 575.G7 N842 1974</t>
  </si>
  <si>
    <t>0                      BF 0575000G  7                  N  842         1974</t>
  </si>
  <si>
    <t>Normal &amp; pathological responses to bereavement / papers by John Ellard, Vamik Volkan, and Norman L. Paul.</t>
  </si>
  <si>
    <t>New York : MSS Information Corp., [1974]</t>
  </si>
  <si>
    <t>1995-10-23</t>
  </si>
  <si>
    <t>1987-11-03</t>
  </si>
  <si>
    <t>506110:eng</t>
  </si>
  <si>
    <t>668562</t>
  </si>
  <si>
    <t>991000788039702656</t>
  </si>
  <si>
    <t>2255049470002656</t>
  </si>
  <si>
    <t>9780842271462</t>
  </si>
  <si>
    <t>30001000066508</t>
  </si>
  <si>
    <t>893273179</t>
  </si>
  <si>
    <t>BF 575.G7 S333b 1977</t>
  </si>
  <si>
    <t>0                      BF 0575000G  7                  S  333b        1977</t>
  </si>
  <si>
    <t>The bereaved parent / Harriet Sarnoff Schiff.</t>
  </si>
  <si>
    <t>Schiff, Harriet Sarnoff.</t>
  </si>
  <si>
    <t>New York : Crown Publishers, 1977.</t>
  </si>
  <si>
    <t>5411407:eng</t>
  </si>
  <si>
    <t>2525298</t>
  </si>
  <si>
    <t>991000788289702656</t>
  </si>
  <si>
    <t>2270966480002656</t>
  </si>
  <si>
    <t>9780517526811</t>
  </si>
  <si>
    <t>30001000066573</t>
  </si>
  <si>
    <t>893820285</t>
  </si>
  <si>
    <t>BF 575.G7 S359s 1984</t>
  </si>
  <si>
    <t>0                      BF 0575000G  7                  S  359s        1984</t>
  </si>
  <si>
    <t>Stress, loss, and grief : understanding their origins and growth potential / by John Schneider.</t>
  </si>
  <si>
    <t>Schneider, John, 1939-</t>
  </si>
  <si>
    <t>Baltimore : University Park Press, c1984.</t>
  </si>
  <si>
    <t>1999-06-18</t>
  </si>
  <si>
    <t>198426748:eng</t>
  </si>
  <si>
    <t>9762407</t>
  </si>
  <si>
    <t>991000788329702656</t>
  </si>
  <si>
    <t>2262475980002656</t>
  </si>
  <si>
    <t>9780839118893</t>
  </si>
  <si>
    <t>30001000066581</t>
  </si>
  <si>
    <t>893557186</t>
  </si>
  <si>
    <t>BF 575.L3 B498¿ 1956</t>
  </si>
  <si>
    <t>0                      BF 0575000L  3                                                       B498¿ 1956</t>
  </si>
  <si>
    <t>Laughter and the sense of humor / Edmund Bergler.</t>
  </si>
  <si>
    <t>Bergler, Edmund, 1899-1962.</t>
  </si>
  <si>
    <t>New York : Intercontinental Medical Book Corp., c1956.</t>
  </si>
  <si>
    <t>1996-01-29</t>
  </si>
  <si>
    <t>148180778:eng</t>
  </si>
  <si>
    <t>203919</t>
  </si>
  <si>
    <t>991000788429702656</t>
  </si>
  <si>
    <t>2255763230002656</t>
  </si>
  <si>
    <t>30001000066615</t>
  </si>
  <si>
    <t>893368563</t>
  </si>
  <si>
    <t>BF 575.S75  C477 1984</t>
  </si>
  <si>
    <t>0                      BF 0575000S  75                 C  477         1984</t>
  </si>
  <si>
    <t>Stress management : a comprehensive guide to wellness / Edward A. Charlesworth, Ronald G. Nathan.</t>
  </si>
  <si>
    <t>Charlesworth, Edward A., 1949-</t>
  </si>
  <si>
    <t>New York, NY : Ballantine, c1984.</t>
  </si>
  <si>
    <t>Rev. and update ed.</t>
  </si>
  <si>
    <t>1999-04-28</t>
  </si>
  <si>
    <t>1007768:eng</t>
  </si>
  <si>
    <t>12688891</t>
  </si>
  <si>
    <t>991000487469702656</t>
  </si>
  <si>
    <t>2269203310002656</t>
  </si>
  <si>
    <t>9780345327345</t>
  </si>
  <si>
    <t>30001000066631</t>
  </si>
  <si>
    <t>893827536</t>
  </si>
  <si>
    <t>BF 575.S75 B654c 1996</t>
  </si>
  <si>
    <t>0                      BF 0575000S  75                 B  654c        1996</t>
  </si>
  <si>
    <t>Coping with stress in a changing world / Richard Blonna.</t>
  </si>
  <si>
    <t>Blonna, Richard.</t>
  </si>
  <si>
    <t>St. Louis, Mo. : Mosby, c1996.</t>
  </si>
  <si>
    <t>1996</t>
  </si>
  <si>
    <t>mou</t>
  </si>
  <si>
    <t>2003-11-24</t>
  </si>
  <si>
    <t>1996-03-15</t>
  </si>
  <si>
    <t>3192920:eng</t>
  </si>
  <si>
    <t>33162313</t>
  </si>
  <si>
    <t>991001488459702656</t>
  </si>
  <si>
    <t>2262402310002656</t>
  </si>
  <si>
    <t>9780815104674</t>
  </si>
  <si>
    <t>30001003248087</t>
  </si>
  <si>
    <t>893834691</t>
  </si>
  <si>
    <t>BF 637 K91r 1965</t>
  </si>
  <si>
    <t>0                      BF 0637000K  91r         1965</t>
  </si>
  <si>
    <t>Research in behavior modification : new developments and implications / edited and introduced by Leonard Krasner and Leonard P. Ullmann.</t>
  </si>
  <si>
    <t>Krasner, Leonard, 1924-2007.</t>
  </si>
  <si>
    <t>New York : Holt, Rinehart &amp; Winston, 1965.</t>
  </si>
  <si>
    <t>1965</t>
  </si>
  <si>
    <t>1993-10-02</t>
  </si>
  <si>
    <t>1092235111:eng</t>
  </si>
  <si>
    <t>192088</t>
  </si>
  <si>
    <t>991000788529702656</t>
  </si>
  <si>
    <t>2262409990002656</t>
  </si>
  <si>
    <t>9780030502200</t>
  </si>
  <si>
    <t>30001000066730</t>
  </si>
  <si>
    <t>893726818</t>
  </si>
  <si>
    <t>BF 637.C45 L654 2008</t>
  </si>
  <si>
    <t>0                      BF 0637000C  45                 L  654         2008</t>
  </si>
  <si>
    <t>The Communication Skills Workbook Self-assessments, Exercises &amp; Educational Handouts / [by] Esther A. Leutenberg [and] John J. Liptak, illustrated by Amy L. Brodsky.</t>
  </si>
  <si>
    <t>Leutenberg, Ester A.</t>
  </si>
  <si>
    <t>Duluth, Minn. : Whole Person Associates, 2008.</t>
  </si>
  <si>
    <t>mnu</t>
  </si>
  <si>
    <t>2010-09-21</t>
  </si>
  <si>
    <t>2009-08-06</t>
  </si>
  <si>
    <t>4916262644:eng</t>
  </si>
  <si>
    <t>226361853</t>
  </si>
  <si>
    <t>991001483639702656</t>
  </si>
  <si>
    <t>2261166510002656</t>
  </si>
  <si>
    <t>9781570252266</t>
  </si>
  <si>
    <t>30001004918456</t>
  </si>
  <si>
    <t>893374620</t>
  </si>
  <si>
    <t>BF 637.H4 B815h 1999</t>
  </si>
  <si>
    <t>0                      BF 0637000H  4                  B  815h        1999</t>
  </si>
  <si>
    <t>The helping relationship : process and skills / Lawrence M. Brammer, Ginger MacDonald.</t>
  </si>
  <si>
    <t>Brammer, Lawrence M.</t>
  </si>
  <si>
    <t>Boston : Allyn and Bacon, c1999.</t>
  </si>
  <si>
    <t>1999</t>
  </si>
  <si>
    <t>1999-04-05</t>
  </si>
  <si>
    <t>1999-04-01</t>
  </si>
  <si>
    <t>1498446:eng</t>
  </si>
  <si>
    <t>39216903</t>
  </si>
  <si>
    <t>991000844199702656</t>
  </si>
  <si>
    <t>2257637070002656</t>
  </si>
  <si>
    <t>9780205290420</t>
  </si>
  <si>
    <t>30001004130045</t>
  </si>
  <si>
    <t>893148452</t>
  </si>
  <si>
    <t>BF 637.I5 I95i 1994</t>
  </si>
  <si>
    <t>0                      BF 0637000I  5                  I  95i         1994</t>
  </si>
  <si>
    <t>Intentional interviewing and counseling : facilitating client development in a multicultural society / Allen E. Ivey.</t>
  </si>
  <si>
    <t>Ivey, Allen E.</t>
  </si>
  <si>
    <t>2003-11-16</t>
  </si>
  <si>
    <t>1995-05-09</t>
  </si>
  <si>
    <t>6625656:eng</t>
  </si>
  <si>
    <t>27812939</t>
  </si>
  <si>
    <t>991001400079702656</t>
  </si>
  <si>
    <t>2258148680002656</t>
  </si>
  <si>
    <t>9780534211684</t>
  </si>
  <si>
    <t>30001003147693</t>
  </si>
  <si>
    <t>893465461</t>
  </si>
  <si>
    <t>BF 637.S8 L192h 1974</t>
  </si>
  <si>
    <t>0                      BF 0637000S  8                  L  192h        1974</t>
  </si>
  <si>
    <t>How to get control of your time and your life / by Alan Lakein.</t>
  </si>
  <si>
    <t>Lakein, Alan.</t>
  </si>
  <si>
    <t>New York : New American Library, 1974, c1973.</t>
  </si>
  <si>
    <t>1995-11-27</t>
  </si>
  <si>
    <t>2218781955:eng</t>
  </si>
  <si>
    <t>7472919</t>
  </si>
  <si>
    <t>991001483239702656</t>
  </si>
  <si>
    <t>2268806880002656</t>
  </si>
  <si>
    <t>30001000572240</t>
  </si>
  <si>
    <t>893832233</t>
  </si>
  <si>
    <t>BF 683 H221c 1983</t>
  </si>
  <si>
    <t>0                      BF 0683000H  221c        1983</t>
  </si>
  <si>
    <t>The cognitive structures and processes of human motivation and personality / Vernon Hamilton.</t>
  </si>
  <si>
    <t>Hamilton, Vernon.</t>
  </si>
  <si>
    <t>Chichester ; New York : Wiley, c1983.</t>
  </si>
  <si>
    <t>1997-12-05</t>
  </si>
  <si>
    <t>43148227:eng</t>
  </si>
  <si>
    <t>8727871</t>
  </si>
  <si>
    <t>991000789049702656</t>
  </si>
  <si>
    <t>2265425570002656</t>
  </si>
  <si>
    <t>9780471105268</t>
  </si>
  <si>
    <t>30001000066896</t>
  </si>
  <si>
    <t>893454980</t>
  </si>
  <si>
    <t>BF 698 M397m</t>
  </si>
  <si>
    <t>0                      BF 0698000M  397m</t>
  </si>
  <si>
    <t>Motivation and personality.</t>
  </si>
  <si>
    <t>Maslow, Abraham H. (Abraham Harold)</t>
  </si>
  <si>
    <t>New York : Harper, c1954.</t>
  </si>
  <si>
    <t>1954</t>
  </si>
  <si>
    <t>[1st ed.]</t>
  </si>
  <si>
    <t>Harper's psychological series</t>
  </si>
  <si>
    <t>1995-06-08</t>
  </si>
  <si>
    <t>526907:eng</t>
  </si>
  <si>
    <t>170747</t>
  </si>
  <si>
    <t>991000789299702656</t>
  </si>
  <si>
    <t>2269273290002656</t>
  </si>
  <si>
    <t>30001000066995</t>
  </si>
  <si>
    <t>893648201</t>
  </si>
  <si>
    <t>BF 713 H918 1985-86</t>
  </si>
  <si>
    <t>0                      BF 0713000H  918         1985                                        -86</t>
  </si>
  <si>
    <t>Human development 85/86 / Hiram E. Fitzgerald, editor ; Thomas H. Carr, editor.</t>
  </si>
  <si>
    <t>Guilford, Conn. : Dushkin Publishing Group, c1985.</t>
  </si>
  <si>
    <t>13th ed.</t>
  </si>
  <si>
    <t>ctu</t>
  </si>
  <si>
    <t>Annual editions series</t>
  </si>
  <si>
    <t>1997-12-01</t>
  </si>
  <si>
    <t>3372225107:eng</t>
  </si>
  <si>
    <t>12568438</t>
  </si>
  <si>
    <t>991000695779702656</t>
  </si>
  <si>
    <t>2261723180002656</t>
  </si>
  <si>
    <t>9780879675837</t>
  </si>
  <si>
    <t>30001000035081</t>
  </si>
  <si>
    <t>893467533</t>
  </si>
  <si>
    <t>BF 713 K18e 1982</t>
  </si>
  <si>
    <t>0                      BF 0713000K  18e         1982</t>
  </si>
  <si>
    <t>Experiencing the life cycle : a social psychology of aging / by David A. Karp and William C. Yoels.</t>
  </si>
  <si>
    <t>Karp, David A.</t>
  </si>
  <si>
    <t>Springfield, Ill. : Thomas, c1982.</t>
  </si>
  <si>
    <t>1982</t>
  </si>
  <si>
    <t>1997-03-15</t>
  </si>
  <si>
    <t>3372904375:eng</t>
  </si>
  <si>
    <t>8345177</t>
  </si>
  <si>
    <t>991000790389702656</t>
  </si>
  <si>
    <t>2265272170002656</t>
  </si>
  <si>
    <t>9780398047085</t>
  </si>
  <si>
    <t>30001000067399</t>
  </si>
  <si>
    <t>893450364</t>
  </si>
  <si>
    <t>BF 713 P213h 1998</t>
  </si>
  <si>
    <t>0                      BF 0713000P  213h        1998</t>
  </si>
  <si>
    <t>Human development / Diane E. Papalia, Sally Wendkos Olds, Ruth Duskin Feldman.</t>
  </si>
  <si>
    <t>Papalia, Diane E.</t>
  </si>
  <si>
    <t>New York : McGraw-Hill, c1998.</t>
  </si>
  <si>
    <t>2003-02-02</t>
  </si>
  <si>
    <t>1997-08-29</t>
  </si>
  <si>
    <t>3372149671:eng</t>
  </si>
  <si>
    <t>29954951</t>
  </si>
  <si>
    <t>991001271669702656</t>
  </si>
  <si>
    <t>2262024300002656</t>
  </si>
  <si>
    <t>9780070487604</t>
  </si>
  <si>
    <t>30001003694876</t>
  </si>
  <si>
    <t>893816257</t>
  </si>
  <si>
    <t>BF 723.C8 C975 1986</t>
  </si>
  <si>
    <t>0                      BF 0723000C  8                  C  975         1986</t>
  </si>
  <si>
    <t>Curiosity, imagination, and play : on the development of spontaneous cognitive and motivational processes / [edited by] Dietmar Görlitz, Joachim F. Wohlwill.</t>
  </si>
  <si>
    <t>Hillsdale, NJ : L. Erlbaum Associates, c1986.</t>
  </si>
  <si>
    <t>889505747:eng</t>
  </si>
  <si>
    <t>13360624</t>
  </si>
  <si>
    <t>991001489749702656</t>
  </si>
  <si>
    <t>2271712440002656</t>
  </si>
  <si>
    <t>9780898596830</t>
  </si>
  <si>
    <t>30001000587297</t>
  </si>
  <si>
    <t>893455851</t>
  </si>
  <si>
    <t>BF 723.P25 P228 1985</t>
  </si>
  <si>
    <t>0                      BF 0723000P  25                 P  228         1985</t>
  </si>
  <si>
    <t>Parental belief systems : the psychological consequences for children / edited by Irving E. Sigel.</t>
  </si>
  <si>
    <t>Hillsdale, N.J. : L. Erlbaum Associates, c1985.</t>
  </si>
  <si>
    <t>1994-10-04</t>
  </si>
  <si>
    <t>795632131:eng</t>
  </si>
  <si>
    <t>11090649</t>
  </si>
  <si>
    <t>991000790219702656</t>
  </si>
  <si>
    <t>2268837960002656</t>
  </si>
  <si>
    <t>9780898594485</t>
  </si>
  <si>
    <t>30001000067308</t>
  </si>
  <si>
    <t>893376876</t>
  </si>
  <si>
    <t>BF 723.S3 C788a 1981</t>
  </si>
  <si>
    <t>0                      BF 0723000S  3                  C  788a        1981</t>
  </si>
  <si>
    <t>The antecedents of self-esteem / Stanley Coopersmith.</t>
  </si>
  <si>
    <t>Coopersmith, Stanley, 1926-</t>
  </si>
  <si>
    <t>Palo Alto, CA : Consulting Psychologists Press, c1981.</t>
  </si>
  <si>
    <t>Reprint ed.</t>
  </si>
  <si>
    <t>2002-11-09</t>
  </si>
  <si>
    <t>1990-11-28</t>
  </si>
  <si>
    <t>1330434:eng</t>
  </si>
  <si>
    <t>9180312</t>
  </si>
  <si>
    <t>991000762619702656</t>
  </si>
  <si>
    <t>2259358820002656</t>
  </si>
  <si>
    <t>9780891060178</t>
  </si>
  <si>
    <t>30001002060459</t>
  </si>
  <si>
    <t>893648145</t>
  </si>
  <si>
    <t>BF 724 B615 1987</t>
  </si>
  <si>
    <t>0                      BF 0724000B  615         1987</t>
  </si>
  <si>
    <t>Biological-psychosocial interactions in early adolescence / edited by Richard M. Lerner, Terryl T. Foch.</t>
  </si>
  <si>
    <t>Hillsdale, N.J. : L. Erlbaum Associates, c1987..</t>
  </si>
  <si>
    <t>Child psychology</t>
  </si>
  <si>
    <t>349883670:eng</t>
  </si>
  <si>
    <t>14099048</t>
  </si>
  <si>
    <t>991000790199702656</t>
  </si>
  <si>
    <t>2262054000002656</t>
  </si>
  <si>
    <t>9780898597875</t>
  </si>
  <si>
    <t>30001000067290</t>
  </si>
  <si>
    <t>893357604</t>
  </si>
  <si>
    <t>BF 724.5 L855 1983</t>
  </si>
  <si>
    <t>0                      BF 0724500L  855         1983</t>
  </si>
  <si>
    <t>Longitudinal studies of adult psychological development / edited by K. Warner Schaie.</t>
  </si>
  <si>
    <t>New York : Guilford Press, c1983.</t>
  </si>
  <si>
    <t>Adult development and aging</t>
  </si>
  <si>
    <t>1991-07-08</t>
  </si>
  <si>
    <t>43353462:eng</t>
  </si>
  <si>
    <t>8907019</t>
  </si>
  <si>
    <t>991000790109702656</t>
  </si>
  <si>
    <t>2254724190002656</t>
  </si>
  <si>
    <t>9780898621310</t>
  </si>
  <si>
    <t>30001000067258</t>
  </si>
  <si>
    <t>893278180</t>
  </si>
  <si>
    <t>BF 76.5 D776d 1985</t>
  </si>
  <si>
    <t>0                      BF 0076500D  776d        1985</t>
  </si>
  <si>
    <t>Designing and conducting behavioral research / Clifford J. Drew, Michael L. Hardman.</t>
  </si>
  <si>
    <t>Drew, Clifford J., 1943-</t>
  </si>
  <si>
    <t>New York : Pergamon Press, c1985.</t>
  </si>
  <si>
    <t>Pergamon general psychology series ; 134</t>
  </si>
  <si>
    <t>1990-10-04</t>
  </si>
  <si>
    <t>1989-01-07</t>
  </si>
  <si>
    <t>4050786:eng</t>
  </si>
  <si>
    <t>11384907</t>
  </si>
  <si>
    <t>991001108439702656</t>
  </si>
  <si>
    <t>2269141180002656</t>
  </si>
  <si>
    <t>9780080319407</t>
  </si>
  <si>
    <t>30001001611591</t>
  </si>
  <si>
    <t>893121169</t>
  </si>
  <si>
    <t>BF 789.D4 A756c 1983</t>
  </si>
  <si>
    <t>0                      BF 0789000D  4                  A  756c        1983</t>
  </si>
  <si>
    <t>A child dies : a portrait of family grief / Joan Hagan Arnold, Penelope Buschman Gemma.</t>
  </si>
  <si>
    <t>Arnold, Joan Hagan.</t>
  </si>
  <si>
    <t>Rockville, Md. : Aspen Systems Corp., c1983.</t>
  </si>
  <si>
    <t>1988-04-14</t>
  </si>
  <si>
    <t>1082516:eng</t>
  </si>
  <si>
    <t>9557059</t>
  </si>
  <si>
    <t>991000789979702656</t>
  </si>
  <si>
    <t>2267692890002656</t>
  </si>
  <si>
    <t>9780894438165</t>
  </si>
  <si>
    <t>30001000067217</t>
  </si>
  <si>
    <t>893726819</t>
  </si>
  <si>
    <t>BF 789.D4 B126d 1982</t>
  </si>
  <si>
    <t>0                      BF 0789000D  4                  B  126d        1982</t>
  </si>
  <si>
    <t>Death and dying : individuals and institutions / Barbara A. Backer, Natalie Hannon, Noreen A. Russell.</t>
  </si>
  <si>
    <t>Backer, Barbara A.</t>
  </si>
  <si>
    <t>New York : Wiley, c1982.</t>
  </si>
  <si>
    <t>A Wiley medical publication</t>
  </si>
  <si>
    <t>2003-08-20</t>
  </si>
  <si>
    <t>180387491:eng</t>
  </si>
  <si>
    <t>7946515</t>
  </si>
  <si>
    <t>991000790049702656</t>
  </si>
  <si>
    <t>2272521980002656</t>
  </si>
  <si>
    <t>9780471087151</t>
  </si>
  <si>
    <t>30001000067209</t>
  </si>
  <si>
    <t>893834329</t>
  </si>
  <si>
    <t>BF 789.D4 B395d 1973</t>
  </si>
  <si>
    <t>0                      BF 0789000D  4                  B  395d        1973</t>
  </si>
  <si>
    <t>The denial of death.</t>
  </si>
  <si>
    <t>Becker, Ernest.</t>
  </si>
  <si>
    <t>New York : Free Press, 1973.</t>
  </si>
  <si>
    <t>1973</t>
  </si>
  <si>
    <t>2000-12-13</t>
  </si>
  <si>
    <t>400363:eng</t>
  </si>
  <si>
    <t>658905</t>
  </si>
  <si>
    <t>991000789829702656</t>
  </si>
  <si>
    <t>2260417660002656</t>
  </si>
  <si>
    <t>9780029021507</t>
  </si>
  <si>
    <t>30001000067134</t>
  </si>
  <si>
    <t>893731271</t>
  </si>
  <si>
    <t>BF 789.D4 C156f 1992</t>
  </si>
  <si>
    <t>0                      BF 0789000D  4                  C  156f        1992</t>
  </si>
  <si>
    <t>Final gifts : understanding the special awareness, needs, and communications of the dying / Maggie Callanan and Patricia Kelley.</t>
  </si>
  <si>
    <t>Callanan, Maggie.</t>
  </si>
  <si>
    <t>New York, N.Y. : Poseidon Press, c1992.</t>
  </si>
  <si>
    <t>2004-11-04</t>
  </si>
  <si>
    <t>1993-06-15</t>
  </si>
  <si>
    <t>26645400:eng</t>
  </si>
  <si>
    <t>24913222</t>
  </si>
  <si>
    <t>991001481379702656</t>
  </si>
  <si>
    <t>2259700210002656</t>
  </si>
  <si>
    <t>9780671700065</t>
  </si>
  <si>
    <t>30001002569806</t>
  </si>
  <si>
    <t>893633113</t>
  </si>
  <si>
    <t>BF 789.D4 D287 1975</t>
  </si>
  <si>
    <t>0                      BF 0789000D  4                  D  287         1975</t>
  </si>
  <si>
    <t>Death : the final stage of growth / [edited by] Elisabeth Kübler-Ross.</t>
  </si>
  <si>
    <t>2</t>
  </si>
  <si>
    <t>-- Englewood Cliffs, N.J. : Prentice-Hall, c1975.</t>
  </si>
  <si>
    <t>Human development books</t>
  </si>
  <si>
    <t>1997-04-02</t>
  </si>
  <si>
    <t>2452571864:eng</t>
  </si>
  <si>
    <t>1273611</t>
  </si>
  <si>
    <t>991000789769702656</t>
  </si>
  <si>
    <t>2267779640002656</t>
  </si>
  <si>
    <t>9780131970120</t>
  </si>
  <si>
    <t>30001000067126</t>
  </si>
  <si>
    <t>893731270</t>
  </si>
  <si>
    <t>BF 789.D4 D536 1978</t>
  </si>
  <si>
    <t>0                      BF 0789000D  4                  D  536         1978</t>
  </si>
  <si>
    <t>Dialogues : the dying and the living / edited by Austin H. Kutscher, Lillian G. Kutscher, et al.</t>
  </si>
  <si>
    <t>New York : MSS Information Corp. : distributed by Arno Press, c1978.</t>
  </si>
  <si>
    <t>1978</t>
  </si>
  <si>
    <t>Continuing series on thanatology</t>
  </si>
  <si>
    <t>1997-11-24</t>
  </si>
  <si>
    <t>1027127100:eng</t>
  </si>
  <si>
    <t>3706140</t>
  </si>
  <si>
    <t>991000789599702656</t>
  </si>
  <si>
    <t>2265058250002656</t>
  </si>
  <si>
    <t>9780842273015</t>
  </si>
  <si>
    <t>30001000067100</t>
  </si>
  <si>
    <t>893278179</t>
  </si>
  <si>
    <t>BF 789.D4 D994 1970</t>
  </si>
  <si>
    <t>0                      BF 0789000D  4                  D  994         1970</t>
  </si>
  <si>
    <t>The dying patient / Edited by Orville G. Brim, Jr. ... [et. al.]</t>
  </si>
  <si>
    <t>-- New York : Russell Sage Foundation, c1970.</t>
  </si>
  <si>
    <t>1970</t>
  </si>
  <si>
    <t>1996-11-29</t>
  </si>
  <si>
    <t>134007114:eng</t>
  </si>
  <si>
    <t>77800</t>
  </si>
  <si>
    <t>991000791409702656</t>
  </si>
  <si>
    <t>2256567620002656</t>
  </si>
  <si>
    <t>9780871541550</t>
  </si>
  <si>
    <t>30001000067811</t>
  </si>
  <si>
    <t>893551672</t>
  </si>
  <si>
    <t>BF 789.D4 F141 1996</t>
  </si>
  <si>
    <t>0                      BF 0789000D  4                  F  141         1996</t>
  </si>
  <si>
    <t>Facing death : where culture, religion, and medicine meet / edited by Howard M. Spiro, Mary G. McCrea Curnen, and Lee Palmer Wandel.</t>
  </si>
  <si>
    <t>New Haven : Yale University Press, c1996.</t>
  </si>
  <si>
    <t>1997-06-04</t>
  </si>
  <si>
    <t>797142220:eng</t>
  </si>
  <si>
    <t>34117429</t>
  </si>
  <si>
    <t>991001249849702656</t>
  </si>
  <si>
    <t>2272280810002656</t>
  </si>
  <si>
    <t>9780300063493</t>
  </si>
  <si>
    <t>30001003682608</t>
  </si>
  <si>
    <t>893736359</t>
  </si>
  <si>
    <t>BF 789.D4 G875c 1974</t>
  </si>
  <si>
    <t>0                      BF 0789000D  4                  G  875c        1974</t>
  </si>
  <si>
    <t>Concerning death : a practical guide for the living / edited by Earl A. Grollman.</t>
  </si>
  <si>
    <t>Grollman, Earl A.</t>
  </si>
  <si>
    <t>Boston : Beacon Press, 1974.</t>
  </si>
  <si>
    <t>Beacon paperback ; 484</t>
  </si>
  <si>
    <t>2000-10-23</t>
  </si>
  <si>
    <t>902197893:eng</t>
  </si>
  <si>
    <t>723005</t>
  </si>
  <si>
    <t>991000791369702656</t>
  </si>
  <si>
    <t>2263055550002656</t>
  </si>
  <si>
    <t>9780807027653</t>
  </si>
  <si>
    <t>30001000067761</t>
  </si>
  <si>
    <t>893831258</t>
  </si>
  <si>
    <t>BF 789.D4 H741f 1977</t>
  </si>
  <si>
    <t>0                      BF 0789000D  4                  H  741f        1977</t>
  </si>
  <si>
    <t>The family in mourning : a guide for health professionals / Charles E. Hollingsworth, Robert O. Pasnau, and contributors.</t>
  </si>
  <si>
    <t>Hollingsworth, Charles E.</t>
  </si>
  <si>
    <t>New York : Grune &amp; Stratton, c1977.</t>
  </si>
  <si>
    <t>Seminars in psychiatry</t>
  </si>
  <si>
    <t>1989-10-06</t>
  </si>
  <si>
    <t>367294544:eng</t>
  </si>
  <si>
    <t>3090116</t>
  </si>
  <si>
    <t>991001353309702656</t>
  </si>
  <si>
    <t>2260570900002656</t>
  </si>
  <si>
    <t>9780808910206</t>
  </si>
  <si>
    <t>30001001795147</t>
  </si>
  <si>
    <t>893816326</t>
  </si>
  <si>
    <t>BF 789.D4 K19p 1972</t>
  </si>
  <si>
    <t>0                      BF 0789000D  4                  K  19p         1972</t>
  </si>
  <si>
    <t>The psychology of death / Robert Kastenbaum and Ruth Aisenberg.</t>
  </si>
  <si>
    <t>Kastenbaum, Robert.</t>
  </si>
  <si>
    <t>New York : Springer Pub. Co., 1972.</t>
  </si>
  <si>
    <t>1972</t>
  </si>
  <si>
    <t>1999-09-05</t>
  </si>
  <si>
    <t>966282:eng</t>
  </si>
  <si>
    <t>389752</t>
  </si>
  <si>
    <t>991000791189702656</t>
  </si>
  <si>
    <t>2256610050002656</t>
  </si>
  <si>
    <t>9780826111616</t>
  </si>
  <si>
    <t>30001000067688</t>
  </si>
  <si>
    <t>893648207</t>
  </si>
  <si>
    <t>BF 789.D4 K95L 1981</t>
  </si>
  <si>
    <t>0                      BF 0789000D  4                  K  95L         1981</t>
  </si>
  <si>
    <t>Living with death and dying / Elisabeth Kübler-Ross.</t>
  </si>
  <si>
    <t>Kübler-Ross, Elisabeth.</t>
  </si>
  <si>
    <t>New York : Macmillan, c1981.</t>
  </si>
  <si>
    <t>399195:eng</t>
  </si>
  <si>
    <t>7170440</t>
  </si>
  <si>
    <t>991000791019702656</t>
  </si>
  <si>
    <t>2271163690002656</t>
  </si>
  <si>
    <t>9780025671409</t>
  </si>
  <si>
    <t>30001000067662</t>
  </si>
  <si>
    <t>893373736</t>
  </si>
  <si>
    <t>BF 789.D4 L616d 1985</t>
  </si>
  <si>
    <t>0                      BF 0789000D  4                  L  616d        1985</t>
  </si>
  <si>
    <t>A death of one's own / by Gerda Lerner.</t>
  </si>
  <si>
    <t>Lerner, Gerda, 1920-2013.</t>
  </si>
  <si>
    <t>Madison, WI : University of Wisconsin Press, 1985, c1978.</t>
  </si>
  <si>
    <t>wiu</t>
  </si>
  <si>
    <t>1998-03-17</t>
  </si>
  <si>
    <t>5304436:eng</t>
  </si>
  <si>
    <t>12656860</t>
  </si>
  <si>
    <t>991000791049702656</t>
  </si>
  <si>
    <t>2266705100002656</t>
  </si>
  <si>
    <t>9780299104443</t>
  </si>
  <si>
    <t>30001000067647</t>
  </si>
  <si>
    <t>893467624</t>
  </si>
  <si>
    <t>BF 789.D4 M3</t>
  </si>
  <si>
    <t>0                      BF 0789000D  4                  M  3</t>
  </si>
  <si>
    <t>To die with style!</t>
  </si>
  <si>
    <t>McCoy, Marjorie Casebier, 1934-</t>
  </si>
  <si>
    <t>Nashville : Abingdon Press, 1974.</t>
  </si>
  <si>
    <t>tnu</t>
  </si>
  <si>
    <t>1995-11-16</t>
  </si>
  <si>
    <t>1868663:eng</t>
  </si>
  <si>
    <t>922896</t>
  </si>
  <si>
    <t>991000790969702656</t>
  </si>
  <si>
    <t>2264897680002656</t>
  </si>
  <si>
    <t>9780687421992</t>
  </si>
  <si>
    <t>30001000067639</t>
  </si>
  <si>
    <t>893651576</t>
  </si>
  <si>
    <t>BF 789.D4 P856t 1981</t>
  </si>
  <si>
    <t>0                      BF 0789000D  4                  P  856t        1981</t>
  </si>
  <si>
    <t>Towards death with dignity : caring for dying people / Sylvia Poss.</t>
  </si>
  <si>
    <t>Poss, Sylvia.</t>
  </si>
  <si>
    <t>London ; Boston : Allen &amp; Unwin, c1981.</t>
  </si>
  <si>
    <t>National Institute social services library ; no. 41</t>
  </si>
  <si>
    <t>1999-03-04</t>
  </si>
  <si>
    <t>962045464:eng</t>
  </si>
  <si>
    <t>8284271</t>
  </si>
  <si>
    <t>991000790929702656</t>
  </si>
  <si>
    <t>2267856650002656</t>
  </si>
  <si>
    <t>9780043620410</t>
  </si>
  <si>
    <t>30001000067597</t>
  </si>
  <si>
    <t>893120403</t>
  </si>
  <si>
    <t>BF 789.D4 PE466c 1980</t>
  </si>
  <si>
    <t>0                      BF 0789000D  4                  PE 466c        1980</t>
  </si>
  <si>
    <t>Caring relationships : the dying and the bereaved / edited by Richard A. Kalish.</t>
  </si>
  <si>
    <t>Farmingdale, N.Y. : Baywood Pub. Co., c1980.</t>
  </si>
  <si>
    <t>1980</t>
  </si>
  <si>
    <t>Perspectives on death and dying series ; 2</t>
  </si>
  <si>
    <t>1998-01-30</t>
  </si>
  <si>
    <t>54293291:eng</t>
  </si>
  <si>
    <t>4884766</t>
  </si>
  <si>
    <t>991000790819702656</t>
  </si>
  <si>
    <t>2262116820002656</t>
  </si>
  <si>
    <t>9780895030108</t>
  </si>
  <si>
    <t>30001000067555</t>
  </si>
  <si>
    <t>893376877</t>
  </si>
  <si>
    <t>BF 789.D4 S631a 1985</t>
  </si>
  <si>
    <t>0                      BF 0789000D  4                  S  631a        1985</t>
  </si>
  <si>
    <t>Adapting to life-threatening illness / Andrew Edmund Slaby, Arvin Sigmund Glicksman.</t>
  </si>
  <si>
    <t>Slaby, Andrew Edmund.</t>
  </si>
  <si>
    <t>New York : Praeger, 1985.</t>
  </si>
  <si>
    <t>1998-05-20</t>
  </si>
  <si>
    <t>1988-12-14</t>
  </si>
  <si>
    <t>2560502:eng</t>
  </si>
  <si>
    <t>11972576</t>
  </si>
  <si>
    <t>991000773849702656</t>
  </si>
  <si>
    <t>2268067860002656</t>
  </si>
  <si>
    <t>9780275913243</t>
  </si>
  <si>
    <t>30001001394776</t>
  </si>
  <si>
    <t>893740187</t>
  </si>
  <si>
    <t>BF 789.D4 S663d 1985</t>
  </si>
  <si>
    <t>0                      BF 0789000D  4                  S  663d        1985</t>
  </si>
  <si>
    <t>Dying in the human life cycle : psychological, biomedical, and social perspectives / Walter J. Smith.</t>
  </si>
  <si>
    <t>Smith, Walter J.</t>
  </si>
  <si>
    <t>New York : Holt, Rinehart and Winston, c1985.</t>
  </si>
  <si>
    <t>197667615:eng</t>
  </si>
  <si>
    <t>11867244</t>
  </si>
  <si>
    <t>991000790569702656</t>
  </si>
  <si>
    <t>2267216290002656</t>
  </si>
  <si>
    <t>9780030717420</t>
  </si>
  <si>
    <t>30001000067514</t>
  </si>
  <si>
    <t>893815478</t>
  </si>
  <si>
    <t>BF 789.D4 T378c 1981</t>
  </si>
  <si>
    <t>0                      BF 0789000D  4                  T  378c        1981</t>
  </si>
  <si>
    <t>A cross-cultural study of death anxiety and religious belief / by John Kuriako Thekkedam.</t>
  </si>
  <si>
    <t>Thekkedam, John Kuriako, 1940-</t>
  </si>
  <si>
    <t>miu</t>
  </si>
  <si>
    <t>2010-01-22</t>
  </si>
  <si>
    <t>1989-03-28</t>
  </si>
  <si>
    <t>17381460:eng</t>
  </si>
  <si>
    <t>18215434</t>
  </si>
  <si>
    <t>991001243059702656</t>
  </si>
  <si>
    <t>2264720900002656</t>
  </si>
  <si>
    <t>30001001676206</t>
  </si>
  <si>
    <t>893557718</t>
  </si>
  <si>
    <t>BF 789.D4 V218c 1987</t>
  </si>
  <si>
    <t>0                      BF 0789000D  4                  V  218c        1987</t>
  </si>
  <si>
    <t>Choices : for people who have a terminal illness, their families, and their caregivers / Harry Van Bommel.</t>
  </si>
  <si>
    <t>Van Bommel, Harry.</t>
  </si>
  <si>
    <t>Toronto : NC Press ; Port Washington, N.Y. : Distributed in the U.S.A. by Independent Publishers Group, c1987.</t>
  </si>
  <si>
    <t>2nd rev. ed.</t>
  </si>
  <si>
    <t>onc</t>
  </si>
  <si>
    <t>1995-04-08</t>
  </si>
  <si>
    <t>1988-04-20</t>
  </si>
  <si>
    <t>9469881:eng</t>
  </si>
  <si>
    <t>18383216</t>
  </si>
  <si>
    <t>991001186579702656</t>
  </si>
  <si>
    <t>2260766690002656</t>
  </si>
  <si>
    <t>9781550210200</t>
  </si>
  <si>
    <t>30001000978249</t>
  </si>
  <si>
    <t>893632795</t>
  </si>
  <si>
    <t>BF 789.S8 S795h 1992</t>
  </si>
  <si>
    <t>0                      BF 0789000S  8                  S  795h        1992</t>
  </si>
  <si>
    <t>The hidden dimension of illness : human suffering / Patricia L. Starck and John P. McGovern, editors.</t>
  </si>
  <si>
    <t>Starck, Patricia L.</t>
  </si>
  <si>
    <t>New York : National League for Nursing; c1992.</t>
  </si>
  <si>
    <t>NLN pub. no. 15-2461.</t>
  </si>
  <si>
    <t>2007-11-30</t>
  </si>
  <si>
    <t>2000-06-15</t>
  </si>
  <si>
    <t>475872305:eng</t>
  </si>
  <si>
    <t>25784207</t>
  </si>
  <si>
    <t>991000234229702656</t>
  </si>
  <si>
    <t>2258747320002656</t>
  </si>
  <si>
    <t>30001002387803</t>
  </si>
  <si>
    <t>893269304</t>
  </si>
  <si>
    <t>BF 798 C542t 1986</t>
  </si>
  <si>
    <t>0                      BF 0798000C  542t        1986</t>
  </si>
  <si>
    <t>Temperament in clinical practice / Stella Chess and Alexander Thomas.</t>
  </si>
  <si>
    <t>Chess, Stella.</t>
  </si>
  <si>
    <t>New York : Guilford Press, 1986.</t>
  </si>
  <si>
    <t>1999-01-27</t>
  </si>
  <si>
    <t>5059920:eng</t>
  </si>
  <si>
    <t>12421861</t>
  </si>
  <si>
    <t>991000790429702656</t>
  </si>
  <si>
    <t>2272331770002656</t>
  </si>
  <si>
    <t>9780898626698</t>
  </si>
  <si>
    <t>30001000067415</t>
  </si>
  <si>
    <t>893735768</t>
  </si>
  <si>
    <t>BF 81 H6731 2009</t>
  </si>
  <si>
    <t>0                      BF 0081000H  6731        2009</t>
  </si>
  <si>
    <t>A History of psychology : original sources and contemporary research / edited by Ludy T. Benjamin, Jr.</t>
  </si>
  <si>
    <t>Malden, MA ; Oxford : Blackwell Pub., 2009.</t>
  </si>
  <si>
    <t>2009</t>
  </si>
  <si>
    <t>2009-07-01</t>
  </si>
  <si>
    <t>2009-06-30</t>
  </si>
  <si>
    <t>151196932:eng</t>
  </si>
  <si>
    <t>191763341</t>
  </si>
  <si>
    <t>991001476079702656</t>
  </si>
  <si>
    <t>2254765700002656</t>
  </si>
  <si>
    <t>9781405177108</t>
  </si>
  <si>
    <t>30001004918316</t>
  </si>
  <si>
    <t>893455835</t>
  </si>
  <si>
    <t>BF 95 M978h 1972</t>
  </si>
  <si>
    <t>0                      BF 0095000M  978h        1972</t>
  </si>
  <si>
    <t>Historical introduction to modern psychology / Gardner Murphy, Joseph K. Kovach.</t>
  </si>
  <si>
    <t>Murphy, Gardner, 1895-1979.</t>
  </si>
  <si>
    <t>New York : Harcourt Brace Jovanovich, c1972.</t>
  </si>
  <si>
    <t>1989-06-21</t>
  </si>
  <si>
    <t>1987-12-28</t>
  </si>
  <si>
    <t>69543344:eng</t>
  </si>
  <si>
    <t>352696</t>
  </si>
  <si>
    <t>991000786719702656</t>
  </si>
  <si>
    <t>2265170220002656</t>
  </si>
  <si>
    <t>9780155362451</t>
  </si>
  <si>
    <t>30001000065880</t>
  </si>
  <si>
    <t>893540549</t>
  </si>
  <si>
    <t>BF121 .H58</t>
  </si>
  <si>
    <t>0                      BF 0121000H  58</t>
  </si>
  <si>
    <t>Behavioral science; a selective view [by] Frederick R. Hine, Eric Pfeiffer [and others] Foreword by Ewald W. Busse.</t>
  </si>
  <si>
    <t>Hine, Frederick R., 1925-</t>
  </si>
  <si>
    <t>Boston, Little, Brown [1972]</t>
  </si>
  <si>
    <t>2000-12-02</t>
  </si>
  <si>
    <t>1987-09-11</t>
  </si>
  <si>
    <t>1420167:eng</t>
  </si>
  <si>
    <t>278498</t>
  </si>
  <si>
    <t>991000803219702656</t>
  </si>
  <si>
    <t>2258246100002656</t>
  </si>
  <si>
    <t>30001000075889</t>
  </si>
  <si>
    <t>893120460</t>
  </si>
  <si>
    <t>BF121 C737 1994 V2</t>
  </si>
  <si>
    <t>0                      BF 0121000C  737         1994   V  2</t>
  </si>
  <si>
    <t>30001002696096</t>
  </si>
  <si>
    <t>893283404</t>
  </si>
  <si>
    <t>BF173 .F6173 1946</t>
  </si>
  <si>
    <t>0                      BF 0173000F  6173        1946</t>
  </si>
  <si>
    <t>The ego and the mechanisms of defence / Anna Freud, translated from the German by Cecil Baines.</t>
  </si>
  <si>
    <t>Freud, Anna, 1895-1982.</t>
  </si>
  <si>
    <t>New York, N.Y. : International Universities Press, inc., [1946]</t>
  </si>
  <si>
    <t>1946</t>
  </si>
  <si>
    <t>2008-03-24</t>
  </si>
  <si>
    <t>1987-12-10</t>
  </si>
  <si>
    <t>1150940235:eng</t>
  </si>
  <si>
    <t>192097</t>
  </si>
  <si>
    <t>991001130679702656</t>
  </si>
  <si>
    <t>2258493100002656</t>
  </si>
  <si>
    <t>30001000284762</t>
  </si>
  <si>
    <t>893557631</t>
  </si>
  <si>
    <t>BF173 F6183 S217a 1985</t>
  </si>
  <si>
    <t>0                      BF 0173000F  6183               S  217a        1985</t>
  </si>
  <si>
    <t>The analysis of defense : the ego and the mechanisms of defense revisited / Joseph Sandler with Anna Freud.</t>
  </si>
  <si>
    <t>Sandler, Joseph.</t>
  </si>
  <si>
    <t>New York, N.Y. : International Universities Press, c1985.</t>
  </si>
  <si>
    <t>1995-09-23</t>
  </si>
  <si>
    <t>1991-06-17</t>
  </si>
  <si>
    <t>198261503:eng</t>
  </si>
  <si>
    <t>10997277</t>
  </si>
  <si>
    <t>991000938939702656</t>
  </si>
  <si>
    <t>2264107890002656</t>
  </si>
  <si>
    <t>9780823604968</t>
  </si>
  <si>
    <t>30001002192062</t>
  </si>
  <si>
    <t>893363559</t>
  </si>
  <si>
    <t>BF176 G618C 1979</t>
  </si>
  <si>
    <t>0                      BF 0176000G  618C        1979</t>
  </si>
  <si>
    <t>Clinical interpretation of objective psychological tests / Charles J. Golden.</t>
  </si>
  <si>
    <t>Golden, Charles J., 1949-</t>
  </si>
  <si>
    <t>New York : Grune &amp; Stratton, c1979.</t>
  </si>
  <si>
    <t>1979</t>
  </si>
  <si>
    <t>1999-06-28</t>
  </si>
  <si>
    <t>3901180115:eng</t>
  </si>
  <si>
    <t>4493228</t>
  </si>
  <si>
    <t>991000786999702656</t>
  </si>
  <si>
    <t>2260847990002656</t>
  </si>
  <si>
    <t>9780808911630</t>
  </si>
  <si>
    <t>30001000066003</t>
  </si>
  <si>
    <t>893642540</t>
  </si>
  <si>
    <t>BF176 S423 2003</t>
  </si>
  <si>
    <t>0                      BF 0176000S  423         2003</t>
  </si>
  <si>
    <t>Score reliability : contemporary thinking on reliability issues / editor, Bruce Thompson.</t>
  </si>
  <si>
    <t>Thousand Oaks, Calif. : SAGE Publications, c2003.</t>
  </si>
  <si>
    <t>2003</t>
  </si>
  <si>
    <t>2004-02-25</t>
  </si>
  <si>
    <t>2002-10-01</t>
  </si>
  <si>
    <t>891098020:eng</t>
  </si>
  <si>
    <t>49795362</t>
  </si>
  <si>
    <t>991000329749702656</t>
  </si>
  <si>
    <t>2255334430002656</t>
  </si>
  <si>
    <t>9780761926269</t>
  </si>
  <si>
    <t>30001004440451</t>
  </si>
  <si>
    <t>893723376</t>
  </si>
  <si>
    <t>BF295 S249 2004</t>
  </si>
  <si>
    <t>0                      BF 0295000S  249         2004</t>
  </si>
  <si>
    <t>Motor learning and performance / Richard A. Schmidt, Craig A. Wrisberg.</t>
  </si>
  <si>
    <t>Schmidt, Richard A. (Richard Allen), 1941-2015.</t>
  </si>
  <si>
    <t>Champaign, IL : Human Kinetics, 2004.</t>
  </si>
  <si>
    <t>ilu</t>
  </si>
  <si>
    <t>2004-11-02</t>
  </si>
  <si>
    <t>2004-11-01</t>
  </si>
  <si>
    <t>340211:eng</t>
  </si>
  <si>
    <t>53485359</t>
  </si>
  <si>
    <t>991000405749702656</t>
  </si>
  <si>
    <t>2267791520002656</t>
  </si>
  <si>
    <t>9780736045667</t>
  </si>
  <si>
    <t>30001004924363</t>
  </si>
  <si>
    <t>893633859</t>
  </si>
  <si>
    <t>BF31 .E5 1994</t>
  </si>
  <si>
    <t>0                      BF 0031000E  5           1994</t>
  </si>
  <si>
    <t>Encyclopedia of human behavior / editor-in-chief V.S. Ramachandran.</t>
  </si>
  <si>
    <t>V. 4</t>
  </si>
  <si>
    <t>San Diego, CA : Academic Press, c1994.</t>
  </si>
  <si>
    <t>1994-09-14</t>
  </si>
  <si>
    <t>2004-10-24</t>
  </si>
  <si>
    <t>1994-09-13</t>
  </si>
  <si>
    <t>9566059151:eng</t>
  </si>
  <si>
    <t>28799810</t>
  </si>
  <si>
    <t>991001690309702656</t>
  </si>
  <si>
    <t>2266436340002656</t>
  </si>
  <si>
    <t>9780122269202</t>
  </si>
  <si>
    <t>30001002697342</t>
  </si>
  <si>
    <t>893643728</t>
  </si>
  <si>
    <t>V. 3</t>
  </si>
  <si>
    <t>30001002697334</t>
  </si>
  <si>
    <t>893643729</t>
  </si>
  <si>
    <t>30001002697318</t>
  </si>
  <si>
    <t>893633226</t>
  </si>
  <si>
    <t>30001002697326</t>
  </si>
  <si>
    <t>893643730</t>
  </si>
  <si>
    <t>BF319.5.O6 F7</t>
  </si>
  <si>
    <t>0                      BF 0319500O  6                  F  7</t>
  </si>
  <si>
    <t>The planned society : an analysis of Skinner's proposals / by Anne E. Freedman.</t>
  </si>
  <si>
    <t>Freedman, Anne E.</t>
  </si>
  <si>
    <t>Kalamazoo, Mich. : Behaviordelia, 1972.</t>
  </si>
  <si>
    <t>2004-07-05</t>
  </si>
  <si>
    <t>1987-09-16</t>
  </si>
  <si>
    <t>1993-05-05</t>
  </si>
  <si>
    <t>203363176:eng</t>
  </si>
  <si>
    <t>931950</t>
  </si>
  <si>
    <t>991001765839702656</t>
  </si>
  <si>
    <t>2269182960002656</t>
  </si>
  <si>
    <t>30001000078438</t>
  </si>
  <si>
    <t>893832584</t>
  </si>
  <si>
    <t>BF321 .N5</t>
  </si>
  <si>
    <t>0                      BF 0321000N  5</t>
  </si>
  <si>
    <t>Are you listening? / [by] Ralph G. Nichols [and] Leonard A. Stevens.</t>
  </si>
  <si>
    <t>Nichols, Ralph G.</t>
  </si>
  <si>
    <t>New York : McGraw-Hill, [1957]</t>
  </si>
  <si>
    <t>1957</t>
  </si>
  <si>
    <t>1996-12-20</t>
  </si>
  <si>
    <t>2001-03-02</t>
  </si>
  <si>
    <t>1991-12-23</t>
  </si>
  <si>
    <t>1334058:eng</t>
  </si>
  <si>
    <t>224491</t>
  </si>
  <si>
    <t>991001762039702656</t>
  </si>
  <si>
    <t>2264199120002656</t>
  </si>
  <si>
    <t>30001000066078</t>
  </si>
  <si>
    <t>893163015</t>
  </si>
  <si>
    <t>BF323.E8 S75</t>
  </si>
  <si>
    <t>0                      BF 0323000E  8                  S  75</t>
  </si>
  <si>
    <t>The psychology of hope.</t>
  </si>
  <si>
    <t>Stotland, Ezra, 1924-</t>
  </si>
  <si>
    <t>San Francisco, Jossey-Bass, 1969.</t>
  </si>
  <si>
    <t>1969</t>
  </si>
  <si>
    <t>Jossey-Bass behavioral science series</t>
  </si>
  <si>
    <t>1990-02-18</t>
  </si>
  <si>
    <t>1182063:eng</t>
  </si>
  <si>
    <t>31274</t>
  </si>
  <si>
    <t>991000787339702656</t>
  </si>
  <si>
    <t>2262177030002656</t>
  </si>
  <si>
    <t>9780875890319</t>
  </si>
  <si>
    <t>30001000066086</t>
  </si>
  <si>
    <t>893287014</t>
  </si>
  <si>
    <t>BF353 G162p 1993</t>
  </si>
  <si>
    <t>0                      BF 0353000G  162p        1993</t>
  </si>
  <si>
    <t>The power of place : how our surroundings shape our thoughts, emotions, and actions / Winifred Gallagher.</t>
  </si>
  <si>
    <t>Gallagher, Winifred.</t>
  </si>
  <si>
    <t>New York : Poseidon Press, c1993.</t>
  </si>
  <si>
    <t>1993</t>
  </si>
  <si>
    <t>2002-11-21</t>
  </si>
  <si>
    <t>2002-08-23</t>
  </si>
  <si>
    <t>890035337:eng</t>
  </si>
  <si>
    <t>27011419</t>
  </si>
  <si>
    <t>991000328559702656</t>
  </si>
  <si>
    <t>22101319440002656</t>
  </si>
  <si>
    <t>9780671724108</t>
  </si>
  <si>
    <t>30001004441392</t>
  </si>
  <si>
    <t>893737228</t>
  </si>
  <si>
    <t>BF431 .G783 1987</t>
  </si>
  <si>
    <t>0                      BF 0431000G  783         1987</t>
  </si>
  <si>
    <t>Adult intellectual assessment / Robert J. Gregory.</t>
  </si>
  <si>
    <t>Gregory, Robert J.</t>
  </si>
  <si>
    <t>2001-11-18</t>
  </si>
  <si>
    <t>1993-03-29</t>
  </si>
  <si>
    <t>180905898:eng</t>
  </si>
  <si>
    <t>14412922</t>
  </si>
  <si>
    <t>991001805479702656</t>
  </si>
  <si>
    <t>2263989900002656</t>
  </si>
  <si>
    <t>9780205104635</t>
  </si>
  <si>
    <t>30001000623027</t>
  </si>
  <si>
    <t>893150200</t>
  </si>
  <si>
    <t>BF431 .N38</t>
  </si>
  <si>
    <t>0                      BF 0431000N  38</t>
  </si>
  <si>
    <t>The Nature of intelligence / edited by Lauren B. Resnick.</t>
  </si>
  <si>
    <t>Hillsdale, N.J. : Lawrence Erlbaum Associates ; New York : distributed by Halsted Press Division of J. Wiley, 1976.</t>
  </si>
  <si>
    <t>1976</t>
  </si>
  <si>
    <t>1998-10-06</t>
  </si>
  <si>
    <t>2004-10-14</t>
  </si>
  <si>
    <t>365344738:eng</t>
  </si>
  <si>
    <t>2310630</t>
  </si>
  <si>
    <t>991001653719702656</t>
  </si>
  <si>
    <t>2261461230002656</t>
  </si>
  <si>
    <t>9780470013847</t>
  </si>
  <si>
    <t>206706-2001</t>
  </si>
  <si>
    <t>893279241</t>
  </si>
  <si>
    <t>BF431.5.U6 V152j 2000</t>
  </si>
  <si>
    <t>0                      BF 0431500U  6                  V  152j        2000</t>
  </si>
  <si>
    <t>Intelligence testing and minority students : foundations, performance factors, and assessment issues / Richard R. Valencia, Lisa A. Suzuki.</t>
  </si>
  <si>
    <t>Valencia, Richard R.</t>
  </si>
  <si>
    <t>Thousand Oaks, Calif. : Sage Publications, c2001.</t>
  </si>
  <si>
    <t>2001</t>
  </si>
  <si>
    <t>Racial and ethnic minority psychology series</t>
  </si>
  <si>
    <t>2006-05-25</t>
  </si>
  <si>
    <t>2006-04-20</t>
  </si>
  <si>
    <t>836983198:eng</t>
  </si>
  <si>
    <t>43859346</t>
  </si>
  <si>
    <t>991000476119702656</t>
  </si>
  <si>
    <t>2270916190002656</t>
  </si>
  <si>
    <t>9780761912309</t>
  </si>
  <si>
    <t>30001004914612</t>
  </si>
  <si>
    <t>893354418</t>
  </si>
  <si>
    <t>BF455 .L8 1982</t>
  </si>
  <si>
    <t>0                      BF 0455000L  8           1982</t>
  </si>
  <si>
    <t>Language and cognition / Alexander R. Luria ; edited by James V. Wertsch.</t>
  </si>
  <si>
    <t>Lurii︠a︡, A. R. (Aleksandr Romanovich), 1902-1977.</t>
  </si>
  <si>
    <t>Washington, D.C. : V.H. Winston ; New York : John Wiley, 1981, c1982.</t>
  </si>
  <si>
    <t>dcu</t>
  </si>
  <si>
    <t>1997-12-03</t>
  </si>
  <si>
    <t>1987-08-20</t>
  </si>
  <si>
    <t>1991-07-31</t>
  </si>
  <si>
    <t>144652433:eng</t>
  </si>
  <si>
    <t>8155099</t>
  </si>
  <si>
    <t>991001762209702656</t>
  </si>
  <si>
    <t>2272596630002656</t>
  </si>
  <si>
    <t>9780471093022</t>
  </si>
  <si>
    <t>30001000066292</t>
  </si>
  <si>
    <t>893832577</t>
  </si>
  <si>
    <t>BF455 .R853 1986</t>
  </si>
  <si>
    <t>0                      BF 0455000R  853         1986</t>
  </si>
  <si>
    <t>Parallel distributed processing : explorations in the microstructure of cognition / David E. Rumelhart, James L. McClelland, and the PDP Research Group.</t>
  </si>
  <si>
    <t>Rumelhart, David E.</t>
  </si>
  <si>
    <t>Cambridge, Mass. : MIT Press, c1986, 1988 printing.</t>
  </si>
  <si>
    <t>Computational models of cognition and perception</t>
  </si>
  <si>
    <t>2002-04-20</t>
  </si>
  <si>
    <t>1993-06-07</t>
  </si>
  <si>
    <t>2864462756:eng</t>
  </si>
  <si>
    <t>12837549</t>
  </si>
  <si>
    <t>991001762259702656</t>
  </si>
  <si>
    <t>2272126830002656</t>
  </si>
  <si>
    <t>9780262132183</t>
  </si>
  <si>
    <t>30001000066334</t>
  </si>
  <si>
    <t>893816667</t>
  </si>
  <si>
    <t>BF51 .F84 1986</t>
  </si>
  <si>
    <t>0                      BF 0051000F  84          1986</t>
  </si>
  <si>
    <t>Psychology and religion : eight points of view / Andrew Reid Fuller.</t>
  </si>
  <si>
    <t>Fuller, Andrew Reid.</t>
  </si>
  <si>
    <t>Lanham, MD : University Press of America, c1986.</t>
  </si>
  <si>
    <t>mdu</t>
  </si>
  <si>
    <t>1992-03-01</t>
  </si>
  <si>
    <t>1998-11-08</t>
  </si>
  <si>
    <t>1987-08-21</t>
  </si>
  <si>
    <t>1992-10-23</t>
  </si>
  <si>
    <t>965352:eng</t>
  </si>
  <si>
    <t>13330804</t>
  </si>
  <si>
    <t>991001774969702656</t>
  </si>
  <si>
    <t>2263752560002656</t>
  </si>
  <si>
    <t>9780819153364</t>
  </si>
  <si>
    <t>30001000173031</t>
  </si>
  <si>
    <t>893827080</t>
  </si>
  <si>
    <t>BF515 .P79</t>
  </si>
  <si>
    <t>0                      BF 0515000P  79</t>
  </si>
  <si>
    <t>The Psychology of pain / edited by Richard A. Sternbach.</t>
  </si>
  <si>
    <t>New York : Raven Press, c1978.</t>
  </si>
  <si>
    <t>1999-03-12</t>
  </si>
  <si>
    <t>1987-12-02</t>
  </si>
  <si>
    <t>1990-04-26</t>
  </si>
  <si>
    <t>54238559:eng</t>
  </si>
  <si>
    <t>4136788</t>
  </si>
  <si>
    <t>991001791419702656</t>
  </si>
  <si>
    <t>2258248850002656</t>
  </si>
  <si>
    <t>9780890042786</t>
  </si>
  <si>
    <t>30001000331506</t>
  </si>
  <si>
    <t>893832601</t>
  </si>
  <si>
    <t>BF531 .O2</t>
  </si>
  <si>
    <t>0                      BF 0531000O  2</t>
  </si>
  <si>
    <t>Emotions and morals : their place and purpose in harmonious living.</t>
  </si>
  <si>
    <t>O'Brien, Patrick, 1917-</t>
  </si>
  <si>
    <t>New York : Grune &amp; Stratton, 1950.</t>
  </si>
  <si>
    <t>1950</t>
  </si>
  <si>
    <t>10457480841:eng</t>
  </si>
  <si>
    <t>1406018</t>
  </si>
  <si>
    <t>991000787879702656</t>
  </si>
  <si>
    <t>2261223980002656</t>
  </si>
  <si>
    <t>30001000066417</t>
  </si>
  <si>
    <t>893161165</t>
  </si>
  <si>
    <t>BF575 .G7 S979D 1970</t>
  </si>
  <si>
    <t>0                      BF 0575000G  7                  S  979D        1970</t>
  </si>
  <si>
    <t>The dynamics of grief / [by] David K. Switzer.</t>
  </si>
  <si>
    <t>Switzer, David K., 1925-</t>
  </si>
  <si>
    <t>Nashville : Abingdon Press, [1970]</t>
  </si>
  <si>
    <t>434308:eng</t>
  </si>
  <si>
    <t>106345</t>
  </si>
  <si>
    <t>991000788469702656</t>
  </si>
  <si>
    <t>2263900320002656</t>
  </si>
  <si>
    <t>9780687113132</t>
  </si>
  <si>
    <t>30001000066607</t>
  </si>
  <si>
    <t>893831254</t>
  </si>
  <si>
    <t>BF575 A3 B214a 1973</t>
  </si>
  <si>
    <t>0                      BF 0575000A  3                  B  214a        1973</t>
  </si>
  <si>
    <t>Aggression : a social learning analysis / Albert Bandura.</t>
  </si>
  <si>
    <t>Bandura, Albert, 1925-</t>
  </si>
  <si>
    <t>Englewood Cliffs, N.J. : Prentice-Hall, c1973.</t>
  </si>
  <si>
    <t>The Prentice-Hall series in social learning theory</t>
  </si>
  <si>
    <t>1990-02-09</t>
  </si>
  <si>
    <t>410077:eng</t>
  </si>
  <si>
    <t>42863067</t>
  </si>
  <si>
    <t>991001446929702656</t>
  </si>
  <si>
    <t>2261304190002656</t>
  </si>
  <si>
    <t>9780130207432</t>
  </si>
  <si>
    <t>30001001880808</t>
  </si>
  <si>
    <t>893162014</t>
  </si>
  <si>
    <t>BF575.G7  D129a 2003</t>
  </si>
  <si>
    <t>0                      BF 0575000G  7                  D  129a        2003</t>
  </si>
  <si>
    <t>And the passenger was death : the drama and trauma of losing a child / Douglas Daher.</t>
  </si>
  <si>
    <t>Daher, Douglas, 1949-</t>
  </si>
  <si>
    <t>Amityville, N.Y. : Baywood Pub., c2003.</t>
  </si>
  <si>
    <t>2004-02-27</t>
  </si>
  <si>
    <t>2004-02-24</t>
  </si>
  <si>
    <t>738284:eng</t>
  </si>
  <si>
    <t>51653253</t>
  </si>
  <si>
    <t>991000366699702656</t>
  </si>
  <si>
    <t>2269517980002656</t>
  </si>
  <si>
    <t>9780895032447</t>
  </si>
  <si>
    <t>30001004509297</t>
  </si>
  <si>
    <t>893644326</t>
  </si>
  <si>
    <t>BF575.G7 L232 2004</t>
  </si>
  <si>
    <t>0                      BF 0575000G  7                  L  232         2004</t>
  </si>
  <si>
    <t>Consolation : the spiritual journey beyond grief / Maurice Lamm.</t>
  </si>
  <si>
    <t>Lamm, Maurice.</t>
  </si>
  <si>
    <t>Philadelphia : The Jewish Publication Society, 2004.</t>
  </si>
  <si>
    <t>2008-08-25</t>
  </si>
  <si>
    <t>2006-04-27</t>
  </si>
  <si>
    <t>855442757:eng</t>
  </si>
  <si>
    <t>53131648</t>
  </si>
  <si>
    <t>991000477899702656</t>
  </si>
  <si>
    <t>2270148670002656</t>
  </si>
  <si>
    <t>9780827607644</t>
  </si>
  <si>
    <t>30001004913317</t>
  </si>
  <si>
    <t>893633919</t>
  </si>
  <si>
    <t>BF575.G7 P35 1986</t>
  </si>
  <si>
    <t>0                      BF 0575000G  7                  P  35          1986</t>
  </si>
  <si>
    <t>Parental loss of a child / edited by Therese A. Rando.</t>
  </si>
  <si>
    <t>Champaign, Ill. : Research Press Co., c1986.</t>
  </si>
  <si>
    <t>2000-03-03</t>
  </si>
  <si>
    <t>2002-03-21</t>
  </si>
  <si>
    <t>1993-04-16</t>
  </si>
  <si>
    <t>9260006:eng</t>
  </si>
  <si>
    <t>14248435</t>
  </si>
  <si>
    <t>991001762339702656</t>
  </si>
  <si>
    <t>2271474970002656</t>
  </si>
  <si>
    <t>9780878222810</t>
  </si>
  <si>
    <t>30001000066540</t>
  </si>
  <si>
    <t>893727998</t>
  </si>
  <si>
    <t>BF575.G7 P37</t>
  </si>
  <si>
    <t>0                      BF 0575000G  7                  P  37</t>
  </si>
  <si>
    <t>Bereavement : studies of grief in adult life / foreword by John Bowlby.</t>
  </si>
  <si>
    <t>Parkes, Colin Murray.</t>
  </si>
  <si>
    <t>New York : International Universities Press, [1972]</t>
  </si>
  <si>
    <t>2009-11-04</t>
  </si>
  <si>
    <t>1990-09-21</t>
  </si>
  <si>
    <t>3429253:eng</t>
  </si>
  <si>
    <t>482679</t>
  </si>
  <si>
    <t>991001762399702656</t>
  </si>
  <si>
    <t>2258895050002656</t>
  </si>
  <si>
    <t>30001000066557</t>
  </si>
  <si>
    <t>893727999</t>
  </si>
  <si>
    <t>BF575.G7 R35 1984</t>
  </si>
  <si>
    <t>0                      BF 0575000G  7                  R  35          1984</t>
  </si>
  <si>
    <t>Grief, dying, and death : clinical interventions for caregivers / Therese A. Rando ; foreword by J. William Worden.</t>
  </si>
  <si>
    <t>Rando, Therese A.</t>
  </si>
  <si>
    <t>Champaign, Ill. : Research Press Co., c1984.</t>
  </si>
  <si>
    <t>2005-06-26</t>
  </si>
  <si>
    <t>1992-02-20</t>
  </si>
  <si>
    <t>197890995:eng</t>
  </si>
  <si>
    <t>11527314</t>
  </si>
  <si>
    <t>991001762429702656</t>
  </si>
  <si>
    <t>2262490450002656</t>
  </si>
  <si>
    <t>9780878222322</t>
  </si>
  <si>
    <t>30001000066565</t>
  </si>
  <si>
    <t>893456284</t>
  </si>
  <si>
    <t>BF575.H27 C85 1990</t>
  </si>
  <si>
    <t>0                      BF 0575000H  27                 C  85          1990</t>
  </si>
  <si>
    <t>Flow : the psychology of optimal experience / Mihaly Csikszentmihalyi.</t>
  </si>
  <si>
    <t>Csikszentmihalyi, Mihaly.</t>
  </si>
  <si>
    <t>New York : Harper &amp; Row, c1990.</t>
  </si>
  <si>
    <t>2004-02-18</t>
  </si>
  <si>
    <t>1997-01-17</t>
  </si>
  <si>
    <t>3901870859:eng</t>
  </si>
  <si>
    <t>20392741</t>
  </si>
  <si>
    <t>991000852869702656</t>
  </si>
  <si>
    <t>2269317620002656</t>
  </si>
  <si>
    <t>9780060162535</t>
  </si>
  <si>
    <t>30001003474303</t>
  </si>
  <si>
    <t>893740502</t>
  </si>
  <si>
    <t>BF575.H27 J32e 2004</t>
  </si>
  <si>
    <t>0                      BF 0575000H  27                 J  32e         2004</t>
  </si>
  <si>
    <t>Exuberance : the passion for life / by Kay Redfield Jamison.</t>
  </si>
  <si>
    <t>Jamison, Kay R.</t>
  </si>
  <si>
    <t>New York : A.A. Knopf, 2004.</t>
  </si>
  <si>
    <t>2005-01-27</t>
  </si>
  <si>
    <t>878778:eng</t>
  </si>
  <si>
    <t>54767487</t>
  </si>
  <si>
    <t>991000424209702656</t>
  </si>
  <si>
    <t>2271229530002656</t>
  </si>
  <si>
    <t>9780375401442</t>
  </si>
  <si>
    <t>30001004926772</t>
  </si>
  <si>
    <t>893151024</t>
  </si>
  <si>
    <t>BF575.S75 C64 1973</t>
  </si>
  <si>
    <t>0                      BF 0575000S  75                 C  64          1973</t>
  </si>
  <si>
    <t>Stressful life events : their nature and effects : [papers] / edited by Barbara Snell Dohrenwend [and] Bruce P. Dohrenwend.</t>
  </si>
  <si>
    <t>Conference on Stressful Life Events: Their Nature and Effects (1973 : City University of New York)</t>
  </si>
  <si>
    <t>New York : Wiley, [1974]</t>
  </si>
  <si>
    <t>1996-04-26</t>
  </si>
  <si>
    <t>2004-10-09</t>
  </si>
  <si>
    <t>1989-04-18</t>
  </si>
  <si>
    <t>1990-11-19</t>
  </si>
  <si>
    <t>1075019692:eng</t>
  </si>
  <si>
    <t>874186</t>
  </si>
  <si>
    <t>991001781769702656</t>
  </si>
  <si>
    <t>2262439130002656</t>
  </si>
  <si>
    <t>9780471217534</t>
  </si>
  <si>
    <t>30001000249302</t>
  </si>
  <si>
    <t>893135825</t>
  </si>
  <si>
    <t>BF575.S75 L32 1984</t>
  </si>
  <si>
    <t>0                      BF 0575000S  75                 L  32          1984</t>
  </si>
  <si>
    <t>Stress, appraisal, and coping / Richard S. Lazarus, Susan Folkman.</t>
  </si>
  <si>
    <t>Lazarus, Richard S.</t>
  </si>
  <si>
    <t>New York : Springer Pub. Co., c1984.</t>
  </si>
  <si>
    <t>2010-04-05</t>
  </si>
  <si>
    <t>1990-06-01</t>
  </si>
  <si>
    <t>969312:eng</t>
  </si>
  <si>
    <t>10754235</t>
  </si>
  <si>
    <t>991001762469702656</t>
  </si>
  <si>
    <t>2268082250002656</t>
  </si>
  <si>
    <t>9780826141903</t>
  </si>
  <si>
    <t>30001000066649</t>
  </si>
  <si>
    <t>893732375</t>
  </si>
  <si>
    <t>BF575.S75 S7739 1986</t>
  </si>
  <si>
    <t>0                      BF 0575000S  75                 S  7739        1986</t>
  </si>
  <si>
    <t>Stress, social support, and women / edited by Stevan E. Hobfoll.</t>
  </si>
  <si>
    <t>Washington : Hemisphere Pub. Corp., c1986.</t>
  </si>
  <si>
    <t>The Series in clinical and community psychology, 0146-0846</t>
  </si>
  <si>
    <t>1994-10-25</t>
  </si>
  <si>
    <t>54683869:eng</t>
  </si>
  <si>
    <t>11548708</t>
  </si>
  <si>
    <t>991000787949702656</t>
  </si>
  <si>
    <t>2259919730002656</t>
  </si>
  <si>
    <t>9780891164043</t>
  </si>
  <si>
    <t>30001000066441</t>
  </si>
  <si>
    <t>893363087</t>
  </si>
  <si>
    <t>BF637.C45 B84 1983</t>
  </si>
  <si>
    <t>0                      BF 0637000C  45                 B  84          1983</t>
  </si>
  <si>
    <t>Body movement and interpersonal communication / Peter Bull.</t>
  </si>
  <si>
    <t>Bull, Peter, 1949-</t>
  </si>
  <si>
    <t>Chichester ; New York : Wiley, c1983, 1984 printing.</t>
  </si>
  <si>
    <t>1996-09-09</t>
  </si>
  <si>
    <t>2007-02-24</t>
  </si>
  <si>
    <t>1988-05-04</t>
  </si>
  <si>
    <t>1990-03-27</t>
  </si>
  <si>
    <t>4991459:eng</t>
  </si>
  <si>
    <t>9082713</t>
  </si>
  <si>
    <t>991001762539702656</t>
  </si>
  <si>
    <t>2255183330002656</t>
  </si>
  <si>
    <t>9780471900696</t>
  </si>
  <si>
    <t>30001000066771</t>
  </si>
  <si>
    <t>893541858</t>
  </si>
  <si>
    <t>BF637.C6 C79</t>
  </si>
  <si>
    <t>0                      BF 0637000C  6                  C  79</t>
  </si>
  <si>
    <t>Counseling and psychotherapy : the pursuit of values / by Charles A. Curran.</t>
  </si>
  <si>
    <t>Curran, Charles A. (Charles Arthur), 1913-1978.</t>
  </si>
  <si>
    <t>New York : Sheed and Ward, [1968]</t>
  </si>
  <si>
    <t>1968</t>
  </si>
  <si>
    <t>1990-09-13</t>
  </si>
  <si>
    <t>1993-05-30</t>
  </si>
  <si>
    <t>1987-12-03</t>
  </si>
  <si>
    <t>1990-10-23</t>
  </si>
  <si>
    <t>796335498:eng</t>
  </si>
  <si>
    <t>21263</t>
  </si>
  <si>
    <t>991001785639702656</t>
  </si>
  <si>
    <t>2261432400002656</t>
  </si>
  <si>
    <t>30001000274573</t>
  </si>
  <si>
    <t>893821719</t>
  </si>
  <si>
    <t>BF637.C6 D68</t>
  </si>
  <si>
    <t>0                      BF 0637000C  6                  D  68</t>
  </si>
  <si>
    <t>Counseling and learning through small-group discussion / by Helen I. Driver and thirty-seven contributors.</t>
  </si>
  <si>
    <t>Driver, Helen Irene, 1904-</t>
  </si>
  <si>
    <t>[Madison, Wis. : Monona Publications, 1958]</t>
  </si>
  <si>
    <t>1958</t>
  </si>
  <si>
    <t>1992-09-29</t>
  </si>
  <si>
    <t>1997-07-06</t>
  </si>
  <si>
    <t>1992-04-02</t>
  </si>
  <si>
    <t>1358758:eng</t>
  </si>
  <si>
    <t>194124</t>
  </si>
  <si>
    <t>991001762509702656</t>
  </si>
  <si>
    <t>2269323570002656</t>
  </si>
  <si>
    <t>30001000066706</t>
  </si>
  <si>
    <t>893816668</t>
  </si>
  <si>
    <t>BF637.R57 R57 1992</t>
  </si>
  <si>
    <t>0                      BF 0637000R  57                 R  57          1992</t>
  </si>
  <si>
    <t>Risk-taking behavior / edited by J. Frank Yates.</t>
  </si>
  <si>
    <t>Chichester, West Sussex, England ; New York : Wiley, c1992.</t>
  </si>
  <si>
    <t>Wiley series, Human performance and cognition</t>
  </si>
  <si>
    <t>2005-11-06</t>
  </si>
  <si>
    <t>2010-10-05</t>
  </si>
  <si>
    <t>1992-09-16</t>
  </si>
  <si>
    <t>1992-10-22</t>
  </si>
  <si>
    <t>55475314:eng</t>
  </si>
  <si>
    <t>23968596</t>
  </si>
  <si>
    <t>991001796279702656</t>
  </si>
  <si>
    <t>2268138540002656</t>
  </si>
  <si>
    <t>9780471922506</t>
  </si>
  <si>
    <t>30001002456129</t>
  </si>
  <si>
    <t>893633393</t>
  </si>
  <si>
    <t>BF697 .E7</t>
  </si>
  <si>
    <t>0                      BF 0697000E  7</t>
  </si>
  <si>
    <t>Identity, youth, and crisis / [by] Erik H. Erikson.</t>
  </si>
  <si>
    <t>New York : W. W. Norton, [1968]</t>
  </si>
  <si>
    <t>2002-01-22</t>
  </si>
  <si>
    <t>49292399:eng</t>
  </si>
  <si>
    <t>204288</t>
  </si>
  <si>
    <t>991000788879702656</t>
  </si>
  <si>
    <t>2255537520002656</t>
  </si>
  <si>
    <t>9780393097863</t>
  </si>
  <si>
    <t>30001000066821</t>
  </si>
  <si>
    <t>893287015</t>
  </si>
  <si>
    <t>BF697 .R657 1979</t>
  </si>
  <si>
    <t>0                      BF 0697000R  657         1979</t>
  </si>
  <si>
    <t>Conceiving the self / Morris Rosenberg.</t>
  </si>
  <si>
    <t>Rosenberg, Morris.</t>
  </si>
  <si>
    <t>New York : Basic Books, c1979.</t>
  </si>
  <si>
    <t>2000-02-23</t>
  </si>
  <si>
    <t>1993-03-17</t>
  </si>
  <si>
    <t>7953018:eng</t>
  </si>
  <si>
    <t>4495621</t>
  </si>
  <si>
    <t>991001777159702656</t>
  </si>
  <si>
    <t>2268100460002656</t>
  </si>
  <si>
    <t>9780465013524</t>
  </si>
  <si>
    <t>30001002192120</t>
  </si>
  <si>
    <t>893541871</t>
  </si>
  <si>
    <t>BF698.7 .R3 1981</t>
  </si>
  <si>
    <t>0                      BF 0698700R  3           1981</t>
  </si>
  <si>
    <t>Assessment with projective techniques : a concise introduction / A.I. Rabin, editor.</t>
  </si>
  <si>
    <t>New York : Springer Pub. Co., c1981.</t>
  </si>
  <si>
    <t>1987-12-07</t>
  </si>
  <si>
    <t>1993-04-05</t>
  </si>
  <si>
    <t>890440425:eng</t>
  </si>
  <si>
    <t>6943237</t>
  </si>
  <si>
    <t>991001781579702656</t>
  </si>
  <si>
    <t>2257193040002656</t>
  </si>
  <si>
    <t>9780826135506</t>
  </si>
  <si>
    <t>30001000248775</t>
  </si>
  <si>
    <t>893364939</t>
  </si>
  <si>
    <t>BF698.95 .G73 2004</t>
  </si>
  <si>
    <t>0                      BF 0698950G  73          2004</t>
  </si>
  <si>
    <t>The first idea : how symbols, language, and intelligence evolved from our primate ancestors to modern humans / Stanley I. Greenspan, Stuart G. Shanker.</t>
  </si>
  <si>
    <t>Cambridge, MA : Da Capo Press, 2004.</t>
  </si>
  <si>
    <t>1st Da Capo Press ed.</t>
  </si>
  <si>
    <t>2008-08-15</t>
  </si>
  <si>
    <t>2008-08-14</t>
  </si>
  <si>
    <t>905894987:eng</t>
  </si>
  <si>
    <t>55131380</t>
  </si>
  <si>
    <t>991001730279702656</t>
  </si>
  <si>
    <t>2268446020002656</t>
  </si>
  <si>
    <t>9780738206806</t>
  </si>
  <si>
    <t>30001004913325</t>
  </si>
  <si>
    <t>893358941</t>
  </si>
  <si>
    <t>BF713 .P79</t>
  </si>
  <si>
    <t>0                      BF 0713000P  79</t>
  </si>
  <si>
    <t>Psychosocial caring throughout the life span / editors, Irene Mortenson Burnside, Priscilla Ebersole, Helen Elena Monea.</t>
  </si>
  <si>
    <t>New York : McGraw-Hill, c1979.</t>
  </si>
  <si>
    <t>1996-10-14</t>
  </si>
  <si>
    <t>2009-03-24</t>
  </si>
  <si>
    <t>1987-10-19</t>
  </si>
  <si>
    <t>1990-07-23</t>
  </si>
  <si>
    <t>14276475:eng</t>
  </si>
  <si>
    <t>4036839</t>
  </si>
  <si>
    <t>991001759529702656</t>
  </si>
  <si>
    <t>2269102790002656</t>
  </si>
  <si>
    <t>9780070092136</t>
  </si>
  <si>
    <t>30001000042418</t>
  </si>
  <si>
    <t>893649498</t>
  </si>
  <si>
    <t>BF713 P213h 2004</t>
  </si>
  <si>
    <t>0                      BF 0713000P  213h        2004</t>
  </si>
  <si>
    <t>Human development / Diane E. Papalia, Sally Wendkos Olds, Ruth Duskin Feldman ; in consultation with Dana Gross.</t>
  </si>
  <si>
    <t>Boston : McGraw-Hill, c2004.</t>
  </si>
  <si>
    <t>9th ed.</t>
  </si>
  <si>
    <t>2007-11-29</t>
  </si>
  <si>
    <t>2003-08-25</t>
  </si>
  <si>
    <t>51534775</t>
  </si>
  <si>
    <t>991001724009702656</t>
  </si>
  <si>
    <t>2268834630002656</t>
  </si>
  <si>
    <t>9780071215015</t>
  </si>
  <si>
    <t>30001004505709</t>
  </si>
  <si>
    <t>893541564</t>
  </si>
  <si>
    <t>BF722 .B76</t>
  </si>
  <si>
    <t>0                      BF 0722000B  76</t>
  </si>
  <si>
    <t>The ecology of human development : experiments by nature and design / Urie Bronfenbrenner.</t>
  </si>
  <si>
    <t>Bronfenbrenner, Urie, 1917-2005.</t>
  </si>
  <si>
    <t>Cambridge, Mass. : Harvard University Press, 1979.</t>
  </si>
  <si>
    <t>2003-04-15</t>
  </si>
  <si>
    <t>2009-04-14</t>
  </si>
  <si>
    <t>1987-12-31</t>
  </si>
  <si>
    <t>1992-12-18</t>
  </si>
  <si>
    <t>802252754:eng</t>
  </si>
  <si>
    <t>4515541</t>
  </si>
  <si>
    <t>991001784679702656</t>
  </si>
  <si>
    <t>2263033970002656</t>
  </si>
  <si>
    <t>9780674224568</t>
  </si>
  <si>
    <t>30001000267213</t>
  </si>
  <si>
    <t>893466025</t>
  </si>
  <si>
    <t>BF722 .T47 1984</t>
  </si>
  <si>
    <t>0                      BF 0722000T  47          1984</t>
  </si>
  <si>
    <t>Testing children : a reference guide for effective clinical and psychoeducational assessments / S. Joseph Weaver, general editor ; foreword by Alan S. Kaufman.</t>
  </si>
  <si>
    <t>Kansas City, Mo. : Test Corp. of America, [1984]</t>
  </si>
  <si>
    <t>1997-01-21</t>
  </si>
  <si>
    <t>1993-04-07</t>
  </si>
  <si>
    <t>894509852:eng</t>
  </si>
  <si>
    <t>10925015</t>
  </si>
  <si>
    <t>991001762769702656</t>
  </si>
  <si>
    <t>2272712450002656</t>
  </si>
  <si>
    <t>9780961128623</t>
  </si>
  <si>
    <t>30001000067340</t>
  </si>
  <si>
    <t>893638611</t>
  </si>
  <si>
    <t>BF723.D7 P513 1967</t>
  </si>
  <si>
    <t>0                      BF 0723000D  7                  P  513         1967</t>
  </si>
  <si>
    <t>The child's conception of space, by Jean Piaget and Bärbel Inhelder. Translated from the French by F. J. Langdon &amp; J. L. Lunzer.</t>
  </si>
  <si>
    <t>Piaget, Jean, 1896-1980.</t>
  </si>
  <si>
    <t>New York, W. W. Norton [1967]</t>
  </si>
  <si>
    <t>1967</t>
  </si>
  <si>
    <t>The Norton library, no. 408</t>
  </si>
  <si>
    <t>1992-12-04</t>
  </si>
  <si>
    <t>1988-01-18</t>
  </si>
  <si>
    <t>10567225828:eng</t>
  </si>
  <si>
    <t>444733</t>
  </si>
  <si>
    <t>991001096409702656</t>
  </si>
  <si>
    <t>2264960060002656</t>
  </si>
  <si>
    <t>30001000267817</t>
  </si>
  <si>
    <t>893731656</t>
  </si>
  <si>
    <t>BF723.M54 K87 1987</t>
  </si>
  <si>
    <t>0                      BF 0723000M  54                 K  87          1987</t>
  </si>
  <si>
    <t>Moral development through social interaction / William M. Kurtines, Jacob L. Gewirtz.</t>
  </si>
  <si>
    <t>Kurtines, William M.</t>
  </si>
  <si>
    <t>New York : Wiley, c1987.</t>
  </si>
  <si>
    <t>1993-11-06</t>
  </si>
  <si>
    <t>2010-10-25</t>
  </si>
  <si>
    <t>1988-02-18</t>
  </si>
  <si>
    <t>1990-06-12</t>
  </si>
  <si>
    <t>10835292:eng</t>
  </si>
  <si>
    <t>15549708</t>
  </si>
  <si>
    <t>991001788569702656</t>
  </si>
  <si>
    <t>2266790750002656</t>
  </si>
  <si>
    <t>9780471625674</t>
  </si>
  <si>
    <t>30001000975450</t>
  </si>
  <si>
    <t>893370058</t>
  </si>
  <si>
    <t>BF723.M6 D48 1982</t>
  </si>
  <si>
    <t>0                      BF 0723000M  6                  D  48          1982</t>
  </si>
  <si>
    <t>The Development of movement control and coordination / edited by J.A. Scott Kelso and Jane E. Clark.</t>
  </si>
  <si>
    <t>Chichester [West Sussex] ; New York : Wiley, c1982.</t>
  </si>
  <si>
    <t>Developmental psychology</t>
  </si>
  <si>
    <t>2006-05-21</t>
  </si>
  <si>
    <t>351895316:eng</t>
  </si>
  <si>
    <t>7795126</t>
  </si>
  <si>
    <t>991001784779702656</t>
  </si>
  <si>
    <t>2267926830002656</t>
  </si>
  <si>
    <t>9780471100485</t>
  </si>
  <si>
    <t>30001000267296</t>
  </si>
  <si>
    <t>893122235</t>
  </si>
  <si>
    <t>BF723.P25 B695</t>
  </si>
  <si>
    <t>0                      BF 0723000P  25                 B  695</t>
  </si>
  <si>
    <t>Mothers, fathers, and children : explorations in the formation of character in the first seven years / Sylvia Brody and Sidney Axelrad, in association with Ethel Horn, Marsha Moroh, Marvin Taylor.</t>
  </si>
  <si>
    <t>Brody, Sylvia, 1914-</t>
  </si>
  <si>
    <t>New York : International Universities Press, c1978.</t>
  </si>
  <si>
    <t>2004-10-25</t>
  </si>
  <si>
    <t>1988-01-03</t>
  </si>
  <si>
    <t>1991-12-13</t>
  </si>
  <si>
    <t>308741215:eng</t>
  </si>
  <si>
    <t>3631390</t>
  </si>
  <si>
    <t>991001785009702656</t>
  </si>
  <si>
    <t>2259420040002656</t>
  </si>
  <si>
    <t>9780823634620</t>
  </si>
  <si>
    <t>30001000268161</t>
  </si>
  <si>
    <t>893279666</t>
  </si>
  <si>
    <t>BF724 .A25 1980</t>
  </si>
  <si>
    <t>0                      BF 0724000A  25          1980</t>
  </si>
  <si>
    <t>Understanding adolescence : current developments in adolescent psychology / [edited by] James F. Adams.</t>
  </si>
  <si>
    <t>Adams, James Frederick, 1927-</t>
  </si>
  <si>
    <t>Boston : Allyn and Bacon, c1980.</t>
  </si>
  <si>
    <t>2001-10-18</t>
  </si>
  <si>
    <t>1988-01-07</t>
  </si>
  <si>
    <t>1993-04-12</t>
  </si>
  <si>
    <t>1312767:eng</t>
  </si>
  <si>
    <t>5676006</t>
  </si>
  <si>
    <t>991001772939702656</t>
  </si>
  <si>
    <t>2259967150002656</t>
  </si>
  <si>
    <t>9780205069316</t>
  </si>
  <si>
    <t>30001000152308</t>
  </si>
  <si>
    <t>893135819</t>
  </si>
  <si>
    <t>BF724.3.D43 A36 1986</t>
  </si>
  <si>
    <t>0                      BF 0724300D  43                 A  36          1986</t>
  </si>
  <si>
    <t>Adolescence and death / Charles A. Corr, Joan N. McNeil, editors.</t>
  </si>
  <si>
    <t>New York : Springer Pub. Co., c1986.</t>
  </si>
  <si>
    <t>2006-11-15</t>
  </si>
  <si>
    <t>1992-04-30</t>
  </si>
  <si>
    <t>355552895:eng</t>
  </si>
  <si>
    <t>13064677</t>
  </si>
  <si>
    <t>991001762699702656</t>
  </si>
  <si>
    <t>2255947560002656</t>
  </si>
  <si>
    <t>9780826149305</t>
  </si>
  <si>
    <t>30001000067282</t>
  </si>
  <si>
    <t>893547320</t>
  </si>
  <si>
    <t>BF724.55.A35 H36 1990</t>
  </si>
  <si>
    <t>0                      BF 0724550A  35                 H  36          1990</t>
  </si>
  <si>
    <t>Handbook of the psychology of aging / editors, James E. Birren and K. Warner Schaie ; associate editors, Margaret Gatz, Timothy A. Salthouse, and Carmi Schooler ; editorial coordinator, Donna E. Deutchman.</t>
  </si>
  <si>
    <t>San Diego : Academic Press, c1990.</t>
  </si>
  <si>
    <t>The Handbooks of aging</t>
  </si>
  <si>
    <t>2003-04-14</t>
  </si>
  <si>
    <t>2007-08-13</t>
  </si>
  <si>
    <t>1992-09-25</t>
  </si>
  <si>
    <t>9593370529:eng</t>
  </si>
  <si>
    <t>19921974</t>
  </si>
  <si>
    <t>991001796519702656</t>
  </si>
  <si>
    <t>2269458210002656</t>
  </si>
  <si>
    <t>9780121012809</t>
  </si>
  <si>
    <t>30001002456996</t>
  </si>
  <si>
    <t>893461159</t>
  </si>
  <si>
    <t>BF724.8 .H46 1979</t>
  </si>
  <si>
    <t>0                      BF 0724800H  46          1979</t>
  </si>
  <si>
    <t>Counseling elders and their families : practical techniques for applied gerontology / John J. Herr, John H. Weakland ; foreword by James E. Birren.</t>
  </si>
  <si>
    <t>Herr, John J.</t>
  </si>
  <si>
    <t>New York : Springer Pub. Co., c1979.</t>
  </si>
  <si>
    <t>Springer series on adulthood and aging ; v. 2</t>
  </si>
  <si>
    <t>1994-11-01</t>
  </si>
  <si>
    <t>2010-11-16</t>
  </si>
  <si>
    <t>1992-04-08</t>
  </si>
  <si>
    <t>889881615:eng</t>
  </si>
  <si>
    <t>4493613</t>
  </si>
  <si>
    <t>991001782679702656</t>
  </si>
  <si>
    <t>2260908930002656</t>
  </si>
  <si>
    <t>9780826125101</t>
  </si>
  <si>
    <t>30001000252892</t>
  </si>
  <si>
    <t>893827085</t>
  </si>
  <si>
    <t>BF724.8 .S5</t>
  </si>
  <si>
    <t>0                      BF 0724800S  5</t>
  </si>
  <si>
    <t>Counseling older persons : careers, retirement, dying / Daniel Sinick.</t>
  </si>
  <si>
    <t>Sinick, Daniel.</t>
  </si>
  <si>
    <t>New York : Human Sciences Press, c1977.</t>
  </si>
  <si>
    <t>New vistas in counseling series ; v. 4</t>
  </si>
  <si>
    <t>1997-06-28</t>
  </si>
  <si>
    <t>1988-01-09</t>
  </si>
  <si>
    <t>1996-08-07</t>
  </si>
  <si>
    <t>308552104:eng</t>
  </si>
  <si>
    <t>3168772</t>
  </si>
  <si>
    <t>991001772249702656</t>
  </si>
  <si>
    <t>2260860120002656</t>
  </si>
  <si>
    <t>9780877053125</t>
  </si>
  <si>
    <t>30001000150096</t>
  </si>
  <si>
    <t>893732394</t>
  </si>
  <si>
    <t>BF76.4 .S74 1984</t>
  </si>
  <si>
    <t>0                      BF 0076400S  74          1984</t>
  </si>
  <si>
    <t>Ethical issues in psychology / Marion Steininger, J. David Newell, Luis T. Garcia.</t>
  </si>
  <si>
    <t>Steininger, Marion.</t>
  </si>
  <si>
    <t>Homewood, Ill. : Dorsey Press, c1984.</t>
  </si>
  <si>
    <t>The Dorsey series in psychology</t>
  </si>
  <si>
    <t>2005-03-20</t>
  </si>
  <si>
    <t>1992-04-09</t>
  </si>
  <si>
    <t>3504859:eng</t>
  </si>
  <si>
    <t>11533744</t>
  </si>
  <si>
    <t>991001761999702656</t>
  </si>
  <si>
    <t>2258247570002656</t>
  </si>
  <si>
    <t>9780256030501</t>
  </si>
  <si>
    <t>30001000065831</t>
  </si>
  <si>
    <t>893832576</t>
  </si>
  <si>
    <t>BF773 .R6</t>
  </si>
  <si>
    <t>0                      BF 0773000R  6</t>
  </si>
  <si>
    <t>Beliefs, attitudes, and values; a theory of organization and change.</t>
  </si>
  <si>
    <t>Rokeach, Milton.</t>
  </si>
  <si>
    <t>San Francisco, Jossey-Bass, 1968.</t>
  </si>
  <si>
    <t>The Jossey-Bass behavioral science series</t>
  </si>
  <si>
    <t>2001-10-11</t>
  </si>
  <si>
    <t>2003-04-11</t>
  </si>
  <si>
    <t>151111607:eng</t>
  </si>
  <si>
    <t>223048</t>
  </si>
  <si>
    <t>991001762659702656</t>
  </si>
  <si>
    <t>2262274440002656</t>
  </si>
  <si>
    <t>30001000067233</t>
  </si>
  <si>
    <t>893279630</t>
  </si>
  <si>
    <t>BF789.D4 B48</t>
  </si>
  <si>
    <t>0                      BF 0789000D  4                  B  48</t>
  </si>
  <si>
    <t>Between life and death / Robert Kastenbaum, editor.</t>
  </si>
  <si>
    <t>The Springer series on death and suicide ; v. 1</t>
  </si>
  <si>
    <t>1992-03-05</t>
  </si>
  <si>
    <t>1992-11-30</t>
  </si>
  <si>
    <t>1992-02-17</t>
  </si>
  <si>
    <t>365359319:eng</t>
  </si>
  <si>
    <t>5239852</t>
  </si>
  <si>
    <t>991001762639702656</t>
  </si>
  <si>
    <t>2264339400002656</t>
  </si>
  <si>
    <t>9780826125408</t>
  </si>
  <si>
    <t>30001000067191</t>
  </si>
  <si>
    <t>893168895</t>
  </si>
  <si>
    <t>BF789.D4 D385 2000</t>
  </si>
  <si>
    <t>0                      BF 0789000D  4                  D  385         2000</t>
  </si>
  <si>
    <t>Death and dying in ethnic America : a research study / conducted by The Cross Cultural Health Care Program, Seattle, Washington.</t>
  </si>
  <si>
    <t>Seattle, WA : CCHCP, c2000.</t>
  </si>
  <si>
    <t>2000</t>
  </si>
  <si>
    <t>wau</t>
  </si>
  <si>
    <t>2004-09-30</t>
  </si>
  <si>
    <t>2004-09-29</t>
  </si>
  <si>
    <t>970627743:eng</t>
  </si>
  <si>
    <t>44862057</t>
  </si>
  <si>
    <t>991000399099702656</t>
  </si>
  <si>
    <t>2255196490002656</t>
  </si>
  <si>
    <t>30001004923555</t>
  </si>
  <si>
    <t>893811457</t>
  </si>
  <si>
    <t>BF789.D4 F8 1976</t>
  </si>
  <si>
    <t>0                      BF 0789000D  4                  F  8           1976</t>
  </si>
  <si>
    <t>Death and identity / Robert Fulton, editor, in collaboration with Robert Bendiksen.</t>
  </si>
  <si>
    <t>Fulton, Robert, 1926- editor.</t>
  </si>
  <si>
    <t>Bowie, Md. : Charles Press, c1976.</t>
  </si>
  <si>
    <t>Rev. ed.</t>
  </si>
  <si>
    <t>1992-02-08</t>
  </si>
  <si>
    <t>2000-10-29</t>
  </si>
  <si>
    <t>1993-03-18</t>
  </si>
  <si>
    <t>355194295:eng</t>
  </si>
  <si>
    <t>2318294</t>
  </si>
  <si>
    <t>991001761829702656</t>
  </si>
  <si>
    <t>2263976490002656</t>
  </si>
  <si>
    <t>9780913486788</t>
  </si>
  <si>
    <t>30001000065526</t>
  </si>
  <si>
    <t>893465991</t>
  </si>
  <si>
    <t>BF789.D4 I68e 1993</t>
  </si>
  <si>
    <t>0                      BF 0789000D  4                  I  68e         1993</t>
  </si>
  <si>
    <t>Ethnic variations in dying, death, and grief : diversity in universality / edited by Donald P. Irish, Kathleen F. Lundquist, Vivian Jenkins Nelsen.</t>
  </si>
  <si>
    <t>Washington, DC : Taylor &amp; Francis, c1993.</t>
  </si>
  <si>
    <t>Series in death education, aging, and health care, 0275-3510</t>
  </si>
  <si>
    <t>2005-08-23</t>
  </si>
  <si>
    <t>2004-09-10</t>
  </si>
  <si>
    <t>836841841:eng</t>
  </si>
  <si>
    <t>26769037</t>
  </si>
  <si>
    <t>991000386699702656</t>
  </si>
  <si>
    <t>2267439920002656</t>
  </si>
  <si>
    <t>9781560322771</t>
  </si>
  <si>
    <t>30001004922508</t>
  </si>
  <si>
    <t>893633849</t>
  </si>
  <si>
    <t>BF789.D4 K8</t>
  </si>
  <si>
    <t>0                      BF 0789000D  4                  K  8</t>
  </si>
  <si>
    <t>On death and dying.</t>
  </si>
  <si>
    <t>[New York] Macmillan [1969]</t>
  </si>
  <si>
    <t>1987-09-14</t>
  </si>
  <si>
    <t>367966:eng</t>
  </si>
  <si>
    <t>4238</t>
  </si>
  <si>
    <t>991000695669702656</t>
  </si>
  <si>
    <t>2266203560002656</t>
  </si>
  <si>
    <t>30001000035032</t>
  </si>
  <si>
    <t>893631926</t>
  </si>
  <si>
    <t>BF789.S8 B3</t>
  </si>
  <si>
    <t>0                      BF 0789000S  8                  B  3</t>
  </si>
  <si>
    <t>Disease, pain, &amp; sacrifice; toward a psychology of suffering.</t>
  </si>
  <si>
    <t>Bakan, David.</t>
  </si>
  <si>
    <t>Chicago, University of Chicago Press [1968]</t>
  </si>
  <si>
    <t>1987-09-04</t>
  </si>
  <si>
    <t>292047994:eng</t>
  </si>
  <si>
    <t>953528</t>
  </si>
  <si>
    <t>991000792539702656</t>
  </si>
  <si>
    <t>2261155280002656</t>
  </si>
  <si>
    <t>30001000068454</t>
  </si>
  <si>
    <t>893267496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</si>
</sst>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</xdr:row>
          <xdr:rowOff>9525</xdr:rowOff>
        </xdr:from>
        <xdr:to>
          <xdr:col>0</xdr:col>
          <xdr:colOff>1076325</xdr:colOff>
          <xdr:row>1</xdr:row>
          <xdr:rowOff>485775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6874B2A-F10A-40D5-A8FB-8C2BD89728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</xdr:row>
          <xdr:rowOff>9525</xdr:rowOff>
        </xdr:from>
        <xdr:to>
          <xdr:col>0</xdr:col>
          <xdr:colOff>1076325</xdr:colOff>
          <xdr:row>2</xdr:row>
          <xdr:rowOff>485775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5E50EB9-8FCC-4C5B-B808-B4FA155AFC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</xdr:row>
          <xdr:rowOff>9525</xdr:rowOff>
        </xdr:from>
        <xdr:to>
          <xdr:col>0</xdr:col>
          <xdr:colOff>1076325</xdr:colOff>
          <xdr:row>3</xdr:row>
          <xdr:rowOff>485775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931E78B-56F2-4050-81E6-EF2721117C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</xdr:row>
          <xdr:rowOff>9525</xdr:rowOff>
        </xdr:from>
        <xdr:to>
          <xdr:col>0</xdr:col>
          <xdr:colOff>1076325</xdr:colOff>
          <xdr:row>4</xdr:row>
          <xdr:rowOff>485775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6B35CE61-423F-4D1D-87B1-2CE7A2B58B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</xdr:row>
          <xdr:rowOff>9525</xdr:rowOff>
        </xdr:from>
        <xdr:to>
          <xdr:col>0</xdr:col>
          <xdr:colOff>1076325</xdr:colOff>
          <xdr:row>5</xdr:row>
          <xdr:rowOff>485775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D475DD3-66D2-4183-BC2B-D96080D0FC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</xdr:row>
          <xdr:rowOff>9525</xdr:rowOff>
        </xdr:from>
        <xdr:to>
          <xdr:col>0</xdr:col>
          <xdr:colOff>1076325</xdr:colOff>
          <xdr:row>6</xdr:row>
          <xdr:rowOff>485775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32BA872-01FB-48C9-89C4-E92221D62F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</xdr:row>
          <xdr:rowOff>9525</xdr:rowOff>
        </xdr:from>
        <xdr:to>
          <xdr:col>0</xdr:col>
          <xdr:colOff>1076325</xdr:colOff>
          <xdr:row>7</xdr:row>
          <xdr:rowOff>485775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740BCA15-6937-46C3-B15E-598FC66049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</xdr:row>
          <xdr:rowOff>9525</xdr:rowOff>
        </xdr:from>
        <xdr:to>
          <xdr:col>0</xdr:col>
          <xdr:colOff>1076325</xdr:colOff>
          <xdr:row>8</xdr:row>
          <xdr:rowOff>485775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C617C66B-F5B5-4C09-85B5-F1883ED6C9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</xdr:row>
          <xdr:rowOff>9525</xdr:rowOff>
        </xdr:from>
        <xdr:to>
          <xdr:col>0</xdr:col>
          <xdr:colOff>1076325</xdr:colOff>
          <xdr:row>9</xdr:row>
          <xdr:rowOff>485775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9E23BFCF-7B1D-4347-BE9C-F28BD95FC7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</xdr:row>
          <xdr:rowOff>9525</xdr:rowOff>
        </xdr:from>
        <xdr:to>
          <xdr:col>0</xdr:col>
          <xdr:colOff>1076325</xdr:colOff>
          <xdr:row>10</xdr:row>
          <xdr:rowOff>485775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C37B559E-C3F2-4605-9331-C029D22423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</xdr:row>
          <xdr:rowOff>9525</xdr:rowOff>
        </xdr:from>
        <xdr:to>
          <xdr:col>0</xdr:col>
          <xdr:colOff>1076325</xdr:colOff>
          <xdr:row>11</xdr:row>
          <xdr:rowOff>485775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EE817DA5-7D70-4170-926D-8B6C6D5EF6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</xdr:row>
          <xdr:rowOff>9525</xdr:rowOff>
        </xdr:from>
        <xdr:to>
          <xdr:col>0</xdr:col>
          <xdr:colOff>1076325</xdr:colOff>
          <xdr:row>12</xdr:row>
          <xdr:rowOff>485775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2AEFDB29-9FD5-42EA-B4B7-7B4EAB65EF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</xdr:row>
          <xdr:rowOff>9525</xdr:rowOff>
        </xdr:from>
        <xdr:to>
          <xdr:col>0</xdr:col>
          <xdr:colOff>1076325</xdr:colOff>
          <xdr:row>13</xdr:row>
          <xdr:rowOff>485775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8F7AD541-F4DF-433B-ABF7-2ACDFC9C4B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0</xdr:col>
          <xdr:colOff>1076325</xdr:colOff>
          <xdr:row>14</xdr:row>
          <xdr:rowOff>485775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A99D1A3F-FE73-4148-87BC-9B2B410A05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</xdr:row>
          <xdr:rowOff>9525</xdr:rowOff>
        </xdr:from>
        <xdr:to>
          <xdr:col>0</xdr:col>
          <xdr:colOff>1076325</xdr:colOff>
          <xdr:row>15</xdr:row>
          <xdr:rowOff>485775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34AB2DA6-E323-4CC2-9057-309B077349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</xdr:row>
          <xdr:rowOff>9525</xdr:rowOff>
        </xdr:from>
        <xdr:to>
          <xdr:col>0</xdr:col>
          <xdr:colOff>1076325</xdr:colOff>
          <xdr:row>16</xdr:row>
          <xdr:rowOff>485775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9015BD5D-03A4-4499-94BB-6D8A9FA34A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</xdr:row>
          <xdr:rowOff>9525</xdr:rowOff>
        </xdr:from>
        <xdr:to>
          <xdr:col>0</xdr:col>
          <xdr:colOff>1076325</xdr:colOff>
          <xdr:row>17</xdr:row>
          <xdr:rowOff>485775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392AE3C8-1625-46FC-B8CB-AD28AFECAF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</xdr:row>
          <xdr:rowOff>9525</xdr:rowOff>
        </xdr:from>
        <xdr:to>
          <xdr:col>0</xdr:col>
          <xdr:colOff>1076325</xdr:colOff>
          <xdr:row>18</xdr:row>
          <xdr:rowOff>485775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E2D7BEAE-B6F3-4D9F-9E2A-40C925097C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</xdr:row>
          <xdr:rowOff>9525</xdr:rowOff>
        </xdr:from>
        <xdr:to>
          <xdr:col>0</xdr:col>
          <xdr:colOff>1076325</xdr:colOff>
          <xdr:row>19</xdr:row>
          <xdr:rowOff>485775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DDC1A43F-3679-4161-A597-0EC884BFF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</xdr:row>
          <xdr:rowOff>9525</xdr:rowOff>
        </xdr:from>
        <xdr:to>
          <xdr:col>0</xdr:col>
          <xdr:colOff>1076325</xdr:colOff>
          <xdr:row>20</xdr:row>
          <xdr:rowOff>485775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A14E1C48-24F8-42F5-933C-5AEB702A24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</xdr:row>
          <xdr:rowOff>9525</xdr:rowOff>
        </xdr:from>
        <xdr:to>
          <xdr:col>0</xdr:col>
          <xdr:colOff>1076325</xdr:colOff>
          <xdr:row>21</xdr:row>
          <xdr:rowOff>485775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53FDA7E-D334-4CF7-B804-0721A7EB11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</xdr:row>
          <xdr:rowOff>9525</xdr:rowOff>
        </xdr:from>
        <xdr:to>
          <xdr:col>0</xdr:col>
          <xdr:colOff>1076325</xdr:colOff>
          <xdr:row>22</xdr:row>
          <xdr:rowOff>485775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D8EDC2F9-F14A-4E09-87F7-7A4B2530C8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</xdr:row>
          <xdr:rowOff>9525</xdr:rowOff>
        </xdr:from>
        <xdr:to>
          <xdr:col>0</xdr:col>
          <xdr:colOff>1076325</xdr:colOff>
          <xdr:row>23</xdr:row>
          <xdr:rowOff>485775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2A8B1C58-8A57-494A-848E-5A9DDC8A19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</xdr:row>
          <xdr:rowOff>9525</xdr:rowOff>
        </xdr:from>
        <xdr:to>
          <xdr:col>0</xdr:col>
          <xdr:colOff>1076325</xdr:colOff>
          <xdr:row>24</xdr:row>
          <xdr:rowOff>485775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546ABFC-43FD-4FCD-B325-2390A90C5B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</xdr:row>
          <xdr:rowOff>9525</xdr:rowOff>
        </xdr:from>
        <xdr:to>
          <xdr:col>0</xdr:col>
          <xdr:colOff>1076325</xdr:colOff>
          <xdr:row>25</xdr:row>
          <xdr:rowOff>485775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C5D181EE-A866-48AD-9AE7-CF6699BD47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</xdr:row>
          <xdr:rowOff>9525</xdr:rowOff>
        </xdr:from>
        <xdr:to>
          <xdr:col>0</xdr:col>
          <xdr:colOff>1076325</xdr:colOff>
          <xdr:row>26</xdr:row>
          <xdr:rowOff>485775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DB225F61-B652-41D6-A1A8-C81C02E6E6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</xdr:row>
          <xdr:rowOff>9525</xdr:rowOff>
        </xdr:from>
        <xdr:to>
          <xdr:col>0</xdr:col>
          <xdr:colOff>1076325</xdr:colOff>
          <xdr:row>27</xdr:row>
          <xdr:rowOff>485775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81A23C74-76E1-42DB-9659-2832B5D074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</xdr:row>
          <xdr:rowOff>9525</xdr:rowOff>
        </xdr:from>
        <xdr:to>
          <xdr:col>0</xdr:col>
          <xdr:colOff>1076325</xdr:colOff>
          <xdr:row>28</xdr:row>
          <xdr:rowOff>485775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A3CB71F8-0535-4AB6-854F-6938DCCC1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</xdr:row>
          <xdr:rowOff>9525</xdr:rowOff>
        </xdr:from>
        <xdr:to>
          <xdr:col>0</xdr:col>
          <xdr:colOff>1076325</xdr:colOff>
          <xdr:row>29</xdr:row>
          <xdr:rowOff>485775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B7ACB07D-1E3C-4057-ADE2-1A80913C3E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</xdr:row>
          <xdr:rowOff>9525</xdr:rowOff>
        </xdr:from>
        <xdr:to>
          <xdr:col>0</xdr:col>
          <xdr:colOff>1076325</xdr:colOff>
          <xdr:row>30</xdr:row>
          <xdr:rowOff>485775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FE991376-AA26-434A-AF8E-3123E43473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</xdr:row>
          <xdr:rowOff>9525</xdr:rowOff>
        </xdr:from>
        <xdr:to>
          <xdr:col>0</xdr:col>
          <xdr:colOff>1076325</xdr:colOff>
          <xdr:row>31</xdr:row>
          <xdr:rowOff>485775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A730AA24-D786-4147-9080-F4D522710E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</xdr:row>
          <xdr:rowOff>9525</xdr:rowOff>
        </xdr:from>
        <xdr:to>
          <xdr:col>0</xdr:col>
          <xdr:colOff>1076325</xdr:colOff>
          <xdr:row>32</xdr:row>
          <xdr:rowOff>485775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C03E8E52-F190-4E55-A261-EB7B0C441F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</xdr:row>
          <xdr:rowOff>9525</xdr:rowOff>
        </xdr:from>
        <xdr:to>
          <xdr:col>0</xdr:col>
          <xdr:colOff>1076325</xdr:colOff>
          <xdr:row>33</xdr:row>
          <xdr:rowOff>485775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7B1C58B1-EDB8-42F2-8650-DBFD74FFCC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</xdr:row>
          <xdr:rowOff>9525</xdr:rowOff>
        </xdr:from>
        <xdr:to>
          <xdr:col>0</xdr:col>
          <xdr:colOff>1076325</xdr:colOff>
          <xdr:row>34</xdr:row>
          <xdr:rowOff>485775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8DFC8708-E2E1-48B8-9AE1-3C699862D3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</xdr:row>
          <xdr:rowOff>9525</xdr:rowOff>
        </xdr:from>
        <xdr:to>
          <xdr:col>0</xdr:col>
          <xdr:colOff>1076325</xdr:colOff>
          <xdr:row>35</xdr:row>
          <xdr:rowOff>485775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223FBA52-E8E4-47BE-B6DF-8653750AD5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</xdr:row>
          <xdr:rowOff>9525</xdr:rowOff>
        </xdr:from>
        <xdr:to>
          <xdr:col>0</xdr:col>
          <xdr:colOff>1076325</xdr:colOff>
          <xdr:row>36</xdr:row>
          <xdr:rowOff>485775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DBA934AD-D7FB-4BFF-B665-EBBBCB2F54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</xdr:row>
          <xdr:rowOff>9525</xdr:rowOff>
        </xdr:from>
        <xdr:to>
          <xdr:col>0</xdr:col>
          <xdr:colOff>1076325</xdr:colOff>
          <xdr:row>37</xdr:row>
          <xdr:rowOff>485775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A9FBF4DB-1A78-4019-B37F-F36B43C054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</xdr:row>
          <xdr:rowOff>9525</xdr:rowOff>
        </xdr:from>
        <xdr:to>
          <xdr:col>0</xdr:col>
          <xdr:colOff>1076325</xdr:colOff>
          <xdr:row>38</xdr:row>
          <xdr:rowOff>485775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984FBA4D-7E64-4898-95D4-ECCA363FBD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</xdr:row>
          <xdr:rowOff>9525</xdr:rowOff>
        </xdr:from>
        <xdr:to>
          <xdr:col>0</xdr:col>
          <xdr:colOff>1076325</xdr:colOff>
          <xdr:row>39</xdr:row>
          <xdr:rowOff>485775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8C3565FB-9573-4386-BD3F-751F19E83F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</xdr:row>
          <xdr:rowOff>9525</xdr:rowOff>
        </xdr:from>
        <xdr:to>
          <xdr:col>0</xdr:col>
          <xdr:colOff>1076325</xdr:colOff>
          <xdr:row>40</xdr:row>
          <xdr:rowOff>485775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19BF09E0-C0E2-4280-BEF7-D3330468B1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</xdr:row>
          <xdr:rowOff>9525</xdr:rowOff>
        </xdr:from>
        <xdr:to>
          <xdr:col>0</xdr:col>
          <xdr:colOff>1076325</xdr:colOff>
          <xdr:row>41</xdr:row>
          <xdr:rowOff>485775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71B3C50B-FAD2-4512-902F-34206023A5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</xdr:row>
          <xdr:rowOff>9525</xdr:rowOff>
        </xdr:from>
        <xdr:to>
          <xdr:col>0</xdr:col>
          <xdr:colOff>1076325</xdr:colOff>
          <xdr:row>42</xdr:row>
          <xdr:rowOff>485775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BE0F0B4E-1DE6-4BB5-9BE5-6D222CE542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</xdr:row>
          <xdr:rowOff>9525</xdr:rowOff>
        </xdr:from>
        <xdr:to>
          <xdr:col>0</xdr:col>
          <xdr:colOff>1076325</xdr:colOff>
          <xdr:row>43</xdr:row>
          <xdr:rowOff>485775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3947944-B0EE-4217-A344-C7CE39657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</xdr:row>
          <xdr:rowOff>9525</xdr:rowOff>
        </xdr:from>
        <xdr:to>
          <xdr:col>0</xdr:col>
          <xdr:colOff>1076325</xdr:colOff>
          <xdr:row>44</xdr:row>
          <xdr:rowOff>485775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665E38A0-0BDF-4108-BC3A-DE9B7B9505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</xdr:row>
          <xdr:rowOff>9525</xdr:rowOff>
        </xdr:from>
        <xdr:to>
          <xdr:col>0</xdr:col>
          <xdr:colOff>1076325</xdr:colOff>
          <xdr:row>45</xdr:row>
          <xdr:rowOff>485775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A73E01BC-4CAC-45B6-B96D-B8C77947FF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</xdr:row>
          <xdr:rowOff>9525</xdr:rowOff>
        </xdr:from>
        <xdr:to>
          <xdr:col>0</xdr:col>
          <xdr:colOff>1076325</xdr:colOff>
          <xdr:row>46</xdr:row>
          <xdr:rowOff>485775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488520AC-6F31-429D-872D-06E96B5549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</xdr:row>
          <xdr:rowOff>9525</xdr:rowOff>
        </xdr:from>
        <xdr:to>
          <xdr:col>0</xdr:col>
          <xdr:colOff>1076325</xdr:colOff>
          <xdr:row>47</xdr:row>
          <xdr:rowOff>485775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1E5FFB05-1E77-423C-BDD4-5AC3AFCB2D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</xdr:row>
          <xdr:rowOff>9525</xdr:rowOff>
        </xdr:from>
        <xdr:to>
          <xdr:col>0</xdr:col>
          <xdr:colOff>1076325</xdr:colOff>
          <xdr:row>48</xdr:row>
          <xdr:rowOff>485775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E446372D-ADD6-46C4-BAF6-19CF0A61D7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</xdr:row>
          <xdr:rowOff>9525</xdr:rowOff>
        </xdr:from>
        <xdr:to>
          <xdr:col>0</xdr:col>
          <xdr:colOff>1076325</xdr:colOff>
          <xdr:row>49</xdr:row>
          <xdr:rowOff>485775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725DDDC-EA9D-4CEF-B0CF-646A857217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</xdr:row>
          <xdr:rowOff>9525</xdr:rowOff>
        </xdr:from>
        <xdr:to>
          <xdr:col>0</xdr:col>
          <xdr:colOff>1076325</xdr:colOff>
          <xdr:row>50</xdr:row>
          <xdr:rowOff>485775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E5CB320B-36D4-46CD-8D50-101733DF89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</xdr:row>
          <xdr:rowOff>9525</xdr:rowOff>
        </xdr:from>
        <xdr:to>
          <xdr:col>0</xdr:col>
          <xdr:colOff>1076325</xdr:colOff>
          <xdr:row>51</xdr:row>
          <xdr:rowOff>485775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6A52BEDD-AD0D-481F-928A-2CF25BB86D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</xdr:row>
          <xdr:rowOff>9525</xdr:rowOff>
        </xdr:from>
        <xdr:to>
          <xdr:col>0</xdr:col>
          <xdr:colOff>1076325</xdr:colOff>
          <xdr:row>52</xdr:row>
          <xdr:rowOff>485775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6C088EEA-46A8-47F3-A7A4-1AAF016FC9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</xdr:row>
          <xdr:rowOff>9525</xdr:rowOff>
        </xdr:from>
        <xdr:to>
          <xdr:col>0</xdr:col>
          <xdr:colOff>1076325</xdr:colOff>
          <xdr:row>53</xdr:row>
          <xdr:rowOff>485775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A95DE1C8-87C5-4A82-B2E1-A4DF5A3239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</xdr:row>
          <xdr:rowOff>9525</xdr:rowOff>
        </xdr:from>
        <xdr:to>
          <xdr:col>0</xdr:col>
          <xdr:colOff>1076325</xdr:colOff>
          <xdr:row>54</xdr:row>
          <xdr:rowOff>485775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B8593ACF-8A47-4990-AF33-43D84631DD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</xdr:row>
          <xdr:rowOff>9525</xdr:rowOff>
        </xdr:from>
        <xdr:to>
          <xdr:col>0</xdr:col>
          <xdr:colOff>1076325</xdr:colOff>
          <xdr:row>55</xdr:row>
          <xdr:rowOff>485775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CC513BF9-E50E-4146-9A53-787FBFF981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</xdr:row>
          <xdr:rowOff>9525</xdr:rowOff>
        </xdr:from>
        <xdr:to>
          <xdr:col>0</xdr:col>
          <xdr:colOff>1076325</xdr:colOff>
          <xdr:row>56</xdr:row>
          <xdr:rowOff>485775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D67F87-238F-4021-B828-04FFB7A8C0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</xdr:row>
          <xdr:rowOff>9525</xdr:rowOff>
        </xdr:from>
        <xdr:to>
          <xdr:col>0</xdr:col>
          <xdr:colOff>1076325</xdr:colOff>
          <xdr:row>57</xdr:row>
          <xdr:rowOff>485775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C6D1887D-C197-4A30-9243-C818351642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</xdr:row>
          <xdr:rowOff>9525</xdr:rowOff>
        </xdr:from>
        <xdr:to>
          <xdr:col>0</xdr:col>
          <xdr:colOff>1076325</xdr:colOff>
          <xdr:row>58</xdr:row>
          <xdr:rowOff>485775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94B06FDE-7BEC-4233-A742-798268DCE8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</xdr:row>
          <xdr:rowOff>9525</xdr:rowOff>
        </xdr:from>
        <xdr:to>
          <xdr:col>0</xdr:col>
          <xdr:colOff>1076325</xdr:colOff>
          <xdr:row>59</xdr:row>
          <xdr:rowOff>485775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AB1C6A08-7ED8-4620-9668-95DA5ACF9A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</xdr:row>
          <xdr:rowOff>9525</xdr:rowOff>
        </xdr:from>
        <xdr:to>
          <xdr:col>0</xdr:col>
          <xdr:colOff>1076325</xdr:colOff>
          <xdr:row>60</xdr:row>
          <xdr:rowOff>485775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A73EC9B8-60DC-4626-963D-A52A325E43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</xdr:row>
          <xdr:rowOff>9525</xdr:rowOff>
        </xdr:from>
        <xdr:to>
          <xdr:col>0</xdr:col>
          <xdr:colOff>1076325</xdr:colOff>
          <xdr:row>61</xdr:row>
          <xdr:rowOff>485775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74616AEF-E199-44FB-989B-016384531E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</xdr:row>
          <xdr:rowOff>9525</xdr:rowOff>
        </xdr:from>
        <xdr:to>
          <xdr:col>0</xdr:col>
          <xdr:colOff>1076325</xdr:colOff>
          <xdr:row>62</xdr:row>
          <xdr:rowOff>485775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71891909-F5C7-4DF6-B7BB-DA6BAAC6B9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</xdr:row>
          <xdr:rowOff>9525</xdr:rowOff>
        </xdr:from>
        <xdr:to>
          <xdr:col>0</xdr:col>
          <xdr:colOff>1076325</xdr:colOff>
          <xdr:row>63</xdr:row>
          <xdr:rowOff>485775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9249F457-B78E-43CB-AEEB-AAE1EAD24E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</xdr:row>
          <xdr:rowOff>9525</xdr:rowOff>
        </xdr:from>
        <xdr:to>
          <xdr:col>0</xdr:col>
          <xdr:colOff>1076325</xdr:colOff>
          <xdr:row>64</xdr:row>
          <xdr:rowOff>485775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8AB3D851-804A-494E-84A6-C7DE685659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</xdr:row>
          <xdr:rowOff>9525</xdr:rowOff>
        </xdr:from>
        <xdr:to>
          <xdr:col>0</xdr:col>
          <xdr:colOff>1076325</xdr:colOff>
          <xdr:row>65</xdr:row>
          <xdr:rowOff>485775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E952A24-D7E6-4E3E-B9B5-4A2182E7F4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66</xdr:row>
          <xdr:rowOff>9525</xdr:rowOff>
        </xdr:from>
        <xdr:to>
          <xdr:col>0</xdr:col>
          <xdr:colOff>1076325</xdr:colOff>
          <xdr:row>66</xdr:row>
          <xdr:rowOff>485775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79C9C3E7-72DE-429D-917F-A29AD9ADD3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67</xdr:row>
          <xdr:rowOff>9525</xdr:rowOff>
        </xdr:from>
        <xdr:to>
          <xdr:col>0</xdr:col>
          <xdr:colOff>1076325</xdr:colOff>
          <xdr:row>67</xdr:row>
          <xdr:rowOff>485775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29D07901-7ABD-490E-AF00-2659FBF036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68</xdr:row>
          <xdr:rowOff>9525</xdr:rowOff>
        </xdr:from>
        <xdr:to>
          <xdr:col>0</xdr:col>
          <xdr:colOff>1076325</xdr:colOff>
          <xdr:row>68</xdr:row>
          <xdr:rowOff>485775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1267741F-1095-4A95-A411-AEB46AE246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69</xdr:row>
          <xdr:rowOff>9525</xdr:rowOff>
        </xdr:from>
        <xdr:to>
          <xdr:col>0</xdr:col>
          <xdr:colOff>1076325</xdr:colOff>
          <xdr:row>69</xdr:row>
          <xdr:rowOff>485775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D2B0A01C-4222-489E-A98D-F734471720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70</xdr:row>
          <xdr:rowOff>9525</xdr:rowOff>
        </xdr:from>
        <xdr:to>
          <xdr:col>0</xdr:col>
          <xdr:colOff>1076325</xdr:colOff>
          <xdr:row>70</xdr:row>
          <xdr:rowOff>485775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D51B9D2D-6DEA-4AA4-B3A1-910F070179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71</xdr:row>
          <xdr:rowOff>9525</xdr:rowOff>
        </xdr:from>
        <xdr:to>
          <xdr:col>0</xdr:col>
          <xdr:colOff>1076325</xdr:colOff>
          <xdr:row>71</xdr:row>
          <xdr:rowOff>485775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315D0605-6EE4-48CA-BE87-1438154AC2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72</xdr:row>
          <xdr:rowOff>9525</xdr:rowOff>
        </xdr:from>
        <xdr:to>
          <xdr:col>0</xdr:col>
          <xdr:colOff>1076325</xdr:colOff>
          <xdr:row>72</xdr:row>
          <xdr:rowOff>485775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C00CE4B6-DC93-4DC1-95B7-599235CE66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73</xdr:row>
          <xdr:rowOff>9525</xdr:rowOff>
        </xdr:from>
        <xdr:to>
          <xdr:col>0</xdr:col>
          <xdr:colOff>1076325</xdr:colOff>
          <xdr:row>73</xdr:row>
          <xdr:rowOff>485775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A8989640-A39F-4DF6-B692-3D645343D5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74</xdr:row>
          <xdr:rowOff>9525</xdr:rowOff>
        </xdr:from>
        <xdr:to>
          <xdr:col>0</xdr:col>
          <xdr:colOff>1076325</xdr:colOff>
          <xdr:row>74</xdr:row>
          <xdr:rowOff>485775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8EBA77C5-130F-4AEC-9E3C-8F13DF8602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75</xdr:row>
          <xdr:rowOff>9525</xdr:rowOff>
        </xdr:from>
        <xdr:to>
          <xdr:col>0</xdr:col>
          <xdr:colOff>1076325</xdr:colOff>
          <xdr:row>75</xdr:row>
          <xdr:rowOff>485775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1E265794-463B-4B89-B227-71FB248BA3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76</xdr:row>
          <xdr:rowOff>9525</xdr:rowOff>
        </xdr:from>
        <xdr:to>
          <xdr:col>0</xdr:col>
          <xdr:colOff>1076325</xdr:colOff>
          <xdr:row>76</xdr:row>
          <xdr:rowOff>485775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FDA29DDE-0C5C-44E5-8541-C20F914B32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77</xdr:row>
          <xdr:rowOff>9525</xdr:rowOff>
        </xdr:from>
        <xdr:to>
          <xdr:col>0</xdr:col>
          <xdr:colOff>1076325</xdr:colOff>
          <xdr:row>77</xdr:row>
          <xdr:rowOff>485775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2CAACAA9-2A6E-4362-BEEF-3338C3853C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78</xdr:row>
          <xdr:rowOff>9525</xdr:rowOff>
        </xdr:from>
        <xdr:to>
          <xdr:col>0</xdr:col>
          <xdr:colOff>1076325</xdr:colOff>
          <xdr:row>78</xdr:row>
          <xdr:rowOff>485775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CD9EAFF2-2C5D-48A2-83B5-84FB4D108D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79</xdr:row>
          <xdr:rowOff>9525</xdr:rowOff>
        </xdr:from>
        <xdr:to>
          <xdr:col>0</xdr:col>
          <xdr:colOff>1076325</xdr:colOff>
          <xdr:row>79</xdr:row>
          <xdr:rowOff>485775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20B83702-A068-4239-9BD4-33B3E52026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80</xdr:row>
          <xdr:rowOff>9525</xdr:rowOff>
        </xdr:from>
        <xdr:to>
          <xdr:col>0</xdr:col>
          <xdr:colOff>1076325</xdr:colOff>
          <xdr:row>80</xdr:row>
          <xdr:rowOff>485775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6986414C-618F-44A2-A7A9-676C91B504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81</xdr:row>
          <xdr:rowOff>9525</xdr:rowOff>
        </xdr:from>
        <xdr:to>
          <xdr:col>0</xdr:col>
          <xdr:colOff>1076325</xdr:colOff>
          <xdr:row>81</xdr:row>
          <xdr:rowOff>485775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181C924A-025C-424D-A876-33447E4806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82</xdr:row>
          <xdr:rowOff>9525</xdr:rowOff>
        </xdr:from>
        <xdr:to>
          <xdr:col>0</xdr:col>
          <xdr:colOff>1076325</xdr:colOff>
          <xdr:row>82</xdr:row>
          <xdr:rowOff>485775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91D1AD0F-A09A-4F73-A90D-ED26D59150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83</xdr:row>
          <xdr:rowOff>9525</xdr:rowOff>
        </xdr:from>
        <xdr:to>
          <xdr:col>0</xdr:col>
          <xdr:colOff>1076325</xdr:colOff>
          <xdr:row>83</xdr:row>
          <xdr:rowOff>485775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3F60FBBD-2AB7-469A-8EC6-2F7F88AEB4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84</xdr:row>
          <xdr:rowOff>9525</xdr:rowOff>
        </xdr:from>
        <xdr:to>
          <xdr:col>0</xdr:col>
          <xdr:colOff>1076325</xdr:colOff>
          <xdr:row>84</xdr:row>
          <xdr:rowOff>485775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488698A8-A44A-49D1-B8A9-1ABA0B7E94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85</xdr:row>
          <xdr:rowOff>9525</xdr:rowOff>
        </xdr:from>
        <xdr:to>
          <xdr:col>0</xdr:col>
          <xdr:colOff>1076325</xdr:colOff>
          <xdr:row>85</xdr:row>
          <xdr:rowOff>485775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238A1190-C2A4-4268-9234-93002A2C96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86</xdr:row>
          <xdr:rowOff>9525</xdr:rowOff>
        </xdr:from>
        <xdr:to>
          <xdr:col>0</xdr:col>
          <xdr:colOff>1076325</xdr:colOff>
          <xdr:row>86</xdr:row>
          <xdr:rowOff>485775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296A81CB-6CC3-459F-A0FD-44673DB7B8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87</xdr:row>
          <xdr:rowOff>9525</xdr:rowOff>
        </xdr:from>
        <xdr:to>
          <xdr:col>0</xdr:col>
          <xdr:colOff>1076325</xdr:colOff>
          <xdr:row>87</xdr:row>
          <xdr:rowOff>485775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3F7E98B8-4CF0-4D3B-BAE8-E269B64CA6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88</xdr:row>
          <xdr:rowOff>9525</xdr:rowOff>
        </xdr:from>
        <xdr:to>
          <xdr:col>0</xdr:col>
          <xdr:colOff>1076325</xdr:colOff>
          <xdr:row>88</xdr:row>
          <xdr:rowOff>485775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F40C7B34-9EC3-4384-B089-6E14BD5711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89</xdr:row>
          <xdr:rowOff>9525</xdr:rowOff>
        </xdr:from>
        <xdr:to>
          <xdr:col>0</xdr:col>
          <xdr:colOff>1076325</xdr:colOff>
          <xdr:row>89</xdr:row>
          <xdr:rowOff>485775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EB8383DA-B1FB-4045-AA6F-4BC49FC019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90</xdr:row>
          <xdr:rowOff>9525</xdr:rowOff>
        </xdr:from>
        <xdr:to>
          <xdr:col>0</xdr:col>
          <xdr:colOff>1076325</xdr:colOff>
          <xdr:row>90</xdr:row>
          <xdr:rowOff>485775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788B91B-EE94-4D9E-93E9-A9F9DE7357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91</xdr:row>
          <xdr:rowOff>9525</xdr:rowOff>
        </xdr:from>
        <xdr:to>
          <xdr:col>0</xdr:col>
          <xdr:colOff>1076325</xdr:colOff>
          <xdr:row>91</xdr:row>
          <xdr:rowOff>485775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CD6190D5-2807-4C7F-8925-91A3C0881D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92</xdr:row>
          <xdr:rowOff>9525</xdr:rowOff>
        </xdr:from>
        <xdr:to>
          <xdr:col>0</xdr:col>
          <xdr:colOff>1076325</xdr:colOff>
          <xdr:row>92</xdr:row>
          <xdr:rowOff>485775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3A4F1052-A2C1-4F2F-8973-23BB08FAB8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93</xdr:row>
          <xdr:rowOff>9525</xdr:rowOff>
        </xdr:from>
        <xdr:to>
          <xdr:col>0</xdr:col>
          <xdr:colOff>1076325</xdr:colOff>
          <xdr:row>93</xdr:row>
          <xdr:rowOff>485775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C8FA72F4-B185-48E5-96F5-618AA14D12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94</xdr:row>
          <xdr:rowOff>9525</xdr:rowOff>
        </xdr:from>
        <xdr:to>
          <xdr:col>0</xdr:col>
          <xdr:colOff>1076325</xdr:colOff>
          <xdr:row>94</xdr:row>
          <xdr:rowOff>485775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E4D53A6C-C1AB-4754-8C3A-31752E6413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95</xdr:row>
          <xdr:rowOff>9525</xdr:rowOff>
        </xdr:from>
        <xdr:to>
          <xdr:col>0</xdr:col>
          <xdr:colOff>1076325</xdr:colOff>
          <xdr:row>95</xdr:row>
          <xdr:rowOff>485775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EBCCEB5B-4FDC-4920-8883-A40A7860B5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96</xdr:row>
          <xdr:rowOff>9525</xdr:rowOff>
        </xdr:from>
        <xdr:to>
          <xdr:col>0</xdr:col>
          <xdr:colOff>1076325</xdr:colOff>
          <xdr:row>96</xdr:row>
          <xdr:rowOff>485775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BDD38DE4-BABC-4A3C-A316-19CBF362C1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97</xdr:row>
          <xdr:rowOff>9525</xdr:rowOff>
        </xdr:from>
        <xdr:to>
          <xdr:col>0</xdr:col>
          <xdr:colOff>1076325</xdr:colOff>
          <xdr:row>97</xdr:row>
          <xdr:rowOff>485775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C10EC93B-0256-489E-874F-5C87664647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98</xdr:row>
          <xdr:rowOff>9525</xdr:rowOff>
        </xdr:from>
        <xdr:to>
          <xdr:col>0</xdr:col>
          <xdr:colOff>1076325</xdr:colOff>
          <xdr:row>98</xdr:row>
          <xdr:rowOff>485775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3AA3EE96-72D8-40D2-8847-F035A364AF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99</xdr:row>
          <xdr:rowOff>9525</xdr:rowOff>
        </xdr:from>
        <xdr:to>
          <xdr:col>0</xdr:col>
          <xdr:colOff>1076325</xdr:colOff>
          <xdr:row>99</xdr:row>
          <xdr:rowOff>485775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B43404A5-18C5-40A6-9906-33572BE365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100</xdr:row>
          <xdr:rowOff>9525</xdr:rowOff>
        </xdr:from>
        <xdr:to>
          <xdr:col>0</xdr:col>
          <xdr:colOff>1076325</xdr:colOff>
          <xdr:row>100</xdr:row>
          <xdr:rowOff>485775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58C272D0-36A1-4CF1-AD48-BAD5CC5328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101</xdr:row>
          <xdr:rowOff>9525</xdr:rowOff>
        </xdr:from>
        <xdr:to>
          <xdr:col>0</xdr:col>
          <xdr:colOff>1076325</xdr:colOff>
          <xdr:row>101</xdr:row>
          <xdr:rowOff>485775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CD0437B8-8560-4308-A962-16840D893D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102</xdr:row>
          <xdr:rowOff>9525</xdr:rowOff>
        </xdr:from>
        <xdr:to>
          <xdr:col>0</xdr:col>
          <xdr:colOff>1076325</xdr:colOff>
          <xdr:row>102</xdr:row>
          <xdr:rowOff>485775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10875120-6984-4277-BFCE-C050229069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103</xdr:row>
          <xdr:rowOff>9525</xdr:rowOff>
        </xdr:from>
        <xdr:to>
          <xdr:col>0</xdr:col>
          <xdr:colOff>1076325</xdr:colOff>
          <xdr:row>103</xdr:row>
          <xdr:rowOff>485775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25913043-11AF-4BD5-AE7D-5683BDCD24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104</xdr:row>
          <xdr:rowOff>9525</xdr:rowOff>
        </xdr:from>
        <xdr:to>
          <xdr:col>0</xdr:col>
          <xdr:colOff>1076325</xdr:colOff>
          <xdr:row>104</xdr:row>
          <xdr:rowOff>485775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B6B3D70F-BD0B-4B28-881A-9D264CC791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105</xdr:row>
          <xdr:rowOff>9525</xdr:rowOff>
        </xdr:from>
        <xdr:to>
          <xdr:col>0</xdr:col>
          <xdr:colOff>1076325</xdr:colOff>
          <xdr:row>105</xdr:row>
          <xdr:rowOff>485775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2E12F784-AB7E-4DB3-BF77-FFAA34779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106</xdr:row>
          <xdr:rowOff>9525</xdr:rowOff>
        </xdr:from>
        <xdr:to>
          <xdr:col>0</xdr:col>
          <xdr:colOff>1076325</xdr:colOff>
          <xdr:row>106</xdr:row>
          <xdr:rowOff>485775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4D9626CB-6F4E-417F-8C33-A817CA858D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107</xdr:row>
          <xdr:rowOff>9525</xdr:rowOff>
        </xdr:from>
        <xdr:to>
          <xdr:col>0</xdr:col>
          <xdr:colOff>1076325</xdr:colOff>
          <xdr:row>107</xdr:row>
          <xdr:rowOff>485775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349A7D36-3745-4564-8F82-9E2D4ACDCB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108</xdr:row>
          <xdr:rowOff>9525</xdr:rowOff>
        </xdr:from>
        <xdr:to>
          <xdr:col>0</xdr:col>
          <xdr:colOff>1076325</xdr:colOff>
          <xdr:row>108</xdr:row>
          <xdr:rowOff>485775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D4F9010E-AAF1-4D13-9A39-C9F2D136D7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109</xdr:row>
          <xdr:rowOff>9525</xdr:rowOff>
        </xdr:from>
        <xdr:to>
          <xdr:col>0</xdr:col>
          <xdr:colOff>1076325</xdr:colOff>
          <xdr:row>109</xdr:row>
          <xdr:rowOff>485775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7A76ADC0-0CA6-45CA-873A-76D7DC1B36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110</xdr:row>
          <xdr:rowOff>9525</xdr:rowOff>
        </xdr:from>
        <xdr:to>
          <xdr:col>0</xdr:col>
          <xdr:colOff>1076325</xdr:colOff>
          <xdr:row>110</xdr:row>
          <xdr:rowOff>485775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BEFAB046-3130-4F2E-A03F-B9805FA8B2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111</xdr:row>
          <xdr:rowOff>9525</xdr:rowOff>
        </xdr:from>
        <xdr:to>
          <xdr:col>0</xdr:col>
          <xdr:colOff>1076325</xdr:colOff>
          <xdr:row>111</xdr:row>
          <xdr:rowOff>485775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5A2F9238-8CF0-48E7-AFE1-3E47D2D0B0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112</xdr:row>
          <xdr:rowOff>9525</xdr:rowOff>
        </xdr:from>
        <xdr:to>
          <xdr:col>0</xdr:col>
          <xdr:colOff>1076325</xdr:colOff>
          <xdr:row>112</xdr:row>
          <xdr:rowOff>485775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9ACE55D0-4A57-4624-ACF3-30DD349306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113</xdr:row>
          <xdr:rowOff>9525</xdr:rowOff>
        </xdr:from>
        <xdr:to>
          <xdr:col>0</xdr:col>
          <xdr:colOff>1076325</xdr:colOff>
          <xdr:row>113</xdr:row>
          <xdr:rowOff>485775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DAD24B01-4E3C-4A7B-93CE-23B7622739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114</xdr:row>
          <xdr:rowOff>9525</xdr:rowOff>
        </xdr:from>
        <xdr:to>
          <xdr:col>0</xdr:col>
          <xdr:colOff>1076325</xdr:colOff>
          <xdr:row>114</xdr:row>
          <xdr:rowOff>485775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6B6387B6-6CC9-47B1-8617-542002C9D4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115</xdr:row>
          <xdr:rowOff>9525</xdr:rowOff>
        </xdr:from>
        <xdr:to>
          <xdr:col>0</xdr:col>
          <xdr:colOff>1076325</xdr:colOff>
          <xdr:row>115</xdr:row>
          <xdr:rowOff>485775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FDAD1568-AB22-4008-B7CA-D542BF77F0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116</xdr:row>
          <xdr:rowOff>9525</xdr:rowOff>
        </xdr:from>
        <xdr:to>
          <xdr:col>0</xdr:col>
          <xdr:colOff>1076325</xdr:colOff>
          <xdr:row>116</xdr:row>
          <xdr:rowOff>485775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407259B3-1D68-4333-AEE0-56114FB55D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117</xdr:row>
          <xdr:rowOff>9525</xdr:rowOff>
        </xdr:from>
        <xdr:to>
          <xdr:col>0</xdr:col>
          <xdr:colOff>1076325</xdr:colOff>
          <xdr:row>117</xdr:row>
          <xdr:rowOff>485775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9A1ECA7A-400B-428B-9461-75809E3660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118</xdr:row>
          <xdr:rowOff>9525</xdr:rowOff>
        </xdr:from>
        <xdr:to>
          <xdr:col>0</xdr:col>
          <xdr:colOff>1076325</xdr:colOff>
          <xdr:row>118</xdr:row>
          <xdr:rowOff>485775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A4248AF-CDD6-4116-A1DE-8BFAE5E6FE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119</xdr:row>
          <xdr:rowOff>9525</xdr:rowOff>
        </xdr:from>
        <xdr:to>
          <xdr:col>0</xdr:col>
          <xdr:colOff>1076325</xdr:colOff>
          <xdr:row>119</xdr:row>
          <xdr:rowOff>485775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857AE665-F221-4824-A878-654194821D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120</xdr:row>
          <xdr:rowOff>9525</xdr:rowOff>
        </xdr:from>
        <xdr:to>
          <xdr:col>0</xdr:col>
          <xdr:colOff>1076325</xdr:colOff>
          <xdr:row>120</xdr:row>
          <xdr:rowOff>485775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AD8CDAC2-8107-4D00-B104-29602C6A42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121</xdr:row>
          <xdr:rowOff>9525</xdr:rowOff>
        </xdr:from>
        <xdr:to>
          <xdr:col>0</xdr:col>
          <xdr:colOff>1076325</xdr:colOff>
          <xdr:row>121</xdr:row>
          <xdr:rowOff>485775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CA491505-042E-497C-A6D0-E2B5739116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122</xdr:row>
          <xdr:rowOff>9525</xdr:rowOff>
        </xdr:from>
        <xdr:to>
          <xdr:col>0</xdr:col>
          <xdr:colOff>1076325</xdr:colOff>
          <xdr:row>122</xdr:row>
          <xdr:rowOff>485775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179E2529-7DA0-4DC9-8B2E-10518B8D89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123</xdr:row>
          <xdr:rowOff>9525</xdr:rowOff>
        </xdr:from>
        <xdr:to>
          <xdr:col>0</xdr:col>
          <xdr:colOff>1076325</xdr:colOff>
          <xdr:row>123</xdr:row>
          <xdr:rowOff>485775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410A7CD1-8C8E-4B1D-AFC3-28A7A9CC4A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124</xdr:row>
          <xdr:rowOff>9525</xdr:rowOff>
        </xdr:from>
        <xdr:to>
          <xdr:col>0</xdr:col>
          <xdr:colOff>1076325</xdr:colOff>
          <xdr:row>124</xdr:row>
          <xdr:rowOff>485775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5E021535-CC3B-4D67-93CE-02B0763D5A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125</xdr:row>
          <xdr:rowOff>9525</xdr:rowOff>
        </xdr:from>
        <xdr:to>
          <xdr:col>0</xdr:col>
          <xdr:colOff>1076325</xdr:colOff>
          <xdr:row>125</xdr:row>
          <xdr:rowOff>485775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D4BA0C0-380D-4087-B69E-5139A85F7C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126</xdr:row>
          <xdr:rowOff>9525</xdr:rowOff>
        </xdr:from>
        <xdr:to>
          <xdr:col>0</xdr:col>
          <xdr:colOff>1076325</xdr:colOff>
          <xdr:row>126</xdr:row>
          <xdr:rowOff>485775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502F9074-974E-4BFC-B46B-24748B5318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127</xdr:row>
          <xdr:rowOff>9525</xdr:rowOff>
        </xdr:from>
        <xdr:to>
          <xdr:col>0</xdr:col>
          <xdr:colOff>1076325</xdr:colOff>
          <xdr:row>127</xdr:row>
          <xdr:rowOff>485775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5525CC86-1457-4DE2-B037-4D1B607659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128</xdr:row>
          <xdr:rowOff>9525</xdr:rowOff>
        </xdr:from>
        <xdr:to>
          <xdr:col>0</xdr:col>
          <xdr:colOff>1076325</xdr:colOff>
          <xdr:row>128</xdr:row>
          <xdr:rowOff>485775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334ABA84-1BA8-4B90-897A-6599707391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129</xdr:row>
          <xdr:rowOff>9525</xdr:rowOff>
        </xdr:from>
        <xdr:to>
          <xdr:col>0</xdr:col>
          <xdr:colOff>1076325</xdr:colOff>
          <xdr:row>129</xdr:row>
          <xdr:rowOff>485775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85883813-5C73-46FD-A83F-EE6B67299C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130</xdr:row>
          <xdr:rowOff>9525</xdr:rowOff>
        </xdr:from>
        <xdr:to>
          <xdr:col>0</xdr:col>
          <xdr:colOff>1076325</xdr:colOff>
          <xdr:row>130</xdr:row>
          <xdr:rowOff>485775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EDE826DE-E30E-4394-B739-28838D9ECE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131</xdr:row>
          <xdr:rowOff>9525</xdr:rowOff>
        </xdr:from>
        <xdr:to>
          <xdr:col>0</xdr:col>
          <xdr:colOff>1076325</xdr:colOff>
          <xdr:row>131</xdr:row>
          <xdr:rowOff>485775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7DFBC984-A06B-4C70-A0CA-F63EBA6E41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132</xdr:row>
          <xdr:rowOff>9525</xdr:rowOff>
        </xdr:from>
        <xdr:to>
          <xdr:col>0</xdr:col>
          <xdr:colOff>1076325</xdr:colOff>
          <xdr:row>132</xdr:row>
          <xdr:rowOff>485775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C0239C3A-B898-45DC-9364-C49EE31C38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133</xdr:row>
          <xdr:rowOff>9525</xdr:rowOff>
        </xdr:from>
        <xdr:to>
          <xdr:col>0</xdr:col>
          <xdr:colOff>1076325</xdr:colOff>
          <xdr:row>133</xdr:row>
          <xdr:rowOff>485775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FF009E12-F4D5-4C49-AB46-43C33C3E82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134</xdr:row>
          <xdr:rowOff>9525</xdr:rowOff>
        </xdr:from>
        <xdr:to>
          <xdr:col>0</xdr:col>
          <xdr:colOff>1076325</xdr:colOff>
          <xdr:row>134</xdr:row>
          <xdr:rowOff>485775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710EC5A1-F0B1-40F1-83E9-DFD964DA01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135</xdr:row>
          <xdr:rowOff>9525</xdr:rowOff>
        </xdr:from>
        <xdr:to>
          <xdr:col>0</xdr:col>
          <xdr:colOff>1076325</xdr:colOff>
          <xdr:row>135</xdr:row>
          <xdr:rowOff>485775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2D6571AF-D3F9-4AB9-80F9-E365F67B42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136</xdr:row>
          <xdr:rowOff>9525</xdr:rowOff>
        </xdr:from>
        <xdr:to>
          <xdr:col>0</xdr:col>
          <xdr:colOff>1076325</xdr:colOff>
          <xdr:row>136</xdr:row>
          <xdr:rowOff>485775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75B1EFEA-37EE-4E15-AB2E-9EDE0A4535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137</xdr:row>
          <xdr:rowOff>9525</xdr:rowOff>
        </xdr:from>
        <xdr:to>
          <xdr:col>0</xdr:col>
          <xdr:colOff>1076325</xdr:colOff>
          <xdr:row>137</xdr:row>
          <xdr:rowOff>485775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2A32C477-2FA8-45DE-864B-8236075946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138</xdr:row>
          <xdr:rowOff>9525</xdr:rowOff>
        </xdr:from>
        <xdr:to>
          <xdr:col>0</xdr:col>
          <xdr:colOff>1076325</xdr:colOff>
          <xdr:row>138</xdr:row>
          <xdr:rowOff>485775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9D2A4A89-7DAB-4B40-8CA1-DE39CD4285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139</xdr:row>
          <xdr:rowOff>9525</xdr:rowOff>
        </xdr:from>
        <xdr:to>
          <xdr:col>0</xdr:col>
          <xdr:colOff>1076325</xdr:colOff>
          <xdr:row>139</xdr:row>
          <xdr:rowOff>485775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9E7FA0B-5516-40CA-89A4-8D3EAAD256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140</xdr:row>
          <xdr:rowOff>9525</xdr:rowOff>
        </xdr:from>
        <xdr:to>
          <xdr:col>0</xdr:col>
          <xdr:colOff>1076325</xdr:colOff>
          <xdr:row>140</xdr:row>
          <xdr:rowOff>485775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A5C5554C-79B5-4D07-B31C-222BE020C0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141</xdr:row>
          <xdr:rowOff>9525</xdr:rowOff>
        </xdr:from>
        <xdr:to>
          <xdr:col>0</xdr:col>
          <xdr:colOff>1076325</xdr:colOff>
          <xdr:row>141</xdr:row>
          <xdr:rowOff>485775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DE588C9-1E35-4DF2-954B-B8C4FC2379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142</xdr:row>
          <xdr:rowOff>9525</xdr:rowOff>
        </xdr:from>
        <xdr:to>
          <xdr:col>0</xdr:col>
          <xdr:colOff>1076325</xdr:colOff>
          <xdr:row>142</xdr:row>
          <xdr:rowOff>485775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A3B768A-1FA8-44BC-ADFB-981F2D5D0C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143</xdr:row>
          <xdr:rowOff>9525</xdr:rowOff>
        </xdr:from>
        <xdr:to>
          <xdr:col>0</xdr:col>
          <xdr:colOff>1076325</xdr:colOff>
          <xdr:row>143</xdr:row>
          <xdr:rowOff>485775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299EEF2-33E1-4827-818F-B5F1D2FDD2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144</xdr:row>
          <xdr:rowOff>9525</xdr:rowOff>
        </xdr:from>
        <xdr:to>
          <xdr:col>0</xdr:col>
          <xdr:colOff>1076325</xdr:colOff>
          <xdr:row>144</xdr:row>
          <xdr:rowOff>485775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C2A19FAC-D7E1-49D6-9070-52C3CE0108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145</xdr:row>
          <xdr:rowOff>9525</xdr:rowOff>
        </xdr:from>
        <xdr:to>
          <xdr:col>0</xdr:col>
          <xdr:colOff>1076325</xdr:colOff>
          <xdr:row>145</xdr:row>
          <xdr:rowOff>485775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5BD288FB-F29B-4909-BCE7-95CCBC7D1C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146</xdr:row>
          <xdr:rowOff>9525</xdr:rowOff>
        </xdr:from>
        <xdr:to>
          <xdr:col>0</xdr:col>
          <xdr:colOff>1076325</xdr:colOff>
          <xdr:row>146</xdr:row>
          <xdr:rowOff>485775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5E2195C4-1641-4072-9EB2-7C01D93F42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147</xdr:row>
          <xdr:rowOff>9525</xdr:rowOff>
        </xdr:from>
        <xdr:to>
          <xdr:col>0</xdr:col>
          <xdr:colOff>1076325</xdr:colOff>
          <xdr:row>147</xdr:row>
          <xdr:rowOff>485775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C1D70CF1-F1BB-41C5-B7B8-F0F96312E8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148</xdr:row>
          <xdr:rowOff>9525</xdr:rowOff>
        </xdr:from>
        <xdr:to>
          <xdr:col>0</xdr:col>
          <xdr:colOff>1076325</xdr:colOff>
          <xdr:row>148</xdr:row>
          <xdr:rowOff>485775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AEE058B-0BDD-4B22-9818-42B1AD3C66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149</xdr:row>
          <xdr:rowOff>9525</xdr:rowOff>
        </xdr:from>
        <xdr:to>
          <xdr:col>0</xdr:col>
          <xdr:colOff>1076325</xdr:colOff>
          <xdr:row>149</xdr:row>
          <xdr:rowOff>485775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BAAE772C-7440-43F7-B8B9-4C1EE428BF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150</xdr:row>
          <xdr:rowOff>9525</xdr:rowOff>
        </xdr:from>
        <xdr:to>
          <xdr:col>0</xdr:col>
          <xdr:colOff>1076325</xdr:colOff>
          <xdr:row>150</xdr:row>
          <xdr:rowOff>485775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C43E5FED-E859-4CA7-88AD-90BF75F177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151</xdr:row>
          <xdr:rowOff>9525</xdr:rowOff>
        </xdr:from>
        <xdr:to>
          <xdr:col>0</xdr:col>
          <xdr:colOff>1076325</xdr:colOff>
          <xdr:row>151</xdr:row>
          <xdr:rowOff>485775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17D437CF-F20F-4B2C-9EDB-6DB88BC152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152</xdr:row>
          <xdr:rowOff>9525</xdr:rowOff>
        </xdr:from>
        <xdr:to>
          <xdr:col>0</xdr:col>
          <xdr:colOff>1076325</xdr:colOff>
          <xdr:row>152</xdr:row>
          <xdr:rowOff>485775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238B49F7-6202-486D-8F68-B58F8A63BD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153</xdr:row>
          <xdr:rowOff>9525</xdr:rowOff>
        </xdr:from>
        <xdr:to>
          <xdr:col>0</xdr:col>
          <xdr:colOff>1076325</xdr:colOff>
          <xdr:row>153</xdr:row>
          <xdr:rowOff>485775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118025A8-E0CC-428B-A05A-24563EE9EC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63" Type="http://schemas.openxmlformats.org/officeDocument/2006/relationships/ctrlProp" Target="../ctrlProps/ctrlProp61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53" Type="http://schemas.openxmlformats.org/officeDocument/2006/relationships/ctrlProp" Target="../ctrlProps/ctrlProp51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149" Type="http://schemas.openxmlformats.org/officeDocument/2006/relationships/ctrlProp" Target="../ctrlProps/ctrlProp147.xml"/><Relationship Id="rId5" Type="http://schemas.openxmlformats.org/officeDocument/2006/relationships/ctrlProp" Target="../ctrlProps/ctrlProp3.xml"/><Relationship Id="rId95" Type="http://schemas.openxmlformats.org/officeDocument/2006/relationships/ctrlProp" Target="../ctrlProps/ctrlProp93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18" Type="http://schemas.openxmlformats.org/officeDocument/2006/relationships/ctrlProp" Target="../ctrlProps/ctrlProp116.xml"/><Relationship Id="rId134" Type="http://schemas.openxmlformats.org/officeDocument/2006/relationships/ctrlProp" Target="../ctrlProps/ctrlProp132.xml"/><Relationship Id="rId139" Type="http://schemas.openxmlformats.org/officeDocument/2006/relationships/ctrlProp" Target="../ctrlProps/ctrlProp137.xml"/><Relationship Id="rId80" Type="http://schemas.openxmlformats.org/officeDocument/2006/relationships/ctrlProp" Target="../ctrlProps/ctrlProp78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55" Type="http://schemas.openxmlformats.org/officeDocument/2006/relationships/ctrlProp" Target="../ctrlProps/ctrlProp153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08" Type="http://schemas.openxmlformats.org/officeDocument/2006/relationships/ctrlProp" Target="../ctrlProps/ctrlProp106.xml"/><Relationship Id="rId124" Type="http://schemas.openxmlformats.org/officeDocument/2006/relationships/ctrlProp" Target="../ctrlProps/ctrlProp122.xml"/><Relationship Id="rId129" Type="http://schemas.openxmlformats.org/officeDocument/2006/relationships/ctrlProp" Target="../ctrlProps/ctrlProp127.xml"/><Relationship Id="rId54" Type="http://schemas.openxmlformats.org/officeDocument/2006/relationships/ctrlProp" Target="../ctrlProps/ctrlProp52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91" Type="http://schemas.openxmlformats.org/officeDocument/2006/relationships/ctrlProp" Target="../ctrlProps/ctrlProp89.xml"/><Relationship Id="rId96" Type="http://schemas.openxmlformats.org/officeDocument/2006/relationships/ctrlProp" Target="../ctrlProps/ctrlProp94.xml"/><Relationship Id="rId140" Type="http://schemas.openxmlformats.org/officeDocument/2006/relationships/ctrlProp" Target="../ctrlProps/ctrlProp138.xml"/><Relationship Id="rId145" Type="http://schemas.openxmlformats.org/officeDocument/2006/relationships/ctrlProp" Target="../ctrlProps/ctrlProp143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119" Type="http://schemas.openxmlformats.org/officeDocument/2006/relationships/ctrlProp" Target="../ctrlProps/ctrlProp117.xml"/><Relationship Id="rId44" Type="http://schemas.openxmlformats.org/officeDocument/2006/relationships/ctrlProp" Target="../ctrlProps/ctrlProp42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130" Type="http://schemas.openxmlformats.org/officeDocument/2006/relationships/ctrlProp" Target="../ctrlProps/ctrlProp128.xml"/><Relationship Id="rId135" Type="http://schemas.openxmlformats.org/officeDocument/2006/relationships/ctrlProp" Target="../ctrlProps/ctrlProp133.xml"/><Relationship Id="rId151" Type="http://schemas.openxmlformats.org/officeDocument/2006/relationships/ctrlProp" Target="../ctrlProps/ctrlProp149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109" Type="http://schemas.openxmlformats.org/officeDocument/2006/relationships/ctrlProp" Target="../ctrlProps/ctrlProp10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04" Type="http://schemas.openxmlformats.org/officeDocument/2006/relationships/ctrlProp" Target="../ctrlProps/ctrlProp102.xml"/><Relationship Id="rId120" Type="http://schemas.openxmlformats.org/officeDocument/2006/relationships/ctrlProp" Target="../ctrlProps/ctrlProp118.xml"/><Relationship Id="rId125" Type="http://schemas.openxmlformats.org/officeDocument/2006/relationships/ctrlProp" Target="../ctrlProps/ctrlProp123.xml"/><Relationship Id="rId141" Type="http://schemas.openxmlformats.org/officeDocument/2006/relationships/ctrlProp" Target="../ctrlProps/ctrlProp139.xml"/><Relationship Id="rId146" Type="http://schemas.openxmlformats.org/officeDocument/2006/relationships/ctrlProp" Target="../ctrlProps/ctrlProp144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15" Type="http://schemas.openxmlformats.org/officeDocument/2006/relationships/ctrlProp" Target="../ctrlProps/ctrlProp113.xml"/><Relationship Id="rId131" Type="http://schemas.openxmlformats.org/officeDocument/2006/relationships/ctrlProp" Target="../ctrlProps/ctrlProp129.xml"/><Relationship Id="rId136" Type="http://schemas.openxmlformats.org/officeDocument/2006/relationships/ctrlProp" Target="../ctrlProps/ctrlProp134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52" Type="http://schemas.openxmlformats.org/officeDocument/2006/relationships/ctrlProp" Target="../ctrlProps/ctrlProp150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42" Type="http://schemas.openxmlformats.org/officeDocument/2006/relationships/ctrlProp" Target="../ctrlProps/ctrlProp140.xml"/><Relationship Id="rId3" Type="http://schemas.openxmlformats.org/officeDocument/2006/relationships/ctrlProp" Target="../ctrlProps/ctrlProp1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32" Type="http://schemas.openxmlformats.org/officeDocument/2006/relationships/ctrlProp" Target="../ctrlProps/ctrlProp130.xml"/><Relationship Id="rId153" Type="http://schemas.openxmlformats.org/officeDocument/2006/relationships/ctrlProp" Target="../ctrlProps/ctrlProp151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143" Type="http://schemas.openxmlformats.org/officeDocument/2006/relationships/ctrlProp" Target="../ctrlProps/ctrlProp141.xml"/><Relationship Id="rId148" Type="http://schemas.openxmlformats.org/officeDocument/2006/relationships/ctrlProp" Target="../ctrlProps/ctrlProp146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26" Type="http://schemas.openxmlformats.org/officeDocument/2006/relationships/ctrlProp" Target="../ctrlProps/ctrlProp24.xml"/><Relationship Id="rId47" Type="http://schemas.openxmlformats.org/officeDocument/2006/relationships/ctrlProp" Target="../ctrlProps/ctrlProp45.xml"/><Relationship Id="rId68" Type="http://schemas.openxmlformats.org/officeDocument/2006/relationships/ctrlProp" Target="../ctrlProps/ctrlProp66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33" Type="http://schemas.openxmlformats.org/officeDocument/2006/relationships/ctrlProp" Target="../ctrlProps/ctrlProp131.xml"/><Relationship Id="rId154" Type="http://schemas.openxmlformats.org/officeDocument/2006/relationships/ctrlProp" Target="../ctrlProps/ctrlProp152.xml"/><Relationship Id="rId16" Type="http://schemas.openxmlformats.org/officeDocument/2006/relationships/ctrlProp" Target="../ctrlProps/ctrlProp14.xml"/><Relationship Id="rId37" Type="http://schemas.openxmlformats.org/officeDocument/2006/relationships/ctrlProp" Target="../ctrlProps/ctrlProp35.xml"/><Relationship Id="rId58" Type="http://schemas.openxmlformats.org/officeDocument/2006/relationships/ctrlProp" Target="../ctrlProps/ctrlProp56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44" Type="http://schemas.openxmlformats.org/officeDocument/2006/relationships/ctrlProp" Target="../ctrlProps/ctrlProp142.xml"/><Relationship Id="rId90" Type="http://schemas.openxmlformats.org/officeDocument/2006/relationships/ctrlProp" Target="../ctrlProps/ctrlProp8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ED43-3B99-43A8-A6AE-212781102845}">
  <dimension ref="A1:BF154"/>
  <sheetViews>
    <sheetView tabSelected="1" workbookViewId="0">
      <selection activeCell="BI4" sqref="BI4"/>
    </sheetView>
  </sheetViews>
  <sheetFormatPr defaultRowHeight="79.5" customHeight="1"/>
  <cols>
    <col min="1" max="1" width="16.28515625" customWidth="1"/>
    <col min="2" max="3" width="0" hidden="1" customWidth="1"/>
    <col min="4" max="4" width="18" customWidth="1"/>
    <col min="5" max="5" width="0" hidden="1" customWidth="1"/>
    <col min="6" max="6" width="35.85546875" customWidth="1"/>
    <col min="8" max="12" width="0" hidden="1" customWidth="1"/>
    <col min="13" max="14" width="13.7109375" customWidth="1"/>
    <col min="16" max="19" width="0" hidden="1" customWidth="1"/>
    <col min="22" max="28" width="0" hidden="1" customWidth="1"/>
    <col min="30" max="30" width="0" hidden="1" customWidth="1"/>
    <col min="32" max="32" width="0" hidden="1" customWidth="1"/>
    <col min="33" max="33" width="11.42578125" customWidth="1"/>
    <col min="34" max="43" width="0" hidden="1" customWidth="1"/>
    <col min="44" max="46" width="11.7109375" customWidth="1"/>
    <col min="49" max="58" width="0" hidden="1" customWidth="1"/>
  </cols>
  <sheetData>
    <row r="1" spans="1:58" ht="63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</row>
    <row r="2" spans="1:58" ht="79.5" customHeight="1">
      <c r="A2" s="1"/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H2" s="2" t="s">
        <v>63</v>
      </c>
      <c r="I2" s="2" t="s">
        <v>64</v>
      </c>
      <c r="J2" s="2" t="s">
        <v>63</v>
      </c>
      <c r="K2" s="2" t="s">
        <v>63</v>
      </c>
      <c r="L2" s="2" t="s">
        <v>65</v>
      </c>
      <c r="M2" s="1" t="s">
        <v>66</v>
      </c>
      <c r="N2" s="1" t="s">
        <v>67</v>
      </c>
      <c r="O2" s="2" t="s">
        <v>68</v>
      </c>
      <c r="Q2" s="2" t="s">
        <v>69</v>
      </c>
      <c r="R2" s="2" t="s">
        <v>70</v>
      </c>
      <c r="T2" s="2" t="s">
        <v>71</v>
      </c>
      <c r="U2" s="3">
        <v>8</v>
      </c>
      <c r="V2" s="3">
        <v>8</v>
      </c>
      <c r="W2" s="4" t="s">
        <v>72</v>
      </c>
      <c r="X2" s="4" t="s">
        <v>72</v>
      </c>
      <c r="Y2" s="4" t="s">
        <v>73</v>
      </c>
      <c r="Z2" s="4" t="s">
        <v>73</v>
      </c>
      <c r="AA2" s="3">
        <v>479</v>
      </c>
      <c r="AB2" s="3">
        <v>426</v>
      </c>
      <c r="AC2" s="3">
        <v>473</v>
      </c>
      <c r="AD2" s="3">
        <v>3</v>
      </c>
      <c r="AE2" s="3">
        <v>4</v>
      </c>
      <c r="AF2" s="3">
        <v>12</v>
      </c>
      <c r="AG2" s="3">
        <v>14</v>
      </c>
      <c r="AH2" s="3">
        <v>4</v>
      </c>
      <c r="AI2" s="3">
        <v>4</v>
      </c>
      <c r="AJ2" s="3">
        <v>4</v>
      </c>
      <c r="AK2" s="3">
        <v>4</v>
      </c>
      <c r="AL2" s="3">
        <v>6</v>
      </c>
      <c r="AM2" s="3">
        <v>7</v>
      </c>
      <c r="AN2" s="3">
        <v>2</v>
      </c>
      <c r="AO2" s="3">
        <v>3</v>
      </c>
      <c r="AP2" s="3">
        <v>0</v>
      </c>
      <c r="AQ2" s="3">
        <v>0</v>
      </c>
      <c r="AR2" s="2" t="s">
        <v>63</v>
      </c>
      <c r="AS2" s="2" t="s">
        <v>63</v>
      </c>
      <c r="AT2" s="5" t="str">
        <f>HYPERLINK("http://catalog.hathitrust.org/Record/006256131","HathiTrust Record")</f>
        <v>HathiTrust Record</v>
      </c>
      <c r="AU2" s="5" t="str">
        <f>HYPERLINK("https://creighton-primo.hosted.exlibrisgroup.com/primo-explore/search?tab=default_tab&amp;search_scope=EVERYTHING&amp;vid=01CRU&amp;lang=en_US&amp;offset=0&amp;query=any,contains,991000791689702656","Catalog Record")</f>
        <v>Catalog Record</v>
      </c>
      <c r="AV2" s="5" t="str">
        <f>HYPERLINK("http://www.worldcat.org/oclc/993839","WorldCat Record")</f>
        <v>WorldCat Record</v>
      </c>
      <c r="AW2" s="2" t="s">
        <v>74</v>
      </c>
      <c r="AX2" s="2" t="s">
        <v>75</v>
      </c>
      <c r="AY2" s="2" t="s">
        <v>76</v>
      </c>
      <c r="AZ2" s="2" t="s">
        <v>76</v>
      </c>
      <c r="BA2" s="2" t="s">
        <v>77</v>
      </c>
      <c r="BB2" s="2" t="s">
        <v>78</v>
      </c>
      <c r="BE2" s="2" t="s">
        <v>79</v>
      </c>
      <c r="BF2" s="2" t="s">
        <v>80</v>
      </c>
    </row>
    <row r="3" spans="1:58" ht="79.5" customHeight="1">
      <c r="A3" s="1"/>
      <c r="B3" s="1" t="s">
        <v>58</v>
      </c>
      <c r="C3" s="1" t="s">
        <v>59</v>
      </c>
      <c r="D3" s="1" t="s">
        <v>81</v>
      </c>
      <c r="E3" s="1" t="s">
        <v>82</v>
      </c>
      <c r="F3" s="1" t="s">
        <v>83</v>
      </c>
      <c r="H3" s="2" t="s">
        <v>63</v>
      </c>
      <c r="I3" s="2" t="s">
        <v>64</v>
      </c>
      <c r="J3" s="2" t="s">
        <v>84</v>
      </c>
      <c r="K3" s="2" t="s">
        <v>63</v>
      </c>
      <c r="L3" s="2" t="s">
        <v>65</v>
      </c>
      <c r="M3" s="1" t="s">
        <v>85</v>
      </c>
      <c r="N3" s="1" t="s">
        <v>86</v>
      </c>
      <c r="O3" s="2" t="s">
        <v>87</v>
      </c>
      <c r="Q3" s="2" t="s">
        <v>69</v>
      </c>
      <c r="R3" s="2" t="s">
        <v>88</v>
      </c>
      <c r="T3" s="2" t="s">
        <v>71</v>
      </c>
      <c r="U3" s="3">
        <v>1</v>
      </c>
      <c r="V3" s="3">
        <v>1</v>
      </c>
      <c r="W3" s="4" t="s">
        <v>89</v>
      </c>
      <c r="X3" s="4" t="s">
        <v>89</v>
      </c>
      <c r="Y3" s="4" t="s">
        <v>90</v>
      </c>
      <c r="Z3" s="4" t="s">
        <v>90</v>
      </c>
      <c r="AA3" s="3">
        <v>874</v>
      </c>
      <c r="AB3" s="3">
        <v>758</v>
      </c>
      <c r="AC3" s="3">
        <v>782</v>
      </c>
      <c r="AD3" s="3">
        <v>7</v>
      </c>
      <c r="AE3" s="3">
        <v>7</v>
      </c>
      <c r="AF3" s="3">
        <v>24</v>
      </c>
      <c r="AG3" s="3">
        <v>24</v>
      </c>
      <c r="AH3" s="3">
        <v>9</v>
      </c>
      <c r="AI3" s="3">
        <v>9</v>
      </c>
      <c r="AJ3" s="3">
        <v>3</v>
      </c>
      <c r="AK3" s="3">
        <v>3</v>
      </c>
      <c r="AL3" s="3">
        <v>9</v>
      </c>
      <c r="AM3" s="3">
        <v>9</v>
      </c>
      <c r="AN3" s="3">
        <v>5</v>
      </c>
      <c r="AO3" s="3">
        <v>5</v>
      </c>
      <c r="AP3" s="3">
        <v>0</v>
      </c>
      <c r="AQ3" s="3">
        <v>0</v>
      </c>
      <c r="AR3" s="2" t="s">
        <v>63</v>
      </c>
      <c r="AS3" s="2" t="s">
        <v>84</v>
      </c>
      <c r="AT3" s="5" t="str">
        <f>HYPERLINK("http://catalog.hathitrust.org/Record/000339310","HathiTrust Record")</f>
        <v>HathiTrust Record</v>
      </c>
      <c r="AU3" s="5" t="str">
        <f>HYPERLINK("https://creighton-primo.hosted.exlibrisgroup.com/primo-explore/search?tab=default_tab&amp;search_scope=EVERYTHING&amp;vid=01CRU&amp;lang=en_US&amp;offset=0&amp;query=any,contains,991001140279702656","Catalog Record")</f>
        <v>Catalog Record</v>
      </c>
      <c r="AV3" s="5" t="str">
        <f>HYPERLINK("http://www.worldcat.org/oclc/9853504","WorldCat Record")</f>
        <v>WorldCat Record</v>
      </c>
      <c r="AW3" s="2" t="s">
        <v>91</v>
      </c>
      <c r="AX3" s="2" t="s">
        <v>92</v>
      </c>
      <c r="AY3" s="2" t="s">
        <v>93</v>
      </c>
      <c r="AZ3" s="2" t="s">
        <v>93</v>
      </c>
      <c r="BA3" s="2" t="s">
        <v>94</v>
      </c>
      <c r="BB3" s="2" t="s">
        <v>78</v>
      </c>
      <c r="BD3" s="2" t="s">
        <v>95</v>
      </c>
      <c r="BE3" s="2" t="s">
        <v>96</v>
      </c>
      <c r="BF3" s="2" t="s">
        <v>97</v>
      </c>
    </row>
    <row r="4" spans="1:58" ht="79.5" customHeight="1">
      <c r="A4" s="1"/>
      <c r="B4" s="1" t="s">
        <v>58</v>
      </c>
      <c r="C4" s="1" t="s">
        <v>59</v>
      </c>
      <c r="D4" s="1" t="s">
        <v>98</v>
      </c>
      <c r="E4" s="1" t="s">
        <v>99</v>
      </c>
      <c r="F4" s="1" t="s">
        <v>100</v>
      </c>
      <c r="H4" s="2" t="s">
        <v>63</v>
      </c>
      <c r="I4" s="2" t="s">
        <v>64</v>
      </c>
      <c r="J4" s="2" t="s">
        <v>63</v>
      </c>
      <c r="K4" s="2" t="s">
        <v>63</v>
      </c>
      <c r="L4" s="2" t="s">
        <v>65</v>
      </c>
      <c r="M4" s="1" t="s">
        <v>101</v>
      </c>
      <c r="N4" s="1" t="s">
        <v>102</v>
      </c>
      <c r="O4" s="2" t="s">
        <v>103</v>
      </c>
      <c r="Q4" s="2" t="s">
        <v>69</v>
      </c>
      <c r="R4" s="2" t="s">
        <v>104</v>
      </c>
      <c r="T4" s="2" t="s">
        <v>71</v>
      </c>
      <c r="U4" s="3">
        <v>2</v>
      </c>
      <c r="V4" s="3">
        <v>2</v>
      </c>
      <c r="W4" s="4" t="s">
        <v>105</v>
      </c>
      <c r="X4" s="4" t="s">
        <v>105</v>
      </c>
      <c r="Y4" s="4" t="s">
        <v>73</v>
      </c>
      <c r="Z4" s="4" t="s">
        <v>73</v>
      </c>
      <c r="AA4" s="3">
        <v>266</v>
      </c>
      <c r="AB4" s="3">
        <v>245</v>
      </c>
      <c r="AC4" s="3">
        <v>291</v>
      </c>
      <c r="AD4" s="3">
        <v>1</v>
      </c>
      <c r="AE4" s="3">
        <v>1</v>
      </c>
      <c r="AF4" s="3">
        <v>14</v>
      </c>
      <c r="AG4" s="3">
        <v>15</v>
      </c>
      <c r="AH4" s="3">
        <v>5</v>
      </c>
      <c r="AI4" s="3">
        <v>5</v>
      </c>
      <c r="AJ4" s="3">
        <v>3</v>
      </c>
      <c r="AK4" s="3">
        <v>3</v>
      </c>
      <c r="AL4" s="3">
        <v>8</v>
      </c>
      <c r="AM4" s="3">
        <v>9</v>
      </c>
      <c r="AN4" s="3">
        <v>0</v>
      </c>
      <c r="AO4" s="3">
        <v>0</v>
      </c>
      <c r="AP4" s="3">
        <v>0</v>
      </c>
      <c r="AQ4" s="3">
        <v>0</v>
      </c>
      <c r="AR4" s="2" t="s">
        <v>63</v>
      </c>
      <c r="AS4" s="2" t="s">
        <v>63</v>
      </c>
      <c r="AT4" s="5" t="str">
        <f>HYPERLINK("http://catalog.hathitrust.org/Record/000475145","HathiTrust Record")</f>
        <v>HathiTrust Record</v>
      </c>
      <c r="AU4" s="5" t="str">
        <f>HYPERLINK("https://creighton-primo.hosted.exlibrisgroup.com/primo-explore/search?tab=default_tab&amp;search_scope=EVERYTHING&amp;vid=01CRU&amp;lang=en_US&amp;offset=0&amp;query=any,contains,991000791489702656","Catalog Record")</f>
        <v>Catalog Record</v>
      </c>
      <c r="AV4" s="5" t="str">
        <f>HYPERLINK("http://www.worldcat.org/oclc/565554","WorldCat Record")</f>
        <v>WorldCat Record</v>
      </c>
      <c r="AW4" s="2" t="s">
        <v>106</v>
      </c>
      <c r="AX4" s="2" t="s">
        <v>107</v>
      </c>
      <c r="AY4" s="2" t="s">
        <v>108</v>
      </c>
      <c r="AZ4" s="2" t="s">
        <v>108</v>
      </c>
      <c r="BA4" s="2" t="s">
        <v>109</v>
      </c>
      <c r="BB4" s="2" t="s">
        <v>78</v>
      </c>
      <c r="BE4" s="2" t="s">
        <v>110</v>
      </c>
      <c r="BF4" s="2" t="s">
        <v>111</v>
      </c>
    </row>
    <row r="5" spans="1:58" ht="79.5" customHeight="1">
      <c r="A5" s="1"/>
      <c r="B5" s="1" t="s">
        <v>58</v>
      </c>
      <c r="C5" s="1" t="s">
        <v>59</v>
      </c>
      <c r="D5" s="1" t="s">
        <v>112</v>
      </c>
      <c r="E5" s="1" t="s">
        <v>113</v>
      </c>
      <c r="F5" s="1" t="s">
        <v>114</v>
      </c>
      <c r="H5" s="2" t="s">
        <v>63</v>
      </c>
      <c r="I5" s="2" t="s">
        <v>64</v>
      </c>
      <c r="J5" s="2" t="s">
        <v>63</v>
      </c>
      <c r="K5" s="2" t="s">
        <v>63</v>
      </c>
      <c r="L5" s="2" t="s">
        <v>65</v>
      </c>
      <c r="M5" s="1" t="s">
        <v>115</v>
      </c>
      <c r="N5" s="1" t="s">
        <v>116</v>
      </c>
      <c r="O5" s="2" t="s">
        <v>117</v>
      </c>
      <c r="P5" s="1" t="s">
        <v>118</v>
      </c>
      <c r="Q5" s="2" t="s">
        <v>69</v>
      </c>
      <c r="R5" s="2" t="s">
        <v>70</v>
      </c>
      <c r="T5" s="2" t="s">
        <v>71</v>
      </c>
      <c r="U5" s="3">
        <v>2</v>
      </c>
      <c r="V5" s="3">
        <v>2</v>
      </c>
      <c r="W5" s="4" t="s">
        <v>105</v>
      </c>
      <c r="X5" s="4" t="s">
        <v>105</v>
      </c>
      <c r="Y5" s="4" t="s">
        <v>73</v>
      </c>
      <c r="Z5" s="4" t="s">
        <v>73</v>
      </c>
      <c r="AA5" s="3">
        <v>161</v>
      </c>
      <c r="AB5" s="3">
        <v>145</v>
      </c>
      <c r="AC5" s="3">
        <v>158</v>
      </c>
      <c r="AD5" s="3">
        <v>1</v>
      </c>
      <c r="AE5" s="3">
        <v>1</v>
      </c>
      <c r="AF5" s="3">
        <v>4</v>
      </c>
      <c r="AG5" s="3">
        <v>5</v>
      </c>
      <c r="AH5" s="3">
        <v>0</v>
      </c>
      <c r="AI5" s="3">
        <v>1</v>
      </c>
      <c r="AJ5" s="3">
        <v>0</v>
      </c>
      <c r="AK5" s="3">
        <v>0</v>
      </c>
      <c r="AL5" s="3">
        <v>4</v>
      </c>
      <c r="AM5" s="3">
        <v>4</v>
      </c>
      <c r="AN5" s="3">
        <v>0</v>
      </c>
      <c r="AO5" s="3">
        <v>0</v>
      </c>
      <c r="AP5" s="3">
        <v>0</v>
      </c>
      <c r="AQ5" s="3">
        <v>0</v>
      </c>
      <c r="AR5" s="2" t="s">
        <v>63</v>
      </c>
      <c r="AS5" s="2" t="s">
        <v>84</v>
      </c>
      <c r="AT5" s="5" t="str">
        <f>HYPERLINK("http://catalog.hathitrust.org/Record/007110419","HathiTrust Record")</f>
        <v>HathiTrust Record</v>
      </c>
      <c r="AU5" s="5" t="str">
        <f>HYPERLINK("https://creighton-primo.hosted.exlibrisgroup.com/primo-explore/search?tab=default_tab&amp;search_scope=EVERYTHING&amp;vid=01CRU&amp;lang=en_US&amp;offset=0&amp;query=any,contains,991000791549702656","Catalog Record")</f>
        <v>Catalog Record</v>
      </c>
      <c r="AV5" s="5" t="str">
        <f>HYPERLINK("http://www.worldcat.org/oclc/1701629","WorldCat Record")</f>
        <v>WorldCat Record</v>
      </c>
      <c r="AW5" s="2" t="s">
        <v>119</v>
      </c>
      <c r="AX5" s="2" t="s">
        <v>120</v>
      </c>
      <c r="AY5" s="2" t="s">
        <v>121</v>
      </c>
      <c r="AZ5" s="2" t="s">
        <v>121</v>
      </c>
      <c r="BA5" s="2" t="s">
        <v>122</v>
      </c>
      <c r="BB5" s="2" t="s">
        <v>78</v>
      </c>
      <c r="BE5" s="2" t="s">
        <v>123</v>
      </c>
      <c r="BF5" s="2" t="s">
        <v>124</v>
      </c>
    </row>
    <row r="6" spans="1:58" ht="79.5" customHeight="1">
      <c r="A6" s="1"/>
      <c r="B6" s="1" t="s">
        <v>58</v>
      </c>
      <c r="C6" s="1" t="s">
        <v>59</v>
      </c>
      <c r="D6" s="1" t="s">
        <v>125</v>
      </c>
      <c r="E6" s="1" t="s">
        <v>126</v>
      </c>
      <c r="F6" s="1" t="s">
        <v>127</v>
      </c>
      <c r="H6" s="2" t="s">
        <v>84</v>
      </c>
      <c r="I6" s="2" t="s">
        <v>64</v>
      </c>
      <c r="J6" s="2" t="s">
        <v>84</v>
      </c>
      <c r="K6" s="2" t="s">
        <v>63</v>
      </c>
      <c r="L6" s="2" t="s">
        <v>65</v>
      </c>
      <c r="N6" s="1" t="s">
        <v>128</v>
      </c>
      <c r="O6" s="2" t="s">
        <v>129</v>
      </c>
      <c r="Q6" s="2" t="s">
        <v>69</v>
      </c>
      <c r="R6" s="2" t="s">
        <v>130</v>
      </c>
      <c r="T6" s="2" t="s">
        <v>71</v>
      </c>
      <c r="U6" s="3">
        <v>2</v>
      </c>
      <c r="V6" s="3">
        <v>3</v>
      </c>
      <c r="W6" s="4" t="s">
        <v>131</v>
      </c>
      <c r="X6" s="4" t="s">
        <v>131</v>
      </c>
      <c r="Y6" s="4" t="s">
        <v>131</v>
      </c>
      <c r="Z6" s="4" t="s">
        <v>131</v>
      </c>
      <c r="AA6" s="3">
        <v>754</v>
      </c>
      <c r="AB6" s="3">
        <v>552</v>
      </c>
      <c r="AC6" s="3">
        <v>563</v>
      </c>
      <c r="AD6" s="3">
        <v>5</v>
      </c>
      <c r="AE6" s="3">
        <v>5</v>
      </c>
      <c r="AF6" s="3">
        <v>23</v>
      </c>
      <c r="AG6" s="3">
        <v>24</v>
      </c>
      <c r="AH6" s="3">
        <v>5</v>
      </c>
      <c r="AI6" s="3">
        <v>6</v>
      </c>
      <c r="AJ6" s="3">
        <v>6</v>
      </c>
      <c r="AK6" s="3">
        <v>6</v>
      </c>
      <c r="AL6" s="3">
        <v>14</v>
      </c>
      <c r="AM6" s="3">
        <v>15</v>
      </c>
      <c r="AN6" s="3">
        <v>4</v>
      </c>
      <c r="AO6" s="3">
        <v>4</v>
      </c>
      <c r="AP6" s="3">
        <v>0</v>
      </c>
      <c r="AQ6" s="3">
        <v>0</v>
      </c>
      <c r="AR6" s="2" t="s">
        <v>63</v>
      </c>
      <c r="AS6" s="2" t="s">
        <v>63</v>
      </c>
      <c r="AU6" s="5" t="str">
        <f>HYPERLINK("https://creighton-primo.hosted.exlibrisgroup.com/primo-explore/search?tab=default_tab&amp;search_scope=EVERYTHING&amp;vid=01CRU&amp;lang=en_US&amp;offset=0&amp;query=any,contains,991000671639702656","Catalog Record")</f>
        <v>Catalog Record</v>
      </c>
      <c r="AV6" s="5" t="str">
        <f>HYPERLINK("http://www.worldcat.org/oclc/29703951","WorldCat Record")</f>
        <v>WorldCat Record</v>
      </c>
      <c r="AW6" s="2" t="s">
        <v>132</v>
      </c>
      <c r="AX6" s="2" t="s">
        <v>133</v>
      </c>
      <c r="AY6" s="2" t="s">
        <v>134</v>
      </c>
      <c r="AZ6" s="2" t="s">
        <v>134</v>
      </c>
      <c r="BA6" s="2" t="s">
        <v>135</v>
      </c>
      <c r="BB6" s="2" t="s">
        <v>78</v>
      </c>
      <c r="BD6" s="2" t="s">
        <v>136</v>
      </c>
      <c r="BE6" s="2" t="s">
        <v>137</v>
      </c>
      <c r="BF6" s="2" t="s">
        <v>138</v>
      </c>
    </row>
    <row r="7" spans="1:58" ht="79.5" customHeight="1">
      <c r="A7" s="1"/>
      <c r="B7" s="1" t="s">
        <v>58</v>
      </c>
      <c r="C7" s="1" t="s">
        <v>59</v>
      </c>
      <c r="D7" s="1" t="s">
        <v>139</v>
      </c>
      <c r="E7" s="1" t="s">
        <v>140</v>
      </c>
      <c r="F7" s="1" t="s">
        <v>141</v>
      </c>
      <c r="H7" s="2" t="s">
        <v>63</v>
      </c>
      <c r="I7" s="2" t="s">
        <v>64</v>
      </c>
      <c r="J7" s="2" t="s">
        <v>63</v>
      </c>
      <c r="K7" s="2" t="s">
        <v>63</v>
      </c>
      <c r="L7" s="2" t="s">
        <v>65</v>
      </c>
      <c r="N7" s="1" t="s">
        <v>142</v>
      </c>
      <c r="O7" s="2" t="s">
        <v>129</v>
      </c>
      <c r="P7" s="1" t="s">
        <v>143</v>
      </c>
      <c r="Q7" s="2" t="s">
        <v>69</v>
      </c>
      <c r="R7" s="2" t="s">
        <v>144</v>
      </c>
      <c r="T7" s="2" t="s">
        <v>71</v>
      </c>
      <c r="U7" s="3">
        <v>59</v>
      </c>
      <c r="V7" s="3">
        <v>59</v>
      </c>
      <c r="W7" s="4" t="s">
        <v>145</v>
      </c>
      <c r="X7" s="4" t="s">
        <v>145</v>
      </c>
      <c r="Y7" s="4" t="s">
        <v>146</v>
      </c>
      <c r="Z7" s="4" t="s">
        <v>146</v>
      </c>
      <c r="AA7" s="3">
        <v>149</v>
      </c>
      <c r="AB7" s="3">
        <v>111</v>
      </c>
      <c r="AC7" s="3">
        <v>118</v>
      </c>
      <c r="AD7" s="3">
        <v>1</v>
      </c>
      <c r="AE7" s="3">
        <v>1</v>
      </c>
      <c r="AF7" s="3">
        <v>4</v>
      </c>
      <c r="AG7" s="3">
        <v>4</v>
      </c>
      <c r="AH7" s="3">
        <v>2</v>
      </c>
      <c r="AI7" s="3">
        <v>2</v>
      </c>
      <c r="AJ7" s="3">
        <v>1</v>
      </c>
      <c r="AK7" s="3">
        <v>1</v>
      </c>
      <c r="AL7" s="3">
        <v>3</v>
      </c>
      <c r="AM7" s="3">
        <v>3</v>
      </c>
      <c r="AN7" s="3">
        <v>0</v>
      </c>
      <c r="AO7" s="3">
        <v>0</v>
      </c>
      <c r="AP7" s="3">
        <v>0</v>
      </c>
      <c r="AQ7" s="3">
        <v>0</v>
      </c>
      <c r="AR7" s="2" t="s">
        <v>63</v>
      </c>
      <c r="AS7" s="2" t="s">
        <v>84</v>
      </c>
      <c r="AT7" s="5" t="str">
        <f>HYPERLINK("http://catalog.hathitrust.org/Record/002967637","HathiTrust Record")</f>
        <v>HathiTrust Record</v>
      </c>
      <c r="AU7" s="5" t="str">
        <f>HYPERLINK("https://creighton-primo.hosted.exlibrisgroup.com/primo-explore/search?tab=default_tab&amp;search_scope=EVERYTHING&amp;vid=01CRU&amp;lang=en_US&amp;offset=0&amp;query=any,contains,991001403979702656","Catalog Record")</f>
        <v>Catalog Record</v>
      </c>
      <c r="AV7" s="5" t="str">
        <f>HYPERLINK("http://www.worldcat.org/oclc/28802043","WorldCat Record")</f>
        <v>WorldCat Record</v>
      </c>
      <c r="AW7" s="2" t="s">
        <v>147</v>
      </c>
      <c r="AX7" s="2" t="s">
        <v>148</v>
      </c>
      <c r="AY7" s="2" t="s">
        <v>149</v>
      </c>
      <c r="AZ7" s="2" t="s">
        <v>149</v>
      </c>
      <c r="BA7" s="2" t="s">
        <v>150</v>
      </c>
      <c r="BB7" s="2" t="s">
        <v>78</v>
      </c>
      <c r="BD7" s="2" t="s">
        <v>151</v>
      </c>
      <c r="BE7" s="2" t="s">
        <v>152</v>
      </c>
      <c r="BF7" s="2" t="s">
        <v>153</v>
      </c>
    </row>
    <row r="8" spans="1:58" ht="79.5" customHeight="1">
      <c r="A8" s="1"/>
      <c r="B8" s="1" t="s">
        <v>58</v>
      </c>
      <c r="C8" s="1" t="s">
        <v>59</v>
      </c>
      <c r="D8" s="1" t="s">
        <v>154</v>
      </c>
      <c r="E8" s="1" t="s">
        <v>155</v>
      </c>
      <c r="F8" s="1" t="s">
        <v>156</v>
      </c>
      <c r="H8" s="2" t="s">
        <v>63</v>
      </c>
      <c r="I8" s="2" t="s">
        <v>64</v>
      </c>
      <c r="J8" s="2" t="s">
        <v>63</v>
      </c>
      <c r="K8" s="2" t="s">
        <v>63</v>
      </c>
      <c r="L8" s="2" t="s">
        <v>65</v>
      </c>
      <c r="N8" s="1" t="s">
        <v>157</v>
      </c>
      <c r="O8" s="2" t="s">
        <v>158</v>
      </c>
      <c r="P8" s="1" t="s">
        <v>159</v>
      </c>
      <c r="Q8" s="2" t="s">
        <v>69</v>
      </c>
      <c r="R8" s="2" t="s">
        <v>144</v>
      </c>
      <c r="T8" s="2" t="s">
        <v>71</v>
      </c>
      <c r="U8" s="3">
        <v>90</v>
      </c>
      <c r="V8" s="3">
        <v>90</v>
      </c>
      <c r="W8" s="4" t="s">
        <v>160</v>
      </c>
      <c r="X8" s="4" t="s">
        <v>160</v>
      </c>
      <c r="Y8" s="4" t="s">
        <v>161</v>
      </c>
      <c r="Z8" s="4" t="s">
        <v>161</v>
      </c>
      <c r="AA8" s="3">
        <v>183</v>
      </c>
      <c r="AB8" s="3">
        <v>124</v>
      </c>
      <c r="AC8" s="3">
        <v>130</v>
      </c>
      <c r="AD8" s="3">
        <v>1</v>
      </c>
      <c r="AE8" s="3">
        <v>1</v>
      </c>
      <c r="AF8" s="3">
        <v>3</v>
      </c>
      <c r="AG8" s="3">
        <v>3</v>
      </c>
      <c r="AH8" s="3">
        <v>1</v>
      </c>
      <c r="AI8" s="3">
        <v>1</v>
      </c>
      <c r="AJ8" s="3">
        <v>1</v>
      </c>
      <c r="AK8" s="3">
        <v>1</v>
      </c>
      <c r="AL8" s="3">
        <v>2</v>
      </c>
      <c r="AM8" s="3">
        <v>2</v>
      </c>
      <c r="AN8" s="3">
        <v>0</v>
      </c>
      <c r="AO8" s="3">
        <v>0</v>
      </c>
      <c r="AP8" s="3">
        <v>0</v>
      </c>
      <c r="AQ8" s="3">
        <v>0</v>
      </c>
      <c r="AR8" s="2" t="s">
        <v>63</v>
      </c>
      <c r="AS8" s="2" t="s">
        <v>63</v>
      </c>
      <c r="AU8" s="5" t="str">
        <f>HYPERLINK("https://creighton-primo.hosted.exlibrisgroup.com/primo-explore/search?tab=default_tab&amp;search_scope=EVERYTHING&amp;vid=01CRU&amp;lang=en_US&amp;offset=0&amp;query=any,contains,991001531079702656","Catalog Record")</f>
        <v>Catalog Record</v>
      </c>
      <c r="AV8" s="5" t="str">
        <f>HYPERLINK("http://www.worldcat.org/oclc/38311553","WorldCat Record")</f>
        <v>WorldCat Record</v>
      </c>
      <c r="AW8" s="2" t="s">
        <v>162</v>
      </c>
      <c r="AX8" s="2" t="s">
        <v>163</v>
      </c>
      <c r="AY8" s="2" t="s">
        <v>164</v>
      </c>
      <c r="AZ8" s="2" t="s">
        <v>164</v>
      </c>
      <c r="BA8" s="2" t="s">
        <v>165</v>
      </c>
      <c r="BB8" s="2" t="s">
        <v>78</v>
      </c>
      <c r="BD8" s="2" t="s">
        <v>166</v>
      </c>
      <c r="BE8" s="2" t="s">
        <v>167</v>
      </c>
      <c r="BF8" s="2" t="s">
        <v>168</v>
      </c>
    </row>
    <row r="9" spans="1:58" ht="79.5" customHeight="1">
      <c r="A9" s="1"/>
      <c r="B9" s="1" t="s">
        <v>58</v>
      </c>
      <c r="C9" s="1" t="s">
        <v>59</v>
      </c>
      <c r="D9" s="1" t="s">
        <v>169</v>
      </c>
      <c r="E9" s="1" t="s">
        <v>170</v>
      </c>
      <c r="F9" s="1" t="s">
        <v>171</v>
      </c>
      <c r="H9" s="2" t="s">
        <v>63</v>
      </c>
      <c r="I9" s="2" t="s">
        <v>64</v>
      </c>
      <c r="J9" s="2" t="s">
        <v>63</v>
      </c>
      <c r="K9" s="2" t="s">
        <v>63</v>
      </c>
      <c r="L9" s="2" t="s">
        <v>65</v>
      </c>
      <c r="M9" s="1" t="s">
        <v>172</v>
      </c>
      <c r="N9" s="1" t="s">
        <v>173</v>
      </c>
      <c r="O9" s="2" t="s">
        <v>174</v>
      </c>
      <c r="P9" s="1" t="s">
        <v>175</v>
      </c>
      <c r="Q9" s="2" t="s">
        <v>69</v>
      </c>
      <c r="R9" s="2" t="s">
        <v>176</v>
      </c>
      <c r="T9" s="2" t="s">
        <v>71</v>
      </c>
      <c r="U9" s="3">
        <v>17</v>
      </c>
      <c r="V9" s="3">
        <v>17</v>
      </c>
      <c r="W9" s="4" t="s">
        <v>177</v>
      </c>
      <c r="X9" s="4" t="s">
        <v>177</v>
      </c>
      <c r="Y9" s="4" t="s">
        <v>178</v>
      </c>
      <c r="Z9" s="4" t="s">
        <v>178</v>
      </c>
      <c r="AA9" s="3">
        <v>57</v>
      </c>
      <c r="AB9" s="3">
        <v>39</v>
      </c>
      <c r="AC9" s="3">
        <v>419</v>
      </c>
      <c r="AD9" s="3">
        <v>1</v>
      </c>
      <c r="AE9" s="3">
        <v>3</v>
      </c>
      <c r="AF9" s="3">
        <v>2</v>
      </c>
      <c r="AG9" s="3">
        <v>7</v>
      </c>
      <c r="AH9" s="3">
        <v>1</v>
      </c>
      <c r="AI9" s="3">
        <v>3</v>
      </c>
      <c r="AJ9" s="3">
        <v>0</v>
      </c>
      <c r="AK9" s="3">
        <v>0</v>
      </c>
      <c r="AL9" s="3">
        <v>2</v>
      </c>
      <c r="AM9" s="3">
        <v>4</v>
      </c>
      <c r="AN9" s="3">
        <v>0</v>
      </c>
      <c r="AO9" s="3">
        <v>2</v>
      </c>
      <c r="AP9" s="3">
        <v>0</v>
      </c>
      <c r="AQ9" s="3">
        <v>0</v>
      </c>
      <c r="AR9" s="2" t="s">
        <v>63</v>
      </c>
      <c r="AS9" s="2" t="s">
        <v>63</v>
      </c>
      <c r="AU9" s="5" t="str">
        <f>HYPERLINK("https://creighton-primo.hosted.exlibrisgroup.com/primo-explore/search?tab=default_tab&amp;search_scope=EVERYTHING&amp;vid=01CRU&amp;lang=en_US&amp;offset=0&amp;query=any,contains,991001341829702656","Catalog Record")</f>
        <v>Catalog Record</v>
      </c>
      <c r="AV9" s="5" t="str">
        <f>HYPERLINK("http://www.worldcat.org/oclc/25130935","WorldCat Record")</f>
        <v>WorldCat Record</v>
      </c>
      <c r="AW9" s="2" t="s">
        <v>179</v>
      </c>
      <c r="AX9" s="2" t="s">
        <v>180</v>
      </c>
      <c r="AY9" s="2" t="s">
        <v>181</v>
      </c>
      <c r="AZ9" s="2" t="s">
        <v>181</v>
      </c>
      <c r="BA9" s="2" t="s">
        <v>182</v>
      </c>
      <c r="BB9" s="2" t="s">
        <v>78</v>
      </c>
      <c r="BD9" s="2" t="s">
        <v>183</v>
      </c>
      <c r="BE9" s="2" t="s">
        <v>184</v>
      </c>
      <c r="BF9" s="2" t="s">
        <v>185</v>
      </c>
    </row>
    <row r="10" spans="1:58" ht="79.5" customHeight="1">
      <c r="A10" s="1"/>
      <c r="B10" s="1" t="s">
        <v>58</v>
      </c>
      <c r="C10" s="1" t="s">
        <v>59</v>
      </c>
      <c r="D10" s="1" t="s">
        <v>186</v>
      </c>
      <c r="E10" s="1" t="s">
        <v>187</v>
      </c>
      <c r="F10" s="1" t="s">
        <v>188</v>
      </c>
      <c r="H10" s="2" t="s">
        <v>63</v>
      </c>
      <c r="I10" s="2" t="s">
        <v>64</v>
      </c>
      <c r="J10" s="2" t="s">
        <v>63</v>
      </c>
      <c r="K10" s="2" t="s">
        <v>63</v>
      </c>
      <c r="L10" s="2" t="s">
        <v>65</v>
      </c>
      <c r="M10" s="1" t="s">
        <v>189</v>
      </c>
      <c r="N10" s="1" t="s">
        <v>190</v>
      </c>
      <c r="O10" s="2" t="s">
        <v>174</v>
      </c>
      <c r="Q10" s="2" t="s">
        <v>69</v>
      </c>
      <c r="R10" s="2" t="s">
        <v>191</v>
      </c>
      <c r="T10" s="2" t="s">
        <v>71</v>
      </c>
      <c r="U10" s="3">
        <v>14</v>
      </c>
      <c r="V10" s="3">
        <v>14</v>
      </c>
      <c r="W10" s="4" t="s">
        <v>192</v>
      </c>
      <c r="X10" s="4" t="s">
        <v>192</v>
      </c>
      <c r="Y10" s="4" t="s">
        <v>178</v>
      </c>
      <c r="Z10" s="4" t="s">
        <v>178</v>
      </c>
      <c r="AA10" s="3">
        <v>70</v>
      </c>
      <c r="AB10" s="3">
        <v>54</v>
      </c>
      <c r="AC10" s="3">
        <v>55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2" t="s">
        <v>63</v>
      </c>
      <c r="AS10" s="2" t="s">
        <v>63</v>
      </c>
      <c r="AU10" s="5" t="str">
        <f>HYPERLINK("https://creighton-primo.hosted.exlibrisgroup.com/primo-explore/search?tab=default_tab&amp;search_scope=EVERYTHING&amp;vid=01CRU&amp;lang=en_US&amp;offset=0&amp;query=any,contains,991001341609702656","Catalog Record")</f>
        <v>Catalog Record</v>
      </c>
      <c r="AV10" s="5" t="str">
        <f>HYPERLINK("http://www.worldcat.org/oclc/25412128","WorldCat Record")</f>
        <v>WorldCat Record</v>
      </c>
      <c r="AW10" s="2" t="s">
        <v>193</v>
      </c>
      <c r="AX10" s="2" t="s">
        <v>194</v>
      </c>
      <c r="AY10" s="2" t="s">
        <v>195</v>
      </c>
      <c r="AZ10" s="2" t="s">
        <v>195</v>
      </c>
      <c r="BA10" s="2" t="s">
        <v>196</v>
      </c>
      <c r="BB10" s="2" t="s">
        <v>78</v>
      </c>
      <c r="BD10" s="2" t="s">
        <v>197</v>
      </c>
      <c r="BE10" s="2" t="s">
        <v>198</v>
      </c>
      <c r="BF10" s="2" t="s">
        <v>199</v>
      </c>
    </row>
    <row r="11" spans="1:58" ht="79.5" customHeight="1">
      <c r="A11" s="1"/>
      <c r="B11" s="1" t="s">
        <v>58</v>
      </c>
      <c r="C11" s="1" t="s">
        <v>59</v>
      </c>
      <c r="D11" s="1" t="s">
        <v>200</v>
      </c>
      <c r="E11" s="1" t="s">
        <v>201</v>
      </c>
      <c r="F11" s="1" t="s">
        <v>202</v>
      </c>
      <c r="H11" s="2" t="s">
        <v>63</v>
      </c>
      <c r="I11" s="2" t="s">
        <v>64</v>
      </c>
      <c r="J11" s="2" t="s">
        <v>63</v>
      </c>
      <c r="K11" s="2" t="s">
        <v>63</v>
      </c>
      <c r="L11" s="2" t="s">
        <v>65</v>
      </c>
      <c r="M11" s="1" t="s">
        <v>203</v>
      </c>
      <c r="N11" s="1" t="s">
        <v>204</v>
      </c>
      <c r="O11" s="2" t="s">
        <v>174</v>
      </c>
      <c r="P11" s="1" t="s">
        <v>205</v>
      </c>
      <c r="Q11" s="2" t="s">
        <v>69</v>
      </c>
      <c r="R11" s="2" t="s">
        <v>206</v>
      </c>
      <c r="T11" s="2" t="s">
        <v>71</v>
      </c>
      <c r="U11" s="3">
        <v>11</v>
      </c>
      <c r="V11" s="3">
        <v>11</v>
      </c>
      <c r="W11" s="4" t="s">
        <v>207</v>
      </c>
      <c r="X11" s="4" t="s">
        <v>207</v>
      </c>
      <c r="Y11" s="4" t="s">
        <v>178</v>
      </c>
      <c r="Z11" s="4" t="s">
        <v>178</v>
      </c>
      <c r="AA11" s="3">
        <v>111</v>
      </c>
      <c r="AB11" s="3">
        <v>68</v>
      </c>
      <c r="AC11" s="3">
        <v>325</v>
      </c>
      <c r="AD11" s="3">
        <v>2</v>
      </c>
      <c r="AE11" s="3">
        <v>6</v>
      </c>
      <c r="AF11" s="3">
        <v>5</v>
      </c>
      <c r="AG11" s="3">
        <v>9</v>
      </c>
      <c r="AH11" s="3">
        <v>2</v>
      </c>
      <c r="AI11" s="3">
        <v>4</v>
      </c>
      <c r="AJ11" s="3">
        <v>0</v>
      </c>
      <c r="AK11" s="3">
        <v>1</v>
      </c>
      <c r="AL11" s="3">
        <v>3</v>
      </c>
      <c r="AM11" s="3">
        <v>4</v>
      </c>
      <c r="AN11" s="3">
        <v>1</v>
      </c>
      <c r="AO11" s="3">
        <v>1</v>
      </c>
      <c r="AP11" s="3">
        <v>0</v>
      </c>
      <c r="AQ11" s="3">
        <v>0</v>
      </c>
      <c r="AR11" s="2" t="s">
        <v>63</v>
      </c>
      <c r="AS11" s="2" t="s">
        <v>84</v>
      </c>
      <c r="AT11" s="5" t="str">
        <f>HYPERLINK("http://catalog.hathitrust.org/Record/009812612","HathiTrust Record")</f>
        <v>HathiTrust Record</v>
      </c>
      <c r="AU11" s="5" t="str">
        <f>HYPERLINK("https://creighton-primo.hosted.exlibrisgroup.com/primo-explore/search?tab=default_tab&amp;search_scope=EVERYTHING&amp;vid=01CRU&amp;lang=en_US&amp;offset=0&amp;query=any,contains,991001341689702656","Catalog Record")</f>
        <v>Catalog Record</v>
      </c>
      <c r="AV11" s="5" t="str">
        <f>HYPERLINK("http://www.worldcat.org/oclc/24009629","WorldCat Record")</f>
        <v>WorldCat Record</v>
      </c>
      <c r="AW11" s="2" t="s">
        <v>208</v>
      </c>
      <c r="AX11" s="2" t="s">
        <v>209</v>
      </c>
      <c r="AY11" s="2" t="s">
        <v>210</v>
      </c>
      <c r="AZ11" s="2" t="s">
        <v>210</v>
      </c>
      <c r="BA11" s="2" t="s">
        <v>211</v>
      </c>
      <c r="BB11" s="2" t="s">
        <v>78</v>
      </c>
      <c r="BD11" s="2" t="s">
        <v>212</v>
      </c>
      <c r="BE11" s="2" t="s">
        <v>213</v>
      </c>
      <c r="BF11" s="2" t="s">
        <v>214</v>
      </c>
    </row>
    <row r="12" spans="1:58" ht="79.5" customHeight="1">
      <c r="A12" s="1"/>
      <c r="B12" s="1" t="s">
        <v>58</v>
      </c>
      <c r="C12" s="1" t="s">
        <v>59</v>
      </c>
      <c r="D12" s="1" t="s">
        <v>215</v>
      </c>
      <c r="E12" s="1" t="s">
        <v>216</v>
      </c>
      <c r="F12" s="1" t="s">
        <v>217</v>
      </c>
      <c r="H12" s="2" t="s">
        <v>63</v>
      </c>
      <c r="I12" s="2" t="s">
        <v>64</v>
      </c>
      <c r="J12" s="2" t="s">
        <v>63</v>
      </c>
      <c r="K12" s="2" t="s">
        <v>63</v>
      </c>
      <c r="L12" s="2" t="s">
        <v>65</v>
      </c>
      <c r="M12" s="1" t="s">
        <v>218</v>
      </c>
      <c r="N12" s="1" t="s">
        <v>219</v>
      </c>
      <c r="O12" s="2" t="s">
        <v>220</v>
      </c>
      <c r="P12" s="1" t="s">
        <v>221</v>
      </c>
      <c r="Q12" s="2" t="s">
        <v>69</v>
      </c>
      <c r="R12" s="2" t="s">
        <v>70</v>
      </c>
      <c r="T12" s="2" t="s">
        <v>71</v>
      </c>
      <c r="U12" s="3">
        <v>4</v>
      </c>
      <c r="V12" s="3">
        <v>4</v>
      </c>
      <c r="W12" s="4" t="s">
        <v>222</v>
      </c>
      <c r="X12" s="4" t="s">
        <v>222</v>
      </c>
      <c r="Y12" s="4" t="s">
        <v>223</v>
      </c>
      <c r="Z12" s="4" t="s">
        <v>223</v>
      </c>
      <c r="AA12" s="3">
        <v>714</v>
      </c>
      <c r="AB12" s="3">
        <v>627</v>
      </c>
      <c r="AC12" s="3">
        <v>723</v>
      </c>
      <c r="AD12" s="3">
        <v>5</v>
      </c>
      <c r="AE12" s="3">
        <v>5</v>
      </c>
      <c r="AF12" s="3">
        <v>28</v>
      </c>
      <c r="AG12" s="3">
        <v>29</v>
      </c>
      <c r="AH12" s="3">
        <v>9</v>
      </c>
      <c r="AI12" s="3">
        <v>10</v>
      </c>
      <c r="AJ12" s="3">
        <v>6</v>
      </c>
      <c r="AK12" s="3">
        <v>6</v>
      </c>
      <c r="AL12" s="3">
        <v>18</v>
      </c>
      <c r="AM12" s="3">
        <v>18</v>
      </c>
      <c r="AN12" s="3">
        <v>3</v>
      </c>
      <c r="AO12" s="3">
        <v>3</v>
      </c>
      <c r="AP12" s="3">
        <v>0</v>
      </c>
      <c r="AQ12" s="3">
        <v>0</v>
      </c>
      <c r="AR12" s="2" t="s">
        <v>63</v>
      </c>
      <c r="AS12" s="2" t="s">
        <v>63</v>
      </c>
      <c r="AU12" s="5" t="str">
        <f>HYPERLINK("https://creighton-primo.hosted.exlibrisgroup.com/primo-explore/search?tab=default_tab&amp;search_scope=EVERYTHING&amp;vid=01CRU&amp;lang=en_US&amp;offset=0&amp;query=any,contains,991001531539702656","Catalog Record")</f>
        <v>Catalog Record</v>
      </c>
      <c r="AV12" s="5" t="str">
        <f>HYPERLINK("http://www.worldcat.org/oclc/13524548","WorldCat Record")</f>
        <v>WorldCat Record</v>
      </c>
      <c r="AW12" s="2" t="s">
        <v>224</v>
      </c>
      <c r="AX12" s="2" t="s">
        <v>225</v>
      </c>
      <c r="AY12" s="2" t="s">
        <v>226</v>
      </c>
      <c r="AZ12" s="2" t="s">
        <v>226</v>
      </c>
      <c r="BA12" s="2" t="s">
        <v>227</v>
      </c>
      <c r="BB12" s="2" t="s">
        <v>78</v>
      </c>
      <c r="BD12" s="2" t="s">
        <v>228</v>
      </c>
      <c r="BE12" s="2" t="s">
        <v>229</v>
      </c>
      <c r="BF12" s="2" t="s">
        <v>230</v>
      </c>
    </row>
    <row r="13" spans="1:58" ht="79.5" customHeight="1">
      <c r="A13" s="1"/>
      <c r="B13" s="1" t="s">
        <v>58</v>
      </c>
      <c r="C13" s="1" t="s">
        <v>59</v>
      </c>
      <c r="D13" s="1" t="s">
        <v>231</v>
      </c>
      <c r="E13" s="1" t="s">
        <v>232</v>
      </c>
      <c r="F13" s="1" t="s">
        <v>233</v>
      </c>
      <c r="H13" s="2" t="s">
        <v>63</v>
      </c>
      <c r="I13" s="2" t="s">
        <v>64</v>
      </c>
      <c r="J13" s="2" t="s">
        <v>84</v>
      </c>
      <c r="K13" s="2" t="s">
        <v>63</v>
      </c>
      <c r="L13" s="2" t="s">
        <v>65</v>
      </c>
      <c r="M13" s="1" t="s">
        <v>234</v>
      </c>
      <c r="N13" s="1" t="s">
        <v>235</v>
      </c>
      <c r="O13" s="2" t="s">
        <v>87</v>
      </c>
      <c r="Q13" s="2" t="s">
        <v>69</v>
      </c>
      <c r="R13" s="2" t="s">
        <v>88</v>
      </c>
      <c r="T13" s="2" t="s">
        <v>71</v>
      </c>
      <c r="U13" s="3">
        <v>11</v>
      </c>
      <c r="V13" s="3">
        <v>11</v>
      </c>
      <c r="W13" s="4" t="s">
        <v>236</v>
      </c>
      <c r="X13" s="4" t="s">
        <v>236</v>
      </c>
      <c r="Y13" s="4" t="s">
        <v>90</v>
      </c>
      <c r="Z13" s="4" t="s">
        <v>90</v>
      </c>
      <c r="AA13" s="3">
        <v>548</v>
      </c>
      <c r="AB13" s="3">
        <v>470</v>
      </c>
      <c r="AC13" s="3">
        <v>1998</v>
      </c>
      <c r="AD13" s="3">
        <v>6</v>
      </c>
      <c r="AE13" s="3">
        <v>34</v>
      </c>
      <c r="AF13" s="3">
        <v>20</v>
      </c>
      <c r="AG13" s="3">
        <v>67</v>
      </c>
      <c r="AH13" s="3">
        <v>6</v>
      </c>
      <c r="AI13" s="3">
        <v>25</v>
      </c>
      <c r="AJ13" s="3">
        <v>5</v>
      </c>
      <c r="AK13" s="3">
        <v>11</v>
      </c>
      <c r="AL13" s="3">
        <v>10</v>
      </c>
      <c r="AM13" s="3">
        <v>25</v>
      </c>
      <c r="AN13" s="3">
        <v>4</v>
      </c>
      <c r="AO13" s="3">
        <v>18</v>
      </c>
      <c r="AP13" s="3">
        <v>0</v>
      </c>
      <c r="AQ13" s="3">
        <v>1</v>
      </c>
      <c r="AR13" s="2" t="s">
        <v>63</v>
      </c>
      <c r="AS13" s="2" t="s">
        <v>84</v>
      </c>
      <c r="AT13" s="5" t="str">
        <f>HYPERLINK("http://catalog.hathitrust.org/Record/000168316","HathiTrust Record")</f>
        <v>HathiTrust Record</v>
      </c>
      <c r="AU13" s="5" t="str">
        <f>HYPERLINK("https://creighton-primo.hosted.exlibrisgroup.com/primo-explore/search?tab=default_tab&amp;search_scope=EVERYTHING&amp;vid=01CRU&amp;lang=en_US&amp;offset=0&amp;query=any,contains,991000787039702656","Catalog Record")</f>
        <v>Catalog Record</v>
      </c>
      <c r="AV13" s="5" t="str">
        <f>HYPERLINK("http://www.worldcat.org/oclc/10072396","WorldCat Record")</f>
        <v>WorldCat Record</v>
      </c>
      <c r="AW13" s="2" t="s">
        <v>237</v>
      </c>
      <c r="AX13" s="2" t="s">
        <v>238</v>
      </c>
      <c r="AY13" s="2" t="s">
        <v>239</v>
      </c>
      <c r="AZ13" s="2" t="s">
        <v>239</v>
      </c>
      <c r="BA13" s="2" t="s">
        <v>240</v>
      </c>
      <c r="BB13" s="2" t="s">
        <v>78</v>
      </c>
      <c r="BD13" s="2" t="s">
        <v>241</v>
      </c>
      <c r="BE13" s="2" t="s">
        <v>242</v>
      </c>
      <c r="BF13" s="2" t="s">
        <v>243</v>
      </c>
    </row>
    <row r="14" spans="1:58" ht="79.5" customHeight="1">
      <c r="A14" s="1"/>
      <c r="B14" s="1" t="s">
        <v>58</v>
      </c>
      <c r="C14" s="1" t="s">
        <v>59</v>
      </c>
      <c r="D14" s="1" t="s">
        <v>244</v>
      </c>
      <c r="E14" s="1" t="s">
        <v>245</v>
      </c>
      <c r="F14" s="1" t="s">
        <v>246</v>
      </c>
      <c r="H14" s="2" t="s">
        <v>63</v>
      </c>
      <c r="I14" s="2" t="s">
        <v>64</v>
      </c>
      <c r="J14" s="2" t="s">
        <v>63</v>
      </c>
      <c r="K14" s="2" t="s">
        <v>84</v>
      </c>
      <c r="L14" s="2" t="s">
        <v>65</v>
      </c>
      <c r="M14" s="1" t="s">
        <v>247</v>
      </c>
      <c r="N14" s="1" t="s">
        <v>248</v>
      </c>
      <c r="O14" s="2" t="s">
        <v>158</v>
      </c>
      <c r="Q14" s="2" t="s">
        <v>69</v>
      </c>
      <c r="R14" s="2" t="s">
        <v>191</v>
      </c>
      <c r="T14" s="2" t="s">
        <v>71</v>
      </c>
      <c r="U14" s="3">
        <v>7</v>
      </c>
      <c r="V14" s="3">
        <v>7</v>
      </c>
      <c r="W14" s="4" t="s">
        <v>249</v>
      </c>
      <c r="X14" s="4" t="s">
        <v>249</v>
      </c>
      <c r="Y14" s="4" t="s">
        <v>250</v>
      </c>
      <c r="Z14" s="4" t="s">
        <v>250</v>
      </c>
      <c r="AA14" s="3">
        <v>214</v>
      </c>
      <c r="AB14" s="3">
        <v>180</v>
      </c>
      <c r="AC14" s="3">
        <v>932</v>
      </c>
      <c r="AD14" s="3">
        <v>1</v>
      </c>
      <c r="AE14" s="3">
        <v>5</v>
      </c>
      <c r="AF14" s="3">
        <v>6</v>
      </c>
      <c r="AG14" s="3">
        <v>33</v>
      </c>
      <c r="AH14" s="3">
        <v>4</v>
      </c>
      <c r="AI14" s="3">
        <v>14</v>
      </c>
      <c r="AJ14" s="3">
        <v>1</v>
      </c>
      <c r="AK14" s="3">
        <v>7</v>
      </c>
      <c r="AL14" s="3">
        <v>3</v>
      </c>
      <c r="AM14" s="3">
        <v>20</v>
      </c>
      <c r="AN14" s="3">
        <v>0</v>
      </c>
      <c r="AO14" s="3">
        <v>2</v>
      </c>
      <c r="AP14" s="3">
        <v>0</v>
      </c>
      <c r="AQ14" s="3">
        <v>0</v>
      </c>
      <c r="AR14" s="2" t="s">
        <v>63</v>
      </c>
      <c r="AS14" s="2" t="s">
        <v>63</v>
      </c>
      <c r="AU14" s="5" t="str">
        <f>HYPERLINK("https://creighton-primo.hosted.exlibrisgroup.com/primo-explore/search?tab=default_tab&amp;search_scope=EVERYTHING&amp;vid=01CRU&amp;lang=en_US&amp;offset=0&amp;query=any,contains,991001565499702656","Catalog Record")</f>
        <v>Catalog Record</v>
      </c>
      <c r="AV14" s="5" t="str">
        <f>HYPERLINK("http://www.worldcat.org/oclc/40334501","WorldCat Record")</f>
        <v>WorldCat Record</v>
      </c>
      <c r="AW14" s="2" t="s">
        <v>251</v>
      </c>
      <c r="AX14" s="2" t="s">
        <v>252</v>
      </c>
      <c r="AY14" s="2" t="s">
        <v>253</v>
      </c>
      <c r="AZ14" s="2" t="s">
        <v>253</v>
      </c>
      <c r="BA14" s="2" t="s">
        <v>254</v>
      </c>
      <c r="BB14" s="2" t="s">
        <v>78</v>
      </c>
      <c r="BD14" s="2" t="s">
        <v>255</v>
      </c>
      <c r="BE14" s="2" t="s">
        <v>256</v>
      </c>
      <c r="BF14" s="2" t="s">
        <v>257</v>
      </c>
    </row>
    <row r="15" spans="1:58" ht="79.5" customHeight="1">
      <c r="A15" s="1"/>
      <c r="B15" s="1" t="s">
        <v>58</v>
      </c>
      <c r="C15" s="1" t="s">
        <v>59</v>
      </c>
      <c r="D15" s="1" t="s">
        <v>258</v>
      </c>
      <c r="E15" s="1" t="s">
        <v>259</v>
      </c>
      <c r="F15" s="1" t="s">
        <v>260</v>
      </c>
      <c r="H15" s="2" t="s">
        <v>63</v>
      </c>
      <c r="I15" s="2" t="s">
        <v>64</v>
      </c>
      <c r="J15" s="2" t="s">
        <v>84</v>
      </c>
      <c r="K15" s="2" t="s">
        <v>63</v>
      </c>
      <c r="L15" s="2" t="s">
        <v>65</v>
      </c>
      <c r="M15" s="1" t="s">
        <v>261</v>
      </c>
      <c r="N15" s="1" t="s">
        <v>262</v>
      </c>
      <c r="O15" s="2" t="s">
        <v>263</v>
      </c>
      <c r="Q15" s="2" t="s">
        <v>69</v>
      </c>
      <c r="R15" s="2" t="s">
        <v>88</v>
      </c>
      <c r="S15" s="1" t="s">
        <v>264</v>
      </c>
      <c r="T15" s="2" t="s">
        <v>71</v>
      </c>
      <c r="U15" s="3">
        <v>10</v>
      </c>
      <c r="V15" s="3">
        <v>10</v>
      </c>
      <c r="W15" s="4" t="s">
        <v>265</v>
      </c>
      <c r="X15" s="4" t="s">
        <v>265</v>
      </c>
      <c r="Y15" s="4" t="s">
        <v>90</v>
      </c>
      <c r="Z15" s="4" t="s">
        <v>90</v>
      </c>
      <c r="AA15" s="3">
        <v>613</v>
      </c>
      <c r="AB15" s="3">
        <v>484</v>
      </c>
      <c r="AC15" s="3">
        <v>486</v>
      </c>
      <c r="AD15" s="3">
        <v>8</v>
      </c>
      <c r="AE15" s="3">
        <v>8</v>
      </c>
      <c r="AF15" s="3">
        <v>30</v>
      </c>
      <c r="AG15" s="3">
        <v>30</v>
      </c>
      <c r="AH15" s="3">
        <v>11</v>
      </c>
      <c r="AI15" s="3">
        <v>11</v>
      </c>
      <c r="AJ15" s="3">
        <v>6</v>
      </c>
      <c r="AK15" s="3">
        <v>6</v>
      </c>
      <c r="AL15" s="3">
        <v>16</v>
      </c>
      <c r="AM15" s="3">
        <v>16</v>
      </c>
      <c r="AN15" s="3">
        <v>6</v>
      </c>
      <c r="AO15" s="3">
        <v>6</v>
      </c>
      <c r="AP15" s="3">
        <v>0</v>
      </c>
      <c r="AQ15" s="3">
        <v>0</v>
      </c>
      <c r="AR15" s="2" t="s">
        <v>63</v>
      </c>
      <c r="AS15" s="2" t="s">
        <v>84</v>
      </c>
      <c r="AT15" s="5" t="str">
        <f>HYPERLINK("http://catalog.hathitrust.org/Record/000806073","HathiTrust Record")</f>
        <v>HathiTrust Record</v>
      </c>
      <c r="AU15" s="5" t="str">
        <f>HYPERLINK("https://creighton-primo.hosted.exlibrisgroup.com/primo-explore/search?tab=default_tab&amp;search_scope=EVERYTHING&amp;vid=01CRU&amp;lang=en_US&amp;offset=0&amp;query=any,contains,991000787229702656","Catalog Record")</f>
        <v>Catalog Record</v>
      </c>
      <c r="AV15" s="5" t="str">
        <f>HYPERLINK("http://www.worldcat.org/oclc/13524925","WorldCat Record")</f>
        <v>WorldCat Record</v>
      </c>
      <c r="AW15" s="2" t="s">
        <v>266</v>
      </c>
      <c r="AX15" s="2" t="s">
        <v>267</v>
      </c>
      <c r="AY15" s="2" t="s">
        <v>268</v>
      </c>
      <c r="AZ15" s="2" t="s">
        <v>268</v>
      </c>
      <c r="BA15" s="2" t="s">
        <v>269</v>
      </c>
      <c r="BB15" s="2" t="s">
        <v>78</v>
      </c>
      <c r="BD15" s="2" t="s">
        <v>270</v>
      </c>
      <c r="BE15" s="2" t="s">
        <v>271</v>
      </c>
      <c r="BF15" s="2" t="s">
        <v>272</v>
      </c>
    </row>
    <row r="16" spans="1:58" ht="79.5" customHeight="1">
      <c r="A16" s="1"/>
      <c r="B16" s="1" t="s">
        <v>58</v>
      </c>
      <c r="C16" s="1" t="s">
        <v>59</v>
      </c>
      <c r="D16" s="1" t="s">
        <v>273</v>
      </c>
      <c r="E16" s="1" t="s">
        <v>274</v>
      </c>
      <c r="F16" s="1" t="s">
        <v>275</v>
      </c>
      <c r="H16" s="2" t="s">
        <v>63</v>
      </c>
      <c r="I16" s="2" t="s">
        <v>64</v>
      </c>
      <c r="J16" s="2" t="s">
        <v>63</v>
      </c>
      <c r="K16" s="2" t="s">
        <v>63</v>
      </c>
      <c r="L16" s="2" t="s">
        <v>65</v>
      </c>
      <c r="N16" s="1" t="s">
        <v>276</v>
      </c>
      <c r="O16" s="2" t="s">
        <v>277</v>
      </c>
      <c r="Q16" s="2" t="s">
        <v>69</v>
      </c>
      <c r="R16" s="2" t="s">
        <v>70</v>
      </c>
      <c r="T16" s="2" t="s">
        <v>71</v>
      </c>
      <c r="U16" s="3">
        <v>8</v>
      </c>
      <c r="V16" s="3">
        <v>8</v>
      </c>
      <c r="W16" s="4" t="s">
        <v>278</v>
      </c>
      <c r="X16" s="4" t="s">
        <v>278</v>
      </c>
      <c r="Y16" s="4" t="s">
        <v>279</v>
      </c>
      <c r="Z16" s="4" t="s">
        <v>279</v>
      </c>
      <c r="AA16" s="3">
        <v>602</v>
      </c>
      <c r="AB16" s="3">
        <v>482</v>
      </c>
      <c r="AC16" s="3">
        <v>484</v>
      </c>
      <c r="AD16" s="3">
        <v>5</v>
      </c>
      <c r="AE16" s="3">
        <v>5</v>
      </c>
      <c r="AF16" s="3">
        <v>21</v>
      </c>
      <c r="AG16" s="3">
        <v>21</v>
      </c>
      <c r="AH16" s="3">
        <v>4</v>
      </c>
      <c r="AI16" s="3">
        <v>4</v>
      </c>
      <c r="AJ16" s="3">
        <v>5</v>
      </c>
      <c r="AK16" s="3">
        <v>5</v>
      </c>
      <c r="AL16" s="3">
        <v>13</v>
      </c>
      <c r="AM16" s="3">
        <v>13</v>
      </c>
      <c r="AN16" s="3">
        <v>3</v>
      </c>
      <c r="AO16" s="3">
        <v>3</v>
      </c>
      <c r="AP16" s="3">
        <v>0</v>
      </c>
      <c r="AQ16" s="3">
        <v>0</v>
      </c>
      <c r="AR16" s="2" t="s">
        <v>63</v>
      </c>
      <c r="AS16" s="2" t="s">
        <v>84</v>
      </c>
      <c r="AT16" s="5" t="str">
        <f>HYPERLINK("http://catalog.hathitrust.org/Record/000031716","HathiTrust Record")</f>
        <v>HathiTrust Record</v>
      </c>
      <c r="AU16" s="5" t="str">
        <f>HYPERLINK("https://creighton-primo.hosted.exlibrisgroup.com/primo-explore/search?tab=default_tab&amp;search_scope=EVERYTHING&amp;vid=01CRU&amp;lang=en_US&amp;offset=0&amp;query=any,contains,991000695719702656","Catalog Record")</f>
        <v>Catalog Record</v>
      </c>
      <c r="AV16" s="5" t="str">
        <f>HYPERLINK("http://www.worldcat.org/oclc/1098728","WorldCat Record")</f>
        <v>WorldCat Record</v>
      </c>
      <c r="AW16" s="2" t="s">
        <v>280</v>
      </c>
      <c r="AX16" s="2" t="s">
        <v>281</v>
      </c>
      <c r="AY16" s="2" t="s">
        <v>282</v>
      </c>
      <c r="AZ16" s="2" t="s">
        <v>282</v>
      </c>
      <c r="BA16" s="2" t="s">
        <v>283</v>
      </c>
      <c r="BB16" s="2" t="s">
        <v>78</v>
      </c>
      <c r="BD16" s="2" t="s">
        <v>284</v>
      </c>
      <c r="BE16" s="2" t="s">
        <v>285</v>
      </c>
      <c r="BF16" s="2" t="s">
        <v>286</v>
      </c>
    </row>
    <row r="17" spans="1:58" ht="79.5" customHeight="1">
      <c r="A17" s="1"/>
      <c r="B17" s="1" t="s">
        <v>58</v>
      </c>
      <c r="C17" s="1" t="s">
        <v>59</v>
      </c>
      <c r="D17" s="1" t="s">
        <v>287</v>
      </c>
      <c r="E17" s="1" t="s">
        <v>288</v>
      </c>
      <c r="F17" s="1" t="s">
        <v>289</v>
      </c>
      <c r="H17" s="2" t="s">
        <v>63</v>
      </c>
      <c r="I17" s="2" t="s">
        <v>64</v>
      </c>
      <c r="J17" s="2" t="s">
        <v>63</v>
      </c>
      <c r="K17" s="2" t="s">
        <v>63</v>
      </c>
      <c r="L17" s="2" t="s">
        <v>65</v>
      </c>
      <c r="N17" s="1" t="s">
        <v>290</v>
      </c>
      <c r="O17" s="2" t="s">
        <v>220</v>
      </c>
      <c r="Q17" s="2" t="s">
        <v>69</v>
      </c>
      <c r="R17" s="2" t="s">
        <v>88</v>
      </c>
      <c r="S17" s="1" t="s">
        <v>291</v>
      </c>
      <c r="T17" s="2" t="s">
        <v>71</v>
      </c>
      <c r="U17" s="3">
        <v>7</v>
      </c>
      <c r="V17" s="3">
        <v>7</v>
      </c>
      <c r="W17" s="4" t="s">
        <v>292</v>
      </c>
      <c r="X17" s="4" t="s">
        <v>292</v>
      </c>
      <c r="Y17" s="4" t="s">
        <v>293</v>
      </c>
      <c r="Z17" s="4" t="s">
        <v>293</v>
      </c>
      <c r="AA17" s="3">
        <v>596</v>
      </c>
      <c r="AB17" s="3">
        <v>462</v>
      </c>
      <c r="AC17" s="3">
        <v>479</v>
      </c>
      <c r="AD17" s="3">
        <v>3</v>
      </c>
      <c r="AE17" s="3">
        <v>3</v>
      </c>
      <c r="AF17" s="3">
        <v>23</v>
      </c>
      <c r="AG17" s="3">
        <v>25</v>
      </c>
      <c r="AH17" s="3">
        <v>10</v>
      </c>
      <c r="AI17" s="3">
        <v>12</v>
      </c>
      <c r="AJ17" s="3">
        <v>6</v>
      </c>
      <c r="AK17" s="3">
        <v>6</v>
      </c>
      <c r="AL17" s="3">
        <v>11</v>
      </c>
      <c r="AM17" s="3">
        <v>12</v>
      </c>
      <c r="AN17" s="3">
        <v>2</v>
      </c>
      <c r="AO17" s="3">
        <v>2</v>
      </c>
      <c r="AP17" s="3">
        <v>0</v>
      </c>
      <c r="AQ17" s="3">
        <v>0</v>
      </c>
      <c r="AR17" s="2" t="s">
        <v>63</v>
      </c>
      <c r="AS17" s="2" t="s">
        <v>84</v>
      </c>
      <c r="AT17" s="5" t="str">
        <f>HYPERLINK("http://catalog.hathitrust.org/Record/000838482","HathiTrust Record")</f>
        <v>HathiTrust Record</v>
      </c>
      <c r="AU17" s="5" t="str">
        <f>HYPERLINK("https://creighton-primo.hosted.exlibrisgroup.com/primo-explore/search?tab=default_tab&amp;search_scope=EVERYTHING&amp;vid=01CRU&amp;lang=en_US&amp;offset=0&amp;query=any,contains,991001529209702656","Catalog Record")</f>
        <v>Catalog Record</v>
      </c>
      <c r="AV17" s="5" t="str">
        <f>HYPERLINK("http://www.worldcat.org/oclc/15317472","WorldCat Record")</f>
        <v>WorldCat Record</v>
      </c>
      <c r="AW17" s="2" t="s">
        <v>294</v>
      </c>
      <c r="AX17" s="2" t="s">
        <v>295</v>
      </c>
      <c r="AY17" s="2" t="s">
        <v>296</v>
      </c>
      <c r="AZ17" s="2" t="s">
        <v>296</v>
      </c>
      <c r="BA17" s="2" t="s">
        <v>297</v>
      </c>
      <c r="BB17" s="2" t="s">
        <v>78</v>
      </c>
      <c r="BD17" s="2" t="s">
        <v>298</v>
      </c>
      <c r="BE17" s="2" t="s">
        <v>299</v>
      </c>
      <c r="BF17" s="2" t="s">
        <v>300</v>
      </c>
    </row>
    <row r="18" spans="1:58" ht="79.5" customHeight="1">
      <c r="A18" s="1"/>
      <c r="B18" s="1" t="s">
        <v>58</v>
      </c>
      <c r="C18" s="1" t="s">
        <v>59</v>
      </c>
      <c r="D18" s="1" t="s">
        <v>301</v>
      </c>
      <c r="E18" s="1" t="s">
        <v>302</v>
      </c>
      <c r="F18" s="1" t="s">
        <v>303</v>
      </c>
      <c r="H18" s="2" t="s">
        <v>63</v>
      </c>
      <c r="I18" s="2" t="s">
        <v>64</v>
      </c>
      <c r="J18" s="2" t="s">
        <v>84</v>
      </c>
      <c r="K18" s="2" t="s">
        <v>63</v>
      </c>
      <c r="L18" s="2" t="s">
        <v>65</v>
      </c>
      <c r="N18" s="1" t="s">
        <v>304</v>
      </c>
      <c r="O18" s="2" t="s">
        <v>87</v>
      </c>
      <c r="Q18" s="2" t="s">
        <v>69</v>
      </c>
      <c r="R18" s="2" t="s">
        <v>130</v>
      </c>
      <c r="T18" s="2" t="s">
        <v>71</v>
      </c>
      <c r="U18" s="3">
        <v>9</v>
      </c>
      <c r="V18" s="3">
        <v>9</v>
      </c>
      <c r="W18" s="4" t="s">
        <v>305</v>
      </c>
      <c r="X18" s="4" t="s">
        <v>305</v>
      </c>
      <c r="Y18" s="4" t="s">
        <v>90</v>
      </c>
      <c r="Z18" s="4" t="s">
        <v>90</v>
      </c>
      <c r="AA18" s="3">
        <v>519</v>
      </c>
      <c r="AB18" s="3">
        <v>356</v>
      </c>
      <c r="AC18" s="3">
        <v>358</v>
      </c>
      <c r="AD18" s="3">
        <v>4</v>
      </c>
      <c r="AE18" s="3">
        <v>4</v>
      </c>
      <c r="AF18" s="3">
        <v>16</v>
      </c>
      <c r="AG18" s="3">
        <v>16</v>
      </c>
      <c r="AH18" s="3">
        <v>5</v>
      </c>
      <c r="AI18" s="3">
        <v>5</v>
      </c>
      <c r="AJ18" s="3">
        <v>6</v>
      </c>
      <c r="AK18" s="3">
        <v>6</v>
      </c>
      <c r="AL18" s="3">
        <v>8</v>
      </c>
      <c r="AM18" s="3">
        <v>8</v>
      </c>
      <c r="AN18" s="3">
        <v>2</v>
      </c>
      <c r="AO18" s="3">
        <v>2</v>
      </c>
      <c r="AP18" s="3">
        <v>0</v>
      </c>
      <c r="AQ18" s="3">
        <v>0</v>
      </c>
      <c r="AR18" s="2" t="s">
        <v>63</v>
      </c>
      <c r="AS18" s="2" t="s">
        <v>84</v>
      </c>
      <c r="AT18" s="5" t="str">
        <f>HYPERLINK("http://catalog.hathitrust.org/Record/000404538","HathiTrust Record")</f>
        <v>HathiTrust Record</v>
      </c>
      <c r="AU18" s="5" t="str">
        <f>HYPERLINK("https://creighton-primo.hosted.exlibrisgroup.com/primo-explore/search?tab=default_tab&amp;search_scope=EVERYTHING&amp;vid=01CRU&amp;lang=en_US&amp;offset=0&amp;query=any,contains,991000787429702656","Catalog Record")</f>
        <v>Catalog Record</v>
      </c>
      <c r="AV18" s="5" t="str">
        <f>HYPERLINK("http://www.worldcat.org/oclc/12081159","WorldCat Record")</f>
        <v>WorldCat Record</v>
      </c>
      <c r="AW18" s="2" t="s">
        <v>306</v>
      </c>
      <c r="AX18" s="2" t="s">
        <v>307</v>
      </c>
      <c r="AY18" s="2" t="s">
        <v>308</v>
      </c>
      <c r="AZ18" s="2" t="s">
        <v>308</v>
      </c>
      <c r="BA18" s="2" t="s">
        <v>309</v>
      </c>
      <c r="BB18" s="2" t="s">
        <v>78</v>
      </c>
      <c r="BD18" s="2" t="s">
        <v>310</v>
      </c>
      <c r="BE18" s="2" t="s">
        <v>311</v>
      </c>
      <c r="BF18" s="2" t="s">
        <v>312</v>
      </c>
    </row>
    <row r="19" spans="1:58" ht="79.5" customHeight="1">
      <c r="A19" s="1"/>
      <c r="B19" s="1" t="s">
        <v>58</v>
      </c>
      <c r="C19" s="1" t="s">
        <v>59</v>
      </c>
      <c r="D19" s="1" t="s">
        <v>313</v>
      </c>
      <c r="E19" s="1" t="s">
        <v>314</v>
      </c>
      <c r="F19" s="1" t="s">
        <v>315</v>
      </c>
      <c r="G19" s="2" t="s">
        <v>316</v>
      </c>
      <c r="H19" s="2" t="s">
        <v>84</v>
      </c>
      <c r="I19" s="2" t="s">
        <v>64</v>
      </c>
      <c r="J19" s="2" t="s">
        <v>63</v>
      </c>
      <c r="K19" s="2" t="s">
        <v>63</v>
      </c>
      <c r="L19" s="2" t="s">
        <v>65</v>
      </c>
      <c r="N19" s="1" t="s">
        <v>317</v>
      </c>
      <c r="O19" s="2" t="s">
        <v>318</v>
      </c>
      <c r="Q19" s="2" t="s">
        <v>69</v>
      </c>
      <c r="R19" s="2" t="s">
        <v>88</v>
      </c>
      <c r="T19" s="2" t="s">
        <v>71</v>
      </c>
      <c r="U19" s="3">
        <v>6</v>
      </c>
      <c r="V19" s="3">
        <v>11</v>
      </c>
      <c r="W19" s="4" t="s">
        <v>319</v>
      </c>
      <c r="X19" s="4" t="s">
        <v>319</v>
      </c>
      <c r="Y19" s="4" t="s">
        <v>320</v>
      </c>
      <c r="Z19" s="4" t="s">
        <v>320</v>
      </c>
      <c r="AA19" s="3">
        <v>301</v>
      </c>
      <c r="AB19" s="3">
        <v>209</v>
      </c>
      <c r="AC19" s="3">
        <v>211</v>
      </c>
      <c r="AD19" s="3">
        <v>2</v>
      </c>
      <c r="AE19" s="3">
        <v>2</v>
      </c>
      <c r="AF19" s="3">
        <v>9</v>
      </c>
      <c r="AG19" s="3">
        <v>9</v>
      </c>
      <c r="AH19" s="3">
        <v>1</v>
      </c>
      <c r="AI19" s="3">
        <v>1</v>
      </c>
      <c r="AJ19" s="3">
        <v>3</v>
      </c>
      <c r="AK19" s="3">
        <v>3</v>
      </c>
      <c r="AL19" s="3">
        <v>7</v>
      </c>
      <c r="AM19" s="3">
        <v>7</v>
      </c>
      <c r="AN19" s="3">
        <v>1</v>
      </c>
      <c r="AO19" s="3">
        <v>1</v>
      </c>
      <c r="AP19" s="3">
        <v>0</v>
      </c>
      <c r="AQ19" s="3">
        <v>0</v>
      </c>
      <c r="AR19" s="2" t="s">
        <v>63</v>
      </c>
      <c r="AS19" s="2" t="s">
        <v>84</v>
      </c>
      <c r="AT19" s="5" t="str">
        <f>HYPERLINK("http://catalog.hathitrust.org/Record/000844322","HathiTrust Record")</f>
        <v>HathiTrust Record</v>
      </c>
      <c r="AU19" s="5" t="str">
        <f>HYPERLINK("https://creighton-primo.hosted.exlibrisgroup.com/primo-explore/search?tab=default_tab&amp;search_scope=EVERYTHING&amp;vid=01CRU&amp;lang=en_US&amp;offset=0&amp;query=any,contains,991001240389702656","Catalog Record")</f>
        <v>Catalog Record</v>
      </c>
      <c r="AV19" s="5" t="str">
        <f>HYPERLINK("http://www.worldcat.org/oclc/17300366","WorldCat Record")</f>
        <v>WorldCat Record</v>
      </c>
      <c r="AW19" s="2" t="s">
        <v>321</v>
      </c>
      <c r="AX19" s="2" t="s">
        <v>322</v>
      </c>
      <c r="AY19" s="2" t="s">
        <v>323</v>
      </c>
      <c r="AZ19" s="2" t="s">
        <v>323</v>
      </c>
      <c r="BA19" s="2" t="s">
        <v>324</v>
      </c>
      <c r="BB19" s="2" t="s">
        <v>78</v>
      </c>
      <c r="BD19" s="2" t="s">
        <v>325</v>
      </c>
      <c r="BE19" s="2" t="s">
        <v>326</v>
      </c>
      <c r="BF19" s="2" t="s">
        <v>327</v>
      </c>
    </row>
    <row r="20" spans="1:58" ht="79.5" customHeight="1">
      <c r="A20" s="1"/>
      <c r="B20" s="1" t="s">
        <v>58</v>
      </c>
      <c r="C20" s="1" t="s">
        <v>59</v>
      </c>
      <c r="D20" s="1" t="s">
        <v>313</v>
      </c>
      <c r="E20" s="1" t="s">
        <v>314</v>
      </c>
      <c r="F20" s="1" t="s">
        <v>315</v>
      </c>
      <c r="G20" s="2" t="s">
        <v>328</v>
      </c>
      <c r="H20" s="2" t="s">
        <v>84</v>
      </c>
      <c r="I20" s="2" t="s">
        <v>64</v>
      </c>
      <c r="J20" s="2" t="s">
        <v>63</v>
      </c>
      <c r="K20" s="2" t="s">
        <v>63</v>
      </c>
      <c r="L20" s="2" t="s">
        <v>65</v>
      </c>
      <c r="N20" s="1" t="s">
        <v>317</v>
      </c>
      <c r="O20" s="2" t="s">
        <v>318</v>
      </c>
      <c r="Q20" s="2" t="s">
        <v>69</v>
      </c>
      <c r="R20" s="2" t="s">
        <v>88</v>
      </c>
      <c r="T20" s="2" t="s">
        <v>71</v>
      </c>
      <c r="U20" s="3">
        <v>5</v>
      </c>
      <c r="V20" s="3">
        <v>11</v>
      </c>
      <c r="W20" s="4" t="s">
        <v>329</v>
      </c>
      <c r="X20" s="4" t="s">
        <v>319</v>
      </c>
      <c r="Y20" s="4" t="s">
        <v>320</v>
      </c>
      <c r="Z20" s="4" t="s">
        <v>320</v>
      </c>
      <c r="AA20" s="3">
        <v>301</v>
      </c>
      <c r="AB20" s="3">
        <v>209</v>
      </c>
      <c r="AC20" s="3">
        <v>211</v>
      </c>
      <c r="AD20" s="3">
        <v>2</v>
      </c>
      <c r="AE20" s="3">
        <v>2</v>
      </c>
      <c r="AF20" s="3">
        <v>9</v>
      </c>
      <c r="AG20" s="3">
        <v>9</v>
      </c>
      <c r="AH20" s="3">
        <v>1</v>
      </c>
      <c r="AI20" s="3">
        <v>1</v>
      </c>
      <c r="AJ20" s="3">
        <v>3</v>
      </c>
      <c r="AK20" s="3">
        <v>3</v>
      </c>
      <c r="AL20" s="3">
        <v>7</v>
      </c>
      <c r="AM20" s="3">
        <v>7</v>
      </c>
      <c r="AN20" s="3">
        <v>1</v>
      </c>
      <c r="AO20" s="3">
        <v>1</v>
      </c>
      <c r="AP20" s="3">
        <v>0</v>
      </c>
      <c r="AQ20" s="3">
        <v>0</v>
      </c>
      <c r="AR20" s="2" t="s">
        <v>63</v>
      </c>
      <c r="AS20" s="2" t="s">
        <v>84</v>
      </c>
      <c r="AT20" s="5" t="str">
        <f>HYPERLINK("http://catalog.hathitrust.org/Record/000844322","HathiTrust Record")</f>
        <v>HathiTrust Record</v>
      </c>
      <c r="AU20" s="5" t="str">
        <f>HYPERLINK("https://creighton-primo.hosted.exlibrisgroup.com/primo-explore/search?tab=default_tab&amp;search_scope=EVERYTHING&amp;vid=01CRU&amp;lang=en_US&amp;offset=0&amp;query=any,contains,991001240389702656","Catalog Record")</f>
        <v>Catalog Record</v>
      </c>
      <c r="AV20" s="5" t="str">
        <f>HYPERLINK("http://www.worldcat.org/oclc/17300366","WorldCat Record")</f>
        <v>WorldCat Record</v>
      </c>
      <c r="AW20" s="2" t="s">
        <v>321</v>
      </c>
      <c r="AX20" s="2" t="s">
        <v>322</v>
      </c>
      <c r="AY20" s="2" t="s">
        <v>323</v>
      </c>
      <c r="AZ20" s="2" t="s">
        <v>323</v>
      </c>
      <c r="BA20" s="2" t="s">
        <v>324</v>
      </c>
      <c r="BB20" s="2" t="s">
        <v>78</v>
      </c>
      <c r="BD20" s="2" t="s">
        <v>325</v>
      </c>
      <c r="BE20" s="2" t="s">
        <v>330</v>
      </c>
      <c r="BF20" s="2" t="s">
        <v>331</v>
      </c>
    </row>
    <row r="21" spans="1:58" ht="79.5" customHeight="1">
      <c r="A21" s="1"/>
      <c r="B21" s="1" t="s">
        <v>58</v>
      </c>
      <c r="C21" s="1" t="s">
        <v>59</v>
      </c>
      <c r="D21" s="1" t="s">
        <v>332</v>
      </c>
      <c r="E21" s="1" t="s">
        <v>333</v>
      </c>
      <c r="F21" s="1" t="s">
        <v>334</v>
      </c>
      <c r="H21" s="2" t="s">
        <v>63</v>
      </c>
      <c r="I21" s="2" t="s">
        <v>64</v>
      </c>
      <c r="J21" s="2" t="s">
        <v>63</v>
      </c>
      <c r="K21" s="2" t="s">
        <v>63</v>
      </c>
      <c r="L21" s="2" t="s">
        <v>65</v>
      </c>
      <c r="N21" s="1" t="s">
        <v>335</v>
      </c>
      <c r="O21" s="2" t="s">
        <v>336</v>
      </c>
      <c r="Q21" s="2" t="s">
        <v>69</v>
      </c>
      <c r="R21" s="2" t="s">
        <v>70</v>
      </c>
      <c r="T21" s="2" t="s">
        <v>71</v>
      </c>
      <c r="U21" s="3">
        <v>0</v>
      </c>
      <c r="V21" s="3">
        <v>0</v>
      </c>
      <c r="W21" s="4" t="s">
        <v>337</v>
      </c>
      <c r="X21" s="4" t="s">
        <v>337</v>
      </c>
      <c r="Y21" s="4" t="s">
        <v>337</v>
      </c>
      <c r="Z21" s="4" t="s">
        <v>337</v>
      </c>
      <c r="AA21" s="3">
        <v>96</v>
      </c>
      <c r="AB21" s="3">
        <v>63</v>
      </c>
      <c r="AC21" s="3">
        <v>68</v>
      </c>
      <c r="AD21" s="3">
        <v>1</v>
      </c>
      <c r="AE21" s="3">
        <v>1</v>
      </c>
      <c r="AF21" s="3">
        <v>3</v>
      </c>
      <c r="AG21" s="3">
        <v>3</v>
      </c>
      <c r="AH21" s="3">
        <v>0</v>
      </c>
      <c r="AI21" s="3">
        <v>0</v>
      </c>
      <c r="AJ21" s="3">
        <v>2</v>
      </c>
      <c r="AK21" s="3">
        <v>2</v>
      </c>
      <c r="AL21" s="3">
        <v>3</v>
      </c>
      <c r="AM21" s="3">
        <v>3</v>
      </c>
      <c r="AN21" s="3">
        <v>0</v>
      </c>
      <c r="AO21" s="3">
        <v>0</v>
      </c>
      <c r="AP21" s="3">
        <v>0</v>
      </c>
      <c r="AQ21" s="3">
        <v>0</v>
      </c>
      <c r="AR21" s="2" t="s">
        <v>63</v>
      </c>
      <c r="AS21" s="2" t="s">
        <v>63</v>
      </c>
      <c r="AU21" s="5" t="str">
        <f>HYPERLINK("https://creighton-primo.hosted.exlibrisgroup.com/primo-explore/search?tab=default_tab&amp;search_scope=EVERYTHING&amp;vid=01CRU&amp;lang=en_US&amp;offset=0&amp;query=any,contains,991001462449702656","Catalog Record")</f>
        <v>Catalog Record</v>
      </c>
      <c r="AV21" s="5" t="str">
        <f>HYPERLINK("http://www.worldcat.org/oclc/213466507","WorldCat Record")</f>
        <v>WorldCat Record</v>
      </c>
      <c r="AW21" s="2" t="s">
        <v>338</v>
      </c>
      <c r="AX21" s="2" t="s">
        <v>339</v>
      </c>
      <c r="AY21" s="2" t="s">
        <v>340</v>
      </c>
      <c r="AZ21" s="2" t="s">
        <v>340</v>
      </c>
      <c r="BA21" s="2" t="s">
        <v>341</v>
      </c>
      <c r="BB21" s="2" t="s">
        <v>78</v>
      </c>
      <c r="BD21" s="2" t="s">
        <v>342</v>
      </c>
      <c r="BE21" s="2" t="s">
        <v>343</v>
      </c>
      <c r="BF21" s="2" t="s">
        <v>344</v>
      </c>
    </row>
    <row r="22" spans="1:58" ht="79.5" customHeight="1">
      <c r="A22" s="1"/>
      <c r="B22" s="1" t="s">
        <v>58</v>
      </c>
      <c r="C22" s="1" t="s">
        <v>59</v>
      </c>
      <c r="D22" s="1" t="s">
        <v>345</v>
      </c>
      <c r="E22" s="1" t="s">
        <v>346</v>
      </c>
      <c r="F22" s="1" t="s">
        <v>347</v>
      </c>
      <c r="H22" s="2" t="s">
        <v>63</v>
      </c>
      <c r="I22" s="2" t="s">
        <v>64</v>
      </c>
      <c r="J22" s="2" t="s">
        <v>63</v>
      </c>
      <c r="K22" s="2" t="s">
        <v>63</v>
      </c>
      <c r="L22" s="2" t="s">
        <v>65</v>
      </c>
      <c r="M22" s="1" t="s">
        <v>348</v>
      </c>
      <c r="N22" s="1" t="s">
        <v>349</v>
      </c>
      <c r="O22" s="2" t="s">
        <v>350</v>
      </c>
      <c r="P22" s="1" t="s">
        <v>175</v>
      </c>
      <c r="Q22" s="2" t="s">
        <v>69</v>
      </c>
      <c r="R22" s="2" t="s">
        <v>351</v>
      </c>
      <c r="T22" s="2" t="s">
        <v>71</v>
      </c>
      <c r="U22" s="3">
        <v>12</v>
      </c>
      <c r="V22" s="3">
        <v>12</v>
      </c>
      <c r="W22" s="4" t="s">
        <v>352</v>
      </c>
      <c r="X22" s="4" t="s">
        <v>352</v>
      </c>
      <c r="Y22" s="4" t="s">
        <v>353</v>
      </c>
      <c r="Z22" s="4" t="s">
        <v>353</v>
      </c>
      <c r="AA22" s="3">
        <v>139</v>
      </c>
      <c r="AB22" s="3">
        <v>59</v>
      </c>
      <c r="AC22" s="3">
        <v>441</v>
      </c>
      <c r="AD22" s="3">
        <v>1</v>
      </c>
      <c r="AE22" s="3">
        <v>2</v>
      </c>
      <c r="AF22" s="3">
        <v>4</v>
      </c>
      <c r="AG22" s="3">
        <v>16</v>
      </c>
      <c r="AH22" s="3">
        <v>2</v>
      </c>
      <c r="AI22" s="3">
        <v>5</v>
      </c>
      <c r="AJ22" s="3">
        <v>1</v>
      </c>
      <c r="AK22" s="3">
        <v>4</v>
      </c>
      <c r="AL22" s="3">
        <v>3</v>
      </c>
      <c r="AM22" s="3">
        <v>10</v>
      </c>
      <c r="AN22" s="3">
        <v>0</v>
      </c>
      <c r="AO22" s="3">
        <v>1</v>
      </c>
      <c r="AP22" s="3">
        <v>0</v>
      </c>
      <c r="AQ22" s="3">
        <v>0</v>
      </c>
      <c r="AR22" s="2" t="s">
        <v>63</v>
      </c>
      <c r="AS22" s="2" t="s">
        <v>63</v>
      </c>
      <c r="AU22" s="5" t="str">
        <f>HYPERLINK("https://creighton-primo.hosted.exlibrisgroup.com/primo-explore/search?tab=default_tab&amp;search_scope=EVERYTHING&amp;vid=01CRU&amp;lang=en_US&amp;offset=0&amp;query=any,contains,991001411259702656","Catalog Record")</f>
        <v>Catalog Record</v>
      </c>
      <c r="AV22" s="5" t="str">
        <f>HYPERLINK("http://www.worldcat.org/oclc/36103660","WorldCat Record")</f>
        <v>WorldCat Record</v>
      </c>
      <c r="AW22" s="2" t="s">
        <v>354</v>
      </c>
      <c r="AX22" s="2" t="s">
        <v>355</v>
      </c>
      <c r="AY22" s="2" t="s">
        <v>356</v>
      </c>
      <c r="AZ22" s="2" t="s">
        <v>356</v>
      </c>
      <c r="BA22" s="2" t="s">
        <v>357</v>
      </c>
      <c r="BB22" s="2" t="s">
        <v>78</v>
      </c>
      <c r="BD22" s="2" t="s">
        <v>358</v>
      </c>
      <c r="BE22" s="2" t="s">
        <v>359</v>
      </c>
      <c r="BF22" s="2" t="s">
        <v>360</v>
      </c>
    </row>
    <row r="23" spans="1:58" ht="79.5" customHeight="1">
      <c r="A23" s="1"/>
      <c r="B23" s="1" t="s">
        <v>58</v>
      </c>
      <c r="C23" s="1" t="s">
        <v>59</v>
      </c>
      <c r="D23" s="1" t="s">
        <v>361</v>
      </c>
      <c r="E23" s="1" t="s">
        <v>362</v>
      </c>
      <c r="F23" s="1" t="s">
        <v>363</v>
      </c>
      <c r="H23" s="2" t="s">
        <v>63</v>
      </c>
      <c r="I23" s="2" t="s">
        <v>64</v>
      </c>
      <c r="J23" s="2" t="s">
        <v>63</v>
      </c>
      <c r="K23" s="2" t="s">
        <v>63</v>
      </c>
      <c r="L23" s="2" t="s">
        <v>65</v>
      </c>
      <c r="M23" s="1" t="s">
        <v>364</v>
      </c>
      <c r="N23" s="1" t="s">
        <v>365</v>
      </c>
      <c r="O23" s="2" t="s">
        <v>366</v>
      </c>
      <c r="Q23" s="2" t="s">
        <v>69</v>
      </c>
      <c r="R23" s="2" t="s">
        <v>70</v>
      </c>
      <c r="T23" s="2" t="s">
        <v>71</v>
      </c>
      <c r="U23" s="3">
        <v>1</v>
      </c>
      <c r="V23" s="3">
        <v>1</v>
      </c>
      <c r="W23" s="4" t="s">
        <v>367</v>
      </c>
      <c r="X23" s="4" t="s">
        <v>367</v>
      </c>
      <c r="Y23" s="4" t="s">
        <v>368</v>
      </c>
      <c r="Z23" s="4" t="s">
        <v>368</v>
      </c>
      <c r="AA23" s="3">
        <v>360</v>
      </c>
      <c r="AB23" s="3">
        <v>303</v>
      </c>
      <c r="AC23" s="3">
        <v>308</v>
      </c>
      <c r="AD23" s="3">
        <v>3</v>
      </c>
      <c r="AE23" s="3">
        <v>3</v>
      </c>
      <c r="AF23" s="3">
        <v>12</v>
      </c>
      <c r="AG23" s="3">
        <v>12</v>
      </c>
      <c r="AH23" s="3">
        <v>2</v>
      </c>
      <c r="AI23" s="3">
        <v>2</v>
      </c>
      <c r="AJ23" s="3">
        <v>1</v>
      </c>
      <c r="AK23" s="3">
        <v>1</v>
      </c>
      <c r="AL23" s="3">
        <v>8</v>
      </c>
      <c r="AM23" s="3">
        <v>8</v>
      </c>
      <c r="AN23" s="3">
        <v>2</v>
      </c>
      <c r="AO23" s="3">
        <v>2</v>
      </c>
      <c r="AP23" s="3">
        <v>0</v>
      </c>
      <c r="AQ23" s="3">
        <v>0</v>
      </c>
      <c r="AR23" s="2" t="s">
        <v>63</v>
      </c>
      <c r="AS23" s="2" t="s">
        <v>63</v>
      </c>
      <c r="AU23" s="5" t="str">
        <f>HYPERLINK("https://creighton-primo.hosted.exlibrisgroup.com/primo-explore/search?tab=default_tab&amp;search_scope=EVERYTHING&amp;vid=01CRU&amp;lang=en_US&amp;offset=0&amp;query=any,contains,991000787469702656","Catalog Record")</f>
        <v>Catalog Record</v>
      </c>
      <c r="AV23" s="5" t="str">
        <f>HYPERLINK("http://www.worldcat.org/oclc/320754","WorldCat Record")</f>
        <v>WorldCat Record</v>
      </c>
      <c r="AW23" s="2" t="s">
        <v>369</v>
      </c>
      <c r="AX23" s="2" t="s">
        <v>370</v>
      </c>
      <c r="AY23" s="2" t="s">
        <v>371</v>
      </c>
      <c r="AZ23" s="2" t="s">
        <v>371</v>
      </c>
      <c r="BA23" s="2" t="s">
        <v>372</v>
      </c>
      <c r="BB23" s="2" t="s">
        <v>78</v>
      </c>
      <c r="BE23" s="2" t="s">
        <v>373</v>
      </c>
      <c r="BF23" s="2" t="s">
        <v>374</v>
      </c>
    </row>
    <row r="24" spans="1:58" ht="79.5" customHeight="1">
      <c r="A24" s="1"/>
      <c r="B24" s="1" t="s">
        <v>58</v>
      </c>
      <c r="C24" s="1" t="s">
        <v>59</v>
      </c>
      <c r="D24" s="1" t="s">
        <v>375</v>
      </c>
      <c r="E24" s="1" t="s">
        <v>376</v>
      </c>
      <c r="F24" s="1" t="s">
        <v>377</v>
      </c>
      <c r="H24" s="2" t="s">
        <v>63</v>
      </c>
      <c r="I24" s="2" t="s">
        <v>64</v>
      </c>
      <c r="J24" s="2" t="s">
        <v>63</v>
      </c>
      <c r="K24" s="2" t="s">
        <v>63</v>
      </c>
      <c r="L24" s="2" t="s">
        <v>65</v>
      </c>
      <c r="M24" s="1" t="s">
        <v>378</v>
      </c>
      <c r="N24" s="1" t="s">
        <v>379</v>
      </c>
      <c r="O24" s="2" t="s">
        <v>220</v>
      </c>
      <c r="Q24" s="2" t="s">
        <v>69</v>
      </c>
      <c r="R24" s="2" t="s">
        <v>88</v>
      </c>
      <c r="T24" s="2" t="s">
        <v>71</v>
      </c>
      <c r="U24" s="3">
        <v>9</v>
      </c>
      <c r="V24" s="3">
        <v>9</v>
      </c>
      <c r="W24" s="4" t="s">
        <v>380</v>
      </c>
      <c r="X24" s="4" t="s">
        <v>380</v>
      </c>
      <c r="Y24" s="4" t="s">
        <v>381</v>
      </c>
      <c r="Z24" s="4" t="s">
        <v>381</v>
      </c>
      <c r="AA24" s="3">
        <v>200</v>
      </c>
      <c r="AB24" s="3">
        <v>141</v>
      </c>
      <c r="AC24" s="3">
        <v>308</v>
      </c>
      <c r="AD24" s="3">
        <v>2</v>
      </c>
      <c r="AE24" s="3">
        <v>2</v>
      </c>
      <c r="AF24" s="3">
        <v>9</v>
      </c>
      <c r="AG24" s="3">
        <v>15</v>
      </c>
      <c r="AH24" s="3">
        <v>3</v>
      </c>
      <c r="AI24" s="3">
        <v>6</v>
      </c>
      <c r="AJ24" s="3">
        <v>3</v>
      </c>
      <c r="AK24" s="3">
        <v>5</v>
      </c>
      <c r="AL24" s="3">
        <v>5</v>
      </c>
      <c r="AM24" s="3">
        <v>10</v>
      </c>
      <c r="AN24" s="3">
        <v>1</v>
      </c>
      <c r="AO24" s="3">
        <v>1</v>
      </c>
      <c r="AP24" s="3">
        <v>0</v>
      </c>
      <c r="AQ24" s="3">
        <v>0</v>
      </c>
      <c r="AR24" s="2" t="s">
        <v>63</v>
      </c>
      <c r="AS24" s="2" t="s">
        <v>63</v>
      </c>
      <c r="AU24" s="5" t="str">
        <f>HYPERLINK("https://creighton-primo.hosted.exlibrisgroup.com/primo-explore/search?tab=default_tab&amp;search_scope=EVERYTHING&amp;vid=01CRU&amp;lang=en_US&amp;offset=0&amp;query=any,contains,991001536169702656","Catalog Record")</f>
        <v>Catalog Record</v>
      </c>
      <c r="AV24" s="5" t="str">
        <f>HYPERLINK("http://www.worldcat.org/oclc/13665976","WorldCat Record")</f>
        <v>WorldCat Record</v>
      </c>
      <c r="AW24" s="2" t="s">
        <v>382</v>
      </c>
      <c r="AX24" s="2" t="s">
        <v>383</v>
      </c>
      <c r="AY24" s="2" t="s">
        <v>384</v>
      </c>
      <c r="AZ24" s="2" t="s">
        <v>384</v>
      </c>
      <c r="BA24" s="2" t="s">
        <v>385</v>
      </c>
      <c r="BB24" s="2" t="s">
        <v>78</v>
      </c>
      <c r="BD24" s="2" t="s">
        <v>386</v>
      </c>
      <c r="BE24" s="2" t="s">
        <v>387</v>
      </c>
      <c r="BF24" s="2" t="s">
        <v>388</v>
      </c>
    </row>
    <row r="25" spans="1:58" ht="79.5" customHeight="1">
      <c r="A25" s="1"/>
      <c r="B25" s="1" t="s">
        <v>58</v>
      </c>
      <c r="C25" s="1" t="s">
        <v>59</v>
      </c>
      <c r="D25" s="1" t="s">
        <v>389</v>
      </c>
      <c r="E25" s="1" t="s">
        <v>390</v>
      </c>
      <c r="F25" s="1" t="s">
        <v>391</v>
      </c>
      <c r="H25" s="2" t="s">
        <v>63</v>
      </c>
      <c r="I25" s="2" t="s">
        <v>64</v>
      </c>
      <c r="J25" s="2" t="s">
        <v>63</v>
      </c>
      <c r="K25" s="2" t="s">
        <v>63</v>
      </c>
      <c r="L25" s="2" t="s">
        <v>65</v>
      </c>
      <c r="M25" s="1" t="s">
        <v>392</v>
      </c>
      <c r="N25" s="1" t="s">
        <v>393</v>
      </c>
      <c r="O25" s="2" t="s">
        <v>394</v>
      </c>
      <c r="P25" s="1" t="s">
        <v>221</v>
      </c>
      <c r="Q25" s="2" t="s">
        <v>69</v>
      </c>
      <c r="R25" s="2" t="s">
        <v>70</v>
      </c>
      <c r="T25" s="2" t="s">
        <v>71</v>
      </c>
      <c r="U25" s="3">
        <v>5</v>
      </c>
      <c r="V25" s="3">
        <v>5</v>
      </c>
      <c r="W25" s="4" t="s">
        <v>395</v>
      </c>
      <c r="X25" s="4" t="s">
        <v>395</v>
      </c>
      <c r="Y25" s="4" t="s">
        <v>90</v>
      </c>
      <c r="Z25" s="4" t="s">
        <v>90</v>
      </c>
      <c r="AA25" s="3">
        <v>1087</v>
      </c>
      <c r="AB25" s="3">
        <v>958</v>
      </c>
      <c r="AC25" s="3">
        <v>999</v>
      </c>
      <c r="AD25" s="3">
        <v>9</v>
      </c>
      <c r="AE25" s="3">
        <v>9</v>
      </c>
      <c r="AF25" s="3">
        <v>32</v>
      </c>
      <c r="AG25" s="3">
        <v>34</v>
      </c>
      <c r="AH25" s="3">
        <v>12</v>
      </c>
      <c r="AI25" s="3">
        <v>13</v>
      </c>
      <c r="AJ25" s="3">
        <v>6</v>
      </c>
      <c r="AK25" s="3">
        <v>6</v>
      </c>
      <c r="AL25" s="3">
        <v>16</v>
      </c>
      <c r="AM25" s="3">
        <v>17</v>
      </c>
      <c r="AN25" s="3">
        <v>6</v>
      </c>
      <c r="AO25" s="3">
        <v>6</v>
      </c>
      <c r="AP25" s="3">
        <v>0</v>
      </c>
      <c r="AQ25" s="3">
        <v>0</v>
      </c>
      <c r="AR25" s="2" t="s">
        <v>63</v>
      </c>
      <c r="AS25" s="2" t="s">
        <v>63</v>
      </c>
      <c r="AU25" s="5" t="str">
        <f>HYPERLINK("https://creighton-primo.hosted.exlibrisgroup.com/primo-explore/search?tab=default_tab&amp;search_scope=EVERYTHING&amp;vid=01CRU&amp;lang=en_US&amp;offset=0&amp;query=any,contains,991000787549702656","Catalog Record")</f>
        <v>Catalog Record</v>
      </c>
      <c r="AV25" s="5" t="str">
        <f>HYPERLINK("http://www.worldcat.org/oclc/11467960","WorldCat Record")</f>
        <v>WorldCat Record</v>
      </c>
      <c r="AW25" s="2" t="s">
        <v>396</v>
      </c>
      <c r="AX25" s="2" t="s">
        <v>397</v>
      </c>
      <c r="AY25" s="2" t="s">
        <v>398</v>
      </c>
      <c r="AZ25" s="2" t="s">
        <v>398</v>
      </c>
      <c r="BA25" s="2" t="s">
        <v>399</v>
      </c>
      <c r="BB25" s="2" t="s">
        <v>78</v>
      </c>
      <c r="BD25" s="2" t="s">
        <v>400</v>
      </c>
      <c r="BE25" s="2" t="s">
        <v>401</v>
      </c>
      <c r="BF25" s="2" t="s">
        <v>402</v>
      </c>
    </row>
    <row r="26" spans="1:58" ht="79.5" customHeight="1">
      <c r="A26" s="1"/>
      <c r="B26" s="1" t="s">
        <v>58</v>
      </c>
      <c r="C26" s="1" t="s">
        <v>59</v>
      </c>
      <c r="D26" s="1" t="s">
        <v>403</v>
      </c>
      <c r="E26" s="1" t="s">
        <v>404</v>
      </c>
      <c r="F26" s="1" t="s">
        <v>405</v>
      </c>
      <c r="H26" s="2" t="s">
        <v>63</v>
      </c>
      <c r="I26" s="2" t="s">
        <v>64</v>
      </c>
      <c r="J26" s="2" t="s">
        <v>84</v>
      </c>
      <c r="K26" s="2" t="s">
        <v>63</v>
      </c>
      <c r="L26" s="2" t="s">
        <v>65</v>
      </c>
      <c r="M26" s="1" t="s">
        <v>406</v>
      </c>
      <c r="N26" s="1" t="s">
        <v>407</v>
      </c>
      <c r="O26" s="2" t="s">
        <v>408</v>
      </c>
      <c r="Q26" s="2" t="s">
        <v>69</v>
      </c>
      <c r="R26" s="2" t="s">
        <v>191</v>
      </c>
      <c r="T26" s="2" t="s">
        <v>71</v>
      </c>
      <c r="U26" s="3">
        <v>5</v>
      </c>
      <c r="V26" s="3">
        <v>5</v>
      </c>
      <c r="W26" s="4" t="s">
        <v>409</v>
      </c>
      <c r="X26" s="4" t="s">
        <v>409</v>
      </c>
      <c r="Y26" s="4" t="s">
        <v>410</v>
      </c>
      <c r="Z26" s="4" t="s">
        <v>410</v>
      </c>
      <c r="AA26" s="3">
        <v>599</v>
      </c>
      <c r="AB26" s="3">
        <v>536</v>
      </c>
      <c r="AC26" s="3">
        <v>677</v>
      </c>
      <c r="AD26" s="3">
        <v>6</v>
      </c>
      <c r="AE26" s="3">
        <v>9</v>
      </c>
      <c r="AF26" s="3">
        <v>26</v>
      </c>
      <c r="AG26" s="3">
        <v>34</v>
      </c>
      <c r="AH26" s="3">
        <v>10</v>
      </c>
      <c r="AI26" s="3">
        <v>13</v>
      </c>
      <c r="AJ26" s="3">
        <v>3</v>
      </c>
      <c r="AK26" s="3">
        <v>6</v>
      </c>
      <c r="AL26" s="3">
        <v>14</v>
      </c>
      <c r="AM26" s="3">
        <v>15</v>
      </c>
      <c r="AN26" s="3">
        <v>4</v>
      </c>
      <c r="AO26" s="3">
        <v>7</v>
      </c>
      <c r="AP26" s="3">
        <v>0</v>
      </c>
      <c r="AQ26" s="3">
        <v>1</v>
      </c>
      <c r="AR26" s="2" t="s">
        <v>84</v>
      </c>
      <c r="AS26" s="2" t="s">
        <v>63</v>
      </c>
      <c r="AT26" s="5" t="str">
        <f>HYPERLINK("http://catalog.hathitrust.org/Record/000386088","HathiTrust Record")</f>
        <v>HathiTrust Record</v>
      </c>
      <c r="AU26" s="5" t="str">
        <f>HYPERLINK("https://creighton-primo.hosted.exlibrisgroup.com/primo-explore/search?tab=default_tab&amp;search_scope=EVERYTHING&amp;vid=01CRU&amp;lang=en_US&amp;offset=0&amp;query=any,contains,991000787599702656","Catalog Record")</f>
        <v>Catalog Record</v>
      </c>
      <c r="AV26" s="5" t="str">
        <f>HYPERLINK("http://www.worldcat.org/oclc/186102","WorldCat Record")</f>
        <v>WorldCat Record</v>
      </c>
      <c r="AW26" s="2" t="s">
        <v>411</v>
      </c>
      <c r="AX26" s="2" t="s">
        <v>412</v>
      </c>
      <c r="AY26" s="2" t="s">
        <v>413</v>
      </c>
      <c r="AZ26" s="2" t="s">
        <v>413</v>
      </c>
      <c r="BA26" s="2" t="s">
        <v>414</v>
      </c>
      <c r="BB26" s="2" t="s">
        <v>78</v>
      </c>
      <c r="BE26" s="2" t="s">
        <v>415</v>
      </c>
      <c r="BF26" s="2" t="s">
        <v>416</v>
      </c>
    </row>
    <row r="27" spans="1:58" ht="79.5" customHeight="1">
      <c r="A27" s="1"/>
      <c r="B27" s="1" t="s">
        <v>58</v>
      </c>
      <c r="C27" s="1" t="s">
        <v>59</v>
      </c>
      <c r="D27" s="1" t="s">
        <v>417</v>
      </c>
      <c r="E27" s="1" t="s">
        <v>418</v>
      </c>
      <c r="F27" s="1" t="s">
        <v>419</v>
      </c>
      <c r="H27" s="2" t="s">
        <v>63</v>
      </c>
      <c r="I27" s="2" t="s">
        <v>64</v>
      </c>
      <c r="J27" s="2" t="s">
        <v>63</v>
      </c>
      <c r="K27" s="2" t="s">
        <v>84</v>
      </c>
      <c r="L27" s="2" t="s">
        <v>65</v>
      </c>
      <c r="N27" s="1" t="s">
        <v>420</v>
      </c>
      <c r="O27" s="2" t="s">
        <v>421</v>
      </c>
      <c r="Q27" s="2" t="s">
        <v>69</v>
      </c>
      <c r="R27" s="2" t="s">
        <v>70</v>
      </c>
      <c r="T27" s="2" t="s">
        <v>71</v>
      </c>
      <c r="U27" s="3">
        <v>4</v>
      </c>
      <c r="V27" s="3">
        <v>4</v>
      </c>
      <c r="W27" s="4" t="s">
        <v>395</v>
      </c>
      <c r="X27" s="4" t="s">
        <v>395</v>
      </c>
      <c r="Y27" s="4" t="s">
        <v>90</v>
      </c>
      <c r="Z27" s="4" t="s">
        <v>90</v>
      </c>
      <c r="AA27" s="3">
        <v>1060</v>
      </c>
      <c r="AB27" s="3">
        <v>884</v>
      </c>
      <c r="AC27" s="3">
        <v>1200</v>
      </c>
      <c r="AD27" s="3">
        <v>10</v>
      </c>
      <c r="AE27" s="3">
        <v>13</v>
      </c>
      <c r="AF27" s="3">
        <v>34</v>
      </c>
      <c r="AG27" s="3">
        <v>46</v>
      </c>
      <c r="AH27" s="3">
        <v>13</v>
      </c>
      <c r="AI27" s="3">
        <v>18</v>
      </c>
      <c r="AJ27" s="3">
        <v>6</v>
      </c>
      <c r="AK27" s="3">
        <v>7</v>
      </c>
      <c r="AL27" s="3">
        <v>15</v>
      </c>
      <c r="AM27" s="3">
        <v>21</v>
      </c>
      <c r="AN27" s="3">
        <v>7</v>
      </c>
      <c r="AO27" s="3">
        <v>9</v>
      </c>
      <c r="AP27" s="3">
        <v>0</v>
      </c>
      <c r="AQ27" s="3">
        <v>1</v>
      </c>
      <c r="AR27" s="2" t="s">
        <v>63</v>
      </c>
      <c r="AS27" s="2" t="s">
        <v>84</v>
      </c>
      <c r="AT27" s="5" t="str">
        <f>HYPERLINK("http://catalog.hathitrust.org/Record/000150042","HathiTrust Record")</f>
        <v>HathiTrust Record</v>
      </c>
      <c r="AU27" s="5" t="str">
        <f>HYPERLINK("https://creighton-primo.hosted.exlibrisgroup.com/primo-explore/search?tab=default_tab&amp;search_scope=EVERYTHING&amp;vid=01CRU&amp;lang=en_US&amp;offset=0&amp;query=any,contains,991000787639702656","Catalog Record")</f>
        <v>Catalog Record</v>
      </c>
      <c r="AV27" s="5" t="str">
        <f>HYPERLINK("http://www.worldcat.org/oclc/1302009","WorldCat Record")</f>
        <v>WorldCat Record</v>
      </c>
      <c r="AW27" s="2" t="s">
        <v>422</v>
      </c>
      <c r="AX27" s="2" t="s">
        <v>423</v>
      </c>
      <c r="AY27" s="2" t="s">
        <v>424</v>
      </c>
      <c r="AZ27" s="2" t="s">
        <v>424</v>
      </c>
      <c r="BA27" s="2" t="s">
        <v>425</v>
      </c>
      <c r="BB27" s="2" t="s">
        <v>78</v>
      </c>
      <c r="BD27" s="2" t="s">
        <v>426</v>
      </c>
      <c r="BE27" s="2" t="s">
        <v>427</v>
      </c>
      <c r="BF27" s="2" t="s">
        <v>428</v>
      </c>
    </row>
    <row r="28" spans="1:58" ht="79.5" customHeight="1">
      <c r="A28" s="1"/>
      <c r="B28" s="1" t="s">
        <v>58</v>
      </c>
      <c r="C28" s="1" t="s">
        <v>59</v>
      </c>
      <c r="D28" s="1" t="s">
        <v>429</v>
      </c>
      <c r="E28" s="1" t="s">
        <v>430</v>
      </c>
      <c r="F28" s="1" t="s">
        <v>431</v>
      </c>
      <c r="H28" s="2" t="s">
        <v>63</v>
      </c>
      <c r="I28" s="2" t="s">
        <v>64</v>
      </c>
      <c r="J28" s="2" t="s">
        <v>63</v>
      </c>
      <c r="K28" s="2" t="s">
        <v>63</v>
      </c>
      <c r="L28" s="2" t="s">
        <v>64</v>
      </c>
      <c r="M28" s="1" t="s">
        <v>432</v>
      </c>
      <c r="N28" s="1" t="s">
        <v>433</v>
      </c>
      <c r="O28" s="2" t="s">
        <v>336</v>
      </c>
      <c r="Q28" s="2" t="s">
        <v>69</v>
      </c>
      <c r="R28" s="2" t="s">
        <v>130</v>
      </c>
      <c r="T28" s="2" t="s">
        <v>71</v>
      </c>
      <c r="U28" s="3">
        <v>1</v>
      </c>
      <c r="V28" s="3">
        <v>1</v>
      </c>
      <c r="W28" s="4" t="s">
        <v>434</v>
      </c>
      <c r="X28" s="4" t="s">
        <v>434</v>
      </c>
      <c r="Y28" s="4" t="s">
        <v>435</v>
      </c>
      <c r="Z28" s="4" t="s">
        <v>435</v>
      </c>
      <c r="AA28" s="3">
        <v>605</v>
      </c>
      <c r="AB28" s="3">
        <v>511</v>
      </c>
      <c r="AC28" s="3">
        <v>1268</v>
      </c>
      <c r="AD28" s="3">
        <v>5</v>
      </c>
      <c r="AE28" s="3">
        <v>14</v>
      </c>
      <c r="AF28" s="3">
        <v>25</v>
      </c>
      <c r="AG28" s="3">
        <v>52</v>
      </c>
      <c r="AH28" s="3">
        <v>12</v>
      </c>
      <c r="AI28" s="3">
        <v>20</v>
      </c>
      <c r="AJ28" s="3">
        <v>5</v>
      </c>
      <c r="AK28" s="3">
        <v>11</v>
      </c>
      <c r="AL28" s="3">
        <v>11</v>
      </c>
      <c r="AM28" s="3">
        <v>19</v>
      </c>
      <c r="AN28" s="3">
        <v>4</v>
      </c>
      <c r="AO28" s="3">
        <v>12</v>
      </c>
      <c r="AP28" s="3">
        <v>0</v>
      </c>
      <c r="AQ28" s="3">
        <v>2</v>
      </c>
      <c r="AR28" s="2" t="s">
        <v>63</v>
      </c>
      <c r="AS28" s="2" t="s">
        <v>63</v>
      </c>
      <c r="AU28" s="5" t="str">
        <f>HYPERLINK("https://creighton-primo.hosted.exlibrisgroup.com/primo-explore/search?tab=default_tab&amp;search_scope=EVERYTHING&amp;vid=01CRU&amp;lang=en_US&amp;offset=0&amp;query=any,contains,991001474439702656","Catalog Record")</f>
        <v>Catalog Record</v>
      </c>
      <c r="AV28" s="5" t="str">
        <f>HYPERLINK("http://www.worldcat.org/oclc/214064378","WorldCat Record")</f>
        <v>WorldCat Record</v>
      </c>
      <c r="AW28" s="2" t="s">
        <v>436</v>
      </c>
      <c r="AX28" s="2" t="s">
        <v>437</v>
      </c>
      <c r="AY28" s="2" t="s">
        <v>438</v>
      </c>
      <c r="AZ28" s="2" t="s">
        <v>438</v>
      </c>
      <c r="BA28" s="2" t="s">
        <v>439</v>
      </c>
      <c r="BB28" s="2" t="s">
        <v>78</v>
      </c>
      <c r="BD28" s="2" t="s">
        <v>440</v>
      </c>
      <c r="BE28" s="2" t="s">
        <v>441</v>
      </c>
      <c r="BF28" s="2" t="s">
        <v>442</v>
      </c>
    </row>
    <row r="29" spans="1:58" ht="79.5" customHeight="1">
      <c r="A29" s="1"/>
      <c r="B29" s="1" t="s">
        <v>58</v>
      </c>
      <c r="C29" s="1" t="s">
        <v>59</v>
      </c>
      <c r="D29" s="1" t="s">
        <v>443</v>
      </c>
      <c r="E29" s="1" t="s">
        <v>444</v>
      </c>
      <c r="F29" s="1" t="s">
        <v>445</v>
      </c>
      <c r="H29" s="2" t="s">
        <v>63</v>
      </c>
      <c r="I29" s="2" t="s">
        <v>64</v>
      </c>
      <c r="J29" s="2" t="s">
        <v>63</v>
      </c>
      <c r="K29" s="2" t="s">
        <v>63</v>
      </c>
      <c r="L29" s="2" t="s">
        <v>65</v>
      </c>
      <c r="M29" s="1" t="s">
        <v>446</v>
      </c>
      <c r="N29" s="1" t="s">
        <v>447</v>
      </c>
      <c r="O29" s="2" t="s">
        <v>448</v>
      </c>
      <c r="P29" s="1" t="s">
        <v>449</v>
      </c>
      <c r="Q29" s="2" t="s">
        <v>69</v>
      </c>
      <c r="R29" s="2" t="s">
        <v>351</v>
      </c>
      <c r="T29" s="2" t="s">
        <v>71</v>
      </c>
      <c r="U29" s="3">
        <v>21</v>
      </c>
      <c r="V29" s="3">
        <v>21</v>
      </c>
      <c r="W29" s="4" t="s">
        <v>450</v>
      </c>
      <c r="X29" s="4" t="s">
        <v>450</v>
      </c>
      <c r="Y29" s="4" t="s">
        <v>451</v>
      </c>
      <c r="Z29" s="4" t="s">
        <v>451</v>
      </c>
      <c r="AA29" s="3">
        <v>186</v>
      </c>
      <c r="AB29" s="3">
        <v>141</v>
      </c>
      <c r="AC29" s="3">
        <v>560</v>
      </c>
      <c r="AD29" s="3">
        <v>1</v>
      </c>
      <c r="AE29" s="3">
        <v>5</v>
      </c>
      <c r="AF29" s="3">
        <v>3</v>
      </c>
      <c r="AG29" s="3">
        <v>18</v>
      </c>
      <c r="AH29" s="3">
        <v>2</v>
      </c>
      <c r="AI29" s="3">
        <v>5</v>
      </c>
      <c r="AJ29" s="3">
        <v>0</v>
      </c>
      <c r="AK29" s="3">
        <v>4</v>
      </c>
      <c r="AL29" s="3">
        <v>1</v>
      </c>
      <c r="AM29" s="3">
        <v>9</v>
      </c>
      <c r="AN29" s="3">
        <v>0</v>
      </c>
      <c r="AO29" s="3">
        <v>4</v>
      </c>
      <c r="AP29" s="3">
        <v>0</v>
      </c>
      <c r="AQ29" s="3">
        <v>0</v>
      </c>
      <c r="AR29" s="2" t="s">
        <v>63</v>
      </c>
      <c r="AS29" s="2" t="s">
        <v>63</v>
      </c>
      <c r="AU29" s="5" t="str">
        <f>HYPERLINK("https://creighton-primo.hosted.exlibrisgroup.com/primo-explore/search?tab=default_tab&amp;search_scope=EVERYTHING&amp;vid=01CRU&amp;lang=en_US&amp;offset=0&amp;query=any,contains,991001552399702656","Catalog Record")</f>
        <v>Catalog Record</v>
      </c>
      <c r="AV29" s="5" t="str">
        <f>HYPERLINK("http://www.worldcat.org/oclc/23768683","WorldCat Record")</f>
        <v>WorldCat Record</v>
      </c>
      <c r="AW29" s="2" t="s">
        <v>452</v>
      </c>
      <c r="AX29" s="2" t="s">
        <v>453</v>
      </c>
      <c r="AY29" s="2" t="s">
        <v>454</v>
      </c>
      <c r="AZ29" s="2" t="s">
        <v>454</v>
      </c>
      <c r="BA29" s="2" t="s">
        <v>455</v>
      </c>
      <c r="BB29" s="2" t="s">
        <v>78</v>
      </c>
      <c r="BD29" s="2" t="s">
        <v>456</v>
      </c>
      <c r="BE29" s="2" t="s">
        <v>457</v>
      </c>
      <c r="BF29" s="2" t="s">
        <v>458</v>
      </c>
    </row>
    <row r="30" spans="1:58" ht="79.5" customHeight="1">
      <c r="A30" s="1"/>
      <c r="B30" s="1" t="s">
        <v>58</v>
      </c>
      <c r="C30" s="1" t="s">
        <v>59</v>
      </c>
      <c r="D30" s="1" t="s">
        <v>459</v>
      </c>
      <c r="E30" s="1" t="s">
        <v>460</v>
      </c>
      <c r="F30" s="1" t="s">
        <v>461</v>
      </c>
      <c r="H30" s="2" t="s">
        <v>63</v>
      </c>
      <c r="I30" s="2" t="s">
        <v>64</v>
      </c>
      <c r="J30" s="2" t="s">
        <v>63</v>
      </c>
      <c r="K30" s="2" t="s">
        <v>63</v>
      </c>
      <c r="L30" s="2" t="s">
        <v>65</v>
      </c>
      <c r="M30" s="1" t="s">
        <v>462</v>
      </c>
      <c r="N30" s="1" t="s">
        <v>463</v>
      </c>
      <c r="O30" s="2" t="s">
        <v>464</v>
      </c>
      <c r="Q30" s="2" t="s">
        <v>69</v>
      </c>
      <c r="R30" s="2" t="s">
        <v>465</v>
      </c>
      <c r="T30" s="2" t="s">
        <v>71</v>
      </c>
      <c r="U30" s="3">
        <v>5</v>
      </c>
      <c r="V30" s="3">
        <v>5</v>
      </c>
      <c r="W30" s="4" t="s">
        <v>466</v>
      </c>
      <c r="X30" s="4" t="s">
        <v>466</v>
      </c>
      <c r="Y30" s="4" t="s">
        <v>467</v>
      </c>
      <c r="Z30" s="4" t="s">
        <v>467</v>
      </c>
      <c r="AA30" s="3">
        <v>254</v>
      </c>
      <c r="AB30" s="3">
        <v>166</v>
      </c>
      <c r="AC30" s="3">
        <v>256</v>
      </c>
      <c r="AD30" s="3">
        <v>3</v>
      </c>
      <c r="AE30" s="3">
        <v>3</v>
      </c>
      <c r="AF30" s="3">
        <v>9</v>
      </c>
      <c r="AG30" s="3">
        <v>15</v>
      </c>
      <c r="AH30" s="3">
        <v>3</v>
      </c>
      <c r="AI30" s="3">
        <v>5</v>
      </c>
      <c r="AJ30" s="3">
        <v>1</v>
      </c>
      <c r="AK30" s="3">
        <v>2</v>
      </c>
      <c r="AL30" s="3">
        <v>5</v>
      </c>
      <c r="AM30" s="3">
        <v>9</v>
      </c>
      <c r="AN30" s="3">
        <v>2</v>
      </c>
      <c r="AO30" s="3">
        <v>2</v>
      </c>
      <c r="AP30" s="3">
        <v>0</v>
      </c>
      <c r="AQ30" s="3">
        <v>0</v>
      </c>
      <c r="AR30" s="2" t="s">
        <v>63</v>
      </c>
      <c r="AS30" s="2" t="s">
        <v>84</v>
      </c>
      <c r="AT30" s="5" t="str">
        <f>HYPERLINK("http://catalog.hathitrust.org/Record/003247440","HathiTrust Record")</f>
        <v>HathiTrust Record</v>
      </c>
      <c r="AU30" s="5" t="str">
        <f>HYPERLINK("https://creighton-primo.hosted.exlibrisgroup.com/primo-explore/search?tab=default_tab&amp;search_scope=EVERYTHING&amp;vid=01CRU&amp;lang=en_US&amp;offset=0&amp;query=any,contains,991001296269702656","Catalog Record")</f>
        <v>Catalog Record</v>
      </c>
      <c r="AV30" s="5" t="str">
        <f>HYPERLINK("http://www.worldcat.org/oclc/30701913","WorldCat Record")</f>
        <v>WorldCat Record</v>
      </c>
      <c r="AW30" s="2" t="s">
        <v>468</v>
      </c>
      <c r="AX30" s="2" t="s">
        <v>469</v>
      </c>
      <c r="AY30" s="2" t="s">
        <v>470</v>
      </c>
      <c r="AZ30" s="2" t="s">
        <v>470</v>
      </c>
      <c r="BA30" s="2" t="s">
        <v>471</v>
      </c>
      <c r="BB30" s="2" t="s">
        <v>78</v>
      </c>
      <c r="BD30" s="2" t="s">
        <v>472</v>
      </c>
      <c r="BE30" s="2" t="s">
        <v>473</v>
      </c>
      <c r="BF30" s="2" t="s">
        <v>474</v>
      </c>
    </row>
    <row r="31" spans="1:58" ht="79.5" customHeight="1">
      <c r="A31" s="1"/>
      <c r="B31" s="1" t="s">
        <v>58</v>
      </c>
      <c r="C31" s="1" t="s">
        <v>59</v>
      </c>
      <c r="D31" s="1" t="s">
        <v>475</v>
      </c>
      <c r="E31" s="1" t="s">
        <v>476</v>
      </c>
      <c r="F31" s="1" t="s">
        <v>477</v>
      </c>
      <c r="H31" s="2" t="s">
        <v>63</v>
      </c>
      <c r="I31" s="2" t="s">
        <v>64</v>
      </c>
      <c r="J31" s="2" t="s">
        <v>63</v>
      </c>
      <c r="K31" s="2" t="s">
        <v>63</v>
      </c>
      <c r="L31" s="2" t="s">
        <v>65</v>
      </c>
      <c r="N31" s="1" t="s">
        <v>478</v>
      </c>
      <c r="O31" s="2" t="s">
        <v>479</v>
      </c>
      <c r="Q31" s="2" t="s">
        <v>69</v>
      </c>
      <c r="R31" s="2" t="s">
        <v>88</v>
      </c>
      <c r="S31" s="1" t="s">
        <v>480</v>
      </c>
      <c r="T31" s="2" t="s">
        <v>71</v>
      </c>
      <c r="U31" s="3">
        <v>4</v>
      </c>
      <c r="V31" s="3">
        <v>4</v>
      </c>
      <c r="W31" s="4" t="s">
        <v>481</v>
      </c>
      <c r="X31" s="4" t="s">
        <v>481</v>
      </c>
      <c r="Y31" s="4" t="s">
        <v>368</v>
      </c>
      <c r="Z31" s="4" t="s">
        <v>368</v>
      </c>
      <c r="AA31" s="3">
        <v>103</v>
      </c>
      <c r="AB31" s="3">
        <v>79</v>
      </c>
      <c r="AC31" s="3">
        <v>81</v>
      </c>
      <c r="AD31" s="3">
        <v>3</v>
      </c>
      <c r="AE31" s="3">
        <v>3</v>
      </c>
      <c r="AF31" s="3">
        <v>6</v>
      </c>
      <c r="AG31" s="3">
        <v>6</v>
      </c>
      <c r="AH31" s="3">
        <v>0</v>
      </c>
      <c r="AI31" s="3">
        <v>0</v>
      </c>
      <c r="AJ31" s="3">
        <v>2</v>
      </c>
      <c r="AK31" s="3">
        <v>2</v>
      </c>
      <c r="AL31" s="3">
        <v>4</v>
      </c>
      <c r="AM31" s="3">
        <v>4</v>
      </c>
      <c r="AN31" s="3">
        <v>2</v>
      </c>
      <c r="AO31" s="3">
        <v>2</v>
      </c>
      <c r="AP31" s="3">
        <v>0</v>
      </c>
      <c r="AQ31" s="3">
        <v>0</v>
      </c>
      <c r="AR31" s="2" t="s">
        <v>63</v>
      </c>
      <c r="AS31" s="2" t="s">
        <v>84</v>
      </c>
      <c r="AT31" s="5" t="str">
        <f>HYPERLINK("http://catalog.hathitrust.org/Record/004422571","HathiTrust Record")</f>
        <v>HathiTrust Record</v>
      </c>
      <c r="AU31" s="5" t="str">
        <f>HYPERLINK("https://creighton-primo.hosted.exlibrisgroup.com/primo-explore/search?tab=default_tab&amp;search_scope=EVERYTHING&amp;vid=01CRU&amp;lang=en_US&amp;offset=0&amp;query=any,contains,991000787789702656","Catalog Record")</f>
        <v>Catalog Record</v>
      </c>
      <c r="AV31" s="5" t="str">
        <f>HYPERLINK("http://www.worldcat.org/oclc/9762422","WorldCat Record")</f>
        <v>WorldCat Record</v>
      </c>
      <c r="AW31" s="2" t="s">
        <v>482</v>
      </c>
      <c r="AX31" s="2" t="s">
        <v>483</v>
      </c>
      <c r="AY31" s="2" t="s">
        <v>484</v>
      </c>
      <c r="AZ31" s="2" t="s">
        <v>484</v>
      </c>
      <c r="BA31" s="2" t="s">
        <v>485</v>
      </c>
      <c r="BB31" s="2" t="s">
        <v>78</v>
      </c>
      <c r="BD31" s="2" t="s">
        <v>486</v>
      </c>
      <c r="BE31" s="2" t="s">
        <v>487</v>
      </c>
      <c r="BF31" s="2" t="s">
        <v>488</v>
      </c>
    </row>
    <row r="32" spans="1:58" ht="79.5" customHeight="1">
      <c r="A32" s="1"/>
      <c r="B32" s="1" t="s">
        <v>58</v>
      </c>
      <c r="C32" s="1" t="s">
        <v>59</v>
      </c>
      <c r="D32" s="1" t="s">
        <v>489</v>
      </c>
      <c r="E32" s="1" t="s">
        <v>490</v>
      </c>
      <c r="F32" s="1" t="s">
        <v>491</v>
      </c>
      <c r="H32" s="2" t="s">
        <v>63</v>
      </c>
      <c r="I32" s="2" t="s">
        <v>64</v>
      </c>
      <c r="J32" s="2" t="s">
        <v>84</v>
      </c>
      <c r="K32" s="2" t="s">
        <v>63</v>
      </c>
      <c r="L32" s="2" t="s">
        <v>65</v>
      </c>
      <c r="M32" s="1" t="s">
        <v>492</v>
      </c>
      <c r="N32" s="1" t="s">
        <v>493</v>
      </c>
      <c r="O32" s="2" t="s">
        <v>494</v>
      </c>
      <c r="Q32" s="2" t="s">
        <v>69</v>
      </c>
      <c r="R32" s="2" t="s">
        <v>70</v>
      </c>
      <c r="T32" s="2" t="s">
        <v>71</v>
      </c>
      <c r="U32" s="3">
        <v>3</v>
      </c>
      <c r="V32" s="3">
        <v>3</v>
      </c>
      <c r="W32" s="4" t="s">
        <v>236</v>
      </c>
      <c r="X32" s="4" t="s">
        <v>236</v>
      </c>
      <c r="Y32" s="4" t="s">
        <v>495</v>
      </c>
      <c r="Z32" s="4" t="s">
        <v>495</v>
      </c>
      <c r="AA32" s="3">
        <v>548</v>
      </c>
      <c r="AB32" s="3">
        <v>461</v>
      </c>
      <c r="AC32" s="3">
        <v>491</v>
      </c>
      <c r="AD32" s="3">
        <v>5</v>
      </c>
      <c r="AE32" s="3">
        <v>5</v>
      </c>
      <c r="AF32" s="3">
        <v>24</v>
      </c>
      <c r="AG32" s="3">
        <v>24</v>
      </c>
      <c r="AH32" s="3">
        <v>7</v>
      </c>
      <c r="AI32" s="3">
        <v>7</v>
      </c>
      <c r="AJ32" s="3">
        <v>8</v>
      </c>
      <c r="AK32" s="3">
        <v>8</v>
      </c>
      <c r="AL32" s="3">
        <v>13</v>
      </c>
      <c r="AM32" s="3">
        <v>13</v>
      </c>
      <c r="AN32" s="3">
        <v>3</v>
      </c>
      <c r="AO32" s="3">
        <v>3</v>
      </c>
      <c r="AP32" s="3">
        <v>0</v>
      </c>
      <c r="AQ32" s="3">
        <v>0</v>
      </c>
      <c r="AR32" s="2" t="s">
        <v>63</v>
      </c>
      <c r="AS32" s="2" t="s">
        <v>63</v>
      </c>
      <c r="AT32" s="5" t="str">
        <f>HYPERLINK("http://catalog.hathitrust.org/Record/000381717","HathiTrust Record")</f>
        <v>HathiTrust Record</v>
      </c>
      <c r="AU32" s="5" t="str">
        <f>HYPERLINK("https://creighton-primo.hosted.exlibrisgroup.com/primo-explore/search?tab=default_tab&amp;search_scope=EVERYTHING&amp;vid=01CRU&amp;lang=en_US&amp;offset=0&amp;query=any,contains,991000787909702656","Catalog Record")</f>
        <v>Catalog Record</v>
      </c>
      <c r="AV32" s="5" t="str">
        <f>HYPERLINK("http://www.worldcat.org/oclc/14612826","WorldCat Record")</f>
        <v>WorldCat Record</v>
      </c>
      <c r="AW32" s="2" t="s">
        <v>496</v>
      </c>
      <c r="AX32" s="2" t="s">
        <v>497</v>
      </c>
      <c r="AY32" s="2" t="s">
        <v>498</v>
      </c>
      <c r="AZ32" s="2" t="s">
        <v>498</v>
      </c>
      <c r="BA32" s="2" t="s">
        <v>499</v>
      </c>
      <c r="BB32" s="2" t="s">
        <v>78</v>
      </c>
      <c r="BE32" s="2" t="s">
        <v>500</v>
      </c>
      <c r="BF32" s="2" t="s">
        <v>501</v>
      </c>
    </row>
    <row r="33" spans="1:58" ht="79.5" customHeight="1">
      <c r="A33" s="1"/>
      <c r="B33" s="1" t="s">
        <v>58</v>
      </c>
      <c r="C33" s="1" t="s">
        <v>59</v>
      </c>
      <c r="D33" s="1" t="s">
        <v>502</v>
      </c>
      <c r="E33" s="1" t="s">
        <v>503</v>
      </c>
      <c r="F33" s="1" t="s">
        <v>504</v>
      </c>
      <c r="H33" s="2" t="s">
        <v>63</v>
      </c>
      <c r="I33" s="2" t="s">
        <v>64</v>
      </c>
      <c r="J33" s="2" t="s">
        <v>63</v>
      </c>
      <c r="K33" s="2" t="s">
        <v>84</v>
      </c>
      <c r="L33" s="2" t="s">
        <v>65</v>
      </c>
      <c r="N33" s="1" t="s">
        <v>505</v>
      </c>
      <c r="O33" s="2" t="s">
        <v>336</v>
      </c>
      <c r="P33" s="1" t="s">
        <v>159</v>
      </c>
      <c r="Q33" s="2" t="s">
        <v>69</v>
      </c>
      <c r="R33" s="2" t="s">
        <v>70</v>
      </c>
      <c r="T33" s="2" t="s">
        <v>71</v>
      </c>
      <c r="U33" s="3">
        <v>1</v>
      </c>
      <c r="V33" s="3">
        <v>1</v>
      </c>
      <c r="W33" s="4" t="s">
        <v>506</v>
      </c>
      <c r="X33" s="4" t="s">
        <v>506</v>
      </c>
      <c r="Y33" s="4" t="s">
        <v>507</v>
      </c>
      <c r="Z33" s="4" t="s">
        <v>507</v>
      </c>
      <c r="AA33" s="3">
        <v>804</v>
      </c>
      <c r="AB33" s="3">
        <v>634</v>
      </c>
      <c r="AC33" s="3">
        <v>1510</v>
      </c>
      <c r="AD33" s="3">
        <v>6</v>
      </c>
      <c r="AE33" s="3">
        <v>9</v>
      </c>
      <c r="AF33" s="3">
        <v>34</v>
      </c>
      <c r="AG33" s="3">
        <v>58</v>
      </c>
      <c r="AH33" s="3">
        <v>11</v>
      </c>
      <c r="AI33" s="3">
        <v>27</v>
      </c>
      <c r="AJ33" s="3">
        <v>8</v>
      </c>
      <c r="AK33" s="3">
        <v>10</v>
      </c>
      <c r="AL33" s="3">
        <v>18</v>
      </c>
      <c r="AM33" s="3">
        <v>26</v>
      </c>
      <c r="AN33" s="3">
        <v>5</v>
      </c>
      <c r="AO33" s="3">
        <v>7</v>
      </c>
      <c r="AP33" s="3">
        <v>0</v>
      </c>
      <c r="AQ33" s="3">
        <v>1</v>
      </c>
      <c r="AR33" s="2" t="s">
        <v>63</v>
      </c>
      <c r="AS33" s="2" t="s">
        <v>63</v>
      </c>
      <c r="AU33" s="5" t="str">
        <f>HYPERLINK("https://creighton-primo.hosted.exlibrisgroup.com/primo-explore/search?tab=default_tab&amp;search_scope=EVERYTHING&amp;vid=01CRU&amp;lang=en_US&amp;offset=0&amp;query=any,contains,991001366049702656","Catalog Record")</f>
        <v>Catalog Record</v>
      </c>
      <c r="AV33" s="5" t="str">
        <f>HYPERLINK("http://www.worldcat.org/oclc/175056027","WorldCat Record")</f>
        <v>WorldCat Record</v>
      </c>
      <c r="AW33" s="2" t="s">
        <v>508</v>
      </c>
      <c r="AX33" s="2" t="s">
        <v>509</v>
      </c>
      <c r="AY33" s="2" t="s">
        <v>510</v>
      </c>
      <c r="AZ33" s="2" t="s">
        <v>510</v>
      </c>
      <c r="BA33" s="2" t="s">
        <v>511</v>
      </c>
      <c r="BB33" s="2" t="s">
        <v>78</v>
      </c>
      <c r="BD33" s="2" t="s">
        <v>512</v>
      </c>
      <c r="BE33" s="2" t="s">
        <v>513</v>
      </c>
      <c r="BF33" s="2" t="s">
        <v>514</v>
      </c>
    </row>
    <row r="34" spans="1:58" ht="79.5" customHeight="1">
      <c r="A34" s="1"/>
      <c r="B34" s="1" t="s">
        <v>58</v>
      </c>
      <c r="C34" s="1" t="s">
        <v>59</v>
      </c>
      <c r="D34" s="1" t="s">
        <v>515</v>
      </c>
      <c r="E34" s="1" t="s">
        <v>516</v>
      </c>
      <c r="F34" s="1" t="s">
        <v>517</v>
      </c>
      <c r="H34" s="2" t="s">
        <v>63</v>
      </c>
      <c r="I34" s="2" t="s">
        <v>64</v>
      </c>
      <c r="J34" s="2" t="s">
        <v>63</v>
      </c>
      <c r="K34" s="2" t="s">
        <v>63</v>
      </c>
      <c r="L34" s="2" t="s">
        <v>65</v>
      </c>
      <c r="M34" s="1" t="s">
        <v>518</v>
      </c>
      <c r="N34" s="1" t="s">
        <v>519</v>
      </c>
      <c r="O34" s="2" t="s">
        <v>129</v>
      </c>
      <c r="Q34" s="2" t="s">
        <v>69</v>
      </c>
      <c r="R34" s="2" t="s">
        <v>520</v>
      </c>
      <c r="T34" s="2" t="s">
        <v>71</v>
      </c>
      <c r="U34" s="3">
        <v>1</v>
      </c>
      <c r="V34" s="3">
        <v>1</v>
      </c>
      <c r="W34" s="4" t="s">
        <v>521</v>
      </c>
      <c r="X34" s="4" t="s">
        <v>521</v>
      </c>
      <c r="Y34" s="4" t="s">
        <v>521</v>
      </c>
      <c r="Z34" s="4" t="s">
        <v>521</v>
      </c>
      <c r="AA34" s="3">
        <v>134</v>
      </c>
      <c r="AB34" s="3">
        <v>129</v>
      </c>
      <c r="AC34" s="3">
        <v>138</v>
      </c>
      <c r="AD34" s="3">
        <v>1</v>
      </c>
      <c r="AE34" s="3">
        <v>1</v>
      </c>
      <c r="AF34" s="3">
        <v>2</v>
      </c>
      <c r="AG34" s="3">
        <v>2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0</v>
      </c>
      <c r="AO34" s="3">
        <v>0</v>
      </c>
      <c r="AP34" s="3">
        <v>0</v>
      </c>
      <c r="AQ34" s="3">
        <v>0</v>
      </c>
      <c r="AR34" s="2" t="s">
        <v>63</v>
      </c>
      <c r="AS34" s="2" t="s">
        <v>84</v>
      </c>
      <c r="AT34" s="5" t="str">
        <f>HYPERLINK("http://catalog.hathitrust.org/Record/003072681","HathiTrust Record")</f>
        <v>HathiTrust Record</v>
      </c>
      <c r="AU34" s="5" t="str">
        <f>HYPERLINK("https://creighton-primo.hosted.exlibrisgroup.com/primo-explore/search?tab=default_tab&amp;search_scope=EVERYTHING&amp;vid=01CRU&amp;lang=en_US&amp;offset=0&amp;query=any,contains,991000425149702656","Catalog Record")</f>
        <v>Catalog Record</v>
      </c>
      <c r="AV34" s="5" t="str">
        <f>HYPERLINK("http://www.worldcat.org/oclc/28293706","WorldCat Record")</f>
        <v>WorldCat Record</v>
      </c>
      <c r="AW34" s="2" t="s">
        <v>522</v>
      </c>
      <c r="AX34" s="2" t="s">
        <v>523</v>
      </c>
      <c r="AY34" s="2" t="s">
        <v>524</v>
      </c>
      <c r="AZ34" s="2" t="s">
        <v>524</v>
      </c>
      <c r="BA34" s="2" t="s">
        <v>525</v>
      </c>
      <c r="BB34" s="2" t="s">
        <v>78</v>
      </c>
      <c r="BD34" s="2" t="s">
        <v>526</v>
      </c>
      <c r="BE34" s="2" t="s">
        <v>527</v>
      </c>
      <c r="BF34" s="2" t="s">
        <v>528</v>
      </c>
    </row>
    <row r="35" spans="1:58" ht="79.5" customHeight="1">
      <c r="A35" s="1"/>
      <c r="B35" s="1" t="s">
        <v>58</v>
      </c>
      <c r="C35" s="1" t="s">
        <v>59</v>
      </c>
      <c r="D35" s="1" t="s">
        <v>529</v>
      </c>
      <c r="E35" s="1" t="s">
        <v>530</v>
      </c>
      <c r="F35" s="1" t="s">
        <v>531</v>
      </c>
      <c r="H35" s="2" t="s">
        <v>63</v>
      </c>
      <c r="I35" s="2" t="s">
        <v>64</v>
      </c>
      <c r="J35" s="2" t="s">
        <v>63</v>
      </c>
      <c r="K35" s="2" t="s">
        <v>63</v>
      </c>
      <c r="L35" s="2" t="s">
        <v>65</v>
      </c>
      <c r="M35" s="1" t="s">
        <v>532</v>
      </c>
      <c r="N35" s="1" t="s">
        <v>533</v>
      </c>
      <c r="O35" s="2" t="s">
        <v>534</v>
      </c>
      <c r="Q35" s="2" t="s">
        <v>69</v>
      </c>
      <c r="R35" s="2" t="s">
        <v>70</v>
      </c>
      <c r="T35" s="2" t="s">
        <v>71</v>
      </c>
      <c r="U35" s="3">
        <v>3</v>
      </c>
      <c r="V35" s="3">
        <v>3</v>
      </c>
      <c r="W35" s="4" t="s">
        <v>535</v>
      </c>
      <c r="X35" s="4" t="s">
        <v>535</v>
      </c>
      <c r="Y35" s="4" t="s">
        <v>495</v>
      </c>
      <c r="Z35" s="4" t="s">
        <v>495</v>
      </c>
      <c r="AA35" s="3">
        <v>353</v>
      </c>
      <c r="AB35" s="3">
        <v>253</v>
      </c>
      <c r="AC35" s="3">
        <v>257</v>
      </c>
      <c r="AD35" s="3">
        <v>2</v>
      </c>
      <c r="AE35" s="3">
        <v>2</v>
      </c>
      <c r="AF35" s="3">
        <v>11</v>
      </c>
      <c r="AG35" s="3">
        <v>11</v>
      </c>
      <c r="AH35" s="3">
        <v>1</v>
      </c>
      <c r="AI35" s="3">
        <v>1</v>
      </c>
      <c r="AJ35" s="3">
        <v>4</v>
      </c>
      <c r="AK35" s="3">
        <v>4</v>
      </c>
      <c r="AL35" s="3">
        <v>9</v>
      </c>
      <c r="AM35" s="3">
        <v>9</v>
      </c>
      <c r="AN35" s="3">
        <v>1</v>
      </c>
      <c r="AO35" s="3">
        <v>1</v>
      </c>
      <c r="AP35" s="3">
        <v>0</v>
      </c>
      <c r="AQ35" s="3">
        <v>0</v>
      </c>
      <c r="AR35" s="2" t="s">
        <v>63</v>
      </c>
      <c r="AS35" s="2" t="s">
        <v>84</v>
      </c>
      <c r="AT35" s="5" t="str">
        <f>HYPERLINK("http://catalog.hathitrust.org/Record/000183161","HathiTrust Record")</f>
        <v>HathiTrust Record</v>
      </c>
      <c r="AU35" s="5" t="str">
        <f>HYPERLINK("https://creighton-primo.hosted.exlibrisgroup.com/primo-explore/search?tab=default_tab&amp;search_scope=EVERYTHING&amp;vid=01CRU&amp;lang=en_US&amp;offset=0&amp;query=any,contains,991000787999702656","Catalog Record")</f>
        <v>Catalog Record</v>
      </c>
      <c r="AV35" s="5" t="str">
        <f>HYPERLINK("http://www.worldcat.org/oclc/7169782","WorldCat Record")</f>
        <v>WorldCat Record</v>
      </c>
      <c r="AW35" s="2" t="s">
        <v>536</v>
      </c>
      <c r="AX35" s="2" t="s">
        <v>537</v>
      </c>
      <c r="AY35" s="2" t="s">
        <v>538</v>
      </c>
      <c r="AZ35" s="2" t="s">
        <v>538</v>
      </c>
      <c r="BA35" s="2" t="s">
        <v>539</v>
      </c>
      <c r="BB35" s="2" t="s">
        <v>78</v>
      </c>
      <c r="BD35" s="2" t="s">
        <v>540</v>
      </c>
      <c r="BE35" s="2" t="s">
        <v>541</v>
      </c>
      <c r="BF35" s="2" t="s">
        <v>542</v>
      </c>
    </row>
    <row r="36" spans="1:58" ht="79.5" customHeight="1">
      <c r="A36" s="1"/>
      <c r="B36" s="1" t="s">
        <v>58</v>
      </c>
      <c r="C36" s="1" t="s">
        <v>59</v>
      </c>
      <c r="D36" s="1" t="s">
        <v>543</v>
      </c>
      <c r="E36" s="1" t="s">
        <v>544</v>
      </c>
      <c r="F36" s="1" t="s">
        <v>545</v>
      </c>
      <c r="H36" s="2" t="s">
        <v>63</v>
      </c>
      <c r="I36" s="2" t="s">
        <v>64</v>
      </c>
      <c r="J36" s="2" t="s">
        <v>63</v>
      </c>
      <c r="K36" s="2" t="s">
        <v>63</v>
      </c>
      <c r="L36" s="2" t="s">
        <v>64</v>
      </c>
      <c r="N36" s="1" t="s">
        <v>546</v>
      </c>
      <c r="O36" s="2" t="s">
        <v>448</v>
      </c>
      <c r="Q36" s="2" t="s">
        <v>69</v>
      </c>
      <c r="R36" s="2" t="s">
        <v>70</v>
      </c>
      <c r="T36" s="2" t="s">
        <v>71</v>
      </c>
      <c r="U36" s="3">
        <v>15</v>
      </c>
      <c r="V36" s="3">
        <v>15</v>
      </c>
      <c r="W36" s="4" t="s">
        <v>535</v>
      </c>
      <c r="X36" s="4" t="s">
        <v>535</v>
      </c>
      <c r="Y36" s="4" t="s">
        <v>547</v>
      </c>
      <c r="Z36" s="4" t="s">
        <v>547</v>
      </c>
      <c r="AA36" s="3">
        <v>449</v>
      </c>
      <c r="AB36" s="3">
        <v>386</v>
      </c>
      <c r="AC36" s="3">
        <v>1216</v>
      </c>
      <c r="AD36" s="3">
        <v>3</v>
      </c>
      <c r="AE36" s="3">
        <v>14</v>
      </c>
      <c r="AF36" s="3">
        <v>16</v>
      </c>
      <c r="AG36" s="3">
        <v>47</v>
      </c>
      <c r="AH36" s="3">
        <v>2</v>
      </c>
      <c r="AI36" s="3">
        <v>13</v>
      </c>
      <c r="AJ36" s="3">
        <v>5</v>
      </c>
      <c r="AK36" s="3">
        <v>11</v>
      </c>
      <c r="AL36" s="3">
        <v>7</v>
      </c>
      <c r="AM36" s="3">
        <v>15</v>
      </c>
      <c r="AN36" s="3">
        <v>2</v>
      </c>
      <c r="AO36" s="3">
        <v>12</v>
      </c>
      <c r="AP36" s="3">
        <v>2</v>
      </c>
      <c r="AQ36" s="3">
        <v>3</v>
      </c>
      <c r="AR36" s="2" t="s">
        <v>63</v>
      </c>
      <c r="AS36" s="2" t="s">
        <v>63</v>
      </c>
      <c r="AU36" s="5" t="str">
        <f>HYPERLINK("https://creighton-primo.hosted.exlibrisgroup.com/primo-explore/search?tab=default_tab&amp;search_scope=EVERYTHING&amp;vid=01CRU&amp;lang=en_US&amp;offset=0&amp;query=any,contains,991001024059702656","Catalog Record")</f>
        <v>Catalog Record</v>
      </c>
      <c r="AV36" s="5" t="str">
        <f>HYPERLINK("http://www.worldcat.org/oclc/22764685","WorldCat Record")</f>
        <v>WorldCat Record</v>
      </c>
      <c r="AW36" s="2" t="s">
        <v>548</v>
      </c>
      <c r="AX36" s="2" t="s">
        <v>549</v>
      </c>
      <c r="AY36" s="2" t="s">
        <v>550</v>
      </c>
      <c r="AZ36" s="2" t="s">
        <v>550</v>
      </c>
      <c r="BA36" s="2" t="s">
        <v>551</v>
      </c>
      <c r="BB36" s="2" t="s">
        <v>78</v>
      </c>
      <c r="BD36" s="2" t="s">
        <v>552</v>
      </c>
      <c r="BE36" s="2" t="s">
        <v>553</v>
      </c>
      <c r="BF36" s="2" t="s">
        <v>554</v>
      </c>
    </row>
    <row r="37" spans="1:58" ht="79.5" customHeight="1">
      <c r="A37" s="1"/>
      <c r="B37" s="1" t="s">
        <v>58</v>
      </c>
      <c r="C37" s="1" t="s">
        <v>59</v>
      </c>
      <c r="D37" s="1" t="s">
        <v>555</v>
      </c>
      <c r="E37" s="1" t="s">
        <v>556</v>
      </c>
      <c r="F37" s="1" t="s">
        <v>557</v>
      </c>
      <c r="H37" s="2" t="s">
        <v>63</v>
      </c>
      <c r="I37" s="2" t="s">
        <v>64</v>
      </c>
      <c r="J37" s="2" t="s">
        <v>63</v>
      </c>
      <c r="K37" s="2" t="s">
        <v>63</v>
      </c>
      <c r="L37" s="2" t="s">
        <v>65</v>
      </c>
      <c r="N37" s="1" t="s">
        <v>558</v>
      </c>
      <c r="O37" s="2" t="s">
        <v>559</v>
      </c>
      <c r="Q37" s="2" t="s">
        <v>69</v>
      </c>
      <c r="R37" s="2" t="s">
        <v>130</v>
      </c>
      <c r="T37" s="2" t="s">
        <v>71</v>
      </c>
      <c r="U37" s="3">
        <v>0</v>
      </c>
      <c r="V37" s="3">
        <v>0</v>
      </c>
      <c r="W37" s="4" t="s">
        <v>560</v>
      </c>
      <c r="X37" s="4" t="s">
        <v>560</v>
      </c>
      <c r="Y37" s="4" t="s">
        <v>560</v>
      </c>
      <c r="Z37" s="4" t="s">
        <v>560</v>
      </c>
      <c r="AA37" s="3">
        <v>121</v>
      </c>
      <c r="AB37" s="3">
        <v>57</v>
      </c>
      <c r="AC37" s="3">
        <v>99</v>
      </c>
      <c r="AD37" s="3">
        <v>1</v>
      </c>
      <c r="AE37" s="3">
        <v>1</v>
      </c>
      <c r="AF37" s="3">
        <v>0</v>
      </c>
      <c r="AG37" s="3">
        <v>1</v>
      </c>
      <c r="AH37" s="3">
        <v>0</v>
      </c>
      <c r="AI37" s="3">
        <v>0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2" t="s">
        <v>63</v>
      </c>
      <c r="AS37" s="2" t="s">
        <v>84</v>
      </c>
      <c r="AT37" s="5" t="str">
        <f>HYPERLINK("http://catalog.hathitrust.org/Record/004732225","HathiTrust Record")</f>
        <v>HathiTrust Record</v>
      </c>
      <c r="AU37" s="5" t="str">
        <f>HYPERLINK("https://creighton-primo.hosted.exlibrisgroup.com/primo-explore/search?tab=default_tab&amp;search_scope=EVERYTHING&amp;vid=01CRU&amp;lang=en_US&amp;offset=0&amp;query=any,contains,991000388699702656","Catalog Record")</f>
        <v>Catalog Record</v>
      </c>
      <c r="AV37" s="5" t="str">
        <f>HYPERLINK("http://www.worldcat.org/oclc/55634372","WorldCat Record")</f>
        <v>WorldCat Record</v>
      </c>
      <c r="AW37" s="2" t="s">
        <v>561</v>
      </c>
      <c r="AX37" s="2" t="s">
        <v>562</v>
      </c>
      <c r="AY37" s="2" t="s">
        <v>563</v>
      </c>
      <c r="AZ37" s="2" t="s">
        <v>563</v>
      </c>
      <c r="BA37" s="2" t="s">
        <v>564</v>
      </c>
      <c r="BB37" s="2" t="s">
        <v>78</v>
      </c>
      <c r="BD37" s="2" t="s">
        <v>565</v>
      </c>
      <c r="BE37" s="2" t="s">
        <v>566</v>
      </c>
      <c r="BF37" s="2" t="s">
        <v>567</v>
      </c>
    </row>
    <row r="38" spans="1:58" ht="79.5" customHeight="1">
      <c r="A38" s="1"/>
      <c r="B38" s="1" t="s">
        <v>58</v>
      </c>
      <c r="C38" s="1" t="s">
        <v>59</v>
      </c>
      <c r="D38" s="1" t="s">
        <v>568</v>
      </c>
      <c r="E38" s="1" t="s">
        <v>569</v>
      </c>
      <c r="F38" s="1" t="s">
        <v>570</v>
      </c>
      <c r="H38" s="2" t="s">
        <v>63</v>
      </c>
      <c r="I38" s="2" t="s">
        <v>64</v>
      </c>
      <c r="J38" s="2" t="s">
        <v>63</v>
      </c>
      <c r="K38" s="2" t="s">
        <v>63</v>
      </c>
      <c r="L38" s="2" t="s">
        <v>65</v>
      </c>
      <c r="M38" s="1" t="s">
        <v>571</v>
      </c>
      <c r="N38" s="1" t="s">
        <v>572</v>
      </c>
      <c r="O38" s="2" t="s">
        <v>573</v>
      </c>
      <c r="Q38" s="2" t="s">
        <v>69</v>
      </c>
      <c r="R38" s="2" t="s">
        <v>70</v>
      </c>
      <c r="T38" s="2" t="s">
        <v>71</v>
      </c>
      <c r="U38" s="3">
        <v>8</v>
      </c>
      <c r="V38" s="3">
        <v>8</v>
      </c>
      <c r="W38" s="4" t="s">
        <v>574</v>
      </c>
      <c r="X38" s="4" t="s">
        <v>574</v>
      </c>
      <c r="Y38" s="4" t="s">
        <v>90</v>
      </c>
      <c r="Z38" s="4" t="s">
        <v>90</v>
      </c>
      <c r="AA38" s="3">
        <v>96</v>
      </c>
      <c r="AB38" s="3">
        <v>84</v>
      </c>
      <c r="AC38" s="3">
        <v>86</v>
      </c>
      <c r="AD38" s="3">
        <v>2</v>
      </c>
      <c r="AE38" s="3">
        <v>2</v>
      </c>
      <c r="AF38" s="3">
        <v>5</v>
      </c>
      <c r="AG38" s="3">
        <v>5</v>
      </c>
      <c r="AH38" s="3">
        <v>2</v>
      </c>
      <c r="AI38" s="3">
        <v>2</v>
      </c>
      <c r="AJ38" s="3">
        <v>2</v>
      </c>
      <c r="AK38" s="3">
        <v>2</v>
      </c>
      <c r="AL38" s="3">
        <v>3</v>
      </c>
      <c r="AM38" s="3">
        <v>3</v>
      </c>
      <c r="AN38" s="3">
        <v>1</v>
      </c>
      <c r="AO38" s="3">
        <v>1</v>
      </c>
      <c r="AP38" s="3">
        <v>0</v>
      </c>
      <c r="AQ38" s="3">
        <v>0</v>
      </c>
      <c r="AR38" s="2" t="s">
        <v>63</v>
      </c>
      <c r="AS38" s="2" t="s">
        <v>84</v>
      </c>
      <c r="AT38" s="5" t="str">
        <f>HYPERLINK("http://catalog.hathitrust.org/Record/009812844","HathiTrust Record")</f>
        <v>HathiTrust Record</v>
      </c>
      <c r="AU38" s="5" t="str">
        <f>HYPERLINK("https://creighton-primo.hosted.exlibrisgroup.com/primo-explore/search?tab=default_tab&amp;search_scope=EVERYTHING&amp;vid=01CRU&amp;lang=en_US&amp;offset=0&amp;query=any,contains,991000788839702656","Catalog Record")</f>
        <v>Catalog Record</v>
      </c>
      <c r="AV38" s="5" t="str">
        <f>HYPERLINK("http://www.worldcat.org/oclc/2373362","WorldCat Record")</f>
        <v>WorldCat Record</v>
      </c>
      <c r="AW38" s="2" t="s">
        <v>575</v>
      </c>
      <c r="AX38" s="2" t="s">
        <v>576</v>
      </c>
      <c r="AY38" s="2" t="s">
        <v>577</v>
      </c>
      <c r="AZ38" s="2" t="s">
        <v>577</v>
      </c>
      <c r="BA38" s="2" t="s">
        <v>578</v>
      </c>
      <c r="BB38" s="2" t="s">
        <v>78</v>
      </c>
      <c r="BD38" s="2" t="s">
        <v>579</v>
      </c>
      <c r="BE38" s="2" t="s">
        <v>580</v>
      </c>
      <c r="BF38" s="2" t="s">
        <v>581</v>
      </c>
    </row>
    <row r="39" spans="1:58" ht="79.5" customHeight="1">
      <c r="A39" s="1"/>
      <c r="B39" s="1" t="s">
        <v>58</v>
      </c>
      <c r="C39" s="1" t="s">
        <v>59</v>
      </c>
      <c r="D39" s="1" t="s">
        <v>582</v>
      </c>
      <c r="E39" s="1" t="s">
        <v>583</v>
      </c>
      <c r="F39" s="1" t="s">
        <v>584</v>
      </c>
      <c r="H39" s="2" t="s">
        <v>63</v>
      </c>
      <c r="I39" s="2" t="s">
        <v>64</v>
      </c>
      <c r="J39" s="2" t="s">
        <v>63</v>
      </c>
      <c r="K39" s="2" t="s">
        <v>63</v>
      </c>
      <c r="L39" s="2" t="s">
        <v>65</v>
      </c>
      <c r="N39" s="1" t="s">
        <v>585</v>
      </c>
      <c r="O39" s="2" t="s">
        <v>129</v>
      </c>
      <c r="Q39" s="2" t="s">
        <v>69</v>
      </c>
      <c r="R39" s="2" t="s">
        <v>465</v>
      </c>
      <c r="T39" s="2" t="s">
        <v>71</v>
      </c>
      <c r="U39" s="3">
        <v>1</v>
      </c>
      <c r="V39" s="3">
        <v>1</v>
      </c>
      <c r="W39" s="4" t="s">
        <v>586</v>
      </c>
      <c r="X39" s="4" t="s">
        <v>586</v>
      </c>
      <c r="Y39" s="4" t="s">
        <v>586</v>
      </c>
      <c r="Z39" s="4" t="s">
        <v>586</v>
      </c>
      <c r="AA39" s="3">
        <v>214</v>
      </c>
      <c r="AB39" s="3">
        <v>195</v>
      </c>
      <c r="AC39" s="3">
        <v>196</v>
      </c>
      <c r="AD39" s="3">
        <v>1</v>
      </c>
      <c r="AE39" s="3">
        <v>1</v>
      </c>
      <c r="AF39" s="3">
        <v>13</v>
      </c>
      <c r="AG39" s="3">
        <v>13</v>
      </c>
      <c r="AH39" s="3">
        <v>5</v>
      </c>
      <c r="AI39" s="3">
        <v>5</v>
      </c>
      <c r="AJ39" s="3">
        <v>7</v>
      </c>
      <c r="AK39" s="3">
        <v>7</v>
      </c>
      <c r="AL39" s="3">
        <v>8</v>
      </c>
      <c r="AM39" s="3">
        <v>8</v>
      </c>
      <c r="AN39" s="3">
        <v>0</v>
      </c>
      <c r="AO39" s="3">
        <v>0</v>
      </c>
      <c r="AP39" s="3">
        <v>0</v>
      </c>
      <c r="AQ39" s="3">
        <v>0</v>
      </c>
      <c r="AR39" s="2" t="s">
        <v>63</v>
      </c>
      <c r="AS39" s="2" t="s">
        <v>63</v>
      </c>
      <c r="AU39" s="5" t="str">
        <f>HYPERLINK("https://creighton-primo.hosted.exlibrisgroup.com/primo-explore/search?tab=default_tab&amp;search_scope=EVERYTHING&amp;vid=01CRU&amp;lang=en_US&amp;offset=0&amp;query=any,contains,991000876789702656","Catalog Record")</f>
        <v>Catalog Record</v>
      </c>
      <c r="AV39" s="5" t="str">
        <f>HYPERLINK("http://www.worldcat.org/oclc/30071188","WorldCat Record")</f>
        <v>WorldCat Record</v>
      </c>
      <c r="AW39" s="2" t="s">
        <v>587</v>
      </c>
      <c r="AX39" s="2" t="s">
        <v>588</v>
      </c>
      <c r="AY39" s="2" t="s">
        <v>589</v>
      </c>
      <c r="AZ39" s="2" t="s">
        <v>589</v>
      </c>
      <c r="BA39" s="2" t="s">
        <v>590</v>
      </c>
      <c r="BB39" s="2" t="s">
        <v>78</v>
      </c>
      <c r="BD39" s="2" t="s">
        <v>591</v>
      </c>
      <c r="BE39" s="2" t="s">
        <v>592</v>
      </c>
      <c r="BF39" s="2" t="s">
        <v>593</v>
      </c>
    </row>
    <row r="40" spans="1:58" ht="79.5" customHeight="1">
      <c r="A40" s="1"/>
      <c r="B40" s="1" t="s">
        <v>58</v>
      </c>
      <c r="C40" s="1" t="s">
        <v>59</v>
      </c>
      <c r="D40" s="1" t="s">
        <v>594</v>
      </c>
      <c r="E40" s="1" t="s">
        <v>595</v>
      </c>
      <c r="F40" s="1" t="s">
        <v>596</v>
      </c>
      <c r="H40" s="2" t="s">
        <v>63</v>
      </c>
      <c r="I40" s="2" t="s">
        <v>64</v>
      </c>
      <c r="J40" s="2" t="s">
        <v>63</v>
      </c>
      <c r="K40" s="2" t="s">
        <v>63</v>
      </c>
      <c r="L40" s="2" t="s">
        <v>65</v>
      </c>
      <c r="N40" s="1" t="s">
        <v>597</v>
      </c>
      <c r="O40" s="2" t="s">
        <v>598</v>
      </c>
      <c r="Q40" s="2" t="s">
        <v>69</v>
      </c>
      <c r="R40" s="2" t="s">
        <v>88</v>
      </c>
      <c r="T40" s="2" t="s">
        <v>71</v>
      </c>
      <c r="U40" s="3">
        <v>2</v>
      </c>
      <c r="V40" s="3">
        <v>2</v>
      </c>
      <c r="W40" s="4" t="s">
        <v>599</v>
      </c>
      <c r="X40" s="4" t="s">
        <v>599</v>
      </c>
      <c r="Y40" s="4" t="s">
        <v>600</v>
      </c>
      <c r="Z40" s="4" t="s">
        <v>600</v>
      </c>
      <c r="AA40" s="3">
        <v>279</v>
      </c>
      <c r="AB40" s="3">
        <v>227</v>
      </c>
      <c r="AC40" s="3">
        <v>230</v>
      </c>
      <c r="AD40" s="3">
        <v>2</v>
      </c>
      <c r="AE40" s="3">
        <v>2</v>
      </c>
      <c r="AF40" s="3">
        <v>14</v>
      </c>
      <c r="AG40" s="3">
        <v>14</v>
      </c>
      <c r="AH40" s="3">
        <v>7</v>
      </c>
      <c r="AI40" s="3">
        <v>7</v>
      </c>
      <c r="AJ40" s="3">
        <v>1</v>
      </c>
      <c r="AK40" s="3">
        <v>1</v>
      </c>
      <c r="AL40" s="3">
        <v>10</v>
      </c>
      <c r="AM40" s="3">
        <v>10</v>
      </c>
      <c r="AN40" s="3">
        <v>1</v>
      </c>
      <c r="AO40" s="3">
        <v>1</v>
      </c>
      <c r="AP40" s="3">
        <v>0</v>
      </c>
      <c r="AQ40" s="3">
        <v>0</v>
      </c>
      <c r="AR40" s="2" t="s">
        <v>63</v>
      </c>
      <c r="AS40" s="2" t="s">
        <v>84</v>
      </c>
      <c r="AT40" s="5" t="str">
        <f>HYPERLINK("http://catalog.hathitrust.org/Record/001838357","HathiTrust Record")</f>
        <v>HathiTrust Record</v>
      </c>
      <c r="AU40" s="5" t="str">
        <f>HYPERLINK("https://creighton-primo.hosted.exlibrisgroup.com/primo-explore/search?tab=default_tab&amp;search_scope=EVERYTHING&amp;vid=01CRU&amp;lang=en_US&amp;offset=0&amp;query=any,contains,991001449199702656","Catalog Record")</f>
        <v>Catalog Record</v>
      </c>
      <c r="AV40" s="5" t="str">
        <f>HYPERLINK("http://www.worldcat.org/oclc/19814790","WorldCat Record")</f>
        <v>WorldCat Record</v>
      </c>
      <c r="AW40" s="2" t="s">
        <v>601</v>
      </c>
      <c r="AX40" s="2" t="s">
        <v>602</v>
      </c>
      <c r="AY40" s="2" t="s">
        <v>603</v>
      </c>
      <c r="AZ40" s="2" t="s">
        <v>603</v>
      </c>
      <c r="BA40" s="2" t="s">
        <v>604</v>
      </c>
      <c r="BB40" s="2" t="s">
        <v>78</v>
      </c>
      <c r="BD40" s="2" t="s">
        <v>605</v>
      </c>
      <c r="BE40" s="2" t="s">
        <v>606</v>
      </c>
      <c r="BF40" s="2" t="s">
        <v>607</v>
      </c>
    </row>
    <row r="41" spans="1:58" ht="79.5" customHeight="1">
      <c r="A41" s="1"/>
      <c r="B41" s="1" t="s">
        <v>58</v>
      </c>
      <c r="C41" s="1" t="s">
        <v>59</v>
      </c>
      <c r="D41" s="1" t="s">
        <v>608</v>
      </c>
      <c r="E41" s="1" t="s">
        <v>609</v>
      </c>
      <c r="F41" s="1" t="s">
        <v>610</v>
      </c>
      <c r="H41" s="2" t="s">
        <v>63</v>
      </c>
      <c r="I41" s="2" t="s">
        <v>64</v>
      </c>
      <c r="J41" s="2" t="s">
        <v>63</v>
      </c>
      <c r="K41" s="2" t="s">
        <v>63</v>
      </c>
      <c r="L41" s="2" t="s">
        <v>65</v>
      </c>
      <c r="N41" s="1" t="s">
        <v>611</v>
      </c>
      <c r="O41" s="2" t="s">
        <v>598</v>
      </c>
      <c r="Q41" s="2" t="s">
        <v>69</v>
      </c>
      <c r="R41" s="2" t="s">
        <v>88</v>
      </c>
      <c r="T41" s="2" t="s">
        <v>71</v>
      </c>
      <c r="U41" s="3">
        <v>3</v>
      </c>
      <c r="V41" s="3">
        <v>3</v>
      </c>
      <c r="W41" s="4" t="s">
        <v>612</v>
      </c>
      <c r="X41" s="4" t="s">
        <v>612</v>
      </c>
      <c r="Y41" s="4" t="s">
        <v>613</v>
      </c>
      <c r="Z41" s="4" t="s">
        <v>613</v>
      </c>
      <c r="AA41" s="3">
        <v>361</v>
      </c>
      <c r="AB41" s="3">
        <v>317</v>
      </c>
      <c r="AC41" s="3">
        <v>385</v>
      </c>
      <c r="AD41" s="3">
        <v>2</v>
      </c>
      <c r="AE41" s="3">
        <v>2</v>
      </c>
      <c r="AF41" s="3">
        <v>6</v>
      </c>
      <c r="AG41" s="3">
        <v>8</v>
      </c>
      <c r="AH41" s="3">
        <v>1</v>
      </c>
      <c r="AI41" s="3">
        <v>1</v>
      </c>
      <c r="AJ41" s="3">
        <v>1</v>
      </c>
      <c r="AK41" s="3">
        <v>3</v>
      </c>
      <c r="AL41" s="3">
        <v>4</v>
      </c>
      <c r="AM41" s="3">
        <v>4</v>
      </c>
      <c r="AN41" s="3">
        <v>1</v>
      </c>
      <c r="AO41" s="3">
        <v>1</v>
      </c>
      <c r="AP41" s="3">
        <v>0</v>
      </c>
      <c r="AQ41" s="3">
        <v>0</v>
      </c>
      <c r="AR41" s="2" t="s">
        <v>63</v>
      </c>
      <c r="AS41" s="2" t="s">
        <v>63</v>
      </c>
      <c r="AU41" s="5" t="str">
        <f>HYPERLINK("https://creighton-primo.hosted.exlibrisgroup.com/primo-explore/search?tab=default_tab&amp;search_scope=EVERYTHING&amp;vid=01CRU&amp;lang=en_US&amp;offset=0&amp;query=any,contains,991001481599702656","Catalog Record")</f>
        <v>Catalog Record</v>
      </c>
      <c r="AV41" s="5" t="str">
        <f>HYPERLINK("http://www.worldcat.org/oclc/20217634","WorldCat Record")</f>
        <v>WorldCat Record</v>
      </c>
      <c r="AW41" s="2" t="s">
        <v>614</v>
      </c>
      <c r="AX41" s="2" t="s">
        <v>615</v>
      </c>
      <c r="AY41" s="2" t="s">
        <v>616</v>
      </c>
      <c r="AZ41" s="2" t="s">
        <v>616</v>
      </c>
      <c r="BA41" s="2" t="s">
        <v>617</v>
      </c>
      <c r="BB41" s="2" t="s">
        <v>78</v>
      </c>
      <c r="BD41" s="2" t="s">
        <v>618</v>
      </c>
      <c r="BE41" s="2" t="s">
        <v>619</v>
      </c>
      <c r="BF41" s="2" t="s">
        <v>620</v>
      </c>
    </row>
    <row r="42" spans="1:58" ht="79.5" customHeight="1">
      <c r="A42" s="1"/>
      <c r="B42" s="1" t="s">
        <v>58</v>
      </c>
      <c r="C42" s="1" t="s">
        <v>59</v>
      </c>
      <c r="D42" s="1" t="s">
        <v>621</v>
      </c>
      <c r="E42" s="1" t="s">
        <v>622</v>
      </c>
      <c r="F42" s="1" t="s">
        <v>623</v>
      </c>
      <c r="H42" s="2" t="s">
        <v>63</v>
      </c>
      <c r="I42" s="2" t="s">
        <v>64</v>
      </c>
      <c r="J42" s="2" t="s">
        <v>84</v>
      </c>
      <c r="K42" s="2" t="s">
        <v>63</v>
      </c>
      <c r="L42" s="2" t="s">
        <v>65</v>
      </c>
      <c r="M42" s="1" t="s">
        <v>624</v>
      </c>
      <c r="N42" s="1" t="s">
        <v>625</v>
      </c>
      <c r="O42" s="2" t="s">
        <v>220</v>
      </c>
      <c r="Q42" s="2" t="s">
        <v>69</v>
      </c>
      <c r="R42" s="2" t="s">
        <v>88</v>
      </c>
      <c r="T42" s="2" t="s">
        <v>71</v>
      </c>
      <c r="U42" s="3">
        <v>9</v>
      </c>
      <c r="V42" s="3">
        <v>9</v>
      </c>
      <c r="W42" s="4" t="s">
        <v>626</v>
      </c>
      <c r="X42" s="4" t="s">
        <v>626</v>
      </c>
      <c r="Y42" s="4" t="s">
        <v>627</v>
      </c>
      <c r="Z42" s="4" t="s">
        <v>627</v>
      </c>
      <c r="AA42" s="3">
        <v>731</v>
      </c>
      <c r="AB42" s="3">
        <v>638</v>
      </c>
      <c r="AC42" s="3">
        <v>641</v>
      </c>
      <c r="AD42" s="3">
        <v>8</v>
      </c>
      <c r="AE42" s="3">
        <v>8</v>
      </c>
      <c r="AF42" s="3">
        <v>25</v>
      </c>
      <c r="AG42" s="3">
        <v>25</v>
      </c>
      <c r="AH42" s="3">
        <v>6</v>
      </c>
      <c r="AI42" s="3">
        <v>6</v>
      </c>
      <c r="AJ42" s="3">
        <v>6</v>
      </c>
      <c r="AK42" s="3">
        <v>6</v>
      </c>
      <c r="AL42" s="3">
        <v>13</v>
      </c>
      <c r="AM42" s="3">
        <v>13</v>
      </c>
      <c r="AN42" s="3">
        <v>5</v>
      </c>
      <c r="AO42" s="3">
        <v>5</v>
      </c>
      <c r="AP42" s="3">
        <v>0</v>
      </c>
      <c r="AQ42" s="3">
        <v>0</v>
      </c>
      <c r="AR42" s="2" t="s">
        <v>63</v>
      </c>
      <c r="AS42" s="2" t="s">
        <v>84</v>
      </c>
      <c r="AT42" s="5" t="str">
        <f>HYPERLINK("http://catalog.hathitrust.org/Record/007550997","HathiTrust Record")</f>
        <v>HathiTrust Record</v>
      </c>
      <c r="AU42" s="5" t="str">
        <f>HYPERLINK("https://creighton-primo.hosted.exlibrisgroup.com/primo-explore/search?tab=default_tab&amp;search_scope=EVERYTHING&amp;vid=01CRU&amp;lang=en_US&amp;offset=0&amp;query=any,contains,991001172949702656","Catalog Record")</f>
        <v>Catalog Record</v>
      </c>
      <c r="AV42" s="5" t="str">
        <f>HYPERLINK("http://www.worldcat.org/oclc/16226856","WorldCat Record")</f>
        <v>WorldCat Record</v>
      </c>
      <c r="AW42" s="2" t="s">
        <v>628</v>
      </c>
      <c r="AX42" s="2" t="s">
        <v>629</v>
      </c>
      <c r="AY42" s="2" t="s">
        <v>630</v>
      </c>
      <c r="AZ42" s="2" t="s">
        <v>630</v>
      </c>
      <c r="BA42" s="2" t="s">
        <v>631</v>
      </c>
      <c r="BB42" s="2" t="s">
        <v>78</v>
      </c>
      <c r="BD42" s="2" t="s">
        <v>632</v>
      </c>
      <c r="BE42" s="2" t="s">
        <v>633</v>
      </c>
      <c r="BF42" s="2" t="s">
        <v>634</v>
      </c>
    </row>
    <row r="43" spans="1:58" ht="79.5" customHeight="1">
      <c r="A43" s="1"/>
      <c r="B43" s="1" t="s">
        <v>58</v>
      </c>
      <c r="C43" s="1" t="s">
        <v>59</v>
      </c>
      <c r="D43" s="1" t="s">
        <v>635</v>
      </c>
      <c r="E43" s="1" t="s">
        <v>636</v>
      </c>
      <c r="F43" s="1" t="s">
        <v>637</v>
      </c>
      <c r="H43" s="2" t="s">
        <v>63</v>
      </c>
      <c r="I43" s="2" t="s">
        <v>64</v>
      </c>
      <c r="J43" s="2" t="s">
        <v>63</v>
      </c>
      <c r="K43" s="2" t="s">
        <v>63</v>
      </c>
      <c r="L43" s="2" t="s">
        <v>65</v>
      </c>
      <c r="M43" s="1" t="s">
        <v>638</v>
      </c>
      <c r="N43" s="1" t="s">
        <v>639</v>
      </c>
      <c r="O43" s="2" t="s">
        <v>318</v>
      </c>
      <c r="Q43" s="2" t="s">
        <v>69</v>
      </c>
      <c r="R43" s="2" t="s">
        <v>88</v>
      </c>
      <c r="S43" s="1" t="s">
        <v>640</v>
      </c>
      <c r="T43" s="2" t="s">
        <v>71</v>
      </c>
      <c r="U43" s="3">
        <v>10</v>
      </c>
      <c r="V43" s="3">
        <v>10</v>
      </c>
      <c r="W43" s="4" t="s">
        <v>641</v>
      </c>
      <c r="X43" s="4" t="s">
        <v>641</v>
      </c>
      <c r="Y43" s="4" t="s">
        <v>642</v>
      </c>
      <c r="Z43" s="4" t="s">
        <v>642</v>
      </c>
      <c r="AA43" s="3">
        <v>343</v>
      </c>
      <c r="AB43" s="3">
        <v>297</v>
      </c>
      <c r="AC43" s="3">
        <v>299</v>
      </c>
      <c r="AD43" s="3">
        <v>2</v>
      </c>
      <c r="AE43" s="3">
        <v>2</v>
      </c>
      <c r="AF43" s="3">
        <v>10</v>
      </c>
      <c r="AG43" s="3">
        <v>10</v>
      </c>
      <c r="AH43" s="3">
        <v>3</v>
      </c>
      <c r="AI43" s="3">
        <v>3</v>
      </c>
      <c r="AJ43" s="3">
        <v>0</v>
      </c>
      <c r="AK43" s="3">
        <v>0</v>
      </c>
      <c r="AL43" s="3">
        <v>9</v>
      </c>
      <c r="AM43" s="3">
        <v>9</v>
      </c>
      <c r="AN43" s="3">
        <v>1</v>
      </c>
      <c r="AO43" s="3">
        <v>1</v>
      </c>
      <c r="AP43" s="3">
        <v>0</v>
      </c>
      <c r="AQ43" s="3">
        <v>0</v>
      </c>
      <c r="AR43" s="2" t="s">
        <v>63</v>
      </c>
      <c r="AS43" s="2" t="s">
        <v>84</v>
      </c>
      <c r="AT43" s="5" t="str">
        <f>HYPERLINK("http://catalog.hathitrust.org/Record/000929304","HathiTrust Record")</f>
        <v>HathiTrust Record</v>
      </c>
      <c r="AU43" s="5" t="str">
        <f>HYPERLINK("https://creighton-primo.hosted.exlibrisgroup.com/primo-explore/search?tab=default_tab&amp;search_scope=EVERYTHING&amp;vid=01CRU&amp;lang=en_US&amp;offset=0&amp;query=any,contains,991001112769702656","Catalog Record")</f>
        <v>Catalog Record</v>
      </c>
      <c r="AV43" s="5" t="str">
        <f>HYPERLINK("http://www.worldcat.org/oclc/17731076","WorldCat Record")</f>
        <v>WorldCat Record</v>
      </c>
      <c r="AW43" s="2" t="s">
        <v>643</v>
      </c>
      <c r="AX43" s="2" t="s">
        <v>644</v>
      </c>
      <c r="AY43" s="2" t="s">
        <v>645</v>
      </c>
      <c r="AZ43" s="2" t="s">
        <v>645</v>
      </c>
      <c r="BA43" s="2" t="s">
        <v>646</v>
      </c>
      <c r="BB43" s="2" t="s">
        <v>78</v>
      </c>
      <c r="BD43" s="2" t="s">
        <v>647</v>
      </c>
      <c r="BE43" s="2" t="s">
        <v>648</v>
      </c>
      <c r="BF43" s="2" t="s">
        <v>649</v>
      </c>
    </row>
    <row r="44" spans="1:58" ht="79.5" customHeight="1">
      <c r="A44" s="1"/>
      <c r="B44" s="1" t="s">
        <v>58</v>
      </c>
      <c r="C44" s="1" t="s">
        <v>59</v>
      </c>
      <c r="D44" s="1" t="s">
        <v>650</v>
      </c>
      <c r="E44" s="1" t="s">
        <v>651</v>
      </c>
      <c r="F44" s="1" t="s">
        <v>652</v>
      </c>
      <c r="H44" s="2" t="s">
        <v>63</v>
      </c>
      <c r="I44" s="2" t="s">
        <v>64</v>
      </c>
      <c r="J44" s="2" t="s">
        <v>63</v>
      </c>
      <c r="K44" s="2" t="s">
        <v>63</v>
      </c>
      <c r="L44" s="2" t="s">
        <v>65</v>
      </c>
      <c r="N44" s="1" t="s">
        <v>653</v>
      </c>
      <c r="O44" s="2" t="s">
        <v>263</v>
      </c>
      <c r="Q44" s="2" t="s">
        <v>69</v>
      </c>
      <c r="R44" s="2" t="s">
        <v>191</v>
      </c>
      <c r="T44" s="2" t="s">
        <v>71</v>
      </c>
      <c r="U44" s="3">
        <v>5</v>
      </c>
      <c r="V44" s="3">
        <v>5</v>
      </c>
      <c r="W44" s="4" t="s">
        <v>654</v>
      </c>
      <c r="X44" s="4" t="s">
        <v>654</v>
      </c>
      <c r="Y44" s="4" t="s">
        <v>90</v>
      </c>
      <c r="Z44" s="4" t="s">
        <v>90</v>
      </c>
      <c r="AA44" s="3">
        <v>891</v>
      </c>
      <c r="AB44" s="3">
        <v>801</v>
      </c>
      <c r="AC44" s="3">
        <v>803</v>
      </c>
      <c r="AD44" s="3">
        <v>13</v>
      </c>
      <c r="AE44" s="3">
        <v>13</v>
      </c>
      <c r="AF44" s="3">
        <v>39</v>
      </c>
      <c r="AG44" s="3">
        <v>39</v>
      </c>
      <c r="AH44" s="3">
        <v>13</v>
      </c>
      <c r="AI44" s="3">
        <v>13</v>
      </c>
      <c r="AJ44" s="3">
        <v>10</v>
      </c>
      <c r="AK44" s="3">
        <v>10</v>
      </c>
      <c r="AL44" s="3">
        <v>16</v>
      </c>
      <c r="AM44" s="3">
        <v>16</v>
      </c>
      <c r="AN44" s="3">
        <v>9</v>
      </c>
      <c r="AO44" s="3">
        <v>9</v>
      </c>
      <c r="AP44" s="3">
        <v>0</v>
      </c>
      <c r="AQ44" s="3">
        <v>0</v>
      </c>
      <c r="AR44" s="2" t="s">
        <v>63</v>
      </c>
      <c r="AS44" s="2" t="s">
        <v>84</v>
      </c>
      <c r="AT44" s="5" t="str">
        <f>HYPERLINK("http://catalog.hathitrust.org/Record/000395915","HathiTrust Record")</f>
        <v>HathiTrust Record</v>
      </c>
      <c r="AU44" s="5" t="str">
        <f>HYPERLINK("https://creighton-primo.hosted.exlibrisgroup.com/primo-explore/search?tab=default_tab&amp;search_scope=EVERYTHING&amp;vid=01CRU&amp;lang=en_US&amp;offset=0&amp;query=any,contains,991000788139702656","Catalog Record")</f>
        <v>Catalog Record</v>
      </c>
      <c r="AV44" s="5" t="str">
        <f>HYPERLINK("http://www.worldcat.org/oclc/13066620","WorldCat Record")</f>
        <v>WorldCat Record</v>
      </c>
      <c r="AW44" s="2" t="s">
        <v>655</v>
      </c>
      <c r="AX44" s="2" t="s">
        <v>656</v>
      </c>
      <c r="AY44" s="2" t="s">
        <v>657</v>
      </c>
      <c r="AZ44" s="2" t="s">
        <v>657</v>
      </c>
      <c r="BA44" s="2" t="s">
        <v>658</v>
      </c>
      <c r="BB44" s="2" t="s">
        <v>78</v>
      </c>
      <c r="BD44" s="2" t="s">
        <v>659</v>
      </c>
      <c r="BE44" s="2" t="s">
        <v>660</v>
      </c>
      <c r="BF44" s="2" t="s">
        <v>661</v>
      </c>
    </row>
    <row r="45" spans="1:58" ht="79.5" customHeight="1">
      <c r="A45" s="1"/>
      <c r="B45" s="1" t="s">
        <v>58</v>
      </c>
      <c r="C45" s="1" t="s">
        <v>59</v>
      </c>
      <c r="D45" s="1" t="s">
        <v>662</v>
      </c>
      <c r="E45" s="1" t="s">
        <v>663</v>
      </c>
      <c r="F45" s="1" t="s">
        <v>664</v>
      </c>
      <c r="H45" s="2" t="s">
        <v>63</v>
      </c>
      <c r="I45" s="2" t="s">
        <v>64</v>
      </c>
      <c r="J45" s="2" t="s">
        <v>63</v>
      </c>
      <c r="K45" s="2" t="s">
        <v>63</v>
      </c>
      <c r="L45" s="2" t="s">
        <v>65</v>
      </c>
      <c r="N45" s="1" t="s">
        <v>665</v>
      </c>
      <c r="O45" s="2" t="s">
        <v>277</v>
      </c>
      <c r="Q45" s="2" t="s">
        <v>69</v>
      </c>
      <c r="R45" s="2" t="s">
        <v>70</v>
      </c>
      <c r="T45" s="2" t="s">
        <v>71</v>
      </c>
      <c r="U45" s="3">
        <v>6</v>
      </c>
      <c r="V45" s="3">
        <v>6</v>
      </c>
      <c r="W45" s="4" t="s">
        <v>666</v>
      </c>
      <c r="X45" s="4" t="s">
        <v>666</v>
      </c>
      <c r="Y45" s="4" t="s">
        <v>667</v>
      </c>
      <c r="Z45" s="4" t="s">
        <v>667</v>
      </c>
      <c r="AA45" s="3">
        <v>199</v>
      </c>
      <c r="AB45" s="3">
        <v>180</v>
      </c>
      <c r="AC45" s="3">
        <v>182</v>
      </c>
      <c r="AD45" s="3">
        <v>1</v>
      </c>
      <c r="AE45" s="3">
        <v>1</v>
      </c>
      <c r="AF45" s="3">
        <v>3</v>
      </c>
      <c r="AG45" s="3">
        <v>3</v>
      </c>
      <c r="AH45" s="3">
        <v>1</v>
      </c>
      <c r="AI45" s="3">
        <v>1</v>
      </c>
      <c r="AJ45" s="3">
        <v>0</v>
      </c>
      <c r="AK45" s="3">
        <v>0</v>
      </c>
      <c r="AL45" s="3">
        <v>2</v>
      </c>
      <c r="AM45" s="3">
        <v>2</v>
      </c>
      <c r="AN45" s="3">
        <v>0</v>
      </c>
      <c r="AO45" s="3">
        <v>0</v>
      </c>
      <c r="AP45" s="3">
        <v>0</v>
      </c>
      <c r="AQ45" s="3">
        <v>0</v>
      </c>
      <c r="AR45" s="2" t="s">
        <v>63</v>
      </c>
      <c r="AS45" s="2" t="s">
        <v>84</v>
      </c>
      <c r="AT45" s="5" t="str">
        <f>HYPERLINK("http://catalog.hathitrust.org/Record/000009416","HathiTrust Record")</f>
        <v>HathiTrust Record</v>
      </c>
      <c r="AU45" s="5" t="str">
        <f>HYPERLINK("https://creighton-primo.hosted.exlibrisgroup.com/primo-explore/search?tab=default_tab&amp;search_scope=EVERYTHING&amp;vid=01CRU&amp;lang=en_US&amp;offset=0&amp;query=any,contains,991000788039702656","Catalog Record")</f>
        <v>Catalog Record</v>
      </c>
      <c r="AV45" s="5" t="str">
        <f>HYPERLINK("http://www.worldcat.org/oclc/668562","WorldCat Record")</f>
        <v>WorldCat Record</v>
      </c>
      <c r="AW45" s="2" t="s">
        <v>668</v>
      </c>
      <c r="AX45" s="2" t="s">
        <v>669</v>
      </c>
      <c r="AY45" s="2" t="s">
        <v>670</v>
      </c>
      <c r="AZ45" s="2" t="s">
        <v>670</v>
      </c>
      <c r="BA45" s="2" t="s">
        <v>671</v>
      </c>
      <c r="BB45" s="2" t="s">
        <v>78</v>
      </c>
      <c r="BD45" s="2" t="s">
        <v>672</v>
      </c>
      <c r="BE45" s="2" t="s">
        <v>673</v>
      </c>
      <c r="BF45" s="2" t="s">
        <v>674</v>
      </c>
    </row>
    <row r="46" spans="1:58" ht="79.5" customHeight="1">
      <c r="A46" s="1"/>
      <c r="B46" s="1" t="s">
        <v>58</v>
      </c>
      <c r="C46" s="1" t="s">
        <v>59</v>
      </c>
      <c r="D46" s="1" t="s">
        <v>675</v>
      </c>
      <c r="E46" s="1" t="s">
        <v>676</v>
      </c>
      <c r="F46" s="1" t="s">
        <v>677</v>
      </c>
      <c r="H46" s="2" t="s">
        <v>63</v>
      </c>
      <c r="I46" s="2" t="s">
        <v>64</v>
      </c>
      <c r="J46" s="2" t="s">
        <v>63</v>
      </c>
      <c r="K46" s="2" t="s">
        <v>63</v>
      </c>
      <c r="L46" s="2" t="s">
        <v>65</v>
      </c>
      <c r="M46" s="1" t="s">
        <v>678</v>
      </c>
      <c r="N46" s="1" t="s">
        <v>679</v>
      </c>
      <c r="O46" s="2" t="s">
        <v>573</v>
      </c>
      <c r="Q46" s="2" t="s">
        <v>69</v>
      </c>
      <c r="R46" s="2" t="s">
        <v>70</v>
      </c>
      <c r="T46" s="2" t="s">
        <v>71</v>
      </c>
      <c r="U46" s="3">
        <v>4</v>
      </c>
      <c r="V46" s="3">
        <v>4</v>
      </c>
      <c r="W46" s="4" t="s">
        <v>641</v>
      </c>
      <c r="X46" s="4" t="s">
        <v>641</v>
      </c>
      <c r="Y46" s="4" t="s">
        <v>90</v>
      </c>
      <c r="Z46" s="4" t="s">
        <v>90</v>
      </c>
      <c r="AA46" s="3">
        <v>860</v>
      </c>
      <c r="AB46" s="3">
        <v>801</v>
      </c>
      <c r="AC46" s="3">
        <v>1255</v>
      </c>
      <c r="AD46" s="3">
        <v>7</v>
      </c>
      <c r="AE46" s="3">
        <v>14</v>
      </c>
      <c r="AF46" s="3">
        <v>7</v>
      </c>
      <c r="AG46" s="3">
        <v>22</v>
      </c>
      <c r="AH46" s="3">
        <v>0</v>
      </c>
      <c r="AI46" s="3">
        <v>9</v>
      </c>
      <c r="AJ46" s="3">
        <v>1</v>
      </c>
      <c r="AK46" s="3">
        <v>4</v>
      </c>
      <c r="AL46" s="3">
        <v>4</v>
      </c>
      <c r="AM46" s="3">
        <v>10</v>
      </c>
      <c r="AN46" s="3">
        <v>2</v>
      </c>
      <c r="AO46" s="3">
        <v>3</v>
      </c>
      <c r="AP46" s="3">
        <v>0</v>
      </c>
      <c r="AQ46" s="3">
        <v>0</v>
      </c>
      <c r="AR46" s="2" t="s">
        <v>63</v>
      </c>
      <c r="AS46" s="2" t="s">
        <v>84</v>
      </c>
      <c r="AT46" s="5" t="str">
        <f>HYPERLINK("http://catalog.hathitrust.org/Record/000084714","HathiTrust Record")</f>
        <v>HathiTrust Record</v>
      </c>
      <c r="AU46" s="5" t="str">
        <f>HYPERLINK("https://creighton-primo.hosted.exlibrisgroup.com/primo-explore/search?tab=default_tab&amp;search_scope=EVERYTHING&amp;vid=01CRU&amp;lang=en_US&amp;offset=0&amp;query=any,contains,991000788289702656","Catalog Record")</f>
        <v>Catalog Record</v>
      </c>
      <c r="AV46" s="5" t="str">
        <f>HYPERLINK("http://www.worldcat.org/oclc/2525298","WorldCat Record")</f>
        <v>WorldCat Record</v>
      </c>
      <c r="AW46" s="2" t="s">
        <v>680</v>
      </c>
      <c r="AX46" s="2" t="s">
        <v>681</v>
      </c>
      <c r="AY46" s="2" t="s">
        <v>682</v>
      </c>
      <c r="AZ46" s="2" t="s">
        <v>682</v>
      </c>
      <c r="BA46" s="2" t="s">
        <v>683</v>
      </c>
      <c r="BB46" s="2" t="s">
        <v>78</v>
      </c>
      <c r="BD46" s="2" t="s">
        <v>684</v>
      </c>
      <c r="BE46" s="2" t="s">
        <v>685</v>
      </c>
      <c r="BF46" s="2" t="s">
        <v>686</v>
      </c>
    </row>
    <row r="47" spans="1:58" ht="79.5" customHeight="1">
      <c r="A47" s="1"/>
      <c r="B47" s="1" t="s">
        <v>58</v>
      </c>
      <c r="C47" s="1" t="s">
        <v>59</v>
      </c>
      <c r="D47" s="1" t="s">
        <v>687</v>
      </c>
      <c r="E47" s="1" t="s">
        <v>688</v>
      </c>
      <c r="F47" s="1" t="s">
        <v>689</v>
      </c>
      <c r="H47" s="2" t="s">
        <v>63</v>
      </c>
      <c r="I47" s="2" t="s">
        <v>64</v>
      </c>
      <c r="J47" s="2" t="s">
        <v>63</v>
      </c>
      <c r="K47" s="2" t="s">
        <v>63</v>
      </c>
      <c r="L47" s="2" t="s">
        <v>65</v>
      </c>
      <c r="M47" s="1" t="s">
        <v>690</v>
      </c>
      <c r="N47" s="1" t="s">
        <v>691</v>
      </c>
      <c r="O47" s="2" t="s">
        <v>87</v>
      </c>
      <c r="Q47" s="2" t="s">
        <v>69</v>
      </c>
      <c r="R47" s="2" t="s">
        <v>88</v>
      </c>
      <c r="T47" s="2" t="s">
        <v>71</v>
      </c>
      <c r="U47" s="3">
        <v>11</v>
      </c>
      <c r="V47" s="3">
        <v>11</v>
      </c>
      <c r="W47" s="4" t="s">
        <v>692</v>
      </c>
      <c r="X47" s="4" t="s">
        <v>692</v>
      </c>
      <c r="Y47" s="4" t="s">
        <v>90</v>
      </c>
      <c r="Z47" s="4" t="s">
        <v>90</v>
      </c>
      <c r="AA47" s="3">
        <v>380</v>
      </c>
      <c r="AB47" s="3">
        <v>342</v>
      </c>
      <c r="AC47" s="3">
        <v>356</v>
      </c>
      <c r="AD47" s="3">
        <v>1</v>
      </c>
      <c r="AE47" s="3">
        <v>1</v>
      </c>
      <c r="AF47" s="3">
        <v>12</v>
      </c>
      <c r="AG47" s="3">
        <v>13</v>
      </c>
      <c r="AH47" s="3">
        <v>6</v>
      </c>
      <c r="AI47" s="3">
        <v>6</v>
      </c>
      <c r="AJ47" s="3">
        <v>0</v>
      </c>
      <c r="AK47" s="3">
        <v>1</v>
      </c>
      <c r="AL47" s="3">
        <v>7</v>
      </c>
      <c r="AM47" s="3">
        <v>7</v>
      </c>
      <c r="AN47" s="3">
        <v>0</v>
      </c>
      <c r="AO47" s="3">
        <v>0</v>
      </c>
      <c r="AP47" s="3">
        <v>0</v>
      </c>
      <c r="AQ47" s="3">
        <v>0</v>
      </c>
      <c r="AR47" s="2" t="s">
        <v>63</v>
      </c>
      <c r="AS47" s="2" t="s">
        <v>84</v>
      </c>
      <c r="AT47" s="5" t="str">
        <f>HYPERLINK("http://catalog.hathitrust.org/Record/007129520","HathiTrust Record")</f>
        <v>HathiTrust Record</v>
      </c>
      <c r="AU47" s="5" t="str">
        <f>HYPERLINK("https://creighton-primo.hosted.exlibrisgroup.com/primo-explore/search?tab=default_tab&amp;search_scope=EVERYTHING&amp;vid=01CRU&amp;lang=en_US&amp;offset=0&amp;query=any,contains,991000788329702656","Catalog Record")</f>
        <v>Catalog Record</v>
      </c>
      <c r="AV47" s="5" t="str">
        <f>HYPERLINK("http://www.worldcat.org/oclc/9762407","WorldCat Record")</f>
        <v>WorldCat Record</v>
      </c>
      <c r="AW47" s="2" t="s">
        <v>693</v>
      </c>
      <c r="AX47" s="2" t="s">
        <v>694</v>
      </c>
      <c r="AY47" s="2" t="s">
        <v>695</v>
      </c>
      <c r="AZ47" s="2" t="s">
        <v>695</v>
      </c>
      <c r="BA47" s="2" t="s">
        <v>696</v>
      </c>
      <c r="BB47" s="2" t="s">
        <v>78</v>
      </c>
      <c r="BD47" s="2" t="s">
        <v>697</v>
      </c>
      <c r="BE47" s="2" t="s">
        <v>698</v>
      </c>
      <c r="BF47" s="2" t="s">
        <v>699</v>
      </c>
    </row>
    <row r="48" spans="1:58" ht="79.5" customHeight="1">
      <c r="A48" s="1"/>
      <c r="B48" s="1" t="s">
        <v>58</v>
      </c>
      <c r="C48" s="1" t="s">
        <v>59</v>
      </c>
      <c r="D48" s="1" t="s">
        <v>700</v>
      </c>
      <c r="E48" s="1" t="s">
        <v>701</v>
      </c>
      <c r="F48" s="1" t="s">
        <v>702</v>
      </c>
      <c r="H48" s="2" t="s">
        <v>63</v>
      </c>
      <c r="I48" s="2" t="s">
        <v>64</v>
      </c>
      <c r="J48" s="2" t="s">
        <v>63</v>
      </c>
      <c r="K48" s="2" t="s">
        <v>63</v>
      </c>
      <c r="L48" s="2" t="s">
        <v>65</v>
      </c>
      <c r="M48" s="1" t="s">
        <v>703</v>
      </c>
      <c r="N48" s="1" t="s">
        <v>704</v>
      </c>
      <c r="O48" s="2" t="s">
        <v>103</v>
      </c>
      <c r="Q48" s="2" t="s">
        <v>69</v>
      </c>
      <c r="R48" s="2" t="s">
        <v>70</v>
      </c>
      <c r="T48" s="2" t="s">
        <v>71</v>
      </c>
      <c r="U48" s="3">
        <v>5</v>
      </c>
      <c r="V48" s="3">
        <v>5</v>
      </c>
      <c r="W48" s="4" t="s">
        <v>705</v>
      </c>
      <c r="X48" s="4" t="s">
        <v>705</v>
      </c>
      <c r="Y48" s="4" t="s">
        <v>495</v>
      </c>
      <c r="Z48" s="4" t="s">
        <v>495</v>
      </c>
      <c r="AA48" s="3">
        <v>445</v>
      </c>
      <c r="AB48" s="3">
        <v>402</v>
      </c>
      <c r="AC48" s="3">
        <v>433</v>
      </c>
      <c r="AD48" s="3">
        <v>3</v>
      </c>
      <c r="AE48" s="3">
        <v>3</v>
      </c>
      <c r="AF48" s="3">
        <v>16</v>
      </c>
      <c r="AG48" s="3">
        <v>19</v>
      </c>
      <c r="AH48" s="3">
        <v>5</v>
      </c>
      <c r="AI48" s="3">
        <v>6</v>
      </c>
      <c r="AJ48" s="3">
        <v>3</v>
      </c>
      <c r="AK48" s="3">
        <v>3</v>
      </c>
      <c r="AL48" s="3">
        <v>8</v>
      </c>
      <c r="AM48" s="3">
        <v>10</v>
      </c>
      <c r="AN48" s="3">
        <v>2</v>
      </c>
      <c r="AO48" s="3">
        <v>2</v>
      </c>
      <c r="AP48" s="3">
        <v>0</v>
      </c>
      <c r="AQ48" s="3">
        <v>0</v>
      </c>
      <c r="AR48" s="2" t="s">
        <v>63</v>
      </c>
      <c r="AS48" s="2" t="s">
        <v>63</v>
      </c>
      <c r="AT48" s="5" t="str">
        <f>HYPERLINK("http://catalog.hathitrust.org/Record/000741560","HathiTrust Record")</f>
        <v>HathiTrust Record</v>
      </c>
      <c r="AU48" s="5" t="str">
        <f>HYPERLINK("https://creighton-primo.hosted.exlibrisgroup.com/primo-explore/search?tab=default_tab&amp;search_scope=EVERYTHING&amp;vid=01CRU&amp;lang=en_US&amp;offset=0&amp;query=any,contains,991000788429702656","Catalog Record")</f>
        <v>Catalog Record</v>
      </c>
      <c r="AV48" s="5" t="str">
        <f>HYPERLINK("http://www.worldcat.org/oclc/203919","WorldCat Record")</f>
        <v>WorldCat Record</v>
      </c>
      <c r="AW48" s="2" t="s">
        <v>706</v>
      </c>
      <c r="AX48" s="2" t="s">
        <v>707</v>
      </c>
      <c r="AY48" s="2" t="s">
        <v>708</v>
      </c>
      <c r="AZ48" s="2" t="s">
        <v>708</v>
      </c>
      <c r="BA48" s="2" t="s">
        <v>709</v>
      </c>
      <c r="BB48" s="2" t="s">
        <v>78</v>
      </c>
      <c r="BE48" s="2" t="s">
        <v>710</v>
      </c>
      <c r="BF48" s="2" t="s">
        <v>711</v>
      </c>
    </row>
    <row r="49" spans="1:58" ht="79.5" customHeight="1">
      <c r="A49" s="1"/>
      <c r="B49" s="1" t="s">
        <v>58</v>
      </c>
      <c r="C49" s="1" t="s">
        <v>59</v>
      </c>
      <c r="D49" s="1" t="s">
        <v>712</v>
      </c>
      <c r="E49" s="1" t="s">
        <v>713</v>
      </c>
      <c r="F49" s="1" t="s">
        <v>714</v>
      </c>
      <c r="H49" s="2" t="s">
        <v>63</v>
      </c>
      <c r="I49" s="2" t="s">
        <v>64</v>
      </c>
      <c r="J49" s="2" t="s">
        <v>63</v>
      </c>
      <c r="K49" s="2" t="s">
        <v>84</v>
      </c>
      <c r="L49" s="2" t="s">
        <v>65</v>
      </c>
      <c r="M49" s="1" t="s">
        <v>715</v>
      </c>
      <c r="N49" s="1" t="s">
        <v>716</v>
      </c>
      <c r="O49" s="2" t="s">
        <v>87</v>
      </c>
      <c r="P49" s="1" t="s">
        <v>717</v>
      </c>
      <c r="Q49" s="2" t="s">
        <v>69</v>
      </c>
      <c r="R49" s="2" t="s">
        <v>70</v>
      </c>
      <c r="T49" s="2" t="s">
        <v>71</v>
      </c>
      <c r="U49" s="3">
        <v>25</v>
      </c>
      <c r="V49" s="3">
        <v>25</v>
      </c>
      <c r="W49" s="4" t="s">
        <v>718</v>
      </c>
      <c r="X49" s="4" t="s">
        <v>718</v>
      </c>
      <c r="Y49" s="4" t="s">
        <v>90</v>
      </c>
      <c r="Z49" s="4" t="s">
        <v>90</v>
      </c>
      <c r="AA49" s="3">
        <v>198</v>
      </c>
      <c r="AB49" s="3">
        <v>188</v>
      </c>
      <c r="AC49" s="3">
        <v>1067</v>
      </c>
      <c r="AD49" s="3">
        <v>3</v>
      </c>
      <c r="AE49" s="3">
        <v>10</v>
      </c>
      <c r="AF49" s="3">
        <v>3</v>
      </c>
      <c r="AG49" s="3">
        <v>28</v>
      </c>
      <c r="AH49" s="3">
        <v>1</v>
      </c>
      <c r="AI49" s="3">
        <v>9</v>
      </c>
      <c r="AJ49" s="3">
        <v>0</v>
      </c>
      <c r="AK49" s="3">
        <v>4</v>
      </c>
      <c r="AL49" s="3">
        <v>1</v>
      </c>
      <c r="AM49" s="3">
        <v>13</v>
      </c>
      <c r="AN49" s="3">
        <v>1</v>
      </c>
      <c r="AO49" s="3">
        <v>7</v>
      </c>
      <c r="AP49" s="3">
        <v>0</v>
      </c>
      <c r="AQ49" s="3">
        <v>0</v>
      </c>
      <c r="AR49" s="2" t="s">
        <v>63</v>
      </c>
      <c r="AS49" s="2" t="s">
        <v>63</v>
      </c>
      <c r="AU49" s="5" t="str">
        <f>HYPERLINK("https://creighton-primo.hosted.exlibrisgroup.com/primo-explore/search?tab=default_tab&amp;search_scope=EVERYTHING&amp;vid=01CRU&amp;lang=en_US&amp;offset=0&amp;query=any,contains,991000487469702656","Catalog Record")</f>
        <v>Catalog Record</v>
      </c>
      <c r="AV49" s="5" t="str">
        <f>HYPERLINK("http://www.worldcat.org/oclc/12688891","WorldCat Record")</f>
        <v>WorldCat Record</v>
      </c>
      <c r="AW49" s="2" t="s">
        <v>719</v>
      </c>
      <c r="AX49" s="2" t="s">
        <v>720</v>
      </c>
      <c r="AY49" s="2" t="s">
        <v>721</v>
      </c>
      <c r="AZ49" s="2" t="s">
        <v>721</v>
      </c>
      <c r="BA49" s="2" t="s">
        <v>722</v>
      </c>
      <c r="BB49" s="2" t="s">
        <v>78</v>
      </c>
      <c r="BD49" s="2" t="s">
        <v>723</v>
      </c>
      <c r="BE49" s="2" t="s">
        <v>724</v>
      </c>
      <c r="BF49" s="2" t="s">
        <v>725</v>
      </c>
    </row>
    <row r="50" spans="1:58" ht="79.5" customHeight="1">
      <c r="A50" s="1"/>
      <c r="B50" s="1" t="s">
        <v>58</v>
      </c>
      <c r="C50" s="1" t="s">
        <v>59</v>
      </c>
      <c r="D50" s="1" t="s">
        <v>726</v>
      </c>
      <c r="E50" s="1" t="s">
        <v>727</v>
      </c>
      <c r="F50" s="1" t="s">
        <v>728</v>
      </c>
      <c r="H50" s="2" t="s">
        <v>63</v>
      </c>
      <c r="I50" s="2" t="s">
        <v>64</v>
      </c>
      <c r="J50" s="2" t="s">
        <v>63</v>
      </c>
      <c r="K50" s="2" t="s">
        <v>63</v>
      </c>
      <c r="L50" s="2" t="s">
        <v>65</v>
      </c>
      <c r="M50" s="1" t="s">
        <v>729</v>
      </c>
      <c r="N50" s="1" t="s">
        <v>730</v>
      </c>
      <c r="O50" s="2" t="s">
        <v>731</v>
      </c>
      <c r="Q50" s="2" t="s">
        <v>69</v>
      </c>
      <c r="R50" s="2" t="s">
        <v>732</v>
      </c>
      <c r="T50" s="2" t="s">
        <v>71</v>
      </c>
      <c r="U50" s="3">
        <v>14</v>
      </c>
      <c r="V50" s="3">
        <v>14</v>
      </c>
      <c r="W50" s="4" t="s">
        <v>733</v>
      </c>
      <c r="X50" s="4" t="s">
        <v>733</v>
      </c>
      <c r="Y50" s="4" t="s">
        <v>734</v>
      </c>
      <c r="Z50" s="4" t="s">
        <v>734</v>
      </c>
      <c r="AA50" s="3">
        <v>89</v>
      </c>
      <c r="AB50" s="3">
        <v>64</v>
      </c>
      <c r="AC50" s="3">
        <v>175</v>
      </c>
      <c r="AD50" s="3">
        <v>1</v>
      </c>
      <c r="AE50" s="3">
        <v>3</v>
      </c>
      <c r="AF50" s="3">
        <v>2</v>
      </c>
      <c r="AG50" s="3">
        <v>7</v>
      </c>
      <c r="AH50" s="3">
        <v>1</v>
      </c>
      <c r="AI50" s="3">
        <v>2</v>
      </c>
      <c r="AJ50" s="3">
        <v>0</v>
      </c>
      <c r="AK50" s="3">
        <v>1</v>
      </c>
      <c r="AL50" s="3">
        <v>2</v>
      </c>
      <c r="AM50" s="3">
        <v>3</v>
      </c>
      <c r="AN50" s="3">
        <v>0</v>
      </c>
      <c r="AO50" s="3">
        <v>2</v>
      </c>
      <c r="AP50" s="3">
        <v>0</v>
      </c>
      <c r="AQ50" s="3">
        <v>0</v>
      </c>
      <c r="AR50" s="2" t="s">
        <v>63</v>
      </c>
      <c r="AS50" s="2" t="s">
        <v>63</v>
      </c>
      <c r="AU50" s="5" t="str">
        <f>HYPERLINK("https://creighton-primo.hosted.exlibrisgroup.com/primo-explore/search?tab=default_tab&amp;search_scope=EVERYTHING&amp;vid=01CRU&amp;lang=en_US&amp;offset=0&amp;query=any,contains,991001488459702656","Catalog Record")</f>
        <v>Catalog Record</v>
      </c>
      <c r="AV50" s="5" t="str">
        <f>HYPERLINK("http://www.worldcat.org/oclc/33162313","WorldCat Record")</f>
        <v>WorldCat Record</v>
      </c>
      <c r="AW50" s="2" t="s">
        <v>735</v>
      </c>
      <c r="AX50" s="2" t="s">
        <v>736</v>
      </c>
      <c r="AY50" s="2" t="s">
        <v>737</v>
      </c>
      <c r="AZ50" s="2" t="s">
        <v>737</v>
      </c>
      <c r="BA50" s="2" t="s">
        <v>738</v>
      </c>
      <c r="BB50" s="2" t="s">
        <v>78</v>
      </c>
      <c r="BD50" s="2" t="s">
        <v>739</v>
      </c>
      <c r="BE50" s="2" t="s">
        <v>740</v>
      </c>
      <c r="BF50" s="2" t="s">
        <v>741</v>
      </c>
    </row>
    <row r="51" spans="1:58" ht="79.5" customHeight="1">
      <c r="A51" s="1"/>
      <c r="B51" s="1" t="s">
        <v>58</v>
      </c>
      <c r="C51" s="1" t="s">
        <v>59</v>
      </c>
      <c r="D51" s="1" t="s">
        <v>742</v>
      </c>
      <c r="E51" s="1" t="s">
        <v>743</v>
      </c>
      <c r="F51" s="1" t="s">
        <v>744</v>
      </c>
      <c r="H51" s="2" t="s">
        <v>63</v>
      </c>
      <c r="I51" s="2" t="s">
        <v>64</v>
      </c>
      <c r="J51" s="2" t="s">
        <v>63</v>
      </c>
      <c r="K51" s="2" t="s">
        <v>63</v>
      </c>
      <c r="L51" s="2" t="s">
        <v>65</v>
      </c>
      <c r="M51" s="1" t="s">
        <v>745</v>
      </c>
      <c r="N51" s="1" t="s">
        <v>746</v>
      </c>
      <c r="O51" s="2" t="s">
        <v>747</v>
      </c>
      <c r="Q51" s="2" t="s">
        <v>69</v>
      </c>
      <c r="R51" s="2" t="s">
        <v>70</v>
      </c>
      <c r="T51" s="2" t="s">
        <v>71</v>
      </c>
      <c r="U51" s="3">
        <v>2</v>
      </c>
      <c r="V51" s="3">
        <v>2</v>
      </c>
      <c r="W51" s="4" t="s">
        <v>748</v>
      </c>
      <c r="X51" s="4" t="s">
        <v>748</v>
      </c>
      <c r="Y51" s="4" t="s">
        <v>495</v>
      </c>
      <c r="Z51" s="4" t="s">
        <v>495</v>
      </c>
      <c r="AA51" s="3">
        <v>817</v>
      </c>
      <c r="AB51" s="3">
        <v>661</v>
      </c>
      <c r="AC51" s="3">
        <v>675</v>
      </c>
      <c r="AD51" s="3">
        <v>6</v>
      </c>
      <c r="AE51" s="3">
        <v>6</v>
      </c>
      <c r="AF51" s="3">
        <v>34</v>
      </c>
      <c r="AG51" s="3">
        <v>34</v>
      </c>
      <c r="AH51" s="3">
        <v>14</v>
      </c>
      <c r="AI51" s="3">
        <v>14</v>
      </c>
      <c r="AJ51" s="3">
        <v>6</v>
      </c>
      <c r="AK51" s="3">
        <v>6</v>
      </c>
      <c r="AL51" s="3">
        <v>14</v>
      </c>
      <c r="AM51" s="3">
        <v>14</v>
      </c>
      <c r="AN51" s="3">
        <v>5</v>
      </c>
      <c r="AO51" s="3">
        <v>5</v>
      </c>
      <c r="AP51" s="3">
        <v>0</v>
      </c>
      <c r="AQ51" s="3">
        <v>0</v>
      </c>
      <c r="AR51" s="2" t="s">
        <v>63</v>
      </c>
      <c r="AS51" s="2" t="s">
        <v>84</v>
      </c>
      <c r="AT51" s="5" t="str">
        <f>HYPERLINK("http://catalog.hathitrust.org/Record/000618013","HathiTrust Record")</f>
        <v>HathiTrust Record</v>
      </c>
      <c r="AU51" s="5" t="str">
        <f>HYPERLINK("https://creighton-primo.hosted.exlibrisgroup.com/primo-explore/search?tab=default_tab&amp;search_scope=EVERYTHING&amp;vid=01CRU&amp;lang=en_US&amp;offset=0&amp;query=any,contains,991000788529702656","Catalog Record")</f>
        <v>Catalog Record</v>
      </c>
      <c r="AV51" s="5" t="str">
        <f>HYPERLINK("http://www.worldcat.org/oclc/192088","WorldCat Record")</f>
        <v>WorldCat Record</v>
      </c>
      <c r="AW51" s="2" t="s">
        <v>749</v>
      </c>
      <c r="AX51" s="2" t="s">
        <v>750</v>
      </c>
      <c r="AY51" s="2" t="s">
        <v>751</v>
      </c>
      <c r="AZ51" s="2" t="s">
        <v>751</v>
      </c>
      <c r="BA51" s="2" t="s">
        <v>752</v>
      </c>
      <c r="BB51" s="2" t="s">
        <v>78</v>
      </c>
      <c r="BD51" s="2" t="s">
        <v>753</v>
      </c>
      <c r="BE51" s="2" t="s">
        <v>754</v>
      </c>
      <c r="BF51" s="2" t="s">
        <v>755</v>
      </c>
    </row>
    <row r="52" spans="1:58" ht="79.5" customHeight="1">
      <c r="A52" s="1"/>
      <c r="B52" s="1" t="s">
        <v>58</v>
      </c>
      <c r="C52" s="1" t="s">
        <v>59</v>
      </c>
      <c r="D52" s="1" t="s">
        <v>756</v>
      </c>
      <c r="E52" s="1" t="s">
        <v>757</v>
      </c>
      <c r="F52" s="1" t="s">
        <v>758</v>
      </c>
      <c r="H52" s="2" t="s">
        <v>63</v>
      </c>
      <c r="I52" s="2" t="s">
        <v>64</v>
      </c>
      <c r="J52" s="2" t="s">
        <v>63</v>
      </c>
      <c r="K52" s="2" t="s">
        <v>63</v>
      </c>
      <c r="L52" s="2" t="s">
        <v>65</v>
      </c>
      <c r="M52" s="1" t="s">
        <v>759</v>
      </c>
      <c r="N52" s="1" t="s">
        <v>760</v>
      </c>
      <c r="O52" s="2" t="s">
        <v>336</v>
      </c>
      <c r="Q52" s="2" t="s">
        <v>69</v>
      </c>
      <c r="R52" s="2" t="s">
        <v>761</v>
      </c>
      <c r="T52" s="2" t="s">
        <v>71</v>
      </c>
      <c r="U52" s="3">
        <v>26</v>
      </c>
      <c r="V52" s="3">
        <v>26</v>
      </c>
      <c r="W52" s="4" t="s">
        <v>762</v>
      </c>
      <c r="X52" s="4" t="s">
        <v>762</v>
      </c>
      <c r="Y52" s="4" t="s">
        <v>763</v>
      </c>
      <c r="Z52" s="4" t="s">
        <v>763</v>
      </c>
      <c r="AA52" s="3">
        <v>28</v>
      </c>
      <c r="AB52" s="3">
        <v>18</v>
      </c>
      <c r="AC52" s="3">
        <v>19</v>
      </c>
      <c r="AD52" s="3">
        <v>1</v>
      </c>
      <c r="AE52" s="3">
        <v>1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2" t="s">
        <v>63</v>
      </c>
      <c r="AS52" s="2" t="s">
        <v>63</v>
      </c>
      <c r="AU52" s="5" t="str">
        <f>HYPERLINK("https://creighton-primo.hosted.exlibrisgroup.com/primo-explore/search?tab=default_tab&amp;search_scope=EVERYTHING&amp;vid=01CRU&amp;lang=en_US&amp;offset=0&amp;query=any,contains,991001483639702656","Catalog Record")</f>
        <v>Catalog Record</v>
      </c>
      <c r="AV52" s="5" t="str">
        <f>HYPERLINK("http://www.worldcat.org/oclc/226361853","WorldCat Record")</f>
        <v>WorldCat Record</v>
      </c>
      <c r="AW52" s="2" t="s">
        <v>764</v>
      </c>
      <c r="AX52" s="2" t="s">
        <v>765</v>
      </c>
      <c r="AY52" s="2" t="s">
        <v>766</v>
      </c>
      <c r="AZ52" s="2" t="s">
        <v>766</v>
      </c>
      <c r="BA52" s="2" t="s">
        <v>767</v>
      </c>
      <c r="BB52" s="2" t="s">
        <v>78</v>
      </c>
      <c r="BD52" s="2" t="s">
        <v>768</v>
      </c>
      <c r="BE52" s="2" t="s">
        <v>769</v>
      </c>
      <c r="BF52" s="2" t="s">
        <v>770</v>
      </c>
    </row>
    <row r="53" spans="1:58" ht="79.5" customHeight="1">
      <c r="A53" s="1"/>
      <c r="B53" s="1" t="s">
        <v>58</v>
      </c>
      <c r="C53" s="1" t="s">
        <v>59</v>
      </c>
      <c r="D53" s="1" t="s">
        <v>771</v>
      </c>
      <c r="E53" s="1" t="s">
        <v>772</v>
      </c>
      <c r="F53" s="1" t="s">
        <v>773</v>
      </c>
      <c r="H53" s="2" t="s">
        <v>63</v>
      </c>
      <c r="I53" s="2" t="s">
        <v>64</v>
      </c>
      <c r="J53" s="2" t="s">
        <v>63</v>
      </c>
      <c r="K53" s="2" t="s">
        <v>84</v>
      </c>
      <c r="L53" s="2" t="s">
        <v>65</v>
      </c>
      <c r="M53" s="1" t="s">
        <v>774</v>
      </c>
      <c r="N53" s="1" t="s">
        <v>775</v>
      </c>
      <c r="O53" s="2" t="s">
        <v>776</v>
      </c>
      <c r="P53" s="1" t="s">
        <v>205</v>
      </c>
      <c r="Q53" s="2" t="s">
        <v>69</v>
      </c>
      <c r="R53" s="2" t="s">
        <v>191</v>
      </c>
      <c r="T53" s="2" t="s">
        <v>71</v>
      </c>
      <c r="U53" s="3">
        <v>1</v>
      </c>
      <c r="V53" s="3">
        <v>1</v>
      </c>
      <c r="W53" s="4" t="s">
        <v>777</v>
      </c>
      <c r="X53" s="4" t="s">
        <v>777</v>
      </c>
      <c r="Y53" s="4" t="s">
        <v>778</v>
      </c>
      <c r="Z53" s="4" t="s">
        <v>778</v>
      </c>
      <c r="AA53" s="3">
        <v>186</v>
      </c>
      <c r="AB53" s="3">
        <v>111</v>
      </c>
      <c r="AC53" s="3">
        <v>1150</v>
      </c>
      <c r="AD53" s="3">
        <v>2</v>
      </c>
      <c r="AE53" s="3">
        <v>10</v>
      </c>
      <c r="AF53" s="3">
        <v>3</v>
      </c>
      <c r="AG53" s="3">
        <v>41</v>
      </c>
      <c r="AH53" s="3">
        <v>2</v>
      </c>
      <c r="AI53" s="3">
        <v>15</v>
      </c>
      <c r="AJ53" s="3">
        <v>0</v>
      </c>
      <c r="AK53" s="3">
        <v>9</v>
      </c>
      <c r="AL53" s="3">
        <v>2</v>
      </c>
      <c r="AM53" s="3">
        <v>22</v>
      </c>
      <c r="AN53" s="3">
        <v>0</v>
      </c>
      <c r="AO53" s="3">
        <v>6</v>
      </c>
      <c r="AP53" s="3">
        <v>0</v>
      </c>
      <c r="AQ53" s="3">
        <v>0</v>
      </c>
      <c r="AR53" s="2" t="s">
        <v>63</v>
      </c>
      <c r="AS53" s="2" t="s">
        <v>84</v>
      </c>
      <c r="AT53" s="5" t="str">
        <f>HYPERLINK("http://catalog.hathitrust.org/Record/003325656","HathiTrust Record")</f>
        <v>HathiTrust Record</v>
      </c>
      <c r="AU53" s="5" t="str">
        <f>HYPERLINK("https://creighton-primo.hosted.exlibrisgroup.com/primo-explore/search?tab=default_tab&amp;search_scope=EVERYTHING&amp;vid=01CRU&amp;lang=en_US&amp;offset=0&amp;query=any,contains,991000844199702656","Catalog Record")</f>
        <v>Catalog Record</v>
      </c>
      <c r="AV53" s="5" t="str">
        <f>HYPERLINK("http://www.worldcat.org/oclc/39216903","WorldCat Record")</f>
        <v>WorldCat Record</v>
      </c>
      <c r="AW53" s="2" t="s">
        <v>779</v>
      </c>
      <c r="AX53" s="2" t="s">
        <v>780</v>
      </c>
      <c r="AY53" s="2" t="s">
        <v>781</v>
      </c>
      <c r="AZ53" s="2" t="s">
        <v>781</v>
      </c>
      <c r="BA53" s="2" t="s">
        <v>782</v>
      </c>
      <c r="BB53" s="2" t="s">
        <v>78</v>
      </c>
      <c r="BD53" s="2" t="s">
        <v>783</v>
      </c>
      <c r="BE53" s="2" t="s">
        <v>784</v>
      </c>
      <c r="BF53" s="2" t="s">
        <v>785</v>
      </c>
    </row>
    <row r="54" spans="1:58" ht="79.5" customHeight="1">
      <c r="A54" s="1"/>
      <c r="B54" s="1" t="s">
        <v>58</v>
      </c>
      <c r="C54" s="1" t="s">
        <v>59</v>
      </c>
      <c r="D54" s="1" t="s">
        <v>786</v>
      </c>
      <c r="E54" s="1" t="s">
        <v>787</v>
      </c>
      <c r="F54" s="1" t="s">
        <v>788</v>
      </c>
      <c r="H54" s="2" t="s">
        <v>63</v>
      </c>
      <c r="I54" s="2" t="s">
        <v>64</v>
      </c>
      <c r="J54" s="2" t="s">
        <v>63</v>
      </c>
      <c r="K54" s="2" t="s">
        <v>63</v>
      </c>
      <c r="L54" s="2" t="s">
        <v>65</v>
      </c>
      <c r="M54" s="1" t="s">
        <v>789</v>
      </c>
      <c r="O54" s="2" t="s">
        <v>129</v>
      </c>
      <c r="P54" s="1" t="s">
        <v>159</v>
      </c>
      <c r="Q54" s="2" t="s">
        <v>69</v>
      </c>
      <c r="R54" s="2" t="s">
        <v>351</v>
      </c>
      <c r="T54" s="2" t="s">
        <v>71</v>
      </c>
      <c r="U54" s="3">
        <v>10</v>
      </c>
      <c r="V54" s="3">
        <v>10</v>
      </c>
      <c r="W54" s="4" t="s">
        <v>790</v>
      </c>
      <c r="X54" s="4" t="s">
        <v>790</v>
      </c>
      <c r="Y54" s="4" t="s">
        <v>791</v>
      </c>
      <c r="Z54" s="4" t="s">
        <v>791</v>
      </c>
      <c r="AA54" s="3">
        <v>300</v>
      </c>
      <c r="AB54" s="3">
        <v>193</v>
      </c>
      <c r="AC54" s="3">
        <v>585</v>
      </c>
      <c r="AD54" s="3">
        <v>2</v>
      </c>
      <c r="AE54" s="3">
        <v>2</v>
      </c>
      <c r="AF54" s="3">
        <v>9</v>
      </c>
      <c r="AG54" s="3">
        <v>19</v>
      </c>
      <c r="AH54" s="3">
        <v>1</v>
      </c>
      <c r="AI54" s="3">
        <v>7</v>
      </c>
      <c r="AJ54" s="3">
        <v>4</v>
      </c>
      <c r="AK54" s="3">
        <v>5</v>
      </c>
      <c r="AL54" s="3">
        <v>5</v>
      </c>
      <c r="AM54" s="3">
        <v>10</v>
      </c>
      <c r="AN54" s="3">
        <v>1</v>
      </c>
      <c r="AO54" s="3">
        <v>1</v>
      </c>
      <c r="AP54" s="3">
        <v>0</v>
      </c>
      <c r="AQ54" s="3">
        <v>0</v>
      </c>
      <c r="AR54" s="2" t="s">
        <v>63</v>
      </c>
      <c r="AS54" s="2" t="s">
        <v>63</v>
      </c>
      <c r="AU54" s="5" t="str">
        <f>HYPERLINK("https://creighton-primo.hosted.exlibrisgroup.com/primo-explore/search?tab=default_tab&amp;search_scope=EVERYTHING&amp;vid=01CRU&amp;lang=en_US&amp;offset=0&amp;query=any,contains,991001400079702656","Catalog Record")</f>
        <v>Catalog Record</v>
      </c>
      <c r="AV54" s="5" t="str">
        <f>HYPERLINK("http://www.worldcat.org/oclc/27812939","WorldCat Record")</f>
        <v>WorldCat Record</v>
      </c>
      <c r="AW54" s="2" t="s">
        <v>792</v>
      </c>
      <c r="AX54" s="2" t="s">
        <v>793</v>
      </c>
      <c r="AY54" s="2" t="s">
        <v>794</v>
      </c>
      <c r="AZ54" s="2" t="s">
        <v>794</v>
      </c>
      <c r="BA54" s="2" t="s">
        <v>795</v>
      </c>
      <c r="BB54" s="2" t="s">
        <v>78</v>
      </c>
      <c r="BD54" s="2" t="s">
        <v>796</v>
      </c>
      <c r="BE54" s="2" t="s">
        <v>797</v>
      </c>
      <c r="BF54" s="2" t="s">
        <v>798</v>
      </c>
    </row>
    <row r="55" spans="1:58" ht="79.5" customHeight="1">
      <c r="A55" s="1"/>
      <c r="B55" s="1" t="s">
        <v>58</v>
      </c>
      <c r="C55" s="1" t="s">
        <v>59</v>
      </c>
      <c r="D55" s="1" t="s">
        <v>799</v>
      </c>
      <c r="E55" s="1" t="s">
        <v>800</v>
      </c>
      <c r="F55" s="1" t="s">
        <v>801</v>
      </c>
      <c r="H55" s="2" t="s">
        <v>63</v>
      </c>
      <c r="I55" s="2" t="s">
        <v>64</v>
      </c>
      <c r="J55" s="2" t="s">
        <v>63</v>
      </c>
      <c r="K55" s="2" t="s">
        <v>63</v>
      </c>
      <c r="L55" s="2" t="s">
        <v>65</v>
      </c>
      <c r="M55" s="1" t="s">
        <v>802</v>
      </c>
      <c r="N55" s="1" t="s">
        <v>803</v>
      </c>
      <c r="O55" s="2" t="s">
        <v>277</v>
      </c>
      <c r="Q55" s="2" t="s">
        <v>69</v>
      </c>
      <c r="R55" s="2" t="s">
        <v>70</v>
      </c>
      <c r="T55" s="2" t="s">
        <v>71</v>
      </c>
      <c r="U55" s="3">
        <v>6</v>
      </c>
      <c r="V55" s="3">
        <v>6</v>
      </c>
      <c r="W55" s="4" t="s">
        <v>804</v>
      </c>
      <c r="X55" s="4" t="s">
        <v>804</v>
      </c>
      <c r="Y55" s="4" t="s">
        <v>495</v>
      </c>
      <c r="Z55" s="4" t="s">
        <v>495</v>
      </c>
      <c r="AA55" s="3">
        <v>429</v>
      </c>
      <c r="AB55" s="3">
        <v>389</v>
      </c>
      <c r="AC55" s="3">
        <v>1205</v>
      </c>
      <c r="AD55" s="3">
        <v>1</v>
      </c>
      <c r="AE55" s="3">
        <v>6</v>
      </c>
      <c r="AF55" s="3">
        <v>11</v>
      </c>
      <c r="AG55" s="3">
        <v>29</v>
      </c>
      <c r="AH55" s="3">
        <v>5</v>
      </c>
      <c r="AI55" s="3">
        <v>12</v>
      </c>
      <c r="AJ55" s="3">
        <v>1</v>
      </c>
      <c r="AK55" s="3">
        <v>4</v>
      </c>
      <c r="AL55" s="3">
        <v>6</v>
      </c>
      <c r="AM55" s="3">
        <v>12</v>
      </c>
      <c r="AN55" s="3">
        <v>0</v>
      </c>
      <c r="AO55" s="3">
        <v>3</v>
      </c>
      <c r="AP55" s="3">
        <v>0</v>
      </c>
      <c r="AQ55" s="3">
        <v>2</v>
      </c>
      <c r="AR55" s="2" t="s">
        <v>63</v>
      </c>
      <c r="AS55" s="2" t="s">
        <v>84</v>
      </c>
      <c r="AT55" s="5" t="str">
        <f>HYPERLINK("http://catalog.hathitrust.org/Record/000032679","HathiTrust Record")</f>
        <v>HathiTrust Record</v>
      </c>
      <c r="AU55" s="5" t="str">
        <f>HYPERLINK("https://creighton-primo.hosted.exlibrisgroup.com/primo-explore/search?tab=default_tab&amp;search_scope=EVERYTHING&amp;vid=01CRU&amp;lang=en_US&amp;offset=0&amp;query=any,contains,991001483239702656","Catalog Record")</f>
        <v>Catalog Record</v>
      </c>
      <c r="AV55" s="5" t="str">
        <f>HYPERLINK("http://www.worldcat.org/oclc/7472919","WorldCat Record")</f>
        <v>WorldCat Record</v>
      </c>
      <c r="AW55" s="2" t="s">
        <v>805</v>
      </c>
      <c r="AX55" s="2" t="s">
        <v>806</v>
      </c>
      <c r="AY55" s="2" t="s">
        <v>807</v>
      </c>
      <c r="AZ55" s="2" t="s">
        <v>807</v>
      </c>
      <c r="BA55" s="2" t="s">
        <v>808</v>
      </c>
      <c r="BB55" s="2" t="s">
        <v>78</v>
      </c>
      <c r="BE55" s="2" t="s">
        <v>809</v>
      </c>
      <c r="BF55" s="2" t="s">
        <v>810</v>
      </c>
    </row>
    <row r="56" spans="1:58" ht="79.5" customHeight="1">
      <c r="A56" s="1"/>
      <c r="B56" s="1" t="s">
        <v>58</v>
      </c>
      <c r="C56" s="1" t="s">
        <v>59</v>
      </c>
      <c r="D56" s="1" t="s">
        <v>811</v>
      </c>
      <c r="E56" s="1" t="s">
        <v>812</v>
      </c>
      <c r="F56" s="1" t="s">
        <v>813</v>
      </c>
      <c r="H56" s="2" t="s">
        <v>63</v>
      </c>
      <c r="I56" s="2" t="s">
        <v>64</v>
      </c>
      <c r="J56" s="2" t="s">
        <v>84</v>
      </c>
      <c r="K56" s="2" t="s">
        <v>63</v>
      </c>
      <c r="L56" s="2" t="s">
        <v>65</v>
      </c>
      <c r="M56" s="1" t="s">
        <v>814</v>
      </c>
      <c r="N56" s="1" t="s">
        <v>815</v>
      </c>
      <c r="O56" s="2" t="s">
        <v>479</v>
      </c>
      <c r="Q56" s="2" t="s">
        <v>69</v>
      </c>
      <c r="R56" s="2" t="s">
        <v>130</v>
      </c>
      <c r="T56" s="2" t="s">
        <v>71</v>
      </c>
      <c r="U56" s="3">
        <v>5</v>
      </c>
      <c r="V56" s="3">
        <v>5</v>
      </c>
      <c r="W56" s="4" t="s">
        <v>816</v>
      </c>
      <c r="X56" s="4" t="s">
        <v>816</v>
      </c>
      <c r="Y56" s="4" t="s">
        <v>90</v>
      </c>
      <c r="Z56" s="4" t="s">
        <v>90</v>
      </c>
      <c r="AA56" s="3">
        <v>419</v>
      </c>
      <c r="AB56" s="3">
        <v>290</v>
      </c>
      <c r="AC56" s="3">
        <v>297</v>
      </c>
      <c r="AD56" s="3">
        <v>3</v>
      </c>
      <c r="AE56" s="3">
        <v>3</v>
      </c>
      <c r="AF56" s="3">
        <v>11</v>
      </c>
      <c r="AG56" s="3">
        <v>11</v>
      </c>
      <c r="AH56" s="3">
        <v>3</v>
      </c>
      <c r="AI56" s="3">
        <v>3</v>
      </c>
      <c r="AJ56" s="3">
        <v>4</v>
      </c>
      <c r="AK56" s="3">
        <v>4</v>
      </c>
      <c r="AL56" s="3">
        <v>7</v>
      </c>
      <c r="AM56" s="3">
        <v>7</v>
      </c>
      <c r="AN56" s="3">
        <v>1</v>
      </c>
      <c r="AO56" s="3">
        <v>1</v>
      </c>
      <c r="AP56" s="3">
        <v>0</v>
      </c>
      <c r="AQ56" s="3">
        <v>0</v>
      </c>
      <c r="AR56" s="2" t="s">
        <v>63</v>
      </c>
      <c r="AS56" s="2" t="s">
        <v>84</v>
      </c>
      <c r="AT56" s="5" t="str">
        <f>HYPERLINK("http://catalog.hathitrust.org/Record/000275363","HathiTrust Record")</f>
        <v>HathiTrust Record</v>
      </c>
      <c r="AU56" s="5" t="str">
        <f>HYPERLINK("https://creighton-primo.hosted.exlibrisgroup.com/primo-explore/search?tab=default_tab&amp;search_scope=EVERYTHING&amp;vid=01CRU&amp;lang=en_US&amp;offset=0&amp;query=any,contains,991000789049702656","Catalog Record")</f>
        <v>Catalog Record</v>
      </c>
      <c r="AV56" s="5" t="str">
        <f>HYPERLINK("http://www.worldcat.org/oclc/8727871","WorldCat Record")</f>
        <v>WorldCat Record</v>
      </c>
      <c r="AW56" s="2" t="s">
        <v>817</v>
      </c>
      <c r="AX56" s="2" t="s">
        <v>818</v>
      </c>
      <c r="AY56" s="2" t="s">
        <v>819</v>
      </c>
      <c r="AZ56" s="2" t="s">
        <v>819</v>
      </c>
      <c r="BA56" s="2" t="s">
        <v>820</v>
      </c>
      <c r="BB56" s="2" t="s">
        <v>78</v>
      </c>
      <c r="BD56" s="2" t="s">
        <v>821</v>
      </c>
      <c r="BE56" s="2" t="s">
        <v>822</v>
      </c>
      <c r="BF56" s="2" t="s">
        <v>823</v>
      </c>
    </row>
    <row r="57" spans="1:58" ht="79.5" customHeight="1">
      <c r="A57" s="1"/>
      <c r="B57" s="1" t="s">
        <v>58</v>
      </c>
      <c r="C57" s="1" t="s">
        <v>59</v>
      </c>
      <c r="D57" s="1" t="s">
        <v>824</v>
      </c>
      <c r="E57" s="1" t="s">
        <v>825</v>
      </c>
      <c r="F57" s="1" t="s">
        <v>826</v>
      </c>
      <c r="H57" s="2" t="s">
        <v>63</v>
      </c>
      <c r="I57" s="2" t="s">
        <v>64</v>
      </c>
      <c r="J57" s="2" t="s">
        <v>63</v>
      </c>
      <c r="K57" s="2" t="s">
        <v>84</v>
      </c>
      <c r="L57" s="2" t="s">
        <v>65</v>
      </c>
      <c r="M57" s="1" t="s">
        <v>827</v>
      </c>
      <c r="N57" s="1" t="s">
        <v>828</v>
      </c>
      <c r="O57" s="2" t="s">
        <v>829</v>
      </c>
      <c r="P57" s="1" t="s">
        <v>830</v>
      </c>
      <c r="Q57" s="2" t="s">
        <v>69</v>
      </c>
      <c r="R57" s="2" t="s">
        <v>70</v>
      </c>
      <c r="S57" s="1" t="s">
        <v>831</v>
      </c>
      <c r="T57" s="2" t="s">
        <v>71</v>
      </c>
      <c r="U57" s="3">
        <v>12</v>
      </c>
      <c r="V57" s="3">
        <v>12</v>
      </c>
      <c r="W57" s="4" t="s">
        <v>832</v>
      </c>
      <c r="X57" s="4" t="s">
        <v>832</v>
      </c>
      <c r="Y57" s="4" t="s">
        <v>90</v>
      </c>
      <c r="Z57" s="4" t="s">
        <v>90</v>
      </c>
      <c r="AA57" s="3">
        <v>1042</v>
      </c>
      <c r="AB57" s="3">
        <v>860</v>
      </c>
      <c r="AC57" s="3">
        <v>2226</v>
      </c>
      <c r="AD57" s="3">
        <v>6</v>
      </c>
      <c r="AE57" s="3">
        <v>19</v>
      </c>
      <c r="AF57" s="3">
        <v>27</v>
      </c>
      <c r="AG57" s="3">
        <v>62</v>
      </c>
      <c r="AH57" s="3">
        <v>9</v>
      </c>
      <c r="AI57" s="3">
        <v>28</v>
      </c>
      <c r="AJ57" s="3">
        <v>4</v>
      </c>
      <c r="AK57" s="3">
        <v>10</v>
      </c>
      <c r="AL57" s="3">
        <v>12</v>
      </c>
      <c r="AM57" s="3">
        <v>24</v>
      </c>
      <c r="AN57" s="3">
        <v>5</v>
      </c>
      <c r="AO57" s="3">
        <v>12</v>
      </c>
      <c r="AP57" s="3">
        <v>0</v>
      </c>
      <c r="AQ57" s="3">
        <v>0</v>
      </c>
      <c r="AR57" s="2" t="s">
        <v>63</v>
      </c>
      <c r="AS57" s="2" t="s">
        <v>84</v>
      </c>
      <c r="AT57" s="5" t="str">
        <f>HYPERLINK("http://catalog.hathitrust.org/Record/000161270","HathiTrust Record")</f>
        <v>HathiTrust Record</v>
      </c>
      <c r="AU57" s="5" t="str">
        <f>HYPERLINK("https://creighton-primo.hosted.exlibrisgroup.com/primo-explore/search?tab=default_tab&amp;search_scope=EVERYTHING&amp;vid=01CRU&amp;lang=en_US&amp;offset=0&amp;query=any,contains,991000789299702656","Catalog Record")</f>
        <v>Catalog Record</v>
      </c>
      <c r="AV57" s="5" t="str">
        <f>HYPERLINK("http://www.worldcat.org/oclc/170747","WorldCat Record")</f>
        <v>WorldCat Record</v>
      </c>
      <c r="AW57" s="2" t="s">
        <v>833</v>
      </c>
      <c r="AX57" s="2" t="s">
        <v>834</v>
      </c>
      <c r="AY57" s="2" t="s">
        <v>835</v>
      </c>
      <c r="AZ57" s="2" t="s">
        <v>835</v>
      </c>
      <c r="BA57" s="2" t="s">
        <v>836</v>
      </c>
      <c r="BB57" s="2" t="s">
        <v>78</v>
      </c>
      <c r="BE57" s="2" t="s">
        <v>837</v>
      </c>
      <c r="BF57" s="2" t="s">
        <v>838</v>
      </c>
    </row>
    <row r="58" spans="1:58" ht="79.5" customHeight="1">
      <c r="A58" s="1"/>
      <c r="B58" s="1" t="s">
        <v>58</v>
      </c>
      <c r="C58" s="1" t="s">
        <v>59</v>
      </c>
      <c r="D58" s="1" t="s">
        <v>839</v>
      </c>
      <c r="E58" s="1" t="s">
        <v>840</v>
      </c>
      <c r="F58" s="1" t="s">
        <v>841</v>
      </c>
      <c r="H58" s="2" t="s">
        <v>63</v>
      </c>
      <c r="I58" s="2" t="s">
        <v>64</v>
      </c>
      <c r="J58" s="2" t="s">
        <v>63</v>
      </c>
      <c r="K58" s="2" t="s">
        <v>63</v>
      </c>
      <c r="L58" s="2" t="s">
        <v>65</v>
      </c>
      <c r="N58" s="1" t="s">
        <v>842</v>
      </c>
      <c r="O58" s="2" t="s">
        <v>394</v>
      </c>
      <c r="P58" s="1" t="s">
        <v>843</v>
      </c>
      <c r="Q58" s="2" t="s">
        <v>69</v>
      </c>
      <c r="R58" s="2" t="s">
        <v>844</v>
      </c>
      <c r="S58" s="1" t="s">
        <v>845</v>
      </c>
      <c r="T58" s="2" t="s">
        <v>71</v>
      </c>
      <c r="U58" s="3">
        <v>1</v>
      </c>
      <c r="V58" s="3">
        <v>1</v>
      </c>
      <c r="W58" s="4" t="s">
        <v>846</v>
      </c>
      <c r="X58" s="4" t="s">
        <v>846</v>
      </c>
      <c r="Y58" s="4" t="s">
        <v>279</v>
      </c>
      <c r="Z58" s="4" t="s">
        <v>279</v>
      </c>
      <c r="AA58" s="3">
        <v>21</v>
      </c>
      <c r="AB58" s="3">
        <v>20</v>
      </c>
      <c r="AC58" s="3">
        <v>20</v>
      </c>
      <c r="AD58" s="3">
        <v>2</v>
      </c>
      <c r="AE58" s="3">
        <v>2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2" t="s">
        <v>63</v>
      </c>
      <c r="AS58" s="2" t="s">
        <v>63</v>
      </c>
      <c r="AU58" s="5" t="str">
        <f>HYPERLINK("https://creighton-primo.hosted.exlibrisgroup.com/primo-explore/search?tab=default_tab&amp;search_scope=EVERYTHING&amp;vid=01CRU&amp;lang=en_US&amp;offset=0&amp;query=any,contains,991000695779702656","Catalog Record")</f>
        <v>Catalog Record</v>
      </c>
      <c r="AV58" s="5" t="str">
        <f>HYPERLINK("http://www.worldcat.org/oclc/12568438","WorldCat Record")</f>
        <v>WorldCat Record</v>
      </c>
      <c r="AW58" s="2" t="s">
        <v>847</v>
      </c>
      <c r="AX58" s="2" t="s">
        <v>848</v>
      </c>
      <c r="AY58" s="2" t="s">
        <v>849</v>
      </c>
      <c r="AZ58" s="2" t="s">
        <v>849</v>
      </c>
      <c r="BA58" s="2" t="s">
        <v>850</v>
      </c>
      <c r="BB58" s="2" t="s">
        <v>78</v>
      </c>
      <c r="BD58" s="2" t="s">
        <v>851</v>
      </c>
      <c r="BE58" s="2" t="s">
        <v>852</v>
      </c>
      <c r="BF58" s="2" t="s">
        <v>853</v>
      </c>
    </row>
    <row r="59" spans="1:58" ht="79.5" customHeight="1">
      <c r="A59" s="1"/>
      <c r="B59" s="1" t="s">
        <v>58</v>
      </c>
      <c r="C59" s="1" t="s">
        <v>59</v>
      </c>
      <c r="D59" s="1" t="s">
        <v>854</v>
      </c>
      <c r="E59" s="1" t="s">
        <v>855</v>
      </c>
      <c r="F59" s="1" t="s">
        <v>856</v>
      </c>
      <c r="H59" s="2" t="s">
        <v>63</v>
      </c>
      <c r="I59" s="2" t="s">
        <v>64</v>
      </c>
      <c r="J59" s="2" t="s">
        <v>63</v>
      </c>
      <c r="K59" s="2" t="s">
        <v>63</v>
      </c>
      <c r="L59" s="2" t="s">
        <v>65</v>
      </c>
      <c r="M59" s="1" t="s">
        <v>857</v>
      </c>
      <c r="N59" s="1" t="s">
        <v>858</v>
      </c>
      <c r="O59" s="2" t="s">
        <v>859</v>
      </c>
      <c r="Q59" s="2" t="s">
        <v>69</v>
      </c>
      <c r="R59" s="2" t="s">
        <v>88</v>
      </c>
      <c r="T59" s="2" t="s">
        <v>71</v>
      </c>
      <c r="U59" s="3">
        <v>6</v>
      </c>
      <c r="V59" s="3">
        <v>6</v>
      </c>
      <c r="W59" s="4" t="s">
        <v>860</v>
      </c>
      <c r="X59" s="4" t="s">
        <v>860</v>
      </c>
      <c r="Y59" s="4" t="s">
        <v>90</v>
      </c>
      <c r="Z59" s="4" t="s">
        <v>90</v>
      </c>
      <c r="AA59" s="3">
        <v>445</v>
      </c>
      <c r="AB59" s="3">
        <v>393</v>
      </c>
      <c r="AC59" s="3">
        <v>395</v>
      </c>
      <c r="AD59" s="3">
        <v>4</v>
      </c>
      <c r="AE59" s="3">
        <v>4</v>
      </c>
      <c r="AF59" s="3">
        <v>17</v>
      </c>
      <c r="AG59" s="3">
        <v>17</v>
      </c>
      <c r="AH59" s="3">
        <v>6</v>
      </c>
      <c r="AI59" s="3">
        <v>6</v>
      </c>
      <c r="AJ59" s="3">
        <v>3</v>
      </c>
      <c r="AK59" s="3">
        <v>3</v>
      </c>
      <c r="AL59" s="3">
        <v>8</v>
      </c>
      <c r="AM59" s="3">
        <v>8</v>
      </c>
      <c r="AN59" s="3">
        <v>3</v>
      </c>
      <c r="AO59" s="3">
        <v>3</v>
      </c>
      <c r="AP59" s="3">
        <v>0</v>
      </c>
      <c r="AQ59" s="3">
        <v>0</v>
      </c>
      <c r="AR59" s="2" t="s">
        <v>63</v>
      </c>
      <c r="AS59" s="2" t="s">
        <v>84</v>
      </c>
      <c r="AT59" s="5" t="str">
        <f>HYPERLINK("http://catalog.hathitrust.org/Record/000187382","HathiTrust Record")</f>
        <v>HathiTrust Record</v>
      </c>
      <c r="AU59" s="5" t="str">
        <f>HYPERLINK("https://creighton-primo.hosted.exlibrisgroup.com/primo-explore/search?tab=default_tab&amp;search_scope=EVERYTHING&amp;vid=01CRU&amp;lang=en_US&amp;offset=0&amp;query=any,contains,991000790389702656","Catalog Record")</f>
        <v>Catalog Record</v>
      </c>
      <c r="AV59" s="5" t="str">
        <f>HYPERLINK("http://www.worldcat.org/oclc/8345177","WorldCat Record")</f>
        <v>WorldCat Record</v>
      </c>
      <c r="AW59" s="2" t="s">
        <v>861</v>
      </c>
      <c r="AX59" s="2" t="s">
        <v>862</v>
      </c>
      <c r="AY59" s="2" t="s">
        <v>863</v>
      </c>
      <c r="AZ59" s="2" t="s">
        <v>863</v>
      </c>
      <c r="BA59" s="2" t="s">
        <v>864</v>
      </c>
      <c r="BB59" s="2" t="s">
        <v>78</v>
      </c>
      <c r="BD59" s="2" t="s">
        <v>865</v>
      </c>
      <c r="BE59" s="2" t="s">
        <v>866</v>
      </c>
      <c r="BF59" s="2" t="s">
        <v>867</v>
      </c>
    </row>
    <row r="60" spans="1:58" ht="79.5" customHeight="1">
      <c r="A60" s="1"/>
      <c r="B60" s="1" t="s">
        <v>58</v>
      </c>
      <c r="C60" s="1" t="s">
        <v>59</v>
      </c>
      <c r="D60" s="1" t="s">
        <v>868</v>
      </c>
      <c r="E60" s="1" t="s">
        <v>869</v>
      </c>
      <c r="F60" s="1" t="s">
        <v>870</v>
      </c>
      <c r="H60" s="2" t="s">
        <v>63</v>
      </c>
      <c r="I60" s="2" t="s">
        <v>64</v>
      </c>
      <c r="J60" s="2" t="s">
        <v>63</v>
      </c>
      <c r="K60" s="2" t="s">
        <v>84</v>
      </c>
      <c r="L60" s="2" t="s">
        <v>65</v>
      </c>
      <c r="M60" s="1" t="s">
        <v>871</v>
      </c>
      <c r="N60" s="1" t="s">
        <v>872</v>
      </c>
      <c r="O60" s="2" t="s">
        <v>158</v>
      </c>
      <c r="P60" s="1" t="s">
        <v>205</v>
      </c>
      <c r="Q60" s="2" t="s">
        <v>69</v>
      </c>
      <c r="R60" s="2" t="s">
        <v>70</v>
      </c>
      <c r="T60" s="2" t="s">
        <v>71</v>
      </c>
      <c r="U60" s="3">
        <v>20</v>
      </c>
      <c r="V60" s="3">
        <v>20</v>
      </c>
      <c r="W60" s="4" t="s">
        <v>873</v>
      </c>
      <c r="X60" s="4" t="s">
        <v>873</v>
      </c>
      <c r="Y60" s="4" t="s">
        <v>874</v>
      </c>
      <c r="Z60" s="4" t="s">
        <v>874</v>
      </c>
      <c r="AA60" s="3">
        <v>179</v>
      </c>
      <c r="AB60" s="3">
        <v>103</v>
      </c>
      <c r="AC60" s="3">
        <v>911</v>
      </c>
      <c r="AD60" s="3">
        <v>3</v>
      </c>
      <c r="AE60" s="3">
        <v>9</v>
      </c>
      <c r="AF60" s="3">
        <v>5</v>
      </c>
      <c r="AG60" s="3">
        <v>29</v>
      </c>
      <c r="AH60" s="3">
        <v>1</v>
      </c>
      <c r="AI60" s="3">
        <v>12</v>
      </c>
      <c r="AJ60" s="3">
        <v>1</v>
      </c>
      <c r="AK60" s="3">
        <v>4</v>
      </c>
      <c r="AL60" s="3">
        <v>2</v>
      </c>
      <c r="AM60" s="3">
        <v>14</v>
      </c>
      <c r="AN60" s="3">
        <v>1</v>
      </c>
      <c r="AO60" s="3">
        <v>6</v>
      </c>
      <c r="AP60" s="3">
        <v>0</v>
      </c>
      <c r="AQ60" s="3">
        <v>0</v>
      </c>
      <c r="AR60" s="2" t="s">
        <v>63</v>
      </c>
      <c r="AS60" s="2" t="s">
        <v>63</v>
      </c>
      <c r="AU60" s="5" t="str">
        <f>HYPERLINK("https://creighton-primo.hosted.exlibrisgroup.com/primo-explore/search?tab=default_tab&amp;search_scope=EVERYTHING&amp;vid=01CRU&amp;lang=en_US&amp;offset=0&amp;query=any,contains,991001271669702656","Catalog Record")</f>
        <v>Catalog Record</v>
      </c>
      <c r="AV60" s="5" t="str">
        <f>HYPERLINK("http://www.worldcat.org/oclc/29954951","WorldCat Record")</f>
        <v>WorldCat Record</v>
      </c>
      <c r="AW60" s="2" t="s">
        <v>875</v>
      </c>
      <c r="AX60" s="2" t="s">
        <v>876</v>
      </c>
      <c r="AY60" s="2" t="s">
        <v>877</v>
      </c>
      <c r="AZ60" s="2" t="s">
        <v>877</v>
      </c>
      <c r="BA60" s="2" t="s">
        <v>878</v>
      </c>
      <c r="BB60" s="2" t="s">
        <v>78</v>
      </c>
      <c r="BD60" s="2" t="s">
        <v>879</v>
      </c>
      <c r="BE60" s="2" t="s">
        <v>880</v>
      </c>
      <c r="BF60" s="2" t="s">
        <v>881</v>
      </c>
    </row>
    <row r="61" spans="1:58" ht="79.5" customHeight="1">
      <c r="A61" s="1"/>
      <c r="B61" s="1" t="s">
        <v>58</v>
      </c>
      <c r="C61" s="1" t="s">
        <v>59</v>
      </c>
      <c r="D61" s="1" t="s">
        <v>882</v>
      </c>
      <c r="E61" s="1" t="s">
        <v>883</v>
      </c>
      <c r="F61" s="1" t="s">
        <v>884</v>
      </c>
      <c r="H61" s="2" t="s">
        <v>63</v>
      </c>
      <c r="I61" s="2" t="s">
        <v>64</v>
      </c>
      <c r="J61" s="2" t="s">
        <v>63</v>
      </c>
      <c r="K61" s="2" t="s">
        <v>63</v>
      </c>
      <c r="L61" s="2" t="s">
        <v>65</v>
      </c>
      <c r="N61" s="1" t="s">
        <v>885</v>
      </c>
      <c r="O61" s="2" t="s">
        <v>263</v>
      </c>
      <c r="Q61" s="2" t="s">
        <v>69</v>
      </c>
      <c r="R61" s="2" t="s">
        <v>465</v>
      </c>
      <c r="T61" s="2" t="s">
        <v>71</v>
      </c>
      <c r="U61" s="3">
        <v>2</v>
      </c>
      <c r="V61" s="3">
        <v>2</v>
      </c>
      <c r="W61" s="4" t="s">
        <v>507</v>
      </c>
      <c r="X61" s="4" t="s">
        <v>507</v>
      </c>
      <c r="Y61" s="4" t="s">
        <v>90</v>
      </c>
      <c r="Z61" s="4" t="s">
        <v>90</v>
      </c>
      <c r="AA61" s="3">
        <v>448</v>
      </c>
      <c r="AB61" s="3">
        <v>345</v>
      </c>
      <c r="AC61" s="3">
        <v>354</v>
      </c>
      <c r="AD61" s="3">
        <v>3</v>
      </c>
      <c r="AE61" s="3">
        <v>3</v>
      </c>
      <c r="AF61" s="3">
        <v>13</v>
      </c>
      <c r="AG61" s="3">
        <v>13</v>
      </c>
      <c r="AH61" s="3">
        <v>3</v>
      </c>
      <c r="AI61" s="3">
        <v>3</v>
      </c>
      <c r="AJ61" s="3">
        <v>6</v>
      </c>
      <c r="AK61" s="3">
        <v>6</v>
      </c>
      <c r="AL61" s="3">
        <v>5</v>
      </c>
      <c r="AM61" s="3">
        <v>5</v>
      </c>
      <c r="AN61" s="3">
        <v>2</v>
      </c>
      <c r="AO61" s="3">
        <v>2</v>
      </c>
      <c r="AP61" s="3">
        <v>0</v>
      </c>
      <c r="AQ61" s="3">
        <v>0</v>
      </c>
      <c r="AR61" s="2" t="s">
        <v>63</v>
      </c>
      <c r="AS61" s="2" t="s">
        <v>63</v>
      </c>
      <c r="AU61" s="5" t="str">
        <f>HYPERLINK("https://creighton-primo.hosted.exlibrisgroup.com/primo-explore/search?tab=default_tab&amp;search_scope=EVERYTHING&amp;vid=01CRU&amp;lang=en_US&amp;offset=0&amp;query=any,contains,991001489749702656","Catalog Record")</f>
        <v>Catalog Record</v>
      </c>
      <c r="AV61" s="5" t="str">
        <f>HYPERLINK("http://www.worldcat.org/oclc/13360624","WorldCat Record")</f>
        <v>WorldCat Record</v>
      </c>
      <c r="AW61" s="2" t="s">
        <v>886</v>
      </c>
      <c r="AX61" s="2" t="s">
        <v>887</v>
      </c>
      <c r="AY61" s="2" t="s">
        <v>888</v>
      </c>
      <c r="AZ61" s="2" t="s">
        <v>888</v>
      </c>
      <c r="BA61" s="2" t="s">
        <v>889</v>
      </c>
      <c r="BB61" s="2" t="s">
        <v>78</v>
      </c>
      <c r="BD61" s="2" t="s">
        <v>890</v>
      </c>
      <c r="BE61" s="2" t="s">
        <v>891</v>
      </c>
      <c r="BF61" s="2" t="s">
        <v>892</v>
      </c>
    </row>
    <row r="62" spans="1:58" ht="79.5" customHeight="1">
      <c r="A62" s="1"/>
      <c r="B62" s="1" t="s">
        <v>58</v>
      </c>
      <c r="C62" s="1" t="s">
        <v>59</v>
      </c>
      <c r="D62" s="1" t="s">
        <v>893</v>
      </c>
      <c r="E62" s="1" t="s">
        <v>894</v>
      </c>
      <c r="F62" s="1" t="s">
        <v>895</v>
      </c>
      <c r="H62" s="2" t="s">
        <v>63</v>
      </c>
      <c r="I62" s="2" t="s">
        <v>64</v>
      </c>
      <c r="J62" s="2" t="s">
        <v>63</v>
      </c>
      <c r="K62" s="2" t="s">
        <v>84</v>
      </c>
      <c r="L62" s="2" t="s">
        <v>65</v>
      </c>
      <c r="N62" s="1" t="s">
        <v>896</v>
      </c>
      <c r="O62" s="2" t="s">
        <v>394</v>
      </c>
      <c r="Q62" s="2" t="s">
        <v>69</v>
      </c>
      <c r="R62" s="2" t="s">
        <v>465</v>
      </c>
      <c r="T62" s="2" t="s">
        <v>71</v>
      </c>
      <c r="U62" s="3">
        <v>3</v>
      </c>
      <c r="V62" s="3">
        <v>3</v>
      </c>
      <c r="W62" s="4" t="s">
        <v>897</v>
      </c>
      <c r="X62" s="4" t="s">
        <v>897</v>
      </c>
      <c r="Y62" s="4" t="s">
        <v>90</v>
      </c>
      <c r="Z62" s="4" t="s">
        <v>90</v>
      </c>
      <c r="AA62" s="3">
        <v>475</v>
      </c>
      <c r="AB62" s="3">
        <v>412</v>
      </c>
      <c r="AC62" s="3">
        <v>577</v>
      </c>
      <c r="AD62" s="3">
        <v>5</v>
      </c>
      <c r="AE62" s="3">
        <v>6</v>
      </c>
      <c r="AF62" s="3">
        <v>15</v>
      </c>
      <c r="AG62" s="3">
        <v>25</v>
      </c>
      <c r="AH62" s="3">
        <v>3</v>
      </c>
      <c r="AI62" s="3">
        <v>8</v>
      </c>
      <c r="AJ62" s="3">
        <v>4</v>
      </c>
      <c r="AK62" s="3">
        <v>6</v>
      </c>
      <c r="AL62" s="3">
        <v>8</v>
      </c>
      <c r="AM62" s="3">
        <v>15</v>
      </c>
      <c r="AN62" s="3">
        <v>4</v>
      </c>
      <c r="AO62" s="3">
        <v>4</v>
      </c>
      <c r="AP62" s="3">
        <v>0</v>
      </c>
      <c r="AQ62" s="3">
        <v>0</v>
      </c>
      <c r="AR62" s="2" t="s">
        <v>63</v>
      </c>
      <c r="AS62" s="2" t="s">
        <v>84</v>
      </c>
      <c r="AT62" s="5" t="str">
        <f>HYPERLINK("http://catalog.hathitrust.org/Record/000563113","HathiTrust Record")</f>
        <v>HathiTrust Record</v>
      </c>
      <c r="AU62" s="5" t="str">
        <f>HYPERLINK("https://creighton-primo.hosted.exlibrisgroup.com/primo-explore/search?tab=default_tab&amp;search_scope=EVERYTHING&amp;vid=01CRU&amp;lang=en_US&amp;offset=0&amp;query=any,contains,991000790219702656","Catalog Record")</f>
        <v>Catalog Record</v>
      </c>
      <c r="AV62" s="5" t="str">
        <f>HYPERLINK("http://www.worldcat.org/oclc/11090649","WorldCat Record")</f>
        <v>WorldCat Record</v>
      </c>
      <c r="AW62" s="2" t="s">
        <v>898</v>
      </c>
      <c r="AX62" s="2" t="s">
        <v>899</v>
      </c>
      <c r="AY62" s="2" t="s">
        <v>900</v>
      </c>
      <c r="AZ62" s="2" t="s">
        <v>900</v>
      </c>
      <c r="BA62" s="2" t="s">
        <v>901</v>
      </c>
      <c r="BB62" s="2" t="s">
        <v>78</v>
      </c>
      <c r="BD62" s="2" t="s">
        <v>902</v>
      </c>
      <c r="BE62" s="2" t="s">
        <v>903</v>
      </c>
      <c r="BF62" s="2" t="s">
        <v>904</v>
      </c>
    </row>
    <row r="63" spans="1:58" ht="79.5" customHeight="1">
      <c r="A63" s="1"/>
      <c r="B63" s="1" t="s">
        <v>58</v>
      </c>
      <c r="C63" s="1" t="s">
        <v>59</v>
      </c>
      <c r="D63" s="1" t="s">
        <v>905</v>
      </c>
      <c r="E63" s="1" t="s">
        <v>906</v>
      </c>
      <c r="F63" s="1" t="s">
        <v>907</v>
      </c>
      <c r="H63" s="2" t="s">
        <v>63</v>
      </c>
      <c r="I63" s="2" t="s">
        <v>64</v>
      </c>
      <c r="J63" s="2" t="s">
        <v>63</v>
      </c>
      <c r="K63" s="2" t="s">
        <v>84</v>
      </c>
      <c r="L63" s="2" t="s">
        <v>65</v>
      </c>
      <c r="M63" s="1" t="s">
        <v>908</v>
      </c>
      <c r="N63" s="1" t="s">
        <v>909</v>
      </c>
      <c r="O63" s="2" t="s">
        <v>534</v>
      </c>
      <c r="P63" s="1" t="s">
        <v>910</v>
      </c>
      <c r="Q63" s="2" t="s">
        <v>69</v>
      </c>
      <c r="R63" s="2" t="s">
        <v>351</v>
      </c>
      <c r="T63" s="2" t="s">
        <v>71</v>
      </c>
      <c r="U63" s="3">
        <v>17</v>
      </c>
      <c r="V63" s="3">
        <v>17</v>
      </c>
      <c r="W63" s="4" t="s">
        <v>911</v>
      </c>
      <c r="X63" s="4" t="s">
        <v>911</v>
      </c>
      <c r="Y63" s="4" t="s">
        <v>912</v>
      </c>
      <c r="Z63" s="4" t="s">
        <v>912</v>
      </c>
      <c r="AA63" s="3">
        <v>116</v>
      </c>
      <c r="AB63" s="3">
        <v>100</v>
      </c>
      <c r="AC63" s="3">
        <v>1117</v>
      </c>
      <c r="AD63" s="3">
        <v>2</v>
      </c>
      <c r="AE63" s="3">
        <v>11</v>
      </c>
      <c r="AF63" s="3">
        <v>6</v>
      </c>
      <c r="AG63" s="3">
        <v>50</v>
      </c>
      <c r="AH63" s="3">
        <v>4</v>
      </c>
      <c r="AI63" s="3">
        <v>22</v>
      </c>
      <c r="AJ63" s="3">
        <v>1</v>
      </c>
      <c r="AK63" s="3">
        <v>8</v>
      </c>
      <c r="AL63" s="3">
        <v>2</v>
      </c>
      <c r="AM63" s="3">
        <v>23</v>
      </c>
      <c r="AN63" s="3">
        <v>1</v>
      </c>
      <c r="AO63" s="3">
        <v>8</v>
      </c>
      <c r="AP63" s="3">
        <v>0</v>
      </c>
      <c r="AQ63" s="3">
        <v>1</v>
      </c>
      <c r="AR63" s="2" t="s">
        <v>63</v>
      </c>
      <c r="AS63" s="2" t="s">
        <v>84</v>
      </c>
      <c r="AT63" s="5" t="str">
        <f>HYPERLINK("http://catalog.hathitrust.org/Record/000566178","HathiTrust Record")</f>
        <v>HathiTrust Record</v>
      </c>
      <c r="AU63" s="5" t="str">
        <f>HYPERLINK("https://creighton-primo.hosted.exlibrisgroup.com/primo-explore/search?tab=default_tab&amp;search_scope=EVERYTHING&amp;vid=01CRU&amp;lang=en_US&amp;offset=0&amp;query=any,contains,991000762619702656","Catalog Record")</f>
        <v>Catalog Record</v>
      </c>
      <c r="AV63" s="5" t="str">
        <f>HYPERLINK("http://www.worldcat.org/oclc/9180312","WorldCat Record")</f>
        <v>WorldCat Record</v>
      </c>
      <c r="AW63" s="2" t="s">
        <v>913</v>
      </c>
      <c r="AX63" s="2" t="s">
        <v>914</v>
      </c>
      <c r="AY63" s="2" t="s">
        <v>915</v>
      </c>
      <c r="AZ63" s="2" t="s">
        <v>915</v>
      </c>
      <c r="BA63" s="2" t="s">
        <v>916</v>
      </c>
      <c r="BB63" s="2" t="s">
        <v>78</v>
      </c>
      <c r="BD63" s="2" t="s">
        <v>917</v>
      </c>
      <c r="BE63" s="2" t="s">
        <v>918</v>
      </c>
      <c r="BF63" s="2" t="s">
        <v>919</v>
      </c>
    </row>
    <row r="64" spans="1:58" ht="79.5" customHeight="1">
      <c r="A64" s="1"/>
      <c r="B64" s="1" t="s">
        <v>58</v>
      </c>
      <c r="C64" s="1" t="s">
        <v>59</v>
      </c>
      <c r="D64" s="1" t="s">
        <v>920</v>
      </c>
      <c r="E64" s="1" t="s">
        <v>921</v>
      </c>
      <c r="F64" s="1" t="s">
        <v>922</v>
      </c>
      <c r="H64" s="2" t="s">
        <v>63</v>
      </c>
      <c r="I64" s="2" t="s">
        <v>64</v>
      </c>
      <c r="J64" s="2" t="s">
        <v>63</v>
      </c>
      <c r="K64" s="2" t="s">
        <v>63</v>
      </c>
      <c r="L64" s="2" t="s">
        <v>65</v>
      </c>
      <c r="N64" s="1" t="s">
        <v>923</v>
      </c>
      <c r="O64" s="2" t="s">
        <v>220</v>
      </c>
      <c r="Q64" s="2" t="s">
        <v>69</v>
      </c>
      <c r="R64" s="2" t="s">
        <v>465</v>
      </c>
      <c r="S64" s="1" t="s">
        <v>924</v>
      </c>
      <c r="T64" s="2" t="s">
        <v>71</v>
      </c>
      <c r="U64" s="3">
        <v>10</v>
      </c>
      <c r="V64" s="3">
        <v>10</v>
      </c>
      <c r="W64" s="4" t="s">
        <v>873</v>
      </c>
      <c r="X64" s="4" t="s">
        <v>873</v>
      </c>
      <c r="Y64" s="4" t="s">
        <v>90</v>
      </c>
      <c r="Z64" s="4" t="s">
        <v>90</v>
      </c>
      <c r="AA64" s="3">
        <v>330</v>
      </c>
      <c r="AB64" s="3">
        <v>278</v>
      </c>
      <c r="AC64" s="3">
        <v>281</v>
      </c>
      <c r="AD64" s="3">
        <v>3</v>
      </c>
      <c r="AE64" s="3">
        <v>3</v>
      </c>
      <c r="AF64" s="3">
        <v>14</v>
      </c>
      <c r="AG64" s="3">
        <v>14</v>
      </c>
      <c r="AH64" s="3">
        <v>4</v>
      </c>
      <c r="AI64" s="3">
        <v>4</v>
      </c>
      <c r="AJ64" s="3">
        <v>3</v>
      </c>
      <c r="AK64" s="3">
        <v>3</v>
      </c>
      <c r="AL64" s="3">
        <v>9</v>
      </c>
      <c r="AM64" s="3">
        <v>9</v>
      </c>
      <c r="AN64" s="3">
        <v>2</v>
      </c>
      <c r="AO64" s="3">
        <v>2</v>
      </c>
      <c r="AP64" s="3">
        <v>0</v>
      </c>
      <c r="AQ64" s="3">
        <v>0</v>
      </c>
      <c r="AR64" s="2" t="s">
        <v>63</v>
      </c>
      <c r="AS64" s="2" t="s">
        <v>84</v>
      </c>
      <c r="AT64" s="5" t="str">
        <f>HYPERLINK("http://catalog.hathitrust.org/Record/000490937","HathiTrust Record")</f>
        <v>HathiTrust Record</v>
      </c>
      <c r="AU64" s="5" t="str">
        <f>HYPERLINK("https://creighton-primo.hosted.exlibrisgroup.com/primo-explore/search?tab=default_tab&amp;search_scope=EVERYTHING&amp;vid=01CRU&amp;lang=en_US&amp;offset=0&amp;query=any,contains,991000790199702656","Catalog Record")</f>
        <v>Catalog Record</v>
      </c>
      <c r="AV64" s="5" t="str">
        <f>HYPERLINK("http://www.worldcat.org/oclc/14099048","WorldCat Record")</f>
        <v>WorldCat Record</v>
      </c>
      <c r="AW64" s="2" t="s">
        <v>925</v>
      </c>
      <c r="AX64" s="2" t="s">
        <v>926</v>
      </c>
      <c r="AY64" s="2" t="s">
        <v>927</v>
      </c>
      <c r="AZ64" s="2" t="s">
        <v>927</v>
      </c>
      <c r="BA64" s="2" t="s">
        <v>928</v>
      </c>
      <c r="BB64" s="2" t="s">
        <v>78</v>
      </c>
      <c r="BD64" s="2" t="s">
        <v>929</v>
      </c>
      <c r="BE64" s="2" t="s">
        <v>930</v>
      </c>
      <c r="BF64" s="2" t="s">
        <v>931</v>
      </c>
    </row>
    <row r="65" spans="1:58" ht="79.5" customHeight="1">
      <c r="A65" s="1"/>
      <c r="B65" s="1" t="s">
        <v>58</v>
      </c>
      <c r="C65" s="1" t="s">
        <v>59</v>
      </c>
      <c r="D65" s="1" t="s">
        <v>932</v>
      </c>
      <c r="E65" s="1" t="s">
        <v>933</v>
      </c>
      <c r="F65" s="1" t="s">
        <v>934</v>
      </c>
      <c r="H65" s="2" t="s">
        <v>63</v>
      </c>
      <c r="I65" s="2" t="s">
        <v>64</v>
      </c>
      <c r="J65" s="2" t="s">
        <v>84</v>
      </c>
      <c r="K65" s="2" t="s">
        <v>63</v>
      </c>
      <c r="L65" s="2" t="s">
        <v>65</v>
      </c>
      <c r="N65" s="1" t="s">
        <v>935</v>
      </c>
      <c r="O65" s="2" t="s">
        <v>479</v>
      </c>
      <c r="Q65" s="2" t="s">
        <v>69</v>
      </c>
      <c r="R65" s="2" t="s">
        <v>88</v>
      </c>
      <c r="S65" s="1" t="s">
        <v>936</v>
      </c>
      <c r="T65" s="2" t="s">
        <v>71</v>
      </c>
      <c r="U65" s="3">
        <v>2</v>
      </c>
      <c r="V65" s="3">
        <v>2</v>
      </c>
      <c r="W65" s="4" t="s">
        <v>937</v>
      </c>
      <c r="X65" s="4" t="s">
        <v>937</v>
      </c>
      <c r="Y65" s="4" t="s">
        <v>495</v>
      </c>
      <c r="Z65" s="4" t="s">
        <v>495</v>
      </c>
      <c r="AA65" s="3">
        <v>649</v>
      </c>
      <c r="AB65" s="3">
        <v>523</v>
      </c>
      <c r="AC65" s="3">
        <v>524</v>
      </c>
      <c r="AD65" s="3">
        <v>6</v>
      </c>
      <c r="AE65" s="3">
        <v>6</v>
      </c>
      <c r="AF65" s="3">
        <v>26</v>
      </c>
      <c r="AG65" s="3">
        <v>26</v>
      </c>
      <c r="AH65" s="3">
        <v>9</v>
      </c>
      <c r="AI65" s="3">
        <v>9</v>
      </c>
      <c r="AJ65" s="3">
        <v>7</v>
      </c>
      <c r="AK65" s="3">
        <v>7</v>
      </c>
      <c r="AL65" s="3">
        <v>12</v>
      </c>
      <c r="AM65" s="3">
        <v>12</v>
      </c>
      <c r="AN65" s="3">
        <v>4</v>
      </c>
      <c r="AO65" s="3">
        <v>4</v>
      </c>
      <c r="AP65" s="3">
        <v>0</v>
      </c>
      <c r="AQ65" s="3">
        <v>0</v>
      </c>
      <c r="AR65" s="2" t="s">
        <v>63</v>
      </c>
      <c r="AS65" s="2" t="s">
        <v>63</v>
      </c>
      <c r="AU65" s="5" t="str">
        <f>HYPERLINK("https://creighton-primo.hosted.exlibrisgroup.com/primo-explore/search?tab=default_tab&amp;search_scope=EVERYTHING&amp;vid=01CRU&amp;lang=en_US&amp;offset=0&amp;query=any,contains,991000790109702656","Catalog Record")</f>
        <v>Catalog Record</v>
      </c>
      <c r="AV65" s="5" t="str">
        <f>HYPERLINK("http://www.worldcat.org/oclc/8907019","WorldCat Record")</f>
        <v>WorldCat Record</v>
      </c>
      <c r="AW65" s="2" t="s">
        <v>938</v>
      </c>
      <c r="AX65" s="2" t="s">
        <v>939</v>
      </c>
      <c r="AY65" s="2" t="s">
        <v>940</v>
      </c>
      <c r="AZ65" s="2" t="s">
        <v>940</v>
      </c>
      <c r="BA65" s="2" t="s">
        <v>941</v>
      </c>
      <c r="BB65" s="2" t="s">
        <v>78</v>
      </c>
      <c r="BD65" s="2" t="s">
        <v>942</v>
      </c>
      <c r="BE65" s="2" t="s">
        <v>943</v>
      </c>
      <c r="BF65" s="2" t="s">
        <v>944</v>
      </c>
    </row>
    <row r="66" spans="1:58" ht="79.5" customHeight="1">
      <c r="A66" s="1"/>
      <c r="B66" s="1" t="s">
        <v>58</v>
      </c>
      <c r="C66" s="1" t="s">
        <v>59</v>
      </c>
      <c r="D66" s="1" t="s">
        <v>945</v>
      </c>
      <c r="E66" s="1" t="s">
        <v>946</v>
      </c>
      <c r="F66" s="1" t="s">
        <v>947</v>
      </c>
      <c r="H66" s="2" t="s">
        <v>63</v>
      </c>
      <c r="I66" s="2" t="s">
        <v>64</v>
      </c>
      <c r="J66" s="2" t="s">
        <v>63</v>
      </c>
      <c r="K66" s="2" t="s">
        <v>63</v>
      </c>
      <c r="L66" s="2" t="s">
        <v>65</v>
      </c>
      <c r="M66" s="1" t="s">
        <v>948</v>
      </c>
      <c r="N66" s="1" t="s">
        <v>949</v>
      </c>
      <c r="O66" s="2" t="s">
        <v>394</v>
      </c>
      <c r="Q66" s="2" t="s">
        <v>69</v>
      </c>
      <c r="R66" s="2" t="s">
        <v>88</v>
      </c>
      <c r="S66" s="1" t="s">
        <v>950</v>
      </c>
      <c r="T66" s="2" t="s">
        <v>71</v>
      </c>
      <c r="U66" s="3">
        <v>8</v>
      </c>
      <c r="V66" s="3">
        <v>8</v>
      </c>
      <c r="W66" s="4" t="s">
        <v>951</v>
      </c>
      <c r="X66" s="4" t="s">
        <v>951</v>
      </c>
      <c r="Y66" s="4" t="s">
        <v>952</v>
      </c>
      <c r="Z66" s="4" t="s">
        <v>952</v>
      </c>
      <c r="AA66" s="3">
        <v>555</v>
      </c>
      <c r="AB66" s="3">
        <v>438</v>
      </c>
      <c r="AC66" s="3">
        <v>448</v>
      </c>
      <c r="AD66" s="3">
        <v>2</v>
      </c>
      <c r="AE66" s="3">
        <v>2</v>
      </c>
      <c r="AF66" s="3">
        <v>20</v>
      </c>
      <c r="AG66" s="3">
        <v>21</v>
      </c>
      <c r="AH66" s="3">
        <v>8</v>
      </c>
      <c r="AI66" s="3">
        <v>9</v>
      </c>
      <c r="AJ66" s="3">
        <v>4</v>
      </c>
      <c r="AK66" s="3">
        <v>4</v>
      </c>
      <c r="AL66" s="3">
        <v>12</v>
      </c>
      <c r="AM66" s="3">
        <v>13</v>
      </c>
      <c r="AN66" s="3">
        <v>1</v>
      </c>
      <c r="AO66" s="3">
        <v>1</v>
      </c>
      <c r="AP66" s="3">
        <v>0</v>
      </c>
      <c r="AQ66" s="3">
        <v>0</v>
      </c>
      <c r="AR66" s="2" t="s">
        <v>63</v>
      </c>
      <c r="AS66" s="2" t="s">
        <v>84</v>
      </c>
      <c r="AT66" s="5" t="str">
        <f>HYPERLINK("http://catalog.hathitrust.org/Record/000431624","HathiTrust Record")</f>
        <v>HathiTrust Record</v>
      </c>
      <c r="AU66" s="5" t="str">
        <f>HYPERLINK("https://creighton-primo.hosted.exlibrisgroup.com/primo-explore/search?tab=default_tab&amp;search_scope=EVERYTHING&amp;vid=01CRU&amp;lang=en_US&amp;offset=0&amp;query=any,contains,991001108439702656","Catalog Record")</f>
        <v>Catalog Record</v>
      </c>
      <c r="AV66" s="5" t="str">
        <f>HYPERLINK("http://www.worldcat.org/oclc/11384907","WorldCat Record")</f>
        <v>WorldCat Record</v>
      </c>
      <c r="AW66" s="2" t="s">
        <v>953</v>
      </c>
      <c r="AX66" s="2" t="s">
        <v>954</v>
      </c>
      <c r="AY66" s="2" t="s">
        <v>955</v>
      </c>
      <c r="AZ66" s="2" t="s">
        <v>955</v>
      </c>
      <c r="BA66" s="2" t="s">
        <v>956</v>
      </c>
      <c r="BB66" s="2" t="s">
        <v>78</v>
      </c>
      <c r="BD66" s="2" t="s">
        <v>957</v>
      </c>
      <c r="BE66" s="2" t="s">
        <v>958</v>
      </c>
      <c r="BF66" s="2" t="s">
        <v>959</v>
      </c>
    </row>
    <row r="67" spans="1:58" ht="79.5" customHeight="1">
      <c r="A67" s="1"/>
      <c r="B67" s="1" t="s">
        <v>58</v>
      </c>
      <c r="C67" s="1" t="s">
        <v>59</v>
      </c>
      <c r="D67" s="1" t="s">
        <v>960</v>
      </c>
      <c r="E67" s="1" t="s">
        <v>961</v>
      </c>
      <c r="F67" s="1" t="s">
        <v>962</v>
      </c>
      <c r="H67" s="2" t="s">
        <v>63</v>
      </c>
      <c r="I67" s="2" t="s">
        <v>64</v>
      </c>
      <c r="J67" s="2" t="s">
        <v>63</v>
      </c>
      <c r="K67" s="2" t="s">
        <v>63</v>
      </c>
      <c r="L67" s="2" t="s">
        <v>65</v>
      </c>
      <c r="M67" s="1" t="s">
        <v>963</v>
      </c>
      <c r="N67" s="1" t="s">
        <v>964</v>
      </c>
      <c r="O67" s="2" t="s">
        <v>479</v>
      </c>
      <c r="Q67" s="2" t="s">
        <v>69</v>
      </c>
      <c r="R67" s="2" t="s">
        <v>88</v>
      </c>
      <c r="T67" s="2" t="s">
        <v>71</v>
      </c>
      <c r="U67" s="3">
        <v>2</v>
      </c>
      <c r="V67" s="3">
        <v>2</v>
      </c>
      <c r="W67" s="4" t="s">
        <v>965</v>
      </c>
      <c r="X67" s="4" t="s">
        <v>965</v>
      </c>
      <c r="Y67" s="4" t="s">
        <v>73</v>
      </c>
      <c r="Z67" s="4" t="s">
        <v>73</v>
      </c>
      <c r="AA67" s="3">
        <v>577</v>
      </c>
      <c r="AB67" s="3">
        <v>519</v>
      </c>
      <c r="AC67" s="3">
        <v>777</v>
      </c>
      <c r="AD67" s="3">
        <v>6</v>
      </c>
      <c r="AE67" s="3">
        <v>7</v>
      </c>
      <c r="AF67" s="3">
        <v>20</v>
      </c>
      <c r="AG67" s="3">
        <v>26</v>
      </c>
      <c r="AH67" s="3">
        <v>6</v>
      </c>
      <c r="AI67" s="3">
        <v>8</v>
      </c>
      <c r="AJ67" s="3">
        <v>2</v>
      </c>
      <c r="AK67" s="3">
        <v>4</v>
      </c>
      <c r="AL67" s="3">
        <v>10</v>
      </c>
      <c r="AM67" s="3">
        <v>14</v>
      </c>
      <c r="AN67" s="3">
        <v>5</v>
      </c>
      <c r="AO67" s="3">
        <v>6</v>
      </c>
      <c r="AP67" s="3">
        <v>0</v>
      </c>
      <c r="AQ67" s="3">
        <v>0</v>
      </c>
      <c r="AR67" s="2" t="s">
        <v>63</v>
      </c>
      <c r="AS67" s="2" t="s">
        <v>84</v>
      </c>
      <c r="AT67" s="5" t="str">
        <f>HYPERLINK("http://catalog.hathitrust.org/Record/000245150","HathiTrust Record")</f>
        <v>HathiTrust Record</v>
      </c>
      <c r="AU67" s="5" t="str">
        <f>HYPERLINK("https://creighton-primo.hosted.exlibrisgroup.com/primo-explore/search?tab=default_tab&amp;search_scope=EVERYTHING&amp;vid=01CRU&amp;lang=en_US&amp;offset=0&amp;query=any,contains,991000789979702656","Catalog Record")</f>
        <v>Catalog Record</v>
      </c>
      <c r="AV67" s="5" t="str">
        <f>HYPERLINK("http://www.worldcat.org/oclc/9557059","WorldCat Record")</f>
        <v>WorldCat Record</v>
      </c>
      <c r="AW67" s="2" t="s">
        <v>966</v>
      </c>
      <c r="AX67" s="2" t="s">
        <v>967</v>
      </c>
      <c r="AY67" s="2" t="s">
        <v>968</v>
      </c>
      <c r="AZ67" s="2" t="s">
        <v>968</v>
      </c>
      <c r="BA67" s="2" t="s">
        <v>969</v>
      </c>
      <c r="BB67" s="2" t="s">
        <v>78</v>
      </c>
      <c r="BD67" s="2" t="s">
        <v>970</v>
      </c>
      <c r="BE67" s="2" t="s">
        <v>971</v>
      </c>
      <c r="BF67" s="2" t="s">
        <v>972</v>
      </c>
    </row>
    <row r="68" spans="1:58" ht="79.5" customHeight="1">
      <c r="A68" s="1"/>
      <c r="B68" s="1" t="s">
        <v>58</v>
      </c>
      <c r="C68" s="1" t="s">
        <v>59</v>
      </c>
      <c r="D68" s="1" t="s">
        <v>973</v>
      </c>
      <c r="E68" s="1" t="s">
        <v>974</v>
      </c>
      <c r="F68" s="1" t="s">
        <v>975</v>
      </c>
      <c r="H68" s="2" t="s">
        <v>63</v>
      </c>
      <c r="I68" s="2" t="s">
        <v>64</v>
      </c>
      <c r="J68" s="2" t="s">
        <v>63</v>
      </c>
      <c r="K68" s="2" t="s">
        <v>63</v>
      </c>
      <c r="L68" s="2" t="s">
        <v>65</v>
      </c>
      <c r="M68" s="1" t="s">
        <v>976</v>
      </c>
      <c r="N68" s="1" t="s">
        <v>977</v>
      </c>
      <c r="O68" s="2" t="s">
        <v>859</v>
      </c>
      <c r="Q68" s="2" t="s">
        <v>69</v>
      </c>
      <c r="R68" s="2" t="s">
        <v>70</v>
      </c>
      <c r="S68" s="1" t="s">
        <v>978</v>
      </c>
      <c r="T68" s="2" t="s">
        <v>71</v>
      </c>
      <c r="U68" s="3">
        <v>9</v>
      </c>
      <c r="V68" s="3">
        <v>9</v>
      </c>
      <c r="W68" s="4" t="s">
        <v>979</v>
      </c>
      <c r="X68" s="4" t="s">
        <v>979</v>
      </c>
      <c r="Y68" s="4" t="s">
        <v>73</v>
      </c>
      <c r="Z68" s="4" t="s">
        <v>73</v>
      </c>
      <c r="AA68" s="3">
        <v>543</v>
      </c>
      <c r="AB68" s="3">
        <v>440</v>
      </c>
      <c r="AC68" s="3">
        <v>459</v>
      </c>
      <c r="AD68" s="3">
        <v>5</v>
      </c>
      <c r="AE68" s="3">
        <v>5</v>
      </c>
      <c r="AF68" s="3">
        <v>19</v>
      </c>
      <c r="AG68" s="3">
        <v>20</v>
      </c>
      <c r="AH68" s="3">
        <v>5</v>
      </c>
      <c r="AI68" s="3">
        <v>6</v>
      </c>
      <c r="AJ68" s="3">
        <v>5</v>
      </c>
      <c r="AK68" s="3">
        <v>5</v>
      </c>
      <c r="AL68" s="3">
        <v>10</v>
      </c>
      <c r="AM68" s="3">
        <v>10</v>
      </c>
      <c r="AN68" s="3">
        <v>3</v>
      </c>
      <c r="AO68" s="3">
        <v>3</v>
      </c>
      <c r="AP68" s="3">
        <v>0</v>
      </c>
      <c r="AQ68" s="3">
        <v>0</v>
      </c>
      <c r="AR68" s="2" t="s">
        <v>63</v>
      </c>
      <c r="AS68" s="2" t="s">
        <v>84</v>
      </c>
      <c r="AT68" s="5" t="str">
        <f>HYPERLINK("http://catalog.hathitrust.org/Record/000267072","HathiTrust Record")</f>
        <v>HathiTrust Record</v>
      </c>
      <c r="AU68" s="5" t="str">
        <f>HYPERLINK("https://creighton-primo.hosted.exlibrisgroup.com/primo-explore/search?tab=default_tab&amp;search_scope=EVERYTHING&amp;vid=01CRU&amp;lang=en_US&amp;offset=0&amp;query=any,contains,991000790049702656","Catalog Record")</f>
        <v>Catalog Record</v>
      </c>
      <c r="AV68" s="5" t="str">
        <f>HYPERLINK("http://www.worldcat.org/oclc/7946515","WorldCat Record")</f>
        <v>WorldCat Record</v>
      </c>
      <c r="AW68" s="2" t="s">
        <v>980</v>
      </c>
      <c r="AX68" s="2" t="s">
        <v>981</v>
      </c>
      <c r="AY68" s="2" t="s">
        <v>982</v>
      </c>
      <c r="AZ68" s="2" t="s">
        <v>982</v>
      </c>
      <c r="BA68" s="2" t="s">
        <v>983</v>
      </c>
      <c r="BB68" s="2" t="s">
        <v>78</v>
      </c>
      <c r="BD68" s="2" t="s">
        <v>984</v>
      </c>
      <c r="BE68" s="2" t="s">
        <v>985</v>
      </c>
      <c r="BF68" s="2" t="s">
        <v>986</v>
      </c>
    </row>
    <row r="69" spans="1:58" ht="79.5" customHeight="1">
      <c r="A69" s="1"/>
      <c r="B69" s="1" t="s">
        <v>58</v>
      </c>
      <c r="C69" s="1" t="s">
        <v>59</v>
      </c>
      <c r="D69" s="1" t="s">
        <v>987</v>
      </c>
      <c r="E69" s="1" t="s">
        <v>988</v>
      </c>
      <c r="F69" s="1" t="s">
        <v>989</v>
      </c>
      <c r="H69" s="2" t="s">
        <v>63</v>
      </c>
      <c r="I69" s="2" t="s">
        <v>64</v>
      </c>
      <c r="J69" s="2" t="s">
        <v>63</v>
      </c>
      <c r="K69" s="2" t="s">
        <v>84</v>
      </c>
      <c r="L69" s="2" t="s">
        <v>65</v>
      </c>
      <c r="M69" s="1" t="s">
        <v>990</v>
      </c>
      <c r="N69" s="1" t="s">
        <v>991</v>
      </c>
      <c r="O69" s="2" t="s">
        <v>992</v>
      </c>
      <c r="Q69" s="2" t="s">
        <v>69</v>
      </c>
      <c r="R69" s="2" t="s">
        <v>70</v>
      </c>
      <c r="T69" s="2" t="s">
        <v>71</v>
      </c>
      <c r="U69" s="3">
        <v>2</v>
      </c>
      <c r="V69" s="3">
        <v>2</v>
      </c>
      <c r="W69" s="4" t="s">
        <v>993</v>
      </c>
      <c r="X69" s="4" t="s">
        <v>993</v>
      </c>
      <c r="Y69" s="4" t="s">
        <v>73</v>
      </c>
      <c r="Z69" s="4" t="s">
        <v>73</v>
      </c>
      <c r="AA69" s="3">
        <v>1982</v>
      </c>
      <c r="AB69" s="3">
        <v>1714</v>
      </c>
      <c r="AC69" s="3">
        <v>2255</v>
      </c>
      <c r="AD69" s="3">
        <v>11</v>
      </c>
      <c r="AE69" s="3">
        <v>13</v>
      </c>
      <c r="AF69" s="3">
        <v>51</v>
      </c>
      <c r="AG69" s="3">
        <v>60</v>
      </c>
      <c r="AH69" s="3">
        <v>24</v>
      </c>
      <c r="AI69" s="3">
        <v>28</v>
      </c>
      <c r="AJ69" s="3">
        <v>8</v>
      </c>
      <c r="AK69" s="3">
        <v>11</v>
      </c>
      <c r="AL69" s="3">
        <v>22</v>
      </c>
      <c r="AM69" s="3">
        <v>25</v>
      </c>
      <c r="AN69" s="3">
        <v>9</v>
      </c>
      <c r="AO69" s="3">
        <v>9</v>
      </c>
      <c r="AP69" s="3">
        <v>0</v>
      </c>
      <c r="AQ69" s="3">
        <v>0</v>
      </c>
      <c r="AR69" s="2" t="s">
        <v>63</v>
      </c>
      <c r="AS69" s="2" t="s">
        <v>84</v>
      </c>
      <c r="AT69" s="5" t="str">
        <f>HYPERLINK("http://catalog.hathitrust.org/Record/000009203","HathiTrust Record")</f>
        <v>HathiTrust Record</v>
      </c>
      <c r="AU69" s="5" t="str">
        <f>HYPERLINK("https://creighton-primo.hosted.exlibrisgroup.com/primo-explore/search?tab=default_tab&amp;search_scope=EVERYTHING&amp;vid=01CRU&amp;lang=en_US&amp;offset=0&amp;query=any,contains,991000789829702656","Catalog Record")</f>
        <v>Catalog Record</v>
      </c>
      <c r="AV69" s="5" t="str">
        <f>HYPERLINK("http://www.worldcat.org/oclc/658905","WorldCat Record")</f>
        <v>WorldCat Record</v>
      </c>
      <c r="AW69" s="2" t="s">
        <v>994</v>
      </c>
      <c r="AX69" s="2" t="s">
        <v>995</v>
      </c>
      <c r="AY69" s="2" t="s">
        <v>996</v>
      </c>
      <c r="AZ69" s="2" t="s">
        <v>996</v>
      </c>
      <c r="BA69" s="2" t="s">
        <v>997</v>
      </c>
      <c r="BB69" s="2" t="s">
        <v>78</v>
      </c>
      <c r="BD69" s="2" t="s">
        <v>998</v>
      </c>
      <c r="BE69" s="2" t="s">
        <v>999</v>
      </c>
      <c r="BF69" s="2" t="s">
        <v>1000</v>
      </c>
    </row>
    <row r="70" spans="1:58" ht="79.5" customHeight="1">
      <c r="A70" s="1"/>
      <c r="B70" s="1" t="s">
        <v>58</v>
      </c>
      <c r="C70" s="1" t="s">
        <v>59</v>
      </c>
      <c r="D70" s="1" t="s">
        <v>1001</v>
      </c>
      <c r="E70" s="1" t="s">
        <v>1002</v>
      </c>
      <c r="F70" s="1" t="s">
        <v>1003</v>
      </c>
      <c r="H70" s="2" t="s">
        <v>63</v>
      </c>
      <c r="I70" s="2" t="s">
        <v>64</v>
      </c>
      <c r="J70" s="2" t="s">
        <v>63</v>
      </c>
      <c r="K70" s="2" t="s">
        <v>84</v>
      </c>
      <c r="L70" s="2" t="s">
        <v>65</v>
      </c>
      <c r="M70" s="1" t="s">
        <v>1004</v>
      </c>
      <c r="N70" s="1" t="s">
        <v>1005</v>
      </c>
      <c r="O70" s="2" t="s">
        <v>174</v>
      </c>
      <c r="Q70" s="2" t="s">
        <v>69</v>
      </c>
      <c r="R70" s="2" t="s">
        <v>88</v>
      </c>
      <c r="T70" s="2" t="s">
        <v>71</v>
      </c>
      <c r="U70" s="3">
        <v>18</v>
      </c>
      <c r="V70" s="3">
        <v>18</v>
      </c>
      <c r="W70" s="4" t="s">
        <v>1006</v>
      </c>
      <c r="X70" s="4" t="s">
        <v>1006</v>
      </c>
      <c r="Y70" s="4" t="s">
        <v>1007</v>
      </c>
      <c r="Z70" s="4" t="s">
        <v>1007</v>
      </c>
      <c r="AA70" s="3">
        <v>794</v>
      </c>
      <c r="AB70" s="3">
        <v>748</v>
      </c>
      <c r="AC70" s="3">
        <v>1843</v>
      </c>
      <c r="AD70" s="3">
        <v>6</v>
      </c>
      <c r="AE70" s="3">
        <v>21</v>
      </c>
      <c r="AF70" s="3">
        <v>6</v>
      </c>
      <c r="AG70" s="3">
        <v>29</v>
      </c>
      <c r="AH70" s="3">
        <v>3</v>
      </c>
      <c r="AI70" s="3">
        <v>11</v>
      </c>
      <c r="AJ70" s="3">
        <v>0</v>
      </c>
      <c r="AK70" s="3">
        <v>4</v>
      </c>
      <c r="AL70" s="3">
        <v>4</v>
      </c>
      <c r="AM70" s="3">
        <v>12</v>
      </c>
      <c r="AN70" s="3">
        <v>0</v>
      </c>
      <c r="AO70" s="3">
        <v>7</v>
      </c>
      <c r="AP70" s="3">
        <v>0</v>
      </c>
      <c r="AQ70" s="3">
        <v>0</v>
      </c>
      <c r="AR70" s="2" t="s">
        <v>63</v>
      </c>
      <c r="AS70" s="2" t="s">
        <v>84</v>
      </c>
      <c r="AT70" s="5" t="str">
        <f>HYPERLINK("http://catalog.hathitrust.org/Record/101934684","HathiTrust Record")</f>
        <v>HathiTrust Record</v>
      </c>
      <c r="AU70" s="5" t="str">
        <f>HYPERLINK("https://creighton-primo.hosted.exlibrisgroup.com/primo-explore/search?tab=default_tab&amp;search_scope=EVERYTHING&amp;vid=01CRU&amp;lang=en_US&amp;offset=0&amp;query=any,contains,991001481379702656","Catalog Record")</f>
        <v>Catalog Record</v>
      </c>
      <c r="AV70" s="5" t="str">
        <f>HYPERLINK("http://www.worldcat.org/oclc/24913222","WorldCat Record")</f>
        <v>WorldCat Record</v>
      </c>
      <c r="AW70" s="2" t="s">
        <v>1008</v>
      </c>
      <c r="AX70" s="2" t="s">
        <v>1009</v>
      </c>
      <c r="AY70" s="2" t="s">
        <v>1010</v>
      </c>
      <c r="AZ70" s="2" t="s">
        <v>1010</v>
      </c>
      <c r="BA70" s="2" t="s">
        <v>1011</v>
      </c>
      <c r="BB70" s="2" t="s">
        <v>78</v>
      </c>
      <c r="BD70" s="2" t="s">
        <v>1012</v>
      </c>
      <c r="BE70" s="2" t="s">
        <v>1013</v>
      </c>
      <c r="BF70" s="2" t="s">
        <v>1014</v>
      </c>
    </row>
    <row r="71" spans="1:58" ht="79.5" customHeight="1">
      <c r="A71" s="1"/>
      <c r="B71" s="1" t="s">
        <v>58</v>
      </c>
      <c r="C71" s="1" t="s">
        <v>59</v>
      </c>
      <c r="D71" s="1" t="s">
        <v>1015</v>
      </c>
      <c r="E71" s="1" t="s">
        <v>1016</v>
      </c>
      <c r="F71" s="1" t="s">
        <v>1017</v>
      </c>
      <c r="H71" s="2" t="s">
        <v>63</v>
      </c>
      <c r="I71" s="2" t="s">
        <v>1018</v>
      </c>
      <c r="J71" s="2" t="s">
        <v>63</v>
      </c>
      <c r="K71" s="2" t="s">
        <v>84</v>
      </c>
      <c r="L71" s="2" t="s">
        <v>65</v>
      </c>
      <c r="N71" s="1" t="s">
        <v>1019</v>
      </c>
      <c r="O71" s="2" t="s">
        <v>421</v>
      </c>
      <c r="Q71" s="2" t="s">
        <v>69</v>
      </c>
      <c r="R71" s="2" t="s">
        <v>465</v>
      </c>
      <c r="S71" s="1" t="s">
        <v>1020</v>
      </c>
      <c r="T71" s="2" t="s">
        <v>71</v>
      </c>
      <c r="U71" s="3">
        <v>5</v>
      </c>
      <c r="V71" s="3">
        <v>5</v>
      </c>
      <c r="W71" s="4" t="s">
        <v>1021</v>
      </c>
      <c r="X71" s="4" t="s">
        <v>1021</v>
      </c>
      <c r="Y71" s="4" t="s">
        <v>73</v>
      </c>
      <c r="Z71" s="4" t="s">
        <v>73</v>
      </c>
      <c r="AA71" s="3">
        <v>2115</v>
      </c>
      <c r="AB71" s="3">
        <v>1910</v>
      </c>
      <c r="AC71" s="3">
        <v>2974</v>
      </c>
      <c r="AD71" s="3">
        <v>18</v>
      </c>
      <c r="AE71" s="3">
        <v>25</v>
      </c>
      <c r="AF71" s="3">
        <v>43</v>
      </c>
      <c r="AG71" s="3">
        <v>61</v>
      </c>
      <c r="AH71" s="3">
        <v>16</v>
      </c>
      <c r="AI71" s="3">
        <v>25</v>
      </c>
      <c r="AJ71" s="3">
        <v>8</v>
      </c>
      <c r="AK71" s="3">
        <v>10</v>
      </c>
      <c r="AL71" s="3">
        <v>23</v>
      </c>
      <c r="AM71" s="3">
        <v>29</v>
      </c>
      <c r="AN71" s="3">
        <v>6</v>
      </c>
      <c r="AO71" s="3">
        <v>10</v>
      </c>
      <c r="AP71" s="3">
        <v>0</v>
      </c>
      <c r="AQ71" s="3">
        <v>0</v>
      </c>
      <c r="AR71" s="2" t="s">
        <v>63</v>
      </c>
      <c r="AS71" s="2" t="s">
        <v>84</v>
      </c>
      <c r="AT71" s="5" t="str">
        <f>HYPERLINK("http://catalog.hathitrust.org/Record/004446607","HathiTrust Record")</f>
        <v>HathiTrust Record</v>
      </c>
      <c r="AU71" s="5" t="str">
        <f>HYPERLINK("https://creighton-primo.hosted.exlibrisgroup.com/primo-explore/search?tab=default_tab&amp;search_scope=EVERYTHING&amp;vid=01CRU&amp;lang=en_US&amp;offset=0&amp;query=any,contains,991000789769702656","Catalog Record")</f>
        <v>Catalog Record</v>
      </c>
      <c r="AV71" s="5" t="str">
        <f>HYPERLINK("http://www.worldcat.org/oclc/1273611","WorldCat Record")</f>
        <v>WorldCat Record</v>
      </c>
      <c r="AW71" s="2" t="s">
        <v>1022</v>
      </c>
      <c r="AX71" s="2" t="s">
        <v>1023</v>
      </c>
      <c r="AY71" s="2" t="s">
        <v>1024</v>
      </c>
      <c r="AZ71" s="2" t="s">
        <v>1024</v>
      </c>
      <c r="BA71" s="2" t="s">
        <v>1025</v>
      </c>
      <c r="BB71" s="2" t="s">
        <v>78</v>
      </c>
      <c r="BD71" s="2" t="s">
        <v>1026</v>
      </c>
      <c r="BE71" s="2" t="s">
        <v>1027</v>
      </c>
      <c r="BF71" s="2" t="s">
        <v>1028</v>
      </c>
    </row>
    <row r="72" spans="1:58" ht="79.5" customHeight="1">
      <c r="A72" s="1"/>
      <c r="B72" s="1" t="s">
        <v>58</v>
      </c>
      <c r="C72" s="1" t="s">
        <v>59</v>
      </c>
      <c r="D72" s="1" t="s">
        <v>1029</v>
      </c>
      <c r="E72" s="1" t="s">
        <v>1030</v>
      </c>
      <c r="F72" s="1" t="s">
        <v>1031</v>
      </c>
      <c r="H72" s="2" t="s">
        <v>63</v>
      </c>
      <c r="I72" s="2" t="s">
        <v>64</v>
      </c>
      <c r="J72" s="2" t="s">
        <v>63</v>
      </c>
      <c r="K72" s="2" t="s">
        <v>63</v>
      </c>
      <c r="L72" s="2" t="s">
        <v>65</v>
      </c>
      <c r="N72" s="1" t="s">
        <v>1032</v>
      </c>
      <c r="O72" s="2" t="s">
        <v>1033</v>
      </c>
      <c r="Q72" s="2" t="s">
        <v>69</v>
      </c>
      <c r="R72" s="2" t="s">
        <v>70</v>
      </c>
      <c r="S72" s="1" t="s">
        <v>1034</v>
      </c>
      <c r="T72" s="2" t="s">
        <v>71</v>
      </c>
      <c r="U72" s="3">
        <v>1</v>
      </c>
      <c r="V72" s="3">
        <v>1</v>
      </c>
      <c r="W72" s="4" t="s">
        <v>1035</v>
      </c>
      <c r="X72" s="4" t="s">
        <v>1035</v>
      </c>
      <c r="Y72" s="4" t="s">
        <v>73</v>
      </c>
      <c r="Z72" s="4" t="s">
        <v>73</v>
      </c>
      <c r="AA72" s="3">
        <v>62</v>
      </c>
      <c r="AB72" s="3">
        <v>59</v>
      </c>
      <c r="AC72" s="3">
        <v>59</v>
      </c>
      <c r="AD72" s="3">
        <v>1</v>
      </c>
      <c r="AE72" s="3">
        <v>1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2" t="s">
        <v>63</v>
      </c>
      <c r="AS72" s="2" t="s">
        <v>63</v>
      </c>
      <c r="AU72" s="5" t="str">
        <f>HYPERLINK("https://creighton-primo.hosted.exlibrisgroup.com/primo-explore/search?tab=default_tab&amp;search_scope=EVERYTHING&amp;vid=01CRU&amp;lang=en_US&amp;offset=0&amp;query=any,contains,991000789599702656","Catalog Record")</f>
        <v>Catalog Record</v>
      </c>
      <c r="AV72" s="5" t="str">
        <f>HYPERLINK("http://www.worldcat.org/oclc/3706140","WorldCat Record")</f>
        <v>WorldCat Record</v>
      </c>
      <c r="AW72" s="2" t="s">
        <v>1036</v>
      </c>
      <c r="AX72" s="2" t="s">
        <v>1037</v>
      </c>
      <c r="AY72" s="2" t="s">
        <v>1038</v>
      </c>
      <c r="AZ72" s="2" t="s">
        <v>1038</v>
      </c>
      <c r="BA72" s="2" t="s">
        <v>1039</v>
      </c>
      <c r="BB72" s="2" t="s">
        <v>78</v>
      </c>
      <c r="BD72" s="2" t="s">
        <v>1040</v>
      </c>
      <c r="BE72" s="2" t="s">
        <v>1041</v>
      </c>
      <c r="BF72" s="2" t="s">
        <v>1042</v>
      </c>
    </row>
    <row r="73" spans="1:58" ht="79.5" customHeight="1">
      <c r="A73" s="1"/>
      <c r="B73" s="1" t="s">
        <v>58</v>
      </c>
      <c r="C73" s="1" t="s">
        <v>59</v>
      </c>
      <c r="D73" s="1" t="s">
        <v>1043</v>
      </c>
      <c r="E73" s="1" t="s">
        <v>1044</v>
      </c>
      <c r="F73" s="1" t="s">
        <v>1045</v>
      </c>
      <c r="H73" s="2" t="s">
        <v>63</v>
      </c>
      <c r="I73" s="2" t="s">
        <v>64</v>
      </c>
      <c r="J73" s="2" t="s">
        <v>63</v>
      </c>
      <c r="K73" s="2" t="s">
        <v>63</v>
      </c>
      <c r="L73" s="2" t="s">
        <v>65</v>
      </c>
      <c r="N73" s="1" t="s">
        <v>1046</v>
      </c>
      <c r="O73" s="2" t="s">
        <v>1047</v>
      </c>
      <c r="Q73" s="2" t="s">
        <v>69</v>
      </c>
      <c r="R73" s="2" t="s">
        <v>70</v>
      </c>
      <c r="T73" s="2" t="s">
        <v>71</v>
      </c>
      <c r="U73" s="3">
        <v>2</v>
      </c>
      <c r="V73" s="3">
        <v>2</v>
      </c>
      <c r="W73" s="4" t="s">
        <v>1048</v>
      </c>
      <c r="X73" s="4" t="s">
        <v>1048</v>
      </c>
      <c r="Y73" s="4" t="s">
        <v>410</v>
      </c>
      <c r="Z73" s="4" t="s">
        <v>410</v>
      </c>
      <c r="AA73" s="3">
        <v>773</v>
      </c>
      <c r="AB73" s="3">
        <v>668</v>
      </c>
      <c r="AC73" s="3">
        <v>753</v>
      </c>
      <c r="AD73" s="3">
        <v>5</v>
      </c>
      <c r="AE73" s="3">
        <v>5</v>
      </c>
      <c r="AF73" s="3">
        <v>26</v>
      </c>
      <c r="AG73" s="3">
        <v>31</v>
      </c>
      <c r="AH73" s="3">
        <v>6</v>
      </c>
      <c r="AI73" s="3">
        <v>9</v>
      </c>
      <c r="AJ73" s="3">
        <v>3</v>
      </c>
      <c r="AK73" s="3">
        <v>6</v>
      </c>
      <c r="AL73" s="3">
        <v>12</v>
      </c>
      <c r="AM73" s="3">
        <v>13</v>
      </c>
      <c r="AN73" s="3">
        <v>4</v>
      </c>
      <c r="AO73" s="3">
        <v>4</v>
      </c>
      <c r="AP73" s="3">
        <v>6</v>
      </c>
      <c r="AQ73" s="3">
        <v>6</v>
      </c>
      <c r="AR73" s="2" t="s">
        <v>63</v>
      </c>
      <c r="AS73" s="2" t="s">
        <v>63</v>
      </c>
      <c r="AU73" s="5" t="str">
        <f>HYPERLINK("https://creighton-primo.hosted.exlibrisgroup.com/primo-explore/search?tab=default_tab&amp;search_scope=EVERYTHING&amp;vid=01CRU&amp;lang=en_US&amp;offset=0&amp;query=any,contains,991000791409702656","Catalog Record")</f>
        <v>Catalog Record</v>
      </c>
      <c r="AV73" s="5" t="str">
        <f>HYPERLINK("http://www.worldcat.org/oclc/77800","WorldCat Record")</f>
        <v>WorldCat Record</v>
      </c>
      <c r="AW73" s="2" t="s">
        <v>1049</v>
      </c>
      <c r="AX73" s="2" t="s">
        <v>1050</v>
      </c>
      <c r="AY73" s="2" t="s">
        <v>1051</v>
      </c>
      <c r="AZ73" s="2" t="s">
        <v>1051</v>
      </c>
      <c r="BA73" s="2" t="s">
        <v>1052</v>
      </c>
      <c r="BB73" s="2" t="s">
        <v>78</v>
      </c>
      <c r="BD73" s="2" t="s">
        <v>1053</v>
      </c>
      <c r="BE73" s="2" t="s">
        <v>1054</v>
      </c>
      <c r="BF73" s="2" t="s">
        <v>1055</v>
      </c>
    </row>
    <row r="74" spans="1:58" ht="79.5" customHeight="1">
      <c r="A74" s="1"/>
      <c r="B74" s="1" t="s">
        <v>58</v>
      </c>
      <c r="C74" s="1" t="s">
        <v>59</v>
      </c>
      <c r="D74" s="1" t="s">
        <v>1056</v>
      </c>
      <c r="E74" s="1" t="s">
        <v>1057</v>
      </c>
      <c r="F74" s="1" t="s">
        <v>1058</v>
      </c>
      <c r="H74" s="2" t="s">
        <v>63</v>
      </c>
      <c r="I74" s="2" t="s">
        <v>64</v>
      </c>
      <c r="J74" s="2" t="s">
        <v>63</v>
      </c>
      <c r="K74" s="2" t="s">
        <v>63</v>
      </c>
      <c r="L74" s="2" t="s">
        <v>64</v>
      </c>
      <c r="N74" s="1" t="s">
        <v>1059</v>
      </c>
      <c r="O74" s="2" t="s">
        <v>731</v>
      </c>
      <c r="Q74" s="2" t="s">
        <v>69</v>
      </c>
      <c r="R74" s="2" t="s">
        <v>844</v>
      </c>
      <c r="T74" s="2" t="s">
        <v>71</v>
      </c>
      <c r="U74" s="3">
        <v>9</v>
      </c>
      <c r="V74" s="3">
        <v>9</v>
      </c>
      <c r="W74" s="4" t="s">
        <v>979</v>
      </c>
      <c r="X74" s="4" t="s">
        <v>979</v>
      </c>
      <c r="Y74" s="4" t="s">
        <v>1060</v>
      </c>
      <c r="Z74" s="4" t="s">
        <v>1060</v>
      </c>
      <c r="AA74" s="3">
        <v>1288</v>
      </c>
      <c r="AB74" s="3">
        <v>1141</v>
      </c>
      <c r="AC74" s="3">
        <v>1795</v>
      </c>
      <c r="AD74" s="3">
        <v>8</v>
      </c>
      <c r="AE74" s="3">
        <v>18</v>
      </c>
      <c r="AF74" s="3">
        <v>46</v>
      </c>
      <c r="AG74" s="3">
        <v>63</v>
      </c>
      <c r="AH74" s="3">
        <v>17</v>
      </c>
      <c r="AI74" s="3">
        <v>22</v>
      </c>
      <c r="AJ74" s="3">
        <v>9</v>
      </c>
      <c r="AK74" s="3">
        <v>11</v>
      </c>
      <c r="AL74" s="3">
        <v>25</v>
      </c>
      <c r="AM74" s="3">
        <v>26</v>
      </c>
      <c r="AN74" s="3">
        <v>6</v>
      </c>
      <c r="AO74" s="3">
        <v>15</v>
      </c>
      <c r="AP74" s="3">
        <v>1</v>
      </c>
      <c r="AQ74" s="3">
        <v>2</v>
      </c>
      <c r="AR74" s="2" t="s">
        <v>63</v>
      </c>
      <c r="AS74" s="2" t="s">
        <v>63</v>
      </c>
      <c r="AU74" s="5" t="str">
        <f>HYPERLINK("https://creighton-primo.hosted.exlibrisgroup.com/primo-explore/search?tab=default_tab&amp;search_scope=EVERYTHING&amp;vid=01CRU&amp;lang=en_US&amp;offset=0&amp;query=any,contains,991001249849702656","Catalog Record")</f>
        <v>Catalog Record</v>
      </c>
      <c r="AV74" s="5" t="str">
        <f>HYPERLINK("http://www.worldcat.org/oclc/34117429","WorldCat Record")</f>
        <v>WorldCat Record</v>
      </c>
      <c r="AW74" s="2" t="s">
        <v>1061</v>
      </c>
      <c r="AX74" s="2" t="s">
        <v>1062</v>
      </c>
      <c r="AY74" s="2" t="s">
        <v>1063</v>
      </c>
      <c r="AZ74" s="2" t="s">
        <v>1063</v>
      </c>
      <c r="BA74" s="2" t="s">
        <v>1064</v>
      </c>
      <c r="BB74" s="2" t="s">
        <v>78</v>
      </c>
      <c r="BD74" s="2" t="s">
        <v>1065</v>
      </c>
      <c r="BE74" s="2" t="s">
        <v>1066</v>
      </c>
      <c r="BF74" s="2" t="s">
        <v>1067</v>
      </c>
    </row>
    <row r="75" spans="1:58" ht="79.5" customHeight="1">
      <c r="A75" s="1"/>
      <c r="B75" s="1" t="s">
        <v>58</v>
      </c>
      <c r="C75" s="1" t="s">
        <v>59</v>
      </c>
      <c r="D75" s="1" t="s">
        <v>1068</v>
      </c>
      <c r="E75" s="1" t="s">
        <v>1069</v>
      </c>
      <c r="F75" s="1" t="s">
        <v>1070</v>
      </c>
      <c r="H75" s="2" t="s">
        <v>63</v>
      </c>
      <c r="I75" s="2" t="s">
        <v>64</v>
      </c>
      <c r="J75" s="2" t="s">
        <v>63</v>
      </c>
      <c r="K75" s="2" t="s">
        <v>63</v>
      </c>
      <c r="L75" s="2" t="s">
        <v>65</v>
      </c>
      <c r="M75" s="1" t="s">
        <v>1071</v>
      </c>
      <c r="N75" s="1" t="s">
        <v>1072</v>
      </c>
      <c r="O75" s="2" t="s">
        <v>277</v>
      </c>
      <c r="Q75" s="2" t="s">
        <v>69</v>
      </c>
      <c r="R75" s="2" t="s">
        <v>191</v>
      </c>
      <c r="S75" s="1" t="s">
        <v>1073</v>
      </c>
      <c r="T75" s="2" t="s">
        <v>71</v>
      </c>
      <c r="U75" s="3">
        <v>4</v>
      </c>
      <c r="V75" s="3">
        <v>4</v>
      </c>
      <c r="W75" s="4" t="s">
        <v>1074</v>
      </c>
      <c r="X75" s="4" t="s">
        <v>1074</v>
      </c>
      <c r="Y75" s="4" t="s">
        <v>73</v>
      </c>
      <c r="Z75" s="4" t="s">
        <v>73</v>
      </c>
      <c r="AA75" s="3">
        <v>1100</v>
      </c>
      <c r="AB75" s="3">
        <v>1003</v>
      </c>
      <c r="AC75" s="3">
        <v>1007</v>
      </c>
      <c r="AD75" s="3">
        <v>12</v>
      </c>
      <c r="AE75" s="3">
        <v>12</v>
      </c>
      <c r="AF75" s="3">
        <v>32</v>
      </c>
      <c r="AG75" s="3">
        <v>32</v>
      </c>
      <c r="AH75" s="3">
        <v>13</v>
      </c>
      <c r="AI75" s="3">
        <v>13</v>
      </c>
      <c r="AJ75" s="3">
        <v>6</v>
      </c>
      <c r="AK75" s="3">
        <v>6</v>
      </c>
      <c r="AL75" s="3">
        <v>17</v>
      </c>
      <c r="AM75" s="3">
        <v>17</v>
      </c>
      <c r="AN75" s="3">
        <v>5</v>
      </c>
      <c r="AO75" s="3">
        <v>5</v>
      </c>
      <c r="AP75" s="3">
        <v>0</v>
      </c>
      <c r="AQ75" s="3">
        <v>0</v>
      </c>
      <c r="AR75" s="2" t="s">
        <v>63</v>
      </c>
      <c r="AS75" s="2" t="s">
        <v>84</v>
      </c>
      <c r="AT75" s="5" t="str">
        <f>HYPERLINK("http://catalog.hathitrust.org/Record/000010393","HathiTrust Record")</f>
        <v>HathiTrust Record</v>
      </c>
      <c r="AU75" s="5" t="str">
        <f>HYPERLINK("https://creighton-primo.hosted.exlibrisgroup.com/primo-explore/search?tab=default_tab&amp;search_scope=EVERYTHING&amp;vid=01CRU&amp;lang=en_US&amp;offset=0&amp;query=any,contains,991000791369702656","Catalog Record")</f>
        <v>Catalog Record</v>
      </c>
      <c r="AV75" s="5" t="str">
        <f>HYPERLINK("http://www.worldcat.org/oclc/723005","WorldCat Record")</f>
        <v>WorldCat Record</v>
      </c>
      <c r="AW75" s="2" t="s">
        <v>1075</v>
      </c>
      <c r="AX75" s="2" t="s">
        <v>1076</v>
      </c>
      <c r="AY75" s="2" t="s">
        <v>1077</v>
      </c>
      <c r="AZ75" s="2" t="s">
        <v>1077</v>
      </c>
      <c r="BA75" s="2" t="s">
        <v>1078</v>
      </c>
      <c r="BB75" s="2" t="s">
        <v>78</v>
      </c>
      <c r="BD75" s="2" t="s">
        <v>1079</v>
      </c>
      <c r="BE75" s="2" t="s">
        <v>1080</v>
      </c>
      <c r="BF75" s="2" t="s">
        <v>1081</v>
      </c>
    </row>
    <row r="76" spans="1:58" ht="79.5" customHeight="1">
      <c r="A76" s="1"/>
      <c r="B76" s="1" t="s">
        <v>58</v>
      </c>
      <c r="C76" s="1" t="s">
        <v>59</v>
      </c>
      <c r="D76" s="1" t="s">
        <v>1082</v>
      </c>
      <c r="E76" s="1" t="s">
        <v>1083</v>
      </c>
      <c r="F76" s="1" t="s">
        <v>1084</v>
      </c>
      <c r="H76" s="2" t="s">
        <v>63</v>
      </c>
      <c r="I76" s="2" t="s">
        <v>64</v>
      </c>
      <c r="J76" s="2" t="s">
        <v>63</v>
      </c>
      <c r="K76" s="2" t="s">
        <v>63</v>
      </c>
      <c r="L76" s="2" t="s">
        <v>65</v>
      </c>
      <c r="M76" s="1" t="s">
        <v>1085</v>
      </c>
      <c r="N76" s="1" t="s">
        <v>1086</v>
      </c>
      <c r="O76" s="2" t="s">
        <v>573</v>
      </c>
      <c r="Q76" s="2" t="s">
        <v>69</v>
      </c>
      <c r="R76" s="2" t="s">
        <v>70</v>
      </c>
      <c r="S76" s="1" t="s">
        <v>1087</v>
      </c>
      <c r="T76" s="2" t="s">
        <v>71</v>
      </c>
      <c r="U76" s="3">
        <v>9</v>
      </c>
      <c r="V76" s="3">
        <v>9</v>
      </c>
      <c r="W76" s="4" t="s">
        <v>979</v>
      </c>
      <c r="X76" s="4" t="s">
        <v>979</v>
      </c>
      <c r="Y76" s="4" t="s">
        <v>1088</v>
      </c>
      <c r="Z76" s="4" t="s">
        <v>1088</v>
      </c>
      <c r="AA76" s="3">
        <v>327</v>
      </c>
      <c r="AB76" s="3">
        <v>251</v>
      </c>
      <c r="AC76" s="3">
        <v>258</v>
      </c>
      <c r="AD76" s="3">
        <v>3</v>
      </c>
      <c r="AE76" s="3">
        <v>3</v>
      </c>
      <c r="AF76" s="3">
        <v>10</v>
      </c>
      <c r="AG76" s="3">
        <v>10</v>
      </c>
      <c r="AH76" s="3">
        <v>1</v>
      </c>
      <c r="AI76" s="3">
        <v>1</v>
      </c>
      <c r="AJ76" s="3">
        <v>2</v>
      </c>
      <c r="AK76" s="3">
        <v>2</v>
      </c>
      <c r="AL76" s="3">
        <v>8</v>
      </c>
      <c r="AM76" s="3">
        <v>8</v>
      </c>
      <c r="AN76" s="3">
        <v>2</v>
      </c>
      <c r="AO76" s="3">
        <v>2</v>
      </c>
      <c r="AP76" s="3">
        <v>0</v>
      </c>
      <c r="AQ76" s="3">
        <v>0</v>
      </c>
      <c r="AR76" s="2" t="s">
        <v>63</v>
      </c>
      <c r="AS76" s="2" t="s">
        <v>84</v>
      </c>
      <c r="AT76" s="5" t="str">
        <f>HYPERLINK("http://catalog.hathitrust.org/Record/000254303","HathiTrust Record")</f>
        <v>HathiTrust Record</v>
      </c>
      <c r="AU76" s="5" t="str">
        <f>HYPERLINK("https://creighton-primo.hosted.exlibrisgroup.com/primo-explore/search?tab=default_tab&amp;search_scope=EVERYTHING&amp;vid=01CRU&amp;lang=en_US&amp;offset=0&amp;query=any,contains,991001353309702656","Catalog Record")</f>
        <v>Catalog Record</v>
      </c>
      <c r="AV76" s="5" t="str">
        <f>HYPERLINK("http://www.worldcat.org/oclc/3090116","WorldCat Record")</f>
        <v>WorldCat Record</v>
      </c>
      <c r="AW76" s="2" t="s">
        <v>1089</v>
      </c>
      <c r="AX76" s="2" t="s">
        <v>1090</v>
      </c>
      <c r="AY76" s="2" t="s">
        <v>1091</v>
      </c>
      <c r="AZ76" s="2" t="s">
        <v>1091</v>
      </c>
      <c r="BA76" s="2" t="s">
        <v>1092</v>
      </c>
      <c r="BB76" s="2" t="s">
        <v>78</v>
      </c>
      <c r="BD76" s="2" t="s">
        <v>1093</v>
      </c>
      <c r="BE76" s="2" t="s">
        <v>1094</v>
      </c>
      <c r="BF76" s="2" t="s">
        <v>1095</v>
      </c>
    </row>
    <row r="77" spans="1:58" ht="79.5" customHeight="1">
      <c r="A77" s="1"/>
      <c r="B77" s="1" t="s">
        <v>58</v>
      </c>
      <c r="C77" s="1" t="s">
        <v>59</v>
      </c>
      <c r="D77" s="1" t="s">
        <v>1096</v>
      </c>
      <c r="E77" s="1" t="s">
        <v>1097</v>
      </c>
      <c r="F77" s="1" t="s">
        <v>1098</v>
      </c>
      <c r="H77" s="2" t="s">
        <v>63</v>
      </c>
      <c r="I77" s="2" t="s">
        <v>64</v>
      </c>
      <c r="J77" s="2" t="s">
        <v>63</v>
      </c>
      <c r="K77" s="2" t="s">
        <v>84</v>
      </c>
      <c r="L77" s="2" t="s">
        <v>64</v>
      </c>
      <c r="M77" s="1" t="s">
        <v>1099</v>
      </c>
      <c r="N77" s="1" t="s">
        <v>1100</v>
      </c>
      <c r="O77" s="2" t="s">
        <v>1101</v>
      </c>
      <c r="Q77" s="2" t="s">
        <v>69</v>
      </c>
      <c r="R77" s="2" t="s">
        <v>70</v>
      </c>
      <c r="T77" s="2" t="s">
        <v>71</v>
      </c>
      <c r="U77" s="3">
        <v>2</v>
      </c>
      <c r="V77" s="3">
        <v>2</v>
      </c>
      <c r="W77" s="4" t="s">
        <v>1102</v>
      </c>
      <c r="X77" s="4" t="s">
        <v>1102</v>
      </c>
      <c r="Y77" s="4" t="s">
        <v>73</v>
      </c>
      <c r="Z77" s="4" t="s">
        <v>73</v>
      </c>
      <c r="AA77" s="3">
        <v>1005</v>
      </c>
      <c r="AB77" s="3">
        <v>878</v>
      </c>
      <c r="AC77" s="3">
        <v>2132</v>
      </c>
      <c r="AD77" s="3">
        <v>5</v>
      </c>
      <c r="AE77" s="3">
        <v>18</v>
      </c>
      <c r="AF77" s="3">
        <v>34</v>
      </c>
      <c r="AG77" s="3">
        <v>69</v>
      </c>
      <c r="AH77" s="3">
        <v>12</v>
      </c>
      <c r="AI77" s="3">
        <v>27</v>
      </c>
      <c r="AJ77" s="3">
        <v>8</v>
      </c>
      <c r="AK77" s="3">
        <v>11</v>
      </c>
      <c r="AL77" s="3">
        <v>19</v>
      </c>
      <c r="AM77" s="3">
        <v>28</v>
      </c>
      <c r="AN77" s="3">
        <v>4</v>
      </c>
      <c r="AO77" s="3">
        <v>14</v>
      </c>
      <c r="AP77" s="3">
        <v>0</v>
      </c>
      <c r="AQ77" s="3">
        <v>3</v>
      </c>
      <c r="AR77" s="2" t="s">
        <v>63</v>
      </c>
      <c r="AS77" s="2" t="s">
        <v>84</v>
      </c>
      <c r="AT77" s="5" t="str">
        <f>HYPERLINK("http://catalog.hathitrust.org/Record/000431798","HathiTrust Record")</f>
        <v>HathiTrust Record</v>
      </c>
      <c r="AU77" s="5" t="str">
        <f>HYPERLINK("https://creighton-primo.hosted.exlibrisgroup.com/primo-explore/search?tab=default_tab&amp;search_scope=EVERYTHING&amp;vid=01CRU&amp;lang=en_US&amp;offset=0&amp;query=any,contains,991000791189702656","Catalog Record")</f>
        <v>Catalog Record</v>
      </c>
      <c r="AV77" s="5" t="str">
        <f>HYPERLINK("http://www.worldcat.org/oclc/389752","WorldCat Record")</f>
        <v>WorldCat Record</v>
      </c>
      <c r="AW77" s="2" t="s">
        <v>1103</v>
      </c>
      <c r="AX77" s="2" t="s">
        <v>1104</v>
      </c>
      <c r="AY77" s="2" t="s">
        <v>1105</v>
      </c>
      <c r="AZ77" s="2" t="s">
        <v>1105</v>
      </c>
      <c r="BA77" s="2" t="s">
        <v>1106</v>
      </c>
      <c r="BB77" s="2" t="s">
        <v>78</v>
      </c>
      <c r="BD77" s="2" t="s">
        <v>1107</v>
      </c>
      <c r="BE77" s="2" t="s">
        <v>1108</v>
      </c>
      <c r="BF77" s="2" t="s">
        <v>1109</v>
      </c>
    </row>
    <row r="78" spans="1:58" ht="79.5" customHeight="1">
      <c r="A78" s="1"/>
      <c r="B78" s="1" t="s">
        <v>58</v>
      </c>
      <c r="C78" s="1" t="s">
        <v>59</v>
      </c>
      <c r="D78" s="1" t="s">
        <v>1110</v>
      </c>
      <c r="E78" s="1" t="s">
        <v>1111</v>
      </c>
      <c r="F78" s="1" t="s">
        <v>1112</v>
      </c>
      <c r="H78" s="2" t="s">
        <v>63</v>
      </c>
      <c r="I78" s="2" t="s">
        <v>64</v>
      </c>
      <c r="J78" s="2" t="s">
        <v>63</v>
      </c>
      <c r="K78" s="2" t="s">
        <v>63</v>
      </c>
      <c r="L78" s="2" t="s">
        <v>65</v>
      </c>
      <c r="M78" s="1" t="s">
        <v>1113</v>
      </c>
      <c r="N78" s="1" t="s">
        <v>1114</v>
      </c>
      <c r="O78" s="2" t="s">
        <v>534</v>
      </c>
      <c r="Q78" s="2" t="s">
        <v>69</v>
      </c>
      <c r="R78" s="2" t="s">
        <v>70</v>
      </c>
      <c r="T78" s="2" t="s">
        <v>71</v>
      </c>
      <c r="U78" s="3">
        <v>5</v>
      </c>
      <c r="V78" s="3">
        <v>5</v>
      </c>
      <c r="W78" s="4" t="s">
        <v>1102</v>
      </c>
      <c r="X78" s="4" t="s">
        <v>1102</v>
      </c>
      <c r="Y78" s="4" t="s">
        <v>73</v>
      </c>
      <c r="Z78" s="4" t="s">
        <v>73</v>
      </c>
      <c r="AA78" s="3">
        <v>1658</v>
      </c>
      <c r="AB78" s="3">
        <v>1511</v>
      </c>
      <c r="AC78" s="3">
        <v>2043</v>
      </c>
      <c r="AD78" s="3">
        <v>10</v>
      </c>
      <c r="AE78" s="3">
        <v>12</v>
      </c>
      <c r="AF78" s="3">
        <v>28</v>
      </c>
      <c r="AG78" s="3">
        <v>33</v>
      </c>
      <c r="AH78" s="3">
        <v>13</v>
      </c>
      <c r="AI78" s="3">
        <v>15</v>
      </c>
      <c r="AJ78" s="3">
        <v>9</v>
      </c>
      <c r="AK78" s="3">
        <v>9</v>
      </c>
      <c r="AL78" s="3">
        <v>10</v>
      </c>
      <c r="AM78" s="3">
        <v>13</v>
      </c>
      <c r="AN78" s="3">
        <v>2</v>
      </c>
      <c r="AO78" s="3">
        <v>3</v>
      </c>
      <c r="AP78" s="3">
        <v>0</v>
      </c>
      <c r="AQ78" s="3">
        <v>0</v>
      </c>
      <c r="AR78" s="2" t="s">
        <v>63</v>
      </c>
      <c r="AS78" s="2" t="s">
        <v>84</v>
      </c>
      <c r="AT78" s="5" t="str">
        <f>HYPERLINK("http://catalog.hathitrust.org/Record/000085462","HathiTrust Record")</f>
        <v>HathiTrust Record</v>
      </c>
      <c r="AU78" s="5" t="str">
        <f>HYPERLINK("https://creighton-primo.hosted.exlibrisgroup.com/primo-explore/search?tab=default_tab&amp;search_scope=EVERYTHING&amp;vid=01CRU&amp;lang=en_US&amp;offset=0&amp;query=any,contains,991000791019702656","Catalog Record")</f>
        <v>Catalog Record</v>
      </c>
      <c r="AV78" s="5" t="str">
        <f>HYPERLINK("http://www.worldcat.org/oclc/7170440","WorldCat Record")</f>
        <v>WorldCat Record</v>
      </c>
      <c r="AW78" s="2" t="s">
        <v>1115</v>
      </c>
      <c r="AX78" s="2" t="s">
        <v>1116</v>
      </c>
      <c r="AY78" s="2" t="s">
        <v>1117</v>
      </c>
      <c r="AZ78" s="2" t="s">
        <v>1117</v>
      </c>
      <c r="BA78" s="2" t="s">
        <v>1118</v>
      </c>
      <c r="BB78" s="2" t="s">
        <v>78</v>
      </c>
      <c r="BD78" s="2" t="s">
        <v>1119</v>
      </c>
      <c r="BE78" s="2" t="s">
        <v>1120</v>
      </c>
      <c r="BF78" s="2" t="s">
        <v>1121</v>
      </c>
    </row>
    <row r="79" spans="1:58" ht="79.5" customHeight="1">
      <c r="A79" s="1"/>
      <c r="B79" s="1" t="s">
        <v>58</v>
      </c>
      <c r="C79" s="1" t="s">
        <v>59</v>
      </c>
      <c r="D79" s="1" t="s">
        <v>1122</v>
      </c>
      <c r="E79" s="1" t="s">
        <v>1123</v>
      </c>
      <c r="F79" s="1" t="s">
        <v>1124</v>
      </c>
      <c r="H79" s="2" t="s">
        <v>63</v>
      </c>
      <c r="I79" s="2" t="s">
        <v>64</v>
      </c>
      <c r="J79" s="2" t="s">
        <v>63</v>
      </c>
      <c r="K79" s="2" t="s">
        <v>63</v>
      </c>
      <c r="L79" s="2" t="s">
        <v>65</v>
      </c>
      <c r="M79" s="1" t="s">
        <v>1125</v>
      </c>
      <c r="N79" s="1" t="s">
        <v>1126</v>
      </c>
      <c r="O79" s="2" t="s">
        <v>394</v>
      </c>
      <c r="Q79" s="2" t="s">
        <v>69</v>
      </c>
      <c r="R79" s="2" t="s">
        <v>1127</v>
      </c>
      <c r="T79" s="2" t="s">
        <v>71</v>
      </c>
      <c r="U79" s="3">
        <v>8</v>
      </c>
      <c r="V79" s="3">
        <v>8</v>
      </c>
      <c r="W79" s="4" t="s">
        <v>1128</v>
      </c>
      <c r="X79" s="4" t="s">
        <v>1128</v>
      </c>
      <c r="Y79" s="4" t="s">
        <v>73</v>
      </c>
      <c r="Z79" s="4" t="s">
        <v>73</v>
      </c>
      <c r="AA79" s="3">
        <v>126</v>
      </c>
      <c r="AB79" s="3">
        <v>121</v>
      </c>
      <c r="AC79" s="3">
        <v>605</v>
      </c>
      <c r="AD79" s="3">
        <v>1</v>
      </c>
      <c r="AE79" s="3">
        <v>3</v>
      </c>
      <c r="AF79" s="3">
        <v>6</v>
      </c>
      <c r="AG79" s="3">
        <v>13</v>
      </c>
      <c r="AH79" s="3">
        <v>1</v>
      </c>
      <c r="AI79" s="3">
        <v>3</v>
      </c>
      <c r="AJ79" s="3">
        <v>1</v>
      </c>
      <c r="AK79" s="3">
        <v>3</v>
      </c>
      <c r="AL79" s="3">
        <v>4</v>
      </c>
      <c r="AM79" s="3">
        <v>8</v>
      </c>
      <c r="AN79" s="3">
        <v>0</v>
      </c>
      <c r="AO79" s="3">
        <v>1</v>
      </c>
      <c r="AP79" s="3">
        <v>0</v>
      </c>
      <c r="AQ79" s="3">
        <v>0</v>
      </c>
      <c r="AR79" s="2" t="s">
        <v>63</v>
      </c>
      <c r="AS79" s="2" t="s">
        <v>63</v>
      </c>
      <c r="AU79" s="5" t="str">
        <f>HYPERLINK("https://creighton-primo.hosted.exlibrisgroup.com/primo-explore/search?tab=default_tab&amp;search_scope=EVERYTHING&amp;vid=01CRU&amp;lang=en_US&amp;offset=0&amp;query=any,contains,991000791049702656","Catalog Record")</f>
        <v>Catalog Record</v>
      </c>
      <c r="AV79" s="5" t="str">
        <f>HYPERLINK("http://www.worldcat.org/oclc/12656860","WorldCat Record")</f>
        <v>WorldCat Record</v>
      </c>
      <c r="AW79" s="2" t="s">
        <v>1129</v>
      </c>
      <c r="AX79" s="2" t="s">
        <v>1130</v>
      </c>
      <c r="AY79" s="2" t="s">
        <v>1131</v>
      </c>
      <c r="AZ79" s="2" t="s">
        <v>1131</v>
      </c>
      <c r="BA79" s="2" t="s">
        <v>1132</v>
      </c>
      <c r="BB79" s="2" t="s">
        <v>78</v>
      </c>
      <c r="BD79" s="2" t="s">
        <v>1133</v>
      </c>
      <c r="BE79" s="2" t="s">
        <v>1134</v>
      </c>
      <c r="BF79" s="2" t="s">
        <v>1135</v>
      </c>
    </row>
    <row r="80" spans="1:58" ht="79.5" customHeight="1">
      <c r="A80" s="1"/>
      <c r="B80" s="1" t="s">
        <v>58</v>
      </c>
      <c r="C80" s="1" t="s">
        <v>59</v>
      </c>
      <c r="D80" s="1" t="s">
        <v>1136</v>
      </c>
      <c r="E80" s="1" t="s">
        <v>1137</v>
      </c>
      <c r="F80" s="1" t="s">
        <v>1138</v>
      </c>
      <c r="H80" s="2" t="s">
        <v>63</v>
      </c>
      <c r="I80" s="2" t="s">
        <v>64</v>
      </c>
      <c r="J80" s="2" t="s">
        <v>63</v>
      </c>
      <c r="K80" s="2" t="s">
        <v>63</v>
      </c>
      <c r="L80" s="2" t="s">
        <v>65</v>
      </c>
      <c r="M80" s="1" t="s">
        <v>1139</v>
      </c>
      <c r="N80" s="1" t="s">
        <v>1140</v>
      </c>
      <c r="O80" s="2" t="s">
        <v>277</v>
      </c>
      <c r="Q80" s="2" t="s">
        <v>69</v>
      </c>
      <c r="R80" s="2" t="s">
        <v>1141</v>
      </c>
      <c r="T80" s="2" t="s">
        <v>71</v>
      </c>
      <c r="U80" s="3">
        <v>4</v>
      </c>
      <c r="V80" s="3">
        <v>4</v>
      </c>
      <c r="W80" s="4" t="s">
        <v>1142</v>
      </c>
      <c r="X80" s="4" t="s">
        <v>1142</v>
      </c>
      <c r="Y80" s="4" t="s">
        <v>73</v>
      </c>
      <c r="Z80" s="4" t="s">
        <v>73</v>
      </c>
      <c r="AA80" s="3">
        <v>336</v>
      </c>
      <c r="AB80" s="3">
        <v>308</v>
      </c>
      <c r="AC80" s="3">
        <v>308</v>
      </c>
      <c r="AD80" s="3">
        <v>5</v>
      </c>
      <c r="AE80" s="3">
        <v>5</v>
      </c>
      <c r="AF80" s="3">
        <v>14</v>
      </c>
      <c r="AG80" s="3">
        <v>14</v>
      </c>
      <c r="AH80" s="3">
        <v>7</v>
      </c>
      <c r="AI80" s="3">
        <v>7</v>
      </c>
      <c r="AJ80" s="3">
        <v>4</v>
      </c>
      <c r="AK80" s="3">
        <v>4</v>
      </c>
      <c r="AL80" s="3">
        <v>6</v>
      </c>
      <c r="AM80" s="3">
        <v>6</v>
      </c>
      <c r="AN80" s="3">
        <v>3</v>
      </c>
      <c r="AO80" s="3">
        <v>3</v>
      </c>
      <c r="AP80" s="3">
        <v>0</v>
      </c>
      <c r="AQ80" s="3">
        <v>0</v>
      </c>
      <c r="AR80" s="2" t="s">
        <v>63</v>
      </c>
      <c r="AS80" s="2" t="s">
        <v>63</v>
      </c>
      <c r="AU80" s="5" t="str">
        <f>HYPERLINK("https://creighton-primo.hosted.exlibrisgroup.com/primo-explore/search?tab=default_tab&amp;search_scope=EVERYTHING&amp;vid=01CRU&amp;lang=en_US&amp;offset=0&amp;query=any,contains,991000790969702656","Catalog Record")</f>
        <v>Catalog Record</v>
      </c>
      <c r="AV80" s="5" t="str">
        <f>HYPERLINK("http://www.worldcat.org/oclc/922896","WorldCat Record")</f>
        <v>WorldCat Record</v>
      </c>
      <c r="AW80" s="2" t="s">
        <v>1143</v>
      </c>
      <c r="AX80" s="2" t="s">
        <v>1144</v>
      </c>
      <c r="AY80" s="2" t="s">
        <v>1145</v>
      </c>
      <c r="AZ80" s="2" t="s">
        <v>1145</v>
      </c>
      <c r="BA80" s="2" t="s">
        <v>1146</v>
      </c>
      <c r="BB80" s="2" t="s">
        <v>78</v>
      </c>
      <c r="BD80" s="2" t="s">
        <v>1147</v>
      </c>
      <c r="BE80" s="2" t="s">
        <v>1148</v>
      </c>
      <c r="BF80" s="2" t="s">
        <v>1149</v>
      </c>
    </row>
    <row r="81" spans="1:58" ht="79.5" customHeight="1">
      <c r="A81" s="1"/>
      <c r="B81" s="1" t="s">
        <v>58</v>
      </c>
      <c r="C81" s="1" t="s">
        <v>59</v>
      </c>
      <c r="D81" s="1" t="s">
        <v>1150</v>
      </c>
      <c r="E81" s="1" t="s">
        <v>1151</v>
      </c>
      <c r="F81" s="1" t="s">
        <v>1152</v>
      </c>
      <c r="H81" s="2" t="s">
        <v>63</v>
      </c>
      <c r="I81" s="2" t="s">
        <v>64</v>
      </c>
      <c r="J81" s="2" t="s">
        <v>63</v>
      </c>
      <c r="K81" s="2" t="s">
        <v>63</v>
      </c>
      <c r="L81" s="2" t="s">
        <v>65</v>
      </c>
      <c r="M81" s="1" t="s">
        <v>1153</v>
      </c>
      <c r="N81" s="1" t="s">
        <v>1154</v>
      </c>
      <c r="O81" s="2" t="s">
        <v>534</v>
      </c>
      <c r="Q81" s="2" t="s">
        <v>69</v>
      </c>
      <c r="R81" s="2" t="s">
        <v>130</v>
      </c>
      <c r="S81" s="1" t="s">
        <v>1155</v>
      </c>
      <c r="T81" s="2" t="s">
        <v>71</v>
      </c>
      <c r="U81" s="3">
        <v>3</v>
      </c>
      <c r="V81" s="3">
        <v>3</v>
      </c>
      <c r="W81" s="4" t="s">
        <v>1156</v>
      </c>
      <c r="X81" s="4" t="s">
        <v>1156</v>
      </c>
      <c r="Y81" s="4" t="s">
        <v>73</v>
      </c>
      <c r="Z81" s="4" t="s">
        <v>73</v>
      </c>
      <c r="AA81" s="3">
        <v>289</v>
      </c>
      <c r="AB81" s="3">
        <v>141</v>
      </c>
      <c r="AC81" s="3">
        <v>147</v>
      </c>
      <c r="AD81" s="3">
        <v>1</v>
      </c>
      <c r="AE81" s="3">
        <v>1</v>
      </c>
      <c r="AF81" s="3">
        <v>4</v>
      </c>
      <c r="AG81" s="3">
        <v>4</v>
      </c>
      <c r="AH81" s="3">
        <v>1</v>
      </c>
      <c r="AI81" s="3">
        <v>1</v>
      </c>
      <c r="AJ81" s="3">
        <v>3</v>
      </c>
      <c r="AK81" s="3">
        <v>3</v>
      </c>
      <c r="AL81" s="3">
        <v>2</v>
      </c>
      <c r="AM81" s="3">
        <v>2</v>
      </c>
      <c r="AN81" s="3">
        <v>0</v>
      </c>
      <c r="AO81" s="3">
        <v>0</v>
      </c>
      <c r="AP81" s="3">
        <v>0</v>
      </c>
      <c r="AQ81" s="3">
        <v>0</v>
      </c>
      <c r="AR81" s="2" t="s">
        <v>63</v>
      </c>
      <c r="AS81" s="2" t="s">
        <v>63</v>
      </c>
      <c r="AU81" s="5" t="str">
        <f>HYPERLINK("https://creighton-primo.hosted.exlibrisgroup.com/primo-explore/search?tab=default_tab&amp;search_scope=EVERYTHING&amp;vid=01CRU&amp;lang=en_US&amp;offset=0&amp;query=any,contains,991000790929702656","Catalog Record")</f>
        <v>Catalog Record</v>
      </c>
      <c r="AV81" s="5" t="str">
        <f>HYPERLINK("http://www.worldcat.org/oclc/8284271","WorldCat Record")</f>
        <v>WorldCat Record</v>
      </c>
      <c r="AW81" s="2" t="s">
        <v>1157</v>
      </c>
      <c r="AX81" s="2" t="s">
        <v>1158</v>
      </c>
      <c r="AY81" s="2" t="s">
        <v>1159</v>
      </c>
      <c r="AZ81" s="2" t="s">
        <v>1159</v>
      </c>
      <c r="BA81" s="2" t="s">
        <v>1160</v>
      </c>
      <c r="BB81" s="2" t="s">
        <v>78</v>
      </c>
      <c r="BD81" s="2" t="s">
        <v>1161</v>
      </c>
      <c r="BE81" s="2" t="s">
        <v>1162</v>
      </c>
      <c r="BF81" s="2" t="s">
        <v>1163</v>
      </c>
    </row>
    <row r="82" spans="1:58" ht="79.5" customHeight="1">
      <c r="A82" s="1"/>
      <c r="B82" s="1" t="s">
        <v>58</v>
      </c>
      <c r="C82" s="1" t="s">
        <v>59</v>
      </c>
      <c r="D82" s="1" t="s">
        <v>1164</v>
      </c>
      <c r="E82" s="1" t="s">
        <v>1165</v>
      </c>
      <c r="F82" s="1" t="s">
        <v>1166</v>
      </c>
      <c r="H82" s="2" t="s">
        <v>63</v>
      </c>
      <c r="I82" s="2" t="s">
        <v>64</v>
      </c>
      <c r="J82" s="2" t="s">
        <v>63</v>
      </c>
      <c r="K82" s="2" t="s">
        <v>63</v>
      </c>
      <c r="L82" s="2" t="s">
        <v>65</v>
      </c>
      <c r="N82" s="1" t="s">
        <v>1167</v>
      </c>
      <c r="O82" s="2" t="s">
        <v>1168</v>
      </c>
      <c r="Q82" s="2" t="s">
        <v>69</v>
      </c>
      <c r="R82" s="2" t="s">
        <v>70</v>
      </c>
      <c r="S82" s="1" t="s">
        <v>1169</v>
      </c>
      <c r="T82" s="2" t="s">
        <v>71</v>
      </c>
      <c r="U82" s="3">
        <v>1</v>
      </c>
      <c r="V82" s="3">
        <v>1</v>
      </c>
      <c r="W82" s="4" t="s">
        <v>1170</v>
      </c>
      <c r="X82" s="4" t="s">
        <v>1170</v>
      </c>
      <c r="Y82" s="4" t="s">
        <v>73</v>
      </c>
      <c r="Z82" s="4" t="s">
        <v>73</v>
      </c>
      <c r="AA82" s="3">
        <v>402</v>
      </c>
      <c r="AB82" s="3">
        <v>339</v>
      </c>
      <c r="AC82" s="3">
        <v>363</v>
      </c>
      <c r="AD82" s="3">
        <v>2</v>
      </c>
      <c r="AE82" s="3">
        <v>3</v>
      </c>
      <c r="AF82" s="3">
        <v>14</v>
      </c>
      <c r="AG82" s="3">
        <v>17</v>
      </c>
      <c r="AH82" s="3">
        <v>6</v>
      </c>
      <c r="AI82" s="3">
        <v>7</v>
      </c>
      <c r="AJ82" s="3">
        <v>4</v>
      </c>
      <c r="AK82" s="3">
        <v>5</v>
      </c>
      <c r="AL82" s="3">
        <v>8</v>
      </c>
      <c r="AM82" s="3">
        <v>8</v>
      </c>
      <c r="AN82" s="3">
        <v>1</v>
      </c>
      <c r="AO82" s="3">
        <v>2</v>
      </c>
      <c r="AP82" s="3">
        <v>0</v>
      </c>
      <c r="AQ82" s="3">
        <v>0</v>
      </c>
      <c r="AR82" s="2" t="s">
        <v>63</v>
      </c>
      <c r="AS82" s="2" t="s">
        <v>84</v>
      </c>
      <c r="AT82" s="5" t="str">
        <f>HYPERLINK("http://catalog.hathitrust.org/Record/000112040","HathiTrust Record")</f>
        <v>HathiTrust Record</v>
      </c>
      <c r="AU82" s="5" t="str">
        <f>HYPERLINK("https://creighton-primo.hosted.exlibrisgroup.com/primo-explore/search?tab=default_tab&amp;search_scope=EVERYTHING&amp;vid=01CRU&amp;lang=en_US&amp;offset=0&amp;query=any,contains,991000790819702656","Catalog Record")</f>
        <v>Catalog Record</v>
      </c>
      <c r="AV82" s="5" t="str">
        <f>HYPERLINK("http://www.worldcat.org/oclc/4884766","WorldCat Record")</f>
        <v>WorldCat Record</v>
      </c>
      <c r="AW82" s="2" t="s">
        <v>1171</v>
      </c>
      <c r="AX82" s="2" t="s">
        <v>1172</v>
      </c>
      <c r="AY82" s="2" t="s">
        <v>1173</v>
      </c>
      <c r="AZ82" s="2" t="s">
        <v>1173</v>
      </c>
      <c r="BA82" s="2" t="s">
        <v>1174</v>
      </c>
      <c r="BB82" s="2" t="s">
        <v>78</v>
      </c>
      <c r="BD82" s="2" t="s">
        <v>1175</v>
      </c>
      <c r="BE82" s="2" t="s">
        <v>1176</v>
      </c>
      <c r="BF82" s="2" t="s">
        <v>1177</v>
      </c>
    </row>
    <row r="83" spans="1:58" ht="79.5" customHeight="1">
      <c r="A83" s="1"/>
      <c r="B83" s="1" t="s">
        <v>58</v>
      </c>
      <c r="C83" s="1" t="s">
        <v>59</v>
      </c>
      <c r="D83" s="1" t="s">
        <v>1178</v>
      </c>
      <c r="E83" s="1" t="s">
        <v>1179</v>
      </c>
      <c r="F83" s="1" t="s">
        <v>1180</v>
      </c>
      <c r="H83" s="2" t="s">
        <v>63</v>
      </c>
      <c r="I83" s="2" t="s">
        <v>64</v>
      </c>
      <c r="J83" s="2" t="s">
        <v>63</v>
      </c>
      <c r="K83" s="2" t="s">
        <v>63</v>
      </c>
      <c r="L83" s="2" t="s">
        <v>65</v>
      </c>
      <c r="M83" s="1" t="s">
        <v>1181</v>
      </c>
      <c r="N83" s="1" t="s">
        <v>1182</v>
      </c>
      <c r="O83" s="2" t="s">
        <v>394</v>
      </c>
      <c r="Q83" s="2" t="s">
        <v>69</v>
      </c>
      <c r="R83" s="2" t="s">
        <v>88</v>
      </c>
      <c r="T83" s="2" t="s">
        <v>71</v>
      </c>
      <c r="U83" s="3">
        <v>1</v>
      </c>
      <c r="V83" s="3">
        <v>1</v>
      </c>
      <c r="W83" s="4" t="s">
        <v>1183</v>
      </c>
      <c r="X83" s="4" t="s">
        <v>1183</v>
      </c>
      <c r="Y83" s="4" t="s">
        <v>1184</v>
      </c>
      <c r="Z83" s="4" t="s">
        <v>1184</v>
      </c>
      <c r="AA83" s="3">
        <v>423</v>
      </c>
      <c r="AB83" s="3">
        <v>377</v>
      </c>
      <c r="AC83" s="3">
        <v>379</v>
      </c>
      <c r="AD83" s="3">
        <v>2</v>
      </c>
      <c r="AE83" s="3">
        <v>2</v>
      </c>
      <c r="AF83" s="3">
        <v>14</v>
      </c>
      <c r="AG83" s="3">
        <v>14</v>
      </c>
      <c r="AH83" s="3">
        <v>5</v>
      </c>
      <c r="AI83" s="3">
        <v>5</v>
      </c>
      <c r="AJ83" s="3">
        <v>4</v>
      </c>
      <c r="AK83" s="3">
        <v>4</v>
      </c>
      <c r="AL83" s="3">
        <v>7</v>
      </c>
      <c r="AM83" s="3">
        <v>7</v>
      </c>
      <c r="AN83" s="3">
        <v>1</v>
      </c>
      <c r="AO83" s="3">
        <v>1</v>
      </c>
      <c r="AP83" s="3">
        <v>0</v>
      </c>
      <c r="AQ83" s="3">
        <v>0</v>
      </c>
      <c r="AR83" s="2" t="s">
        <v>84</v>
      </c>
      <c r="AS83" s="2" t="s">
        <v>63</v>
      </c>
      <c r="AT83" s="5" t="str">
        <f>HYPERLINK("http://catalog.hathitrust.org/Record/000653217","HathiTrust Record")</f>
        <v>HathiTrust Record</v>
      </c>
      <c r="AU83" s="5" t="str">
        <f>HYPERLINK("https://creighton-primo.hosted.exlibrisgroup.com/primo-explore/search?tab=default_tab&amp;search_scope=EVERYTHING&amp;vid=01CRU&amp;lang=en_US&amp;offset=0&amp;query=any,contains,991000773849702656","Catalog Record")</f>
        <v>Catalog Record</v>
      </c>
      <c r="AV83" s="5" t="str">
        <f>HYPERLINK("http://www.worldcat.org/oclc/11972576","WorldCat Record")</f>
        <v>WorldCat Record</v>
      </c>
      <c r="AW83" s="2" t="s">
        <v>1185</v>
      </c>
      <c r="AX83" s="2" t="s">
        <v>1186</v>
      </c>
      <c r="AY83" s="2" t="s">
        <v>1187</v>
      </c>
      <c r="AZ83" s="2" t="s">
        <v>1187</v>
      </c>
      <c r="BA83" s="2" t="s">
        <v>1188</v>
      </c>
      <c r="BB83" s="2" t="s">
        <v>78</v>
      </c>
      <c r="BD83" s="2" t="s">
        <v>1189</v>
      </c>
      <c r="BE83" s="2" t="s">
        <v>1190</v>
      </c>
      <c r="BF83" s="2" t="s">
        <v>1191</v>
      </c>
    </row>
    <row r="84" spans="1:58" ht="79.5" customHeight="1">
      <c r="A84" s="1"/>
      <c r="B84" s="1" t="s">
        <v>58</v>
      </c>
      <c r="C84" s="1" t="s">
        <v>59</v>
      </c>
      <c r="D84" s="1" t="s">
        <v>1192</v>
      </c>
      <c r="E84" s="1" t="s">
        <v>1193</v>
      </c>
      <c r="F84" s="1" t="s">
        <v>1194</v>
      </c>
      <c r="H84" s="2" t="s">
        <v>63</v>
      </c>
      <c r="I84" s="2" t="s">
        <v>64</v>
      </c>
      <c r="J84" s="2" t="s">
        <v>84</v>
      </c>
      <c r="K84" s="2" t="s">
        <v>63</v>
      </c>
      <c r="L84" s="2" t="s">
        <v>65</v>
      </c>
      <c r="M84" s="1" t="s">
        <v>1195</v>
      </c>
      <c r="N84" s="1" t="s">
        <v>1196</v>
      </c>
      <c r="O84" s="2" t="s">
        <v>394</v>
      </c>
      <c r="Q84" s="2" t="s">
        <v>69</v>
      </c>
      <c r="R84" s="2" t="s">
        <v>88</v>
      </c>
      <c r="T84" s="2" t="s">
        <v>71</v>
      </c>
      <c r="U84" s="3">
        <v>3</v>
      </c>
      <c r="V84" s="3">
        <v>3</v>
      </c>
      <c r="W84" s="4" t="s">
        <v>1102</v>
      </c>
      <c r="X84" s="4" t="s">
        <v>1102</v>
      </c>
      <c r="Y84" s="4" t="s">
        <v>73</v>
      </c>
      <c r="Z84" s="4" t="s">
        <v>73</v>
      </c>
      <c r="AA84" s="3">
        <v>348</v>
      </c>
      <c r="AB84" s="3">
        <v>288</v>
      </c>
      <c r="AC84" s="3">
        <v>290</v>
      </c>
      <c r="AD84" s="3">
        <v>5</v>
      </c>
      <c r="AE84" s="3">
        <v>5</v>
      </c>
      <c r="AF84" s="3">
        <v>14</v>
      </c>
      <c r="AG84" s="3">
        <v>14</v>
      </c>
      <c r="AH84" s="3">
        <v>5</v>
      </c>
      <c r="AI84" s="3">
        <v>5</v>
      </c>
      <c r="AJ84" s="3">
        <v>3</v>
      </c>
      <c r="AK84" s="3">
        <v>3</v>
      </c>
      <c r="AL84" s="3">
        <v>11</v>
      </c>
      <c r="AM84" s="3">
        <v>11</v>
      </c>
      <c r="AN84" s="3">
        <v>2</v>
      </c>
      <c r="AO84" s="3">
        <v>2</v>
      </c>
      <c r="AP84" s="3">
        <v>0</v>
      </c>
      <c r="AQ84" s="3">
        <v>0</v>
      </c>
      <c r="AR84" s="2" t="s">
        <v>63</v>
      </c>
      <c r="AS84" s="2" t="s">
        <v>84</v>
      </c>
      <c r="AT84" s="5" t="str">
        <f>HYPERLINK("http://catalog.hathitrust.org/Record/000616176","HathiTrust Record")</f>
        <v>HathiTrust Record</v>
      </c>
      <c r="AU84" s="5" t="str">
        <f>HYPERLINK("https://creighton-primo.hosted.exlibrisgroup.com/primo-explore/search?tab=default_tab&amp;search_scope=EVERYTHING&amp;vid=01CRU&amp;lang=en_US&amp;offset=0&amp;query=any,contains,991000790569702656","Catalog Record")</f>
        <v>Catalog Record</v>
      </c>
      <c r="AV84" s="5" t="str">
        <f>HYPERLINK("http://www.worldcat.org/oclc/11867244","WorldCat Record")</f>
        <v>WorldCat Record</v>
      </c>
      <c r="AW84" s="2" t="s">
        <v>1197</v>
      </c>
      <c r="AX84" s="2" t="s">
        <v>1198</v>
      </c>
      <c r="AY84" s="2" t="s">
        <v>1199</v>
      </c>
      <c r="AZ84" s="2" t="s">
        <v>1199</v>
      </c>
      <c r="BA84" s="2" t="s">
        <v>1200</v>
      </c>
      <c r="BB84" s="2" t="s">
        <v>78</v>
      </c>
      <c r="BD84" s="2" t="s">
        <v>1201</v>
      </c>
      <c r="BE84" s="2" t="s">
        <v>1202</v>
      </c>
      <c r="BF84" s="2" t="s">
        <v>1203</v>
      </c>
    </row>
    <row r="85" spans="1:58" ht="79.5" customHeight="1">
      <c r="A85" s="1"/>
      <c r="B85" s="1" t="s">
        <v>58</v>
      </c>
      <c r="C85" s="1" t="s">
        <v>59</v>
      </c>
      <c r="D85" s="1" t="s">
        <v>1204</v>
      </c>
      <c r="E85" s="1" t="s">
        <v>1205</v>
      </c>
      <c r="F85" s="1" t="s">
        <v>1206</v>
      </c>
      <c r="H85" s="2" t="s">
        <v>63</v>
      </c>
      <c r="I85" s="2" t="s">
        <v>64</v>
      </c>
      <c r="J85" s="2" t="s">
        <v>63</v>
      </c>
      <c r="K85" s="2" t="s">
        <v>63</v>
      </c>
      <c r="L85" s="2" t="s">
        <v>65</v>
      </c>
      <c r="M85" s="1" t="s">
        <v>1207</v>
      </c>
      <c r="O85" s="2" t="s">
        <v>263</v>
      </c>
      <c r="Q85" s="2" t="s">
        <v>69</v>
      </c>
      <c r="R85" s="2" t="s">
        <v>1208</v>
      </c>
      <c r="T85" s="2" t="s">
        <v>71</v>
      </c>
      <c r="U85" s="3">
        <v>6</v>
      </c>
      <c r="V85" s="3">
        <v>6</v>
      </c>
      <c r="W85" s="4" t="s">
        <v>1209</v>
      </c>
      <c r="X85" s="4" t="s">
        <v>1209</v>
      </c>
      <c r="Y85" s="4" t="s">
        <v>1210</v>
      </c>
      <c r="Z85" s="4" t="s">
        <v>1210</v>
      </c>
      <c r="AA85" s="3">
        <v>1</v>
      </c>
      <c r="AB85" s="3">
        <v>1</v>
      </c>
      <c r="AC85" s="3">
        <v>1</v>
      </c>
      <c r="AD85" s="3">
        <v>1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2" t="s">
        <v>63</v>
      </c>
      <c r="AS85" s="2" t="s">
        <v>63</v>
      </c>
      <c r="AU85" s="5" t="str">
        <f>HYPERLINK("https://creighton-primo.hosted.exlibrisgroup.com/primo-explore/search?tab=default_tab&amp;search_scope=EVERYTHING&amp;vid=01CRU&amp;lang=en_US&amp;offset=0&amp;query=any,contains,991001243059702656","Catalog Record")</f>
        <v>Catalog Record</v>
      </c>
      <c r="AV85" s="5" t="str">
        <f>HYPERLINK("http://www.worldcat.org/oclc/18215434","WorldCat Record")</f>
        <v>WorldCat Record</v>
      </c>
      <c r="AW85" s="2" t="s">
        <v>1211</v>
      </c>
      <c r="AX85" s="2" t="s">
        <v>1212</v>
      </c>
      <c r="AY85" s="2" t="s">
        <v>1213</v>
      </c>
      <c r="AZ85" s="2" t="s">
        <v>1213</v>
      </c>
      <c r="BA85" s="2" t="s">
        <v>1214</v>
      </c>
      <c r="BB85" s="2" t="s">
        <v>78</v>
      </c>
      <c r="BE85" s="2" t="s">
        <v>1215</v>
      </c>
      <c r="BF85" s="2" t="s">
        <v>1216</v>
      </c>
    </row>
    <row r="86" spans="1:58" ht="79.5" customHeight="1">
      <c r="A86" s="1"/>
      <c r="B86" s="1" t="s">
        <v>58</v>
      </c>
      <c r="C86" s="1" t="s">
        <v>59</v>
      </c>
      <c r="D86" s="1" t="s">
        <v>1217</v>
      </c>
      <c r="E86" s="1" t="s">
        <v>1218</v>
      </c>
      <c r="F86" s="1" t="s">
        <v>1219</v>
      </c>
      <c r="H86" s="2" t="s">
        <v>63</v>
      </c>
      <c r="I86" s="2" t="s">
        <v>64</v>
      </c>
      <c r="J86" s="2" t="s">
        <v>63</v>
      </c>
      <c r="K86" s="2" t="s">
        <v>63</v>
      </c>
      <c r="L86" s="2" t="s">
        <v>65</v>
      </c>
      <c r="M86" s="1" t="s">
        <v>1220</v>
      </c>
      <c r="N86" s="1" t="s">
        <v>1221</v>
      </c>
      <c r="O86" s="2" t="s">
        <v>220</v>
      </c>
      <c r="P86" s="1" t="s">
        <v>1222</v>
      </c>
      <c r="Q86" s="2" t="s">
        <v>69</v>
      </c>
      <c r="R86" s="2" t="s">
        <v>1223</v>
      </c>
      <c r="T86" s="2" t="s">
        <v>71</v>
      </c>
      <c r="U86" s="3">
        <v>7</v>
      </c>
      <c r="V86" s="3">
        <v>7</v>
      </c>
      <c r="W86" s="4" t="s">
        <v>1224</v>
      </c>
      <c r="X86" s="4" t="s">
        <v>1224</v>
      </c>
      <c r="Y86" s="4" t="s">
        <v>1225</v>
      </c>
      <c r="Z86" s="4" t="s">
        <v>1225</v>
      </c>
      <c r="AA86" s="3">
        <v>40</v>
      </c>
      <c r="AB86" s="3">
        <v>17</v>
      </c>
      <c r="AC86" s="3">
        <v>79</v>
      </c>
      <c r="AD86" s="3">
        <v>1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2" t="s">
        <v>63</v>
      </c>
      <c r="AS86" s="2" t="s">
        <v>63</v>
      </c>
      <c r="AU86" s="5" t="str">
        <f>HYPERLINK("https://creighton-primo.hosted.exlibrisgroup.com/primo-explore/search?tab=default_tab&amp;search_scope=EVERYTHING&amp;vid=01CRU&amp;lang=en_US&amp;offset=0&amp;query=any,contains,991001186579702656","Catalog Record")</f>
        <v>Catalog Record</v>
      </c>
      <c r="AV86" s="5" t="str">
        <f>HYPERLINK("http://www.worldcat.org/oclc/18383216","WorldCat Record")</f>
        <v>WorldCat Record</v>
      </c>
      <c r="AW86" s="2" t="s">
        <v>1226</v>
      </c>
      <c r="AX86" s="2" t="s">
        <v>1227</v>
      </c>
      <c r="AY86" s="2" t="s">
        <v>1228</v>
      </c>
      <c r="AZ86" s="2" t="s">
        <v>1228</v>
      </c>
      <c r="BA86" s="2" t="s">
        <v>1229</v>
      </c>
      <c r="BB86" s="2" t="s">
        <v>78</v>
      </c>
      <c r="BD86" s="2" t="s">
        <v>1230</v>
      </c>
      <c r="BE86" s="2" t="s">
        <v>1231</v>
      </c>
      <c r="BF86" s="2" t="s">
        <v>1232</v>
      </c>
    </row>
    <row r="87" spans="1:58" ht="79.5" customHeight="1">
      <c r="A87" s="1"/>
      <c r="B87" s="1" t="s">
        <v>58</v>
      </c>
      <c r="C87" s="1" t="s">
        <v>59</v>
      </c>
      <c r="D87" s="1" t="s">
        <v>1233</v>
      </c>
      <c r="E87" s="1" t="s">
        <v>1234</v>
      </c>
      <c r="F87" s="1" t="s">
        <v>1235</v>
      </c>
      <c r="H87" s="2" t="s">
        <v>63</v>
      </c>
      <c r="I87" s="2" t="s">
        <v>64</v>
      </c>
      <c r="J87" s="2" t="s">
        <v>63</v>
      </c>
      <c r="K87" s="2" t="s">
        <v>63</v>
      </c>
      <c r="L87" s="2" t="s">
        <v>65</v>
      </c>
      <c r="M87" s="1" t="s">
        <v>1236</v>
      </c>
      <c r="N87" s="1" t="s">
        <v>1237</v>
      </c>
      <c r="O87" s="2" t="s">
        <v>174</v>
      </c>
      <c r="Q87" s="2" t="s">
        <v>69</v>
      </c>
      <c r="R87" s="2" t="s">
        <v>70</v>
      </c>
      <c r="S87" s="1" t="s">
        <v>1238</v>
      </c>
      <c r="T87" s="2" t="s">
        <v>71</v>
      </c>
      <c r="U87" s="3">
        <v>2</v>
      </c>
      <c r="V87" s="3">
        <v>2</v>
      </c>
      <c r="W87" s="4" t="s">
        <v>1239</v>
      </c>
      <c r="X87" s="4" t="s">
        <v>1239</v>
      </c>
      <c r="Y87" s="4" t="s">
        <v>1240</v>
      </c>
      <c r="Z87" s="4" t="s">
        <v>1240</v>
      </c>
      <c r="AA87" s="3">
        <v>486</v>
      </c>
      <c r="AB87" s="3">
        <v>426</v>
      </c>
      <c r="AC87" s="3">
        <v>428</v>
      </c>
      <c r="AD87" s="3">
        <v>4</v>
      </c>
      <c r="AE87" s="3">
        <v>4</v>
      </c>
      <c r="AF87" s="3">
        <v>22</v>
      </c>
      <c r="AG87" s="3">
        <v>22</v>
      </c>
      <c r="AH87" s="3">
        <v>8</v>
      </c>
      <c r="AI87" s="3">
        <v>8</v>
      </c>
      <c r="AJ87" s="3">
        <v>4</v>
      </c>
      <c r="AK87" s="3">
        <v>4</v>
      </c>
      <c r="AL87" s="3">
        <v>12</v>
      </c>
      <c r="AM87" s="3">
        <v>12</v>
      </c>
      <c r="AN87" s="3">
        <v>2</v>
      </c>
      <c r="AO87" s="3">
        <v>2</v>
      </c>
      <c r="AP87" s="3">
        <v>0</v>
      </c>
      <c r="AQ87" s="3">
        <v>0</v>
      </c>
      <c r="AR87" s="2" t="s">
        <v>63</v>
      </c>
      <c r="AS87" s="2" t="s">
        <v>84</v>
      </c>
      <c r="AT87" s="5" t="str">
        <f>HYPERLINK("http://catalog.hathitrust.org/Record/002635504","HathiTrust Record")</f>
        <v>HathiTrust Record</v>
      </c>
      <c r="AU87" s="5" t="str">
        <f>HYPERLINK("https://creighton-primo.hosted.exlibrisgroup.com/primo-explore/search?tab=default_tab&amp;search_scope=EVERYTHING&amp;vid=01CRU&amp;lang=en_US&amp;offset=0&amp;query=any,contains,991000234229702656","Catalog Record")</f>
        <v>Catalog Record</v>
      </c>
      <c r="AV87" s="5" t="str">
        <f>HYPERLINK("http://www.worldcat.org/oclc/25784207","WorldCat Record")</f>
        <v>WorldCat Record</v>
      </c>
      <c r="AW87" s="2" t="s">
        <v>1241</v>
      </c>
      <c r="AX87" s="2" t="s">
        <v>1242</v>
      </c>
      <c r="AY87" s="2" t="s">
        <v>1243</v>
      </c>
      <c r="AZ87" s="2" t="s">
        <v>1243</v>
      </c>
      <c r="BA87" s="2" t="s">
        <v>1244</v>
      </c>
      <c r="BB87" s="2" t="s">
        <v>78</v>
      </c>
      <c r="BE87" s="2" t="s">
        <v>1245</v>
      </c>
      <c r="BF87" s="2" t="s">
        <v>1246</v>
      </c>
    </row>
    <row r="88" spans="1:58" ht="79.5" customHeight="1">
      <c r="A88" s="1"/>
      <c r="B88" s="1" t="s">
        <v>58</v>
      </c>
      <c r="C88" s="1" t="s">
        <v>59</v>
      </c>
      <c r="D88" s="1" t="s">
        <v>1247</v>
      </c>
      <c r="E88" s="1" t="s">
        <v>1248</v>
      </c>
      <c r="F88" s="1" t="s">
        <v>1249</v>
      </c>
      <c r="H88" s="2" t="s">
        <v>63</v>
      </c>
      <c r="I88" s="2" t="s">
        <v>64</v>
      </c>
      <c r="J88" s="2" t="s">
        <v>63</v>
      </c>
      <c r="K88" s="2" t="s">
        <v>63</v>
      </c>
      <c r="L88" s="2" t="s">
        <v>65</v>
      </c>
      <c r="M88" s="1" t="s">
        <v>1250</v>
      </c>
      <c r="N88" s="1" t="s">
        <v>1251</v>
      </c>
      <c r="O88" s="2" t="s">
        <v>263</v>
      </c>
      <c r="Q88" s="2" t="s">
        <v>69</v>
      </c>
      <c r="R88" s="2" t="s">
        <v>88</v>
      </c>
      <c r="T88" s="2" t="s">
        <v>71</v>
      </c>
      <c r="U88" s="3">
        <v>2</v>
      </c>
      <c r="V88" s="3">
        <v>2</v>
      </c>
      <c r="W88" s="4" t="s">
        <v>1252</v>
      </c>
      <c r="X88" s="4" t="s">
        <v>1252</v>
      </c>
      <c r="Y88" s="4" t="s">
        <v>73</v>
      </c>
      <c r="Z88" s="4" t="s">
        <v>73</v>
      </c>
      <c r="AA88" s="3">
        <v>402</v>
      </c>
      <c r="AB88" s="3">
        <v>347</v>
      </c>
      <c r="AC88" s="3">
        <v>363</v>
      </c>
      <c r="AD88" s="3">
        <v>2</v>
      </c>
      <c r="AE88" s="3">
        <v>2</v>
      </c>
      <c r="AF88" s="3">
        <v>19</v>
      </c>
      <c r="AG88" s="3">
        <v>20</v>
      </c>
      <c r="AH88" s="3">
        <v>7</v>
      </c>
      <c r="AI88" s="3">
        <v>8</v>
      </c>
      <c r="AJ88" s="3">
        <v>5</v>
      </c>
      <c r="AK88" s="3">
        <v>5</v>
      </c>
      <c r="AL88" s="3">
        <v>10</v>
      </c>
      <c r="AM88" s="3">
        <v>10</v>
      </c>
      <c r="AN88" s="3">
        <v>1</v>
      </c>
      <c r="AO88" s="3">
        <v>1</v>
      </c>
      <c r="AP88" s="3">
        <v>0</v>
      </c>
      <c r="AQ88" s="3">
        <v>0</v>
      </c>
      <c r="AR88" s="2" t="s">
        <v>63</v>
      </c>
      <c r="AS88" s="2" t="s">
        <v>63</v>
      </c>
      <c r="AU88" s="5" t="str">
        <f>HYPERLINK("https://creighton-primo.hosted.exlibrisgroup.com/primo-explore/search?tab=default_tab&amp;search_scope=EVERYTHING&amp;vid=01CRU&amp;lang=en_US&amp;offset=0&amp;query=any,contains,991000790429702656","Catalog Record")</f>
        <v>Catalog Record</v>
      </c>
      <c r="AV88" s="5" t="str">
        <f>HYPERLINK("http://www.worldcat.org/oclc/12421861","WorldCat Record")</f>
        <v>WorldCat Record</v>
      </c>
      <c r="AW88" s="2" t="s">
        <v>1253</v>
      </c>
      <c r="AX88" s="2" t="s">
        <v>1254</v>
      </c>
      <c r="AY88" s="2" t="s">
        <v>1255</v>
      </c>
      <c r="AZ88" s="2" t="s">
        <v>1255</v>
      </c>
      <c r="BA88" s="2" t="s">
        <v>1256</v>
      </c>
      <c r="BB88" s="2" t="s">
        <v>78</v>
      </c>
      <c r="BD88" s="2" t="s">
        <v>1257</v>
      </c>
      <c r="BE88" s="2" t="s">
        <v>1258</v>
      </c>
      <c r="BF88" s="2" t="s">
        <v>1259</v>
      </c>
    </row>
    <row r="89" spans="1:58" ht="79.5" customHeight="1">
      <c r="A89" s="1"/>
      <c r="B89" s="1" t="s">
        <v>58</v>
      </c>
      <c r="C89" s="1" t="s">
        <v>59</v>
      </c>
      <c r="D89" s="1" t="s">
        <v>1260</v>
      </c>
      <c r="E89" s="1" t="s">
        <v>1261</v>
      </c>
      <c r="F89" s="1" t="s">
        <v>1262</v>
      </c>
      <c r="H89" s="2" t="s">
        <v>63</v>
      </c>
      <c r="I89" s="2" t="s">
        <v>64</v>
      </c>
      <c r="J89" s="2" t="s">
        <v>63</v>
      </c>
      <c r="K89" s="2" t="s">
        <v>63</v>
      </c>
      <c r="L89" s="2" t="s">
        <v>65</v>
      </c>
      <c r="N89" s="1" t="s">
        <v>1263</v>
      </c>
      <c r="O89" s="2" t="s">
        <v>1264</v>
      </c>
      <c r="P89" s="1" t="s">
        <v>159</v>
      </c>
      <c r="Q89" s="2" t="s">
        <v>69</v>
      </c>
      <c r="R89" s="2" t="s">
        <v>191</v>
      </c>
      <c r="T89" s="2" t="s">
        <v>71</v>
      </c>
      <c r="U89" s="3">
        <v>0</v>
      </c>
      <c r="V89" s="3">
        <v>0</v>
      </c>
      <c r="W89" s="4" t="s">
        <v>1265</v>
      </c>
      <c r="X89" s="4" t="s">
        <v>1265</v>
      </c>
      <c r="Y89" s="4" t="s">
        <v>1266</v>
      </c>
      <c r="Z89" s="4" t="s">
        <v>1266</v>
      </c>
      <c r="AA89" s="3">
        <v>244</v>
      </c>
      <c r="AB89" s="3">
        <v>159</v>
      </c>
      <c r="AC89" s="3">
        <v>495</v>
      </c>
      <c r="AD89" s="3">
        <v>3</v>
      </c>
      <c r="AE89" s="3">
        <v>6</v>
      </c>
      <c r="AF89" s="3">
        <v>9</v>
      </c>
      <c r="AG89" s="3">
        <v>27</v>
      </c>
      <c r="AH89" s="3">
        <v>1</v>
      </c>
      <c r="AI89" s="3">
        <v>8</v>
      </c>
      <c r="AJ89" s="3">
        <v>2</v>
      </c>
      <c r="AK89" s="3">
        <v>4</v>
      </c>
      <c r="AL89" s="3">
        <v>6</v>
      </c>
      <c r="AM89" s="3">
        <v>16</v>
      </c>
      <c r="AN89" s="3">
        <v>2</v>
      </c>
      <c r="AO89" s="3">
        <v>5</v>
      </c>
      <c r="AP89" s="3">
        <v>0</v>
      </c>
      <c r="AQ89" s="3">
        <v>0</v>
      </c>
      <c r="AR89" s="2" t="s">
        <v>63</v>
      </c>
      <c r="AS89" s="2" t="s">
        <v>63</v>
      </c>
      <c r="AU89" s="5" t="str">
        <f>HYPERLINK("https://creighton-primo.hosted.exlibrisgroup.com/primo-explore/search?tab=default_tab&amp;search_scope=EVERYTHING&amp;vid=01CRU&amp;lang=en_US&amp;offset=0&amp;query=any,contains,991001476079702656","Catalog Record")</f>
        <v>Catalog Record</v>
      </c>
      <c r="AV89" s="5" t="str">
        <f>HYPERLINK("http://www.worldcat.org/oclc/191763341","WorldCat Record")</f>
        <v>WorldCat Record</v>
      </c>
      <c r="AW89" s="2" t="s">
        <v>1267</v>
      </c>
      <c r="AX89" s="2" t="s">
        <v>1268</v>
      </c>
      <c r="AY89" s="2" t="s">
        <v>1269</v>
      </c>
      <c r="AZ89" s="2" t="s">
        <v>1269</v>
      </c>
      <c r="BA89" s="2" t="s">
        <v>1270</v>
      </c>
      <c r="BB89" s="2" t="s">
        <v>78</v>
      </c>
      <c r="BD89" s="2" t="s">
        <v>1271</v>
      </c>
      <c r="BE89" s="2" t="s">
        <v>1272</v>
      </c>
      <c r="BF89" s="2" t="s">
        <v>1273</v>
      </c>
    </row>
    <row r="90" spans="1:58" ht="79.5" customHeight="1">
      <c r="A90" s="1"/>
      <c r="B90" s="1" t="s">
        <v>58</v>
      </c>
      <c r="C90" s="1" t="s">
        <v>59</v>
      </c>
      <c r="D90" s="1" t="s">
        <v>1274</v>
      </c>
      <c r="E90" s="1" t="s">
        <v>1275</v>
      </c>
      <c r="F90" s="1" t="s">
        <v>1276</v>
      </c>
      <c r="H90" s="2" t="s">
        <v>63</v>
      </c>
      <c r="I90" s="2" t="s">
        <v>64</v>
      </c>
      <c r="J90" s="2" t="s">
        <v>63</v>
      </c>
      <c r="K90" s="2" t="s">
        <v>63</v>
      </c>
      <c r="L90" s="2" t="s">
        <v>65</v>
      </c>
      <c r="M90" s="1" t="s">
        <v>1277</v>
      </c>
      <c r="N90" s="1" t="s">
        <v>1278</v>
      </c>
      <c r="O90" s="2" t="s">
        <v>1101</v>
      </c>
      <c r="P90" s="1" t="s">
        <v>159</v>
      </c>
      <c r="Q90" s="2" t="s">
        <v>69</v>
      </c>
      <c r="R90" s="2" t="s">
        <v>70</v>
      </c>
      <c r="T90" s="2" t="s">
        <v>71</v>
      </c>
      <c r="U90" s="3">
        <v>4</v>
      </c>
      <c r="V90" s="3">
        <v>4</v>
      </c>
      <c r="W90" s="4" t="s">
        <v>1279</v>
      </c>
      <c r="X90" s="4" t="s">
        <v>1279</v>
      </c>
      <c r="Y90" s="4" t="s">
        <v>1280</v>
      </c>
      <c r="Z90" s="4" t="s">
        <v>1280</v>
      </c>
      <c r="AA90" s="3">
        <v>598</v>
      </c>
      <c r="AB90" s="3">
        <v>498</v>
      </c>
      <c r="AC90" s="3">
        <v>1238</v>
      </c>
      <c r="AD90" s="3">
        <v>3</v>
      </c>
      <c r="AE90" s="3">
        <v>9</v>
      </c>
      <c r="AF90" s="3">
        <v>21</v>
      </c>
      <c r="AG90" s="3">
        <v>47</v>
      </c>
      <c r="AH90" s="3">
        <v>5</v>
      </c>
      <c r="AI90" s="3">
        <v>20</v>
      </c>
      <c r="AJ90" s="3">
        <v>5</v>
      </c>
      <c r="AK90" s="3">
        <v>9</v>
      </c>
      <c r="AL90" s="3">
        <v>14</v>
      </c>
      <c r="AM90" s="3">
        <v>25</v>
      </c>
      <c r="AN90" s="3">
        <v>2</v>
      </c>
      <c r="AO90" s="3">
        <v>6</v>
      </c>
      <c r="AP90" s="3">
        <v>0</v>
      </c>
      <c r="AQ90" s="3">
        <v>0</v>
      </c>
      <c r="AR90" s="2" t="s">
        <v>63</v>
      </c>
      <c r="AS90" s="2" t="s">
        <v>84</v>
      </c>
      <c r="AT90" s="5" t="str">
        <f>HYPERLINK("http://catalog.hathitrust.org/Record/000580967","HathiTrust Record")</f>
        <v>HathiTrust Record</v>
      </c>
      <c r="AU90" s="5" t="str">
        <f>HYPERLINK("https://creighton-primo.hosted.exlibrisgroup.com/primo-explore/search?tab=default_tab&amp;search_scope=EVERYTHING&amp;vid=01CRU&amp;lang=en_US&amp;offset=0&amp;query=any,contains,991000786719702656","Catalog Record")</f>
        <v>Catalog Record</v>
      </c>
      <c r="AV90" s="5" t="str">
        <f>HYPERLINK("http://www.worldcat.org/oclc/352696","WorldCat Record")</f>
        <v>WorldCat Record</v>
      </c>
      <c r="AW90" s="2" t="s">
        <v>1281</v>
      </c>
      <c r="AX90" s="2" t="s">
        <v>1282</v>
      </c>
      <c r="AY90" s="2" t="s">
        <v>1283</v>
      </c>
      <c r="AZ90" s="2" t="s">
        <v>1283</v>
      </c>
      <c r="BA90" s="2" t="s">
        <v>1284</v>
      </c>
      <c r="BB90" s="2" t="s">
        <v>78</v>
      </c>
      <c r="BD90" s="2" t="s">
        <v>1285</v>
      </c>
      <c r="BE90" s="2" t="s">
        <v>1286</v>
      </c>
      <c r="BF90" s="2" t="s">
        <v>1287</v>
      </c>
    </row>
    <row r="91" spans="1:58" ht="79.5" customHeight="1">
      <c r="A91" s="1"/>
      <c r="B91" s="1" t="s">
        <v>58</v>
      </c>
      <c r="C91" s="1" t="s">
        <v>59</v>
      </c>
      <c r="D91" s="1" t="s">
        <v>1288</v>
      </c>
      <c r="E91" s="1" t="s">
        <v>1289</v>
      </c>
      <c r="F91" s="1" t="s">
        <v>1290</v>
      </c>
      <c r="H91" s="2" t="s">
        <v>63</v>
      </c>
      <c r="I91" s="2" t="s">
        <v>64</v>
      </c>
      <c r="J91" s="2" t="s">
        <v>63</v>
      </c>
      <c r="K91" s="2" t="s">
        <v>63</v>
      </c>
      <c r="L91" s="2" t="s">
        <v>65</v>
      </c>
      <c r="M91" s="1" t="s">
        <v>1291</v>
      </c>
      <c r="N91" s="1" t="s">
        <v>1292</v>
      </c>
      <c r="O91" s="2" t="s">
        <v>1101</v>
      </c>
      <c r="P91" s="1" t="s">
        <v>830</v>
      </c>
      <c r="Q91" s="2" t="s">
        <v>69</v>
      </c>
      <c r="R91" s="2" t="s">
        <v>191</v>
      </c>
      <c r="T91" s="2" t="s">
        <v>71</v>
      </c>
      <c r="U91" s="3">
        <v>5</v>
      </c>
      <c r="V91" s="3">
        <v>5</v>
      </c>
      <c r="W91" s="4" t="s">
        <v>1293</v>
      </c>
      <c r="X91" s="4" t="s">
        <v>1293</v>
      </c>
      <c r="Y91" s="4" t="s">
        <v>1294</v>
      </c>
      <c r="Z91" s="4" t="s">
        <v>1294</v>
      </c>
      <c r="AA91" s="3">
        <v>236</v>
      </c>
      <c r="AB91" s="3">
        <v>184</v>
      </c>
      <c r="AC91" s="3">
        <v>185</v>
      </c>
      <c r="AD91" s="3">
        <v>2</v>
      </c>
      <c r="AE91" s="3">
        <v>2</v>
      </c>
      <c r="AF91" s="3">
        <v>5</v>
      </c>
      <c r="AG91" s="3">
        <v>5</v>
      </c>
      <c r="AH91" s="3">
        <v>1</v>
      </c>
      <c r="AI91" s="3">
        <v>1</v>
      </c>
      <c r="AJ91" s="3">
        <v>2</v>
      </c>
      <c r="AK91" s="3">
        <v>2</v>
      </c>
      <c r="AL91" s="3">
        <v>2</v>
      </c>
      <c r="AM91" s="3">
        <v>2</v>
      </c>
      <c r="AN91" s="3">
        <v>1</v>
      </c>
      <c r="AO91" s="3">
        <v>1</v>
      </c>
      <c r="AP91" s="3">
        <v>0</v>
      </c>
      <c r="AQ91" s="3">
        <v>0</v>
      </c>
      <c r="AR91" s="2" t="s">
        <v>63</v>
      </c>
      <c r="AS91" s="2" t="s">
        <v>84</v>
      </c>
      <c r="AT91" s="5" t="str">
        <f>HYPERLINK("http://catalog.hathitrust.org/Record/009063337","HathiTrust Record")</f>
        <v>HathiTrust Record</v>
      </c>
      <c r="AU91" s="5" t="str">
        <f>HYPERLINK("https://creighton-primo.hosted.exlibrisgroup.com/primo-explore/search?tab=default_tab&amp;search_scope=EVERYTHING&amp;vid=01CRU&amp;lang=en_US&amp;offset=0&amp;query=any,contains,991000803219702656","Catalog Record")</f>
        <v>Catalog Record</v>
      </c>
      <c r="AV91" s="5" t="str">
        <f>HYPERLINK("http://www.worldcat.org/oclc/278498","WorldCat Record")</f>
        <v>WorldCat Record</v>
      </c>
      <c r="AW91" s="2" t="s">
        <v>1295</v>
      </c>
      <c r="AX91" s="2" t="s">
        <v>1296</v>
      </c>
      <c r="AY91" s="2" t="s">
        <v>1297</v>
      </c>
      <c r="AZ91" s="2" t="s">
        <v>1297</v>
      </c>
      <c r="BA91" s="2" t="s">
        <v>1298</v>
      </c>
      <c r="BB91" s="2" t="s">
        <v>78</v>
      </c>
      <c r="BE91" s="2" t="s">
        <v>1299</v>
      </c>
      <c r="BF91" s="2" t="s">
        <v>1300</v>
      </c>
    </row>
    <row r="92" spans="1:58" ht="79.5" customHeight="1">
      <c r="A92" s="1"/>
      <c r="B92" s="1" t="s">
        <v>58</v>
      </c>
      <c r="C92" s="1" t="s">
        <v>59</v>
      </c>
      <c r="D92" s="1" t="s">
        <v>1301</v>
      </c>
      <c r="E92" s="1" t="s">
        <v>1302</v>
      </c>
      <c r="F92" s="1" t="s">
        <v>127</v>
      </c>
      <c r="H92" s="2" t="s">
        <v>84</v>
      </c>
      <c r="I92" s="2" t="s">
        <v>64</v>
      </c>
      <c r="J92" s="2" t="s">
        <v>84</v>
      </c>
      <c r="K92" s="2" t="s">
        <v>63</v>
      </c>
      <c r="L92" s="2" t="s">
        <v>65</v>
      </c>
      <c r="N92" s="1" t="s">
        <v>128</v>
      </c>
      <c r="O92" s="2" t="s">
        <v>129</v>
      </c>
      <c r="Q92" s="2" t="s">
        <v>69</v>
      </c>
      <c r="R92" s="2" t="s">
        <v>130</v>
      </c>
      <c r="T92" s="2" t="s">
        <v>71</v>
      </c>
      <c r="U92" s="3">
        <v>1</v>
      </c>
      <c r="V92" s="3">
        <v>3</v>
      </c>
      <c r="W92" s="4" t="s">
        <v>131</v>
      </c>
      <c r="X92" s="4" t="s">
        <v>131</v>
      </c>
      <c r="Y92" s="4" t="s">
        <v>131</v>
      </c>
      <c r="Z92" s="4" t="s">
        <v>131</v>
      </c>
      <c r="AA92" s="3">
        <v>754</v>
      </c>
      <c r="AB92" s="3">
        <v>552</v>
      </c>
      <c r="AC92" s="3">
        <v>563</v>
      </c>
      <c r="AD92" s="3">
        <v>5</v>
      </c>
      <c r="AE92" s="3">
        <v>5</v>
      </c>
      <c r="AF92" s="3">
        <v>23</v>
      </c>
      <c r="AG92" s="3">
        <v>24</v>
      </c>
      <c r="AH92" s="3">
        <v>5</v>
      </c>
      <c r="AI92" s="3">
        <v>6</v>
      </c>
      <c r="AJ92" s="3">
        <v>6</v>
      </c>
      <c r="AK92" s="3">
        <v>6</v>
      </c>
      <c r="AL92" s="3">
        <v>14</v>
      </c>
      <c r="AM92" s="3">
        <v>15</v>
      </c>
      <c r="AN92" s="3">
        <v>4</v>
      </c>
      <c r="AO92" s="3">
        <v>4</v>
      </c>
      <c r="AP92" s="3">
        <v>0</v>
      </c>
      <c r="AQ92" s="3">
        <v>0</v>
      </c>
      <c r="AR92" s="2" t="s">
        <v>63</v>
      </c>
      <c r="AS92" s="2" t="s">
        <v>63</v>
      </c>
      <c r="AU92" s="5" t="str">
        <f>HYPERLINK("https://creighton-primo.hosted.exlibrisgroup.com/primo-explore/search?tab=default_tab&amp;search_scope=EVERYTHING&amp;vid=01CRU&amp;lang=en_US&amp;offset=0&amp;query=any,contains,991000671639702656","Catalog Record")</f>
        <v>Catalog Record</v>
      </c>
      <c r="AV92" s="5" t="str">
        <f>HYPERLINK("http://www.worldcat.org/oclc/29703951","WorldCat Record")</f>
        <v>WorldCat Record</v>
      </c>
      <c r="AW92" s="2" t="s">
        <v>132</v>
      </c>
      <c r="AX92" s="2" t="s">
        <v>133</v>
      </c>
      <c r="AY92" s="2" t="s">
        <v>134</v>
      </c>
      <c r="AZ92" s="2" t="s">
        <v>134</v>
      </c>
      <c r="BA92" s="2" t="s">
        <v>135</v>
      </c>
      <c r="BB92" s="2" t="s">
        <v>78</v>
      </c>
      <c r="BD92" s="2" t="s">
        <v>136</v>
      </c>
      <c r="BE92" s="2" t="s">
        <v>1303</v>
      </c>
      <c r="BF92" s="2" t="s">
        <v>1304</v>
      </c>
    </row>
    <row r="93" spans="1:58" ht="79.5" customHeight="1">
      <c r="A93" s="1"/>
      <c r="B93" s="1" t="s">
        <v>58</v>
      </c>
      <c r="C93" s="1" t="s">
        <v>59</v>
      </c>
      <c r="D93" s="1" t="s">
        <v>1305</v>
      </c>
      <c r="E93" s="1" t="s">
        <v>1306</v>
      </c>
      <c r="F93" s="1" t="s">
        <v>1307</v>
      </c>
      <c r="H93" s="2" t="s">
        <v>63</v>
      </c>
      <c r="I93" s="2" t="s">
        <v>64</v>
      </c>
      <c r="J93" s="2" t="s">
        <v>63</v>
      </c>
      <c r="K93" s="2" t="s">
        <v>63</v>
      </c>
      <c r="L93" s="2" t="s">
        <v>64</v>
      </c>
      <c r="M93" s="1" t="s">
        <v>1308</v>
      </c>
      <c r="N93" s="1" t="s">
        <v>1309</v>
      </c>
      <c r="O93" s="2" t="s">
        <v>1310</v>
      </c>
      <c r="Q93" s="2" t="s">
        <v>69</v>
      </c>
      <c r="R93" s="2" t="s">
        <v>70</v>
      </c>
      <c r="T93" s="2" t="s">
        <v>71</v>
      </c>
      <c r="U93" s="3">
        <v>3</v>
      </c>
      <c r="V93" s="3">
        <v>3</v>
      </c>
      <c r="W93" s="4" t="s">
        <v>1311</v>
      </c>
      <c r="X93" s="4" t="s">
        <v>1311</v>
      </c>
      <c r="Y93" s="4" t="s">
        <v>1312</v>
      </c>
      <c r="Z93" s="4" t="s">
        <v>1312</v>
      </c>
      <c r="AA93" s="3">
        <v>780</v>
      </c>
      <c r="AB93" s="3">
        <v>730</v>
      </c>
      <c r="AC93" s="3">
        <v>2102</v>
      </c>
      <c r="AD93" s="3">
        <v>4</v>
      </c>
      <c r="AE93" s="3">
        <v>18</v>
      </c>
      <c r="AF93" s="3">
        <v>29</v>
      </c>
      <c r="AG93" s="3">
        <v>66</v>
      </c>
      <c r="AH93" s="3">
        <v>12</v>
      </c>
      <c r="AI93" s="3">
        <v>23</v>
      </c>
      <c r="AJ93" s="3">
        <v>8</v>
      </c>
      <c r="AK93" s="3">
        <v>12</v>
      </c>
      <c r="AL93" s="3">
        <v>14</v>
      </c>
      <c r="AM93" s="3">
        <v>25</v>
      </c>
      <c r="AN93" s="3">
        <v>3</v>
      </c>
      <c r="AO93" s="3">
        <v>16</v>
      </c>
      <c r="AP93" s="3">
        <v>0</v>
      </c>
      <c r="AQ93" s="3">
        <v>2</v>
      </c>
      <c r="AR93" s="2" t="s">
        <v>63</v>
      </c>
      <c r="AS93" s="2" t="s">
        <v>63</v>
      </c>
      <c r="AT93" s="5" t="str">
        <f>HYPERLINK("http://catalog.hathitrust.org/Record/000355011","HathiTrust Record")</f>
        <v>HathiTrust Record</v>
      </c>
      <c r="AU93" s="5" t="str">
        <f>HYPERLINK("https://creighton-primo.hosted.exlibrisgroup.com/primo-explore/search?tab=default_tab&amp;search_scope=EVERYTHING&amp;vid=01CRU&amp;lang=en_US&amp;offset=0&amp;query=any,contains,991001130679702656","Catalog Record")</f>
        <v>Catalog Record</v>
      </c>
      <c r="AV93" s="5" t="str">
        <f>HYPERLINK("http://www.worldcat.org/oclc/192097","WorldCat Record")</f>
        <v>WorldCat Record</v>
      </c>
      <c r="AW93" s="2" t="s">
        <v>1313</v>
      </c>
      <c r="AX93" s="2" t="s">
        <v>1314</v>
      </c>
      <c r="AY93" s="2" t="s">
        <v>1315</v>
      </c>
      <c r="AZ93" s="2" t="s">
        <v>1315</v>
      </c>
      <c r="BA93" s="2" t="s">
        <v>1316</v>
      </c>
      <c r="BB93" s="2" t="s">
        <v>78</v>
      </c>
      <c r="BE93" s="2" t="s">
        <v>1317</v>
      </c>
      <c r="BF93" s="2" t="s">
        <v>1318</v>
      </c>
    </row>
    <row r="94" spans="1:58" ht="79.5" customHeight="1">
      <c r="A94" s="1"/>
      <c r="B94" s="1" t="s">
        <v>58</v>
      </c>
      <c r="C94" s="1" t="s">
        <v>59</v>
      </c>
      <c r="D94" s="1" t="s">
        <v>1319</v>
      </c>
      <c r="E94" s="1" t="s">
        <v>1320</v>
      </c>
      <c r="F94" s="1" t="s">
        <v>1321</v>
      </c>
      <c r="H94" s="2" t="s">
        <v>63</v>
      </c>
      <c r="I94" s="2" t="s">
        <v>64</v>
      </c>
      <c r="J94" s="2" t="s">
        <v>63</v>
      </c>
      <c r="K94" s="2" t="s">
        <v>63</v>
      </c>
      <c r="L94" s="2" t="s">
        <v>65</v>
      </c>
      <c r="M94" s="1" t="s">
        <v>1322</v>
      </c>
      <c r="N94" s="1" t="s">
        <v>1323</v>
      </c>
      <c r="O94" s="2" t="s">
        <v>394</v>
      </c>
      <c r="Q94" s="2" t="s">
        <v>69</v>
      </c>
      <c r="R94" s="2" t="s">
        <v>88</v>
      </c>
      <c r="T94" s="2" t="s">
        <v>71</v>
      </c>
      <c r="U94" s="3">
        <v>9</v>
      </c>
      <c r="V94" s="3">
        <v>9</v>
      </c>
      <c r="W94" s="4" t="s">
        <v>1324</v>
      </c>
      <c r="X94" s="4" t="s">
        <v>1324</v>
      </c>
      <c r="Y94" s="4" t="s">
        <v>1325</v>
      </c>
      <c r="Z94" s="4" t="s">
        <v>1325</v>
      </c>
      <c r="AA94" s="3">
        <v>409</v>
      </c>
      <c r="AB94" s="3">
        <v>360</v>
      </c>
      <c r="AC94" s="3">
        <v>361</v>
      </c>
      <c r="AD94" s="3">
        <v>4</v>
      </c>
      <c r="AE94" s="3">
        <v>4</v>
      </c>
      <c r="AF94" s="3">
        <v>18</v>
      </c>
      <c r="AG94" s="3">
        <v>18</v>
      </c>
      <c r="AH94" s="3">
        <v>5</v>
      </c>
      <c r="AI94" s="3">
        <v>5</v>
      </c>
      <c r="AJ94" s="3">
        <v>3</v>
      </c>
      <c r="AK94" s="3">
        <v>3</v>
      </c>
      <c r="AL94" s="3">
        <v>11</v>
      </c>
      <c r="AM94" s="3">
        <v>11</v>
      </c>
      <c r="AN94" s="3">
        <v>3</v>
      </c>
      <c r="AO94" s="3">
        <v>3</v>
      </c>
      <c r="AP94" s="3">
        <v>0</v>
      </c>
      <c r="AQ94" s="3">
        <v>0</v>
      </c>
      <c r="AR94" s="2" t="s">
        <v>63</v>
      </c>
      <c r="AS94" s="2" t="s">
        <v>84</v>
      </c>
      <c r="AT94" s="5" t="str">
        <f>HYPERLINK("http://catalog.hathitrust.org/Record/000652780","HathiTrust Record")</f>
        <v>HathiTrust Record</v>
      </c>
      <c r="AU94" s="5" t="str">
        <f>HYPERLINK("https://creighton-primo.hosted.exlibrisgroup.com/primo-explore/search?tab=default_tab&amp;search_scope=EVERYTHING&amp;vid=01CRU&amp;lang=en_US&amp;offset=0&amp;query=any,contains,991000938939702656","Catalog Record")</f>
        <v>Catalog Record</v>
      </c>
      <c r="AV94" s="5" t="str">
        <f>HYPERLINK("http://www.worldcat.org/oclc/10997277","WorldCat Record")</f>
        <v>WorldCat Record</v>
      </c>
      <c r="AW94" s="2" t="s">
        <v>1326</v>
      </c>
      <c r="AX94" s="2" t="s">
        <v>1327</v>
      </c>
      <c r="AY94" s="2" t="s">
        <v>1328</v>
      </c>
      <c r="AZ94" s="2" t="s">
        <v>1328</v>
      </c>
      <c r="BA94" s="2" t="s">
        <v>1329</v>
      </c>
      <c r="BB94" s="2" t="s">
        <v>78</v>
      </c>
      <c r="BD94" s="2" t="s">
        <v>1330</v>
      </c>
      <c r="BE94" s="2" t="s">
        <v>1331</v>
      </c>
      <c r="BF94" s="2" t="s">
        <v>1332</v>
      </c>
    </row>
    <row r="95" spans="1:58" ht="79.5" customHeight="1">
      <c r="A95" s="1"/>
      <c r="B95" s="1" t="s">
        <v>58</v>
      </c>
      <c r="C95" s="1" t="s">
        <v>59</v>
      </c>
      <c r="D95" s="1" t="s">
        <v>1333</v>
      </c>
      <c r="E95" s="1" t="s">
        <v>1334</v>
      </c>
      <c r="F95" s="1" t="s">
        <v>1335</v>
      </c>
      <c r="H95" s="2" t="s">
        <v>63</v>
      </c>
      <c r="I95" s="2" t="s">
        <v>64</v>
      </c>
      <c r="J95" s="2" t="s">
        <v>63</v>
      </c>
      <c r="K95" s="2" t="s">
        <v>63</v>
      </c>
      <c r="L95" s="2" t="s">
        <v>65</v>
      </c>
      <c r="M95" s="1" t="s">
        <v>1336</v>
      </c>
      <c r="N95" s="1" t="s">
        <v>1337</v>
      </c>
      <c r="O95" s="2" t="s">
        <v>1338</v>
      </c>
      <c r="Q95" s="2" t="s">
        <v>69</v>
      </c>
      <c r="R95" s="2" t="s">
        <v>70</v>
      </c>
      <c r="T95" s="2" t="s">
        <v>71</v>
      </c>
      <c r="U95" s="3">
        <v>2</v>
      </c>
      <c r="V95" s="3">
        <v>2</v>
      </c>
      <c r="W95" s="4" t="s">
        <v>1339</v>
      </c>
      <c r="X95" s="4" t="s">
        <v>1339</v>
      </c>
      <c r="Y95" s="4" t="s">
        <v>90</v>
      </c>
      <c r="Z95" s="4" t="s">
        <v>90</v>
      </c>
      <c r="AA95" s="3">
        <v>477</v>
      </c>
      <c r="AB95" s="3">
        <v>369</v>
      </c>
      <c r="AC95" s="3">
        <v>508</v>
      </c>
      <c r="AD95" s="3">
        <v>3</v>
      </c>
      <c r="AE95" s="3">
        <v>3</v>
      </c>
      <c r="AF95" s="3">
        <v>14</v>
      </c>
      <c r="AG95" s="3">
        <v>19</v>
      </c>
      <c r="AH95" s="3">
        <v>5</v>
      </c>
      <c r="AI95" s="3">
        <v>7</v>
      </c>
      <c r="AJ95" s="3">
        <v>3</v>
      </c>
      <c r="AK95" s="3">
        <v>4</v>
      </c>
      <c r="AL95" s="3">
        <v>8</v>
      </c>
      <c r="AM95" s="3">
        <v>12</v>
      </c>
      <c r="AN95" s="3">
        <v>2</v>
      </c>
      <c r="AO95" s="3">
        <v>2</v>
      </c>
      <c r="AP95" s="3">
        <v>0</v>
      </c>
      <c r="AQ95" s="3">
        <v>0</v>
      </c>
      <c r="AR95" s="2" t="s">
        <v>63</v>
      </c>
      <c r="AS95" s="2" t="s">
        <v>84</v>
      </c>
      <c r="AT95" s="5" t="str">
        <f>HYPERLINK("http://catalog.hathitrust.org/Record/000041718","HathiTrust Record")</f>
        <v>HathiTrust Record</v>
      </c>
      <c r="AU95" s="5" t="str">
        <f>HYPERLINK("https://creighton-primo.hosted.exlibrisgroup.com/primo-explore/search?tab=default_tab&amp;search_scope=EVERYTHING&amp;vid=01CRU&amp;lang=en_US&amp;offset=0&amp;query=any,contains,991000786999702656","Catalog Record")</f>
        <v>Catalog Record</v>
      </c>
      <c r="AV95" s="5" t="str">
        <f>HYPERLINK("http://www.worldcat.org/oclc/4493228","WorldCat Record")</f>
        <v>WorldCat Record</v>
      </c>
      <c r="AW95" s="2" t="s">
        <v>1340</v>
      </c>
      <c r="AX95" s="2" t="s">
        <v>1341</v>
      </c>
      <c r="AY95" s="2" t="s">
        <v>1342</v>
      </c>
      <c r="AZ95" s="2" t="s">
        <v>1342</v>
      </c>
      <c r="BA95" s="2" t="s">
        <v>1343</v>
      </c>
      <c r="BB95" s="2" t="s">
        <v>78</v>
      </c>
      <c r="BD95" s="2" t="s">
        <v>1344</v>
      </c>
      <c r="BE95" s="2" t="s">
        <v>1345</v>
      </c>
      <c r="BF95" s="2" t="s">
        <v>1346</v>
      </c>
    </row>
    <row r="96" spans="1:58" ht="79.5" customHeight="1">
      <c r="A96" s="1"/>
      <c r="B96" s="1" t="s">
        <v>58</v>
      </c>
      <c r="C96" s="1" t="s">
        <v>59</v>
      </c>
      <c r="D96" s="1" t="s">
        <v>1347</v>
      </c>
      <c r="E96" s="1" t="s">
        <v>1348</v>
      </c>
      <c r="F96" s="1" t="s">
        <v>1349</v>
      </c>
      <c r="H96" s="2" t="s">
        <v>63</v>
      </c>
      <c r="I96" s="2" t="s">
        <v>64</v>
      </c>
      <c r="J96" s="2" t="s">
        <v>63</v>
      </c>
      <c r="K96" s="2" t="s">
        <v>63</v>
      </c>
      <c r="L96" s="2" t="s">
        <v>65</v>
      </c>
      <c r="N96" s="1" t="s">
        <v>1350</v>
      </c>
      <c r="O96" s="2" t="s">
        <v>1351</v>
      </c>
      <c r="Q96" s="2" t="s">
        <v>69</v>
      </c>
      <c r="R96" s="2" t="s">
        <v>351</v>
      </c>
      <c r="T96" s="2" t="s">
        <v>71</v>
      </c>
      <c r="U96" s="3">
        <v>3</v>
      </c>
      <c r="V96" s="3">
        <v>3</v>
      </c>
      <c r="W96" s="4" t="s">
        <v>1352</v>
      </c>
      <c r="X96" s="4" t="s">
        <v>1352</v>
      </c>
      <c r="Y96" s="4" t="s">
        <v>1353</v>
      </c>
      <c r="Z96" s="4" t="s">
        <v>1353</v>
      </c>
      <c r="AA96" s="3">
        <v>313</v>
      </c>
      <c r="AB96" s="3">
        <v>227</v>
      </c>
      <c r="AC96" s="3">
        <v>290</v>
      </c>
      <c r="AD96" s="3">
        <v>4</v>
      </c>
      <c r="AE96" s="3">
        <v>4</v>
      </c>
      <c r="AF96" s="3">
        <v>17</v>
      </c>
      <c r="AG96" s="3">
        <v>19</v>
      </c>
      <c r="AH96" s="3">
        <v>5</v>
      </c>
      <c r="AI96" s="3">
        <v>6</v>
      </c>
      <c r="AJ96" s="3">
        <v>5</v>
      </c>
      <c r="AK96" s="3">
        <v>6</v>
      </c>
      <c r="AL96" s="3">
        <v>9</v>
      </c>
      <c r="AM96" s="3">
        <v>9</v>
      </c>
      <c r="AN96" s="3">
        <v>3</v>
      </c>
      <c r="AO96" s="3">
        <v>3</v>
      </c>
      <c r="AP96" s="3">
        <v>0</v>
      </c>
      <c r="AQ96" s="3">
        <v>0</v>
      </c>
      <c r="AR96" s="2" t="s">
        <v>63</v>
      </c>
      <c r="AS96" s="2" t="s">
        <v>84</v>
      </c>
      <c r="AT96" s="5" t="str">
        <f>HYPERLINK("http://catalog.hathitrust.org/Record/004276862","HathiTrust Record")</f>
        <v>HathiTrust Record</v>
      </c>
      <c r="AU96" s="5" t="str">
        <f>HYPERLINK("https://creighton-primo.hosted.exlibrisgroup.com/primo-explore/search?tab=default_tab&amp;search_scope=EVERYTHING&amp;vid=01CRU&amp;lang=en_US&amp;offset=0&amp;query=any,contains,991000329749702656","Catalog Record")</f>
        <v>Catalog Record</v>
      </c>
      <c r="AV96" s="5" t="str">
        <f>HYPERLINK("http://www.worldcat.org/oclc/49795362","WorldCat Record")</f>
        <v>WorldCat Record</v>
      </c>
      <c r="AW96" s="2" t="s">
        <v>1354</v>
      </c>
      <c r="AX96" s="2" t="s">
        <v>1355</v>
      </c>
      <c r="AY96" s="2" t="s">
        <v>1356</v>
      </c>
      <c r="AZ96" s="2" t="s">
        <v>1356</v>
      </c>
      <c r="BA96" s="2" t="s">
        <v>1357</v>
      </c>
      <c r="BB96" s="2" t="s">
        <v>78</v>
      </c>
      <c r="BD96" s="2" t="s">
        <v>1358</v>
      </c>
      <c r="BE96" s="2" t="s">
        <v>1359</v>
      </c>
      <c r="BF96" s="2" t="s">
        <v>1360</v>
      </c>
    </row>
    <row r="97" spans="1:58" ht="79.5" customHeight="1">
      <c r="A97" s="1"/>
      <c r="B97" s="1" t="s">
        <v>58</v>
      </c>
      <c r="C97" s="1" t="s">
        <v>59</v>
      </c>
      <c r="D97" s="1" t="s">
        <v>1361</v>
      </c>
      <c r="E97" s="1" t="s">
        <v>1362</v>
      </c>
      <c r="F97" s="1" t="s">
        <v>1363</v>
      </c>
      <c r="H97" s="2" t="s">
        <v>63</v>
      </c>
      <c r="I97" s="2" t="s">
        <v>64</v>
      </c>
      <c r="J97" s="2" t="s">
        <v>63</v>
      </c>
      <c r="K97" s="2" t="s">
        <v>84</v>
      </c>
      <c r="L97" s="2" t="s">
        <v>65</v>
      </c>
      <c r="M97" s="1" t="s">
        <v>1364</v>
      </c>
      <c r="N97" s="1" t="s">
        <v>1365</v>
      </c>
      <c r="O97" s="2" t="s">
        <v>559</v>
      </c>
      <c r="P97" s="1" t="s">
        <v>159</v>
      </c>
      <c r="Q97" s="2" t="s">
        <v>69</v>
      </c>
      <c r="R97" s="2" t="s">
        <v>1366</v>
      </c>
      <c r="T97" s="2" t="s">
        <v>71</v>
      </c>
      <c r="U97" s="3">
        <v>0</v>
      </c>
      <c r="V97" s="3">
        <v>0</v>
      </c>
      <c r="W97" s="4" t="s">
        <v>1367</v>
      </c>
      <c r="X97" s="4" t="s">
        <v>1367</v>
      </c>
      <c r="Y97" s="4" t="s">
        <v>1368</v>
      </c>
      <c r="Z97" s="4" t="s">
        <v>1368</v>
      </c>
      <c r="AA97" s="3">
        <v>345</v>
      </c>
      <c r="AB97" s="3">
        <v>220</v>
      </c>
      <c r="AC97" s="3">
        <v>693</v>
      </c>
      <c r="AD97" s="3">
        <v>3</v>
      </c>
      <c r="AE97" s="3">
        <v>12</v>
      </c>
      <c r="AF97" s="3">
        <v>7</v>
      </c>
      <c r="AG97" s="3">
        <v>32</v>
      </c>
      <c r="AH97" s="3">
        <v>2</v>
      </c>
      <c r="AI97" s="3">
        <v>14</v>
      </c>
      <c r="AJ97" s="3">
        <v>1</v>
      </c>
      <c r="AK97" s="3">
        <v>3</v>
      </c>
      <c r="AL97" s="3">
        <v>4</v>
      </c>
      <c r="AM97" s="3">
        <v>13</v>
      </c>
      <c r="AN97" s="3">
        <v>2</v>
      </c>
      <c r="AO97" s="3">
        <v>10</v>
      </c>
      <c r="AP97" s="3">
        <v>0</v>
      </c>
      <c r="AQ97" s="3">
        <v>0</v>
      </c>
      <c r="AR97" s="2" t="s">
        <v>63</v>
      </c>
      <c r="AS97" s="2" t="s">
        <v>84</v>
      </c>
      <c r="AT97" s="5" t="str">
        <f>HYPERLINK("http://catalog.hathitrust.org/Record/004766086","HathiTrust Record")</f>
        <v>HathiTrust Record</v>
      </c>
      <c r="AU97" s="5" t="str">
        <f>HYPERLINK("https://creighton-primo.hosted.exlibrisgroup.com/primo-explore/search?tab=default_tab&amp;search_scope=EVERYTHING&amp;vid=01CRU&amp;lang=en_US&amp;offset=0&amp;query=any,contains,991000405749702656","Catalog Record")</f>
        <v>Catalog Record</v>
      </c>
      <c r="AV97" s="5" t="str">
        <f>HYPERLINK("http://www.worldcat.org/oclc/53485359","WorldCat Record")</f>
        <v>WorldCat Record</v>
      </c>
      <c r="AW97" s="2" t="s">
        <v>1369</v>
      </c>
      <c r="AX97" s="2" t="s">
        <v>1370</v>
      </c>
      <c r="AY97" s="2" t="s">
        <v>1371</v>
      </c>
      <c r="AZ97" s="2" t="s">
        <v>1371</v>
      </c>
      <c r="BA97" s="2" t="s">
        <v>1372</v>
      </c>
      <c r="BB97" s="2" t="s">
        <v>78</v>
      </c>
      <c r="BD97" s="2" t="s">
        <v>1373</v>
      </c>
      <c r="BE97" s="2" t="s">
        <v>1374</v>
      </c>
      <c r="BF97" s="2" t="s">
        <v>1375</v>
      </c>
    </row>
    <row r="98" spans="1:58" ht="79.5" customHeight="1">
      <c r="A98" s="1"/>
      <c r="B98" s="1" t="s">
        <v>58</v>
      </c>
      <c r="C98" s="1" t="s">
        <v>59</v>
      </c>
      <c r="D98" s="1" t="s">
        <v>1376</v>
      </c>
      <c r="E98" s="1" t="s">
        <v>1377</v>
      </c>
      <c r="F98" s="1" t="s">
        <v>1378</v>
      </c>
      <c r="G98" s="2" t="s">
        <v>1379</v>
      </c>
      <c r="H98" s="2" t="s">
        <v>84</v>
      </c>
      <c r="I98" s="2" t="s">
        <v>64</v>
      </c>
      <c r="J98" s="2" t="s">
        <v>84</v>
      </c>
      <c r="K98" s="2" t="s">
        <v>63</v>
      </c>
      <c r="L98" s="2" t="s">
        <v>65</v>
      </c>
      <c r="N98" s="1" t="s">
        <v>1380</v>
      </c>
      <c r="O98" s="2" t="s">
        <v>129</v>
      </c>
      <c r="Q98" s="2" t="s">
        <v>69</v>
      </c>
      <c r="R98" s="2" t="s">
        <v>351</v>
      </c>
      <c r="T98" s="2" t="s">
        <v>71</v>
      </c>
      <c r="U98" s="3">
        <v>2</v>
      </c>
      <c r="V98" s="3">
        <v>36</v>
      </c>
      <c r="W98" s="4" t="s">
        <v>1381</v>
      </c>
      <c r="X98" s="4" t="s">
        <v>1382</v>
      </c>
      <c r="Y98" s="4" t="s">
        <v>1383</v>
      </c>
      <c r="Z98" s="4" t="s">
        <v>1383</v>
      </c>
      <c r="AA98" s="3">
        <v>953</v>
      </c>
      <c r="AB98" s="3">
        <v>783</v>
      </c>
      <c r="AC98" s="3">
        <v>786</v>
      </c>
      <c r="AD98" s="3">
        <v>7</v>
      </c>
      <c r="AE98" s="3">
        <v>7</v>
      </c>
      <c r="AF98" s="3">
        <v>25</v>
      </c>
      <c r="AG98" s="3">
        <v>25</v>
      </c>
      <c r="AH98" s="3">
        <v>8</v>
      </c>
      <c r="AI98" s="3">
        <v>8</v>
      </c>
      <c r="AJ98" s="3">
        <v>5</v>
      </c>
      <c r="AK98" s="3">
        <v>5</v>
      </c>
      <c r="AL98" s="3">
        <v>12</v>
      </c>
      <c r="AM98" s="3">
        <v>12</v>
      </c>
      <c r="AN98" s="3">
        <v>5</v>
      </c>
      <c r="AO98" s="3">
        <v>5</v>
      </c>
      <c r="AP98" s="3">
        <v>0</v>
      </c>
      <c r="AQ98" s="3">
        <v>0</v>
      </c>
      <c r="AR98" s="2" t="s">
        <v>63</v>
      </c>
      <c r="AS98" s="2" t="s">
        <v>84</v>
      </c>
      <c r="AT98" s="5" t="str">
        <f>HYPERLINK("http://catalog.hathitrust.org/Record/002811940","HathiTrust Record")</f>
        <v>HathiTrust Record</v>
      </c>
      <c r="AU98" s="5" t="str">
        <f>HYPERLINK("https://creighton-primo.hosted.exlibrisgroup.com/primo-explore/search?tab=default_tab&amp;search_scope=EVERYTHING&amp;vid=01CRU&amp;lang=en_US&amp;offset=0&amp;query=any,contains,991001690309702656","Catalog Record")</f>
        <v>Catalog Record</v>
      </c>
      <c r="AV98" s="5" t="str">
        <f>HYPERLINK("http://www.worldcat.org/oclc/28799810","WorldCat Record")</f>
        <v>WorldCat Record</v>
      </c>
      <c r="AW98" s="2" t="s">
        <v>1384</v>
      </c>
      <c r="AX98" s="2" t="s">
        <v>1385</v>
      </c>
      <c r="AY98" s="2" t="s">
        <v>1386</v>
      </c>
      <c r="AZ98" s="2" t="s">
        <v>1386</v>
      </c>
      <c r="BA98" s="2" t="s">
        <v>1387</v>
      </c>
      <c r="BB98" s="2" t="s">
        <v>78</v>
      </c>
      <c r="BD98" s="2" t="s">
        <v>1388</v>
      </c>
      <c r="BE98" s="2" t="s">
        <v>1389</v>
      </c>
      <c r="BF98" s="2" t="s">
        <v>1390</v>
      </c>
    </row>
    <row r="99" spans="1:58" ht="79.5" customHeight="1">
      <c r="A99" s="1"/>
      <c r="B99" s="1" t="s">
        <v>58</v>
      </c>
      <c r="C99" s="1" t="s">
        <v>59</v>
      </c>
      <c r="D99" s="1" t="s">
        <v>1376</v>
      </c>
      <c r="E99" s="1" t="s">
        <v>1377</v>
      </c>
      <c r="F99" s="1" t="s">
        <v>1378</v>
      </c>
      <c r="G99" s="2" t="s">
        <v>1391</v>
      </c>
      <c r="H99" s="2" t="s">
        <v>84</v>
      </c>
      <c r="I99" s="2" t="s">
        <v>64</v>
      </c>
      <c r="J99" s="2" t="s">
        <v>84</v>
      </c>
      <c r="K99" s="2" t="s">
        <v>63</v>
      </c>
      <c r="L99" s="2" t="s">
        <v>65</v>
      </c>
      <c r="N99" s="1" t="s">
        <v>1380</v>
      </c>
      <c r="O99" s="2" t="s">
        <v>129</v>
      </c>
      <c r="Q99" s="2" t="s">
        <v>69</v>
      </c>
      <c r="R99" s="2" t="s">
        <v>351</v>
      </c>
      <c r="T99" s="2" t="s">
        <v>71</v>
      </c>
      <c r="U99" s="3">
        <v>1</v>
      </c>
      <c r="V99" s="3">
        <v>36</v>
      </c>
      <c r="W99" s="4" t="s">
        <v>1381</v>
      </c>
      <c r="X99" s="4" t="s">
        <v>1382</v>
      </c>
      <c r="Y99" s="4" t="s">
        <v>1383</v>
      </c>
      <c r="Z99" s="4" t="s">
        <v>1383</v>
      </c>
      <c r="AA99" s="3">
        <v>953</v>
      </c>
      <c r="AB99" s="3">
        <v>783</v>
      </c>
      <c r="AC99" s="3">
        <v>786</v>
      </c>
      <c r="AD99" s="3">
        <v>7</v>
      </c>
      <c r="AE99" s="3">
        <v>7</v>
      </c>
      <c r="AF99" s="3">
        <v>25</v>
      </c>
      <c r="AG99" s="3">
        <v>25</v>
      </c>
      <c r="AH99" s="3">
        <v>8</v>
      </c>
      <c r="AI99" s="3">
        <v>8</v>
      </c>
      <c r="AJ99" s="3">
        <v>5</v>
      </c>
      <c r="AK99" s="3">
        <v>5</v>
      </c>
      <c r="AL99" s="3">
        <v>12</v>
      </c>
      <c r="AM99" s="3">
        <v>12</v>
      </c>
      <c r="AN99" s="3">
        <v>5</v>
      </c>
      <c r="AO99" s="3">
        <v>5</v>
      </c>
      <c r="AP99" s="3">
        <v>0</v>
      </c>
      <c r="AQ99" s="3">
        <v>0</v>
      </c>
      <c r="AR99" s="2" t="s">
        <v>63</v>
      </c>
      <c r="AS99" s="2" t="s">
        <v>84</v>
      </c>
      <c r="AT99" s="5" t="str">
        <f>HYPERLINK("http://catalog.hathitrust.org/Record/002811940","HathiTrust Record")</f>
        <v>HathiTrust Record</v>
      </c>
      <c r="AU99" s="5" t="str">
        <f>HYPERLINK("https://creighton-primo.hosted.exlibrisgroup.com/primo-explore/search?tab=default_tab&amp;search_scope=EVERYTHING&amp;vid=01CRU&amp;lang=en_US&amp;offset=0&amp;query=any,contains,991001690309702656","Catalog Record")</f>
        <v>Catalog Record</v>
      </c>
      <c r="AV99" s="5" t="str">
        <f>HYPERLINK("http://www.worldcat.org/oclc/28799810","WorldCat Record")</f>
        <v>WorldCat Record</v>
      </c>
      <c r="AW99" s="2" t="s">
        <v>1384</v>
      </c>
      <c r="AX99" s="2" t="s">
        <v>1385</v>
      </c>
      <c r="AY99" s="2" t="s">
        <v>1386</v>
      </c>
      <c r="AZ99" s="2" t="s">
        <v>1386</v>
      </c>
      <c r="BA99" s="2" t="s">
        <v>1387</v>
      </c>
      <c r="BB99" s="2" t="s">
        <v>78</v>
      </c>
      <c r="BD99" s="2" t="s">
        <v>1388</v>
      </c>
      <c r="BE99" s="2" t="s">
        <v>1392</v>
      </c>
      <c r="BF99" s="2" t="s">
        <v>1393</v>
      </c>
    </row>
    <row r="100" spans="1:58" ht="79.5" customHeight="1">
      <c r="A100" s="1"/>
      <c r="B100" s="1" t="s">
        <v>58</v>
      </c>
      <c r="C100" s="1" t="s">
        <v>59</v>
      </c>
      <c r="D100" s="1" t="s">
        <v>1376</v>
      </c>
      <c r="E100" s="1" t="s">
        <v>1377</v>
      </c>
      <c r="F100" s="1" t="s">
        <v>1378</v>
      </c>
      <c r="G100" s="2" t="s">
        <v>316</v>
      </c>
      <c r="H100" s="2" t="s">
        <v>84</v>
      </c>
      <c r="I100" s="2" t="s">
        <v>64</v>
      </c>
      <c r="J100" s="2" t="s">
        <v>84</v>
      </c>
      <c r="K100" s="2" t="s">
        <v>63</v>
      </c>
      <c r="L100" s="2" t="s">
        <v>65</v>
      </c>
      <c r="N100" s="1" t="s">
        <v>1380</v>
      </c>
      <c r="O100" s="2" t="s">
        <v>129</v>
      </c>
      <c r="Q100" s="2" t="s">
        <v>69</v>
      </c>
      <c r="R100" s="2" t="s">
        <v>351</v>
      </c>
      <c r="T100" s="2" t="s">
        <v>71</v>
      </c>
      <c r="U100" s="3">
        <v>2</v>
      </c>
      <c r="V100" s="3">
        <v>36</v>
      </c>
      <c r="W100" s="4" t="s">
        <v>1381</v>
      </c>
      <c r="X100" s="4" t="s">
        <v>1382</v>
      </c>
      <c r="Y100" s="4" t="s">
        <v>1383</v>
      </c>
      <c r="Z100" s="4" t="s">
        <v>1383</v>
      </c>
      <c r="AA100" s="3">
        <v>953</v>
      </c>
      <c r="AB100" s="3">
        <v>783</v>
      </c>
      <c r="AC100" s="3">
        <v>786</v>
      </c>
      <c r="AD100" s="3">
        <v>7</v>
      </c>
      <c r="AE100" s="3">
        <v>7</v>
      </c>
      <c r="AF100" s="3">
        <v>25</v>
      </c>
      <c r="AG100" s="3">
        <v>25</v>
      </c>
      <c r="AH100" s="3">
        <v>8</v>
      </c>
      <c r="AI100" s="3">
        <v>8</v>
      </c>
      <c r="AJ100" s="3">
        <v>5</v>
      </c>
      <c r="AK100" s="3">
        <v>5</v>
      </c>
      <c r="AL100" s="3">
        <v>12</v>
      </c>
      <c r="AM100" s="3">
        <v>12</v>
      </c>
      <c r="AN100" s="3">
        <v>5</v>
      </c>
      <c r="AO100" s="3">
        <v>5</v>
      </c>
      <c r="AP100" s="3">
        <v>0</v>
      </c>
      <c r="AQ100" s="3">
        <v>0</v>
      </c>
      <c r="AR100" s="2" t="s">
        <v>63</v>
      </c>
      <c r="AS100" s="2" t="s">
        <v>84</v>
      </c>
      <c r="AT100" s="5" t="str">
        <f>HYPERLINK("http://catalog.hathitrust.org/Record/002811940","HathiTrust Record")</f>
        <v>HathiTrust Record</v>
      </c>
      <c r="AU100" s="5" t="str">
        <f>HYPERLINK("https://creighton-primo.hosted.exlibrisgroup.com/primo-explore/search?tab=default_tab&amp;search_scope=EVERYTHING&amp;vid=01CRU&amp;lang=en_US&amp;offset=0&amp;query=any,contains,991001690309702656","Catalog Record")</f>
        <v>Catalog Record</v>
      </c>
      <c r="AV100" s="5" t="str">
        <f>HYPERLINK("http://www.worldcat.org/oclc/28799810","WorldCat Record")</f>
        <v>WorldCat Record</v>
      </c>
      <c r="AW100" s="2" t="s">
        <v>1384</v>
      </c>
      <c r="AX100" s="2" t="s">
        <v>1385</v>
      </c>
      <c r="AY100" s="2" t="s">
        <v>1386</v>
      </c>
      <c r="AZ100" s="2" t="s">
        <v>1386</v>
      </c>
      <c r="BA100" s="2" t="s">
        <v>1387</v>
      </c>
      <c r="BB100" s="2" t="s">
        <v>78</v>
      </c>
      <c r="BD100" s="2" t="s">
        <v>1388</v>
      </c>
      <c r="BE100" s="2" t="s">
        <v>1394</v>
      </c>
      <c r="BF100" s="2" t="s">
        <v>1395</v>
      </c>
    </row>
    <row r="101" spans="1:58" ht="79.5" customHeight="1">
      <c r="A101" s="1"/>
      <c r="B101" s="1" t="s">
        <v>58</v>
      </c>
      <c r="C101" s="1" t="s">
        <v>59</v>
      </c>
      <c r="D101" s="1" t="s">
        <v>1376</v>
      </c>
      <c r="E101" s="1" t="s">
        <v>1377</v>
      </c>
      <c r="F101" s="1" t="s">
        <v>1378</v>
      </c>
      <c r="G101" s="2" t="s">
        <v>328</v>
      </c>
      <c r="H101" s="2" t="s">
        <v>84</v>
      </c>
      <c r="I101" s="2" t="s">
        <v>64</v>
      </c>
      <c r="J101" s="2" t="s">
        <v>84</v>
      </c>
      <c r="K101" s="2" t="s">
        <v>63</v>
      </c>
      <c r="L101" s="2" t="s">
        <v>65</v>
      </c>
      <c r="N101" s="1" t="s">
        <v>1380</v>
      </c>
      <c r="O101" s="2" t="s">
        <v>129</v>
      </c>
      <c r="Q101" s="2" t="s">
        <v>69</v>
      </c>
      <c r="R101" s="2" t="s">
        <v>351</v>
      </c>
      <c r="T101" s="2" t="s">
        <v>71</v>
      </c>
      <c r="U101" s="3">
        <v>2</v>
      </c>
      <c r="V101" s="3">
        <v>36</v>
      </c>
      <c r="W101" s="4" t="s">
        <v>1381</v>
      </c>
      <c r="X101" s="4" t="s">
        <v>1382</v>
      </c>
      <c r="Y101" s="4" t="s">
        <v>1383</v>
      </c>
      <c r="Z101" s="4" t="s">
        <v>1383</v>
      </c>
      <c r="AA101" s="3">
        <v>953</v>
      </c>
      <c r="AB101" s="3">
        <v>783</v>
      </c>
      <c r="AC101" s="3">
        <v>786</v>
      </c>
      <c r="AD101" s="3">
        <v>7</v>
      </c>
      <c r="AE101" s="3">
        <v>7</v>
      </c>
      <c r="AF101" s="3">
        <v>25</v>
      </c>
      <c r="AG101" s="3">
        <v>25</v>
      </c>
      <c r="AH101" s="3">
        <v>8</v>
      </c>
      <c r="AI101" s="3">
        <v>8</v>
      </c>
      <c r="AJ101" s="3">
        <v>5</v>
      </c>
      <c r="AK101" s="3">
        <v>5</v>
      </c>
      <c r="AL101" s="3">
        <v>12</v>
      </c>
      <c r="AM101" s="3">
        <v>12</v>
      </c>
      <c r="AN101" s="3">
        <v>5</v>
      </c>
      <c r="AO101" s="3">
        <v>5</v>
      </c>
      <c r="AP101" s="3">
        <v>0</v>
      </c>
      <c r="AQ101" s="3">
        <v>0</v>
      </c>
      <c r="AR101" s="2" t="s">
        <v>63</v>
      </c>
      <c r="AS101" s="2" t="s">
        <v>84</v>
      </c>
      <c r="AT101" s="5" t="str">
        <f>HYPERLINK("http://catalog.hathitrust.org/Record/002811940","HathiTrust Record")</f>
        <v>HathiTrust Record</v>
      </c>
      <c r="AU101" s="5" t="str">
        <f>HYPERLINK("https://creighton-primo.hosted.exlibrisgroup.com/primo-explore/search?tab=default_tab&amp;search_scope=EVERYTHING&amp;vid=01CRU&amp;lang=en_US&amp;offset=0&amp;query=any,contains,991001690309702656","Catalog Record")</f>
        <v>Catalog Record</v>
      </c>
      <c r="AV101" s="5" t="str">
        <f>HYPERLINK("http://www.worldcat.org/oclc/28799810","WorldCat Record")</f>
        <v>WorldCat Record</v>
      </c>
      <c r="AW101" s="2" t="s">
        <v>1384</v>
      </c>
      <c r="AX101" s="2" t="s">
        <v>1385</v>
      </c>
      <c r="AY101" s="2" t="s">
        <v>1386</v>
      </c>
      <c r="AZ101" s="2" t="s">
        <v>1386</v>
      </c>
      <c r="BA101" s="2" t="s">
        <v>1387</v>
      </c>
      <c r="BB101" s="2" t="s">
        <v>78</v>
      </c>
      <c r="BD101" s="2" t="s">
        <v>1388</v>
      </c>
      <c r="BE101" s="2" t="s">
        <v>1396</v>
      </c>
      <c r="BF101" s="2" t="s">
        <v>1397</v>
      </c>
    </row>
    <row r="102" spans="1:58" ht="79.5" customHeight="1">
      <c r="A102" s="1"/>
      <c r="B102" s="1" t="s">
        <v>58</v>
      </c>
      <c r="C102" s="1" t="s">
        <v>59</v>
      </c>
      <c r="D102" s="1" t="s">
        <v>1398</v>
      </c>
      <c r="E102" s="1" t="s">
        <v>1399</v>
      </c>
      <c r="F102" s="1" t="s">
        <v>1400</v>
      </c>
      <c r="H102" s="2" t="s">
        <v>63</v>
      </c>
      <c r="I102" s="2" t="s">
        <v>64</v>
      </c>
      <c r="J102" s="2" t="s">
        <v>84</v>
      </c>
      <c r="K102" s="2" t="s">
        <v>63</v>
      </c>
      <c r="L102" s="2" t="s">
        <v>65</v>
      </c>
      <c r="M102" s="1" t="s">
        <v>1401</v>
      </c>
      <c r="N102" s="1" t="s">
        <v>1402</v>
      </c>
      <c r="O102" s="2" t="s">
        <v>1101</v>
      </c>
      <c r="Q102" s="2" t="s">
        <v>69</v>
      </c>
      <c r="R102" s="2" t="s">
        <v>104</v>
      </c>
      <c r="T102" s="2" t="s">
        <v>71</v>
      </c>
      <c r="U102" s="3">
        <v>2</v>
      </c>
      <c r="V102" s="3">
        <v>3</v>
      </c>
      <c r="X102" s="4" t="s">
        <v>1403</v>
      </c>
      <c r="Y102" s="4" t="s">
        <v>1404</v>
      </c>
      <c r="Z102" s="4" t="s">
        <v>1405</v>
      </c>
      <c r="AA102" s="3">
        <v>196</v>
      </c>
      <c r="AB102" s="3">
        <v>163</v>
      </c>
      <c r="AC102" s="3">
        <v>163</v>
      </c>
      <c r="AD102" s="3">
        <v>2</v>
      </c>
      <c r="AE102" s="3">
        <v>2</v>
      </c>
      <c r="AF102" s="3">
        <v>4</v>
      </c>
      <c r="AG102" s="3">
        <v>4</v>
      </c>
      <c r="AH102" s="3">
        <v>2</v>
      </c>
      <c r="AI102" s="3">
        <v>2</v>
      </c>
      <c r="AJ102" s="3">
        <v>0</v>
      </c>
      <c r="AK102" s="3">
        <v>0</v>
      </c>
      <c r="AL102" s="3">
        <v>2</v>
      </c>
      <c r="AM102" s="3">
        <v>2</v>
      </c>
      <c r="AN102" s="3">
        <v>0</v>
      </c>
      <c r="AO102" s="3">
        <v>0</v>
      </c>
      <c r="AP102" s="3">
        <v>0</v>
      </c>
      <c r="AQ102" s="3">
        <v>0</v>
      </c>
      <c r="AR102" s="2" t="s">
        <v>63</v>
      </c>
      <c r="AS102" s="2" t="s">
        <v>63</v>
      </c>
      <c r="AU102" s="5" t="str">
        <f>HYPERLINK("https://creighton-primo.hosted.exlibrisgroup.com/primo-explore/search?tab=default_tab&amp;search_scope=EVERYTHING&amp;vid=01CRU&amp;lang=en_US&amp;offset=0&amp;query=any,contains,991001765839702656","Catalog Record")</f>
        <v>Catalog Record</v>
      </c>
      <c r="AV102" s="5" t="str">
        <f>HYPERLINK("http://www.worldcat.org/oclc/931950","WorldCat Record")</f>
        <v>WorldCat Record</v>
      </c>
      <c r="AW102" s="2" t="s">
        <v>1406</v>
      </c>
      <c r="AX102" s="2" t="s">
        <v>1407</v>
      </c>
      <c r="AY102" s="2" t="s">
        <v>1408</v>
      </c>
      <c r="AZ102" s="2" t="s">
        <v>1408</v>
      </c>
      <c r="BA102" s="2" t="s">
        <v>1409</v>
      </c>
      <c r="BB102" s="2" t="s">
        <v>78</v>
      </c>
      <c r="BE102" s="2" t="s">
        <v>1410</v>
      </c>
      <c r="BF102" s="2" t="s">
        <v>1411</v>
      </c>
    </row>
    <row r="103" spans="1:58" ht="79.5" customHeight="1">
      <c r="A103" s="1"/>
      <c r="B103" s="1" t="s">
        <v>58</v>
      </c>
      <c r="C103" s="1" t="s">
        <v>59</v>
      </c>
      <c r="D103" s="1" t="s">
        <v>1412</v>
      </c>
      <c r="E103" s="1" t="s">
        <v>1413</v>
      </c>
      <c r="F103" s="1" t="s">
        <v>1414</v>
      </c>
      <c r="H103" s="2" t="s">
        <v>63</v>
      </c>
      <c r="I103" s="2" t="s">
        <v>64</v>
      </c>
      <c r="J103" s="2" t="s">
        <v>84</v>
      </c>
      <c r="K103" s="2" t="s">
        <v>63</v>
      </c>
      <c r="L103" s="2" t="s">
        <v>65</v>
      </c>
      <c r="M103" s="1" t="s">
        <v>1415</v>
      </c>
      <c r="N103" s="1" t="s">
        <v>1416</v>
      </c>
      <c r="O103" s="2" t="s">
        <v>1417</v>
      </c>
      <c r="Q103" s="2" t="s">
        <v>69</v>
      </c>
      <c r="R103" s="2" t="s">
        <v>70</v>
      </c>
      <c r="T103" s="2" t="s">
        <v>71</v>
      </c>
      <c r="U103" s="3">
        <v>4</v>
      </c>
      <c r="V103" s="3">
        <v>12</v>
      </c>
      <c r="W103" s="4" t="s">
        <v>1418</v>
      </c>
      <c r="X103" s="4" t="s">
        <v>1419</v>
      </c>
      <c r="Y103" s="4" t="s">
        <v>368</v>
      </c>
      <c r="Z103" s="4" t="s">
        <v>1420</v>
      </c>
      <c r="AA103" s="3">
        <v>869</v>
      </c>
      <c r="AB103" s="3">
        <v>779</v>
      </c>
      <c r="AC103" s="3">
        <v>787</v>
      </c>
      <c r="AD103" s="3">
        <v>10</v>
      </c>
      <c r="AE103" s="3">
        <v>10</v>
      </c>
      <c r="AF103" s="3">
        <v>32</v>
      </c>
      <c r="AG103" s="3">
        <v>32</v>
      </c>
      <c r="AH103" s="3">
        <v>12</v>
      </c>
      <c r="AI103" s="3">
        <v>12</v>
      </c>
      <c r="AJ103" s="3">
        <v>4</v>
      </c>
      <c r="AK103" s="3">
        <v>4</v>
      </c>
      <c r="AL103" s="3">
        <v>14</v>
      </c>
      <c r="AM103" s="3">
        <v>14</v>
      </c>
      <c r="AN103" s="3">
        <v>7</v>
      </c>
      <c r="AO103" s="3">
        <v>7</v>
      </c>
      <c r="AP103" s="3">
        <v>0</v>
      </c>
      <c r="AQ103" s="3">
        <v>0</v>
      </c>
      <c r="AR103" s="2" t="s">
        <v>63</v>
      </c>
      <c r="AS103" s="2" t="s">
        <v>84</v>
      </c>
      <c r="AT103" s="5" t="str">
        <f>HYPERLINK("http://catalog.hathitrust.org/Record/000355014","HathiTrust Record")</f>
        <v>HathiTrust Record</v>
      </c>
      <c r="AU103" s="5" t="str">
        <f>HYPERLINK("https://creighton-primo.hosted.exlibrisgroup.com/primo-explore/search?tab=default_tab&amp;search_scope=EVERYTHING&amp;vid=01CRU&amp;lang=en_US&amp;offset=0&amp;query=any,contains,991001762039702656","Catalog Record")</f>
        <v>Catalog Record</v>
      </c>
      <c r="AV103" s="5" t="str">
        <f>HYPERLINK("http://www.worldcat.org/oclc/224491","WorldCat Record")</f>
        <v>WorldCat Record</v>
      </c>
      <c r="AW103" s="2" t="s">
        <v>1421</v>
      </c>
      <c r="AX103" s="2" t="s">
        <v>1422</v>
      </c>
      <c r="AY103" s="2" t="s">
        <v>1423</v>
      </c>
      <c r="AZ103" s="2" t="s">
        <v>1423</v>
      </c>
      <c r="BA103" s="2" t="s">
        <v>1424</v>
      </c>
      <c r="BB103" s="2" t="s">
        <v>78</v>
      </c>
      <c r="BE103" s="2" t="s">
        <v>1425</v>
      </c>
      <c r="BF103" s="2" t="s">
        <v>1426</v>
      </c>
    </row>
    <row r="104" spans="1:58" ht="79.5" customHeight="1">
      <c r="A104" s="1"/>
      <c r="B104" s="1" t="s">
        <v>58</v>
      </c>
      <c r="C104" s="1" t="s">
        <v>59</v>
      </c>
      <c r="D104" s="1" t="s">
        <v>1427</v>
      </c>
      <c r="E104" s="1" t="s">
        <v>1428</v>
      </c>
      <c r="F104" s="1" t="s">
        <v>1429</v>
      </c>
      <c r="H104" s="2" t="s">
        <v>63</v>
      </c>
      <c r="I104" s="2" t="s">
        <v>64</v>
      </c>
      <c r="J104" s="2" t="s">
        <v>63</v>
      </c>
      <c r="K104" s="2" t="s">
        <v>63</v>
      </c>
      <c r="L104" s="2" t="s">
        <v>65</v>
      </c>
      <c r="M104" s="1" t="s">
        <v>1430</v>
      </c>
      <c r="N104" s="1" t="s">
        <v>1431</v>
      </c>
      <c r="O104" s="2" t="s">
        <v>1432</v>
      </c>
      <c r="P104" s="1" t="s">
        <v>830</v>
      </c>
      <c r="Q104" s="2" t="s">
        <v>69</v>
      </c>
      <c r="R104" s="2" t="s">
        <v>351</v>
      </c>
      <c r="S104" s="1" t="s">
        <v>1433</v>
      </c>
      <c r="T104" s="2" t="s">
        <v>71</v>
      </c>
      <c r="U104" s="3">
        <v>11</v>
      </c>
      <c r="V104" s="3">
        <v>11</v>
      </c>
      <c r="W104" s="4" t="s">
        <v>1434</v>
      </c>
      <c r="X104" s="4" t="s">
        <v>1434</v>
      </c>
      <c r="Y104" s="4" t="s">
        <v>368</v>
      </c>
      <c r="Z104" s="4" t="s">
        <v>368</v>
      </c>
      <c r="AA104" s="3">
        <v>835</v>
      </c>
      <c r="AB104" s="3">
        <v>745</v>
      </c>
      <c r="AC104" s="3">
        <v>756</v>
      </c>
      <c r="AD104" s="3">
        <v>4</v>
      </c>
      <c r="AE104" s="3">
        <v>4</v>
      </c>
      <c r="AF104" s="3">
        <v>42</v>
      </c>
      <c r="AG104" s="3">
        <v>42</v>
      </c>
      <c r="AH104" s="3">
        <v>17</v>
      </c>
      <c r="AI104" s="3">
        <v>17</v>
      </c>
      <c r="AJ104" s="3">
        <v>11</v>
      </c>
      <c r="AK104" s="3">
        <v>11</v>
      </c>
      <c r="AL104" s="3">
        <v>23</v>
      </c>
      <c r="AM104" s="3">
        <v>23</v>
      </c>
      <c r="AN104" s="3">
        <v>3</v>
      </c>
      <c r="AO104" s="3">
        <v>3</v>
      </c>
      <c r="AP104" s="3">
        <v>0</v>
      </c>
      <c r="AQ104" s="3">
        <v>0</v>
      </c>
      <c r="AR104" s="2" t="s">
        <v>63</v>
      </c>
      <c r="AS104" s="2" t="s">
        <v>84</v>
      </c>
      <c r="AT104" s="5" t="str">
        <f>HYPERLINK("http://catalog.hathitrust.org/Record/000355225","HathiTrust Record")</f>
        <v>HathiTrust Record</v>
      </c>
      <c r="AU104" s="5" t="str">
        <f>HYPERLINK("https://creighton-primo.hosted.exlibrisgroup.com/primo-explore/search?tab=default_tab&amp;search_scope=EVERYTHING&amp;vid=01CRU&amp;lang=en_US&amp;offset=0&amp;query=any,contains,991000787339702656","Catalog Record")</f>
        <v>Catalog Record</v>
      </c>
      <c r="AV104" s="5" t="str">
        <f>HYPERLINK("http://www.worldcat.org/oclc/31274","WorldCat Record")</f>
        <v>WorldCat Record</v>
      </c>
      <c r="AW104" s="2" t="s">
        <v>1435</v>
      </c>
      <c r="AX104" s="2" t="s">
        <v>1436</v>
      </c>
      <c r="AY104" s="2" t="s">
        <v>1437</v>
      </c>
      <c r="AZ104" s="2" t="s">
        <v>1437</v>
      </c>
      <c r="BA104" s="2" t="s">
        <v>1438</v>
      </c>
      <c r="BB104" s="2" t="s">
        <v>78</v>
      </c>
      <c r="BD104" s="2" t="s">
        <v>1439</v>
      </c>
      <c r="BE104" s="2" t="s">
        <v>1440</v>
      </c>
      <c r="BF104" s="2" t="s">
        <v>1441</v>
      </c>
    </row>
    <row r="105" spans="1:58" ht="79.5" customHeight="1">
      <c r="A105" s="1"/>
      <c r="B105" s="1" t="s">
        <v>58</v>
      </c>
      <c r="C105" s="1" t="s">
        <v>59</v>
      </c>
      <c r="D105" s="1" t="s">
        <v>1442</v>
      </c>
      <c r="E105" s="1" t="s">
        <v>1443</v>
      </c>
      <c r="F105" s="1" t="s">
        <v>1444</v>
      </c>
      <c r="H105" s="2" t="s">
        <v>63</v>
      </c>
      <c r="I105" s="2" t="s">
        <v>64</v>
      </c>
      <c r="J105" s="2" t="s">
        <v>63</v>
      </c>
      <c r="K105" s="2" t="s">
        <v>84</v>
      </c>
      <c r="L105" s="2" t="s">
        <v>65</v>
      </c>
      <c r="M105" s="1" t="s">
        <v>1445</v>
      </c>
      <c r="N105" s="1" t="s">
        <v>1446</v>
      </c>
      <c r="O105" s="2" t="s">
        <v>1447</v>
      </c>
      <c r="Q105" s="2" t="s">
        <v>69</v>
      </c>
      <c r="R105" s="2" t="s">
        <v>70</v>
      </c>
      <c r="T105" s="2" t="s">
        <v>71</v>
      </c>
      <c r="U105" s="3">
        <v>12</v>
      </c>
      <c r="V105" s="3">
        <v>12</v>
      </c>
      <c r="W105" s="4" t="s">
        <v>1448</v>
      </c>
      <c r="X105" s="4" t="s">
        <v>1448</v>
      </c>
      <c r="Y105" s="4" t="s">
        <v>1449</v>
      </c>
      <c r="Z105" s="4" t="s">
        <v>1449</v>
      </c>
      <c r="AA105" s="3">
        <v>1130</v>
      </c>
      <c r="AB105" s="3">
        <v>1054</v>
      </c>
      <c r="AC105" s="3">
        <v>1362</v>
      </c>
      <c r="AD105" s="3">
        <v>5</v>
      </c>
      <c r="AE105" s="3">
        <v>7</v>
      </c>
      <c r="AF105" s="3">
        <v>31</v>
      </c>
      <c r="AG105" s="3">
        <v>40</v>
      </c>
      <c r="AH105" s="3">
        <v>12</v>
      </c>
      <c r="AI105" s="3">
        <v>17</v>
      </c>
      <c r="AJ105" s="3">
        <v>5</v>
      </c>
      <c r="AK105" s="3">
        <v>7</v>
      </c>
      <c r="AL105" s="3">
        <v>18</v>
      </c>
      <c r="AM105" s="3">
        <v>21</v>
      </c>
      <c r="AN105" s="3">
        <v>4</v>
      </c>
      <c r="AO105" s="3">
        <v>5</v>
      </c>
      <c r="AP105" s="3">
        <v>0</v>
      </c>
      <c r="AQ105" s="3">
        <v>0</v>
      </c>
      <c r="AR105" s="2" t="s">
        <v>63</v>
      </c>
      <c r="AS105" s="2" t="s">
        <v>84</v>
      </c>
      <c r="AT105" s="5" t="str">
        <f>HYPERLINK("http://catalog.hathitrust.org/Record/002622463","HathiTrust Record")</f>
        <v>HathiTrust Record</v>
      </c>
      <c r="AU105" s="5" t="str">
        <f>HYPERLINK("https://creighton-primo.hosted.exlibrisgroup.com/primo-explore/search?tab=default_tab&amp;search_scope=EVERYTHING&amp;vid=01CRU&amp;lang=en_US&amp;offset=0&amp;query=any,contains,991000328559702656","Catalog Record")</f>
        <v>Catalog Record</v>
      </c>
      <c r="AV105" s="5" t="str">
        <f>HYPERLINK("http://www.worldcat.org/oclc/27011419","WorldCat Record")</f>
        <v>WorldCat Record</v>
      </c>
      <c r="AW105" s="2" t="s">
        <v>1450</v>
      </c>
      <c r="AX105" s="2" t="s">
        <v>1451</v>
      </c>
      <c r="AY105" s="2" t="s">
        <v>1452</v>
      </c>
      <c r="AZ105" s="2" t="s">
        <v>1452</v>
      </c>
      <c r="BA105" s="2" t="s">
        <v>1453</v>
      </c>
      <c r="BB105" s="2" t="s">
        <v>78</v>
      </c>
      <c r="BD105" s="2" t="s">
        <v>1454</v>
      </c>
      <c r="BE105" s="2" t="s">
        <v>1455</v>
      </c>
      <c r="BF105" s="2" t="s">
        <v>1456</v>
      </c>
    </row>
    <row r="106" spans="1:58" ht="79.5" customHeight="1">
      <c r="A106" s="1"/>
      <c r="B106" s="1" t="s">
        <v>58</v>
      </c>
      <c r="C106" s="1" t="s">
        <v>59</v>
      </c>
      <c r="D106" s="1" t="s">
        <v>1457</v>
      </c>
      <c r="E106" s="1" t="s">
        <v>1458</v>
      </c>
      <c r="F106" s="1" t="s">
        <v>1459</v>
      </c>
      <c r="H106" s="2" t="s">
        <v>63</v>
      </c>
      <c r="I106" s="2" t="s">
        <v>64</v>
      </c>
      <c r="J106" s="2" t="s">
        <v>84</v>
      </c>
      <c r="K106" s="2" t="s">
        <v>63</v>
      </c>
      <c r="L106" s="2" t="s">
        <v>65</v>
      </c>
      <c r="M106" s="1" t="s">
        <v>1460</v>
      </c>
      <c r="N106" s="1" t="s">
        <v>379</v>
      </c>
      <c r="O106" s="2" t="s">
        <v>220</v>
      </c>
      <c r="Q106" s="2" t="s">
        <v>69</v>
      </c>
      <c r="R106" s="2" t="s">
        <v>191</v>
      </c>
      <c r="T106" s="2" t="s">
        <v>71</v>
      </c>
      <c r="U106" s="3">
        <v>3</v>
      </c>
      <c r="V106" s="3">
        <v>15</v>
      </c>
      <c r="W106" s="4" t="s">
        <v>395</v>
      </c>
      <c r="X106" s="4" t="s">
        <v>1461</v>
      </c>
      <c r="Y106" s="4" t="s">
        <v>381</v>
      </c>
      <c r="Z106" s="4" t="s">
        <v>1462</v>
      </c>
      <c r="AA106" s="3">
        <v>236</v>
      </c>
      <c r="AB106" s="3">
        <v>199</v>
      </c>
      <c r="AC106" s="3">
        <v>200</v>
      </c>
      <c r="AD106" s="3">
        <v>4</v>
      </c>
      <c r="AE106" s="3">
        <v>4</v>
      </c>
      <c r="AF106" s="3">
        <v>9</v>
      </c>
      <c r="AG106" s="3">
        <v>9</v>
      </c>
      <c r="AH106" s="3">
        <v>2</v>
      </c>
      <c r="AI106" s="3">
        <v>2</v>
      </c>
      <c r="AJ106" s="3">
        <v>2</v>
      </c>
      <c r="AK106" s="3">
        <v>2</v>
      </c>
      <c r="AL106" s="3">
        <v>6</v>
      </c>
      <c r="AM106" s="3">
        <v>6</v>
      </c>
      <c r="AN106" s="3">
        <v>2</v>
      </c>
      <c r="AO106" s="3">
        <v>2</v>
      </c>
      <c r="AP106" s="3">
        <v>0</v>
      </c>
      <c r="AQ106" s="3">
        <v>0</v>
      </c>
      <c r="AR106" s="2" t="s">
        <v>63</v>
      </c>
      <c r="AS106" s="2" t="s">
        <v>84</v>
      </c>
      <c r="AT106" s="5" t="str">
        <f>HYPERLINK("http://catalog.hathitrust.org/Record/007131114","HathiTrust Record")</f>
        <v>HathiTrust Record</v>
      </c>
      <c r="AU106" s="5" t="str">
        <f>HYPERLINK("https://creighton-primo.hosted.exlibrisgroup.com/primo-explore/search?tab=default_tab&amp;search_scope=EVERYTHING&amp;vid=01CRU&amp;lang=en_US&amp;offset=0&amp;query=any,contains,991001805479702656","Catalog Record")</f>
        <v>Catalog Record</v>
      </c>
      <c r="AV106" s="5" t="str">
        <f>HYPERLINK("http://www.worldcat.org/oclc/14412922","WorldCat Record")</f>
        <v>WorldCat Record</v>
      </c>
      <c r="AW106" s="2" t="s">
        <v>1463</v>
      </c>
      <c r="AX106" s="2" t="s">
        <v>1464</v>
      </c>
      <c r="AY106" s="2" t="s">
        <v>1465</v>
      </c>
      <c r="AZ106" s="2" t="s">
        <v>1465</v>
      </c>
      <c r="BA106" s="2" t="s">
        <v>1466</v>
      </c>
      <c r="BB106" s="2" t="s">
        <v>78</v>
      </c>
      <c r="BD106" s="2" t="s">
        <v>1467</v>
      </c>
      <c r="BE106" s="2" t="s">
        <v>1468</v>
      </c>
      <c r="BF106" s="2" t="s">
        <v>1469</v>
      </c>
    </row>
    <row r="107" spans="1:58" ht="79.5" customHeight="1">
      <c r="A107" s="1"/>
      <c r="B107" s="1" t="s">
        <v>58</v>
      </c>
      <c r="C107" s="1" t="s">
        <v>59</v>
      </c>
      <c r="D107" s="1" t="s">
        <v>1470</v>
      </c>
      <c r="E107" s="1" t="s">
        <v>1471</v>
      </c>
      <c r="F107" s="1" t="s">
        <v>1472</v>
      </c>
      <c r="H107" s="2" t="s">
        <v>63</v>
      </c>
      <c r="I107" s="2" t="s">
        <v>64</v>
      </c>
      <c r="J107" s="2" t="s">
        <v>84</v>
      </c>
      <c r="K107" s="2" t="s">
        <v>63</v>
      </c>
      <c r="L107" s="2" t="s">
        <v>65</v>
      </c>
      <c r="N107" s="1" t="s">
        <v>1473</v>
      </c>
      <c r="O107" s="2" t="s">
        <v>1474</v>
      </c>
      <c r="Q107" s="2" t="s">
        <v>69</v>
      </c>
      <c r="R107" s="2" t="s">
        <v>465</v>
      </c>
      <c r="T107" s="2" t="s">
        <v>71</v>
      </c>
      <c r="U107" s="3">
        <v>0</v>
      </c>
      <c r="V107" s="3">
        <v>6</v>
      </c>
      <c r="X107" s="4" t="s">
        <v>1475</v>
      </c>
      <c r="Y107" s="4" t="s">
        <v>1476</v>
      </c>
      <c r="Z107" s="4" t="s">
        <v>1476</v>
      </c>
      <c r="AA107" s="3">
        <v>736</v>
      </c>
      <c r="AB107" s="3">
        <v>562</v>
      </c>
      <c r="AC107" s="3">
        <v>562</v>
      </c>
      <c r="AD107" s="3">
        <v>4</v>
      </c>
      <c r="AE107" s="3">
        <v>4</v>
      </c>
      <c r="AF107" s="3">
        <v>28</v>
      </c>
      <c r="AG107" s="3">
        <v>28</v>
      </c>
      <c r="AH107" s="3">
        <v>13</v>
      </c>
      <c r="AI107" s="3">
        <v>13</v>
      </c>
      <c r="AJ107" s="3">
        <v>8</v>
      </c>
      <c r="AK107" s="3">
        <v>8</v>
      </c>
      <c r="AL107" s="3">
        <v>14</v>
      </c>
      <c r="AM107" s="3">
        <v>14</v>
      </c>
      <c r="AN107" s="3">
        <v>2</v>
      </c>
      <c r="AO107" s="3">
        <v>2</v>
      </c>
      <c r="AP107" s="3">
        <v>0</v>
      </c>
      <c r="AQ107" s="3">
        <v>0</v>
      </c>
      <c r="AR107" s="2" t="s">
        <v>63</v>
      </c>
      <c r="AS107" s="2" t="s">
        <v>63</v>
      </c>
      <c r="AU107" s="5" t="str">
        <f>HYPERLINK("https://creighton-primo.hosted.exlibrisgroup.com/primo-explore/search?tab=default_tab&amp;search_scope=EVERYTHING&amp;vid=01CRU&amp;lang=en_US&amp;offset=0&amp;query=any,contains,991001653719702656","Catalog Record")</f>
        <v>Catalog Record</v>
      </c>
      <c r="AV107" s="5" t="str">
        <f>HYPERLINK("http://www.worldcat.org/oclc/2310630","WorldCat Record")</f>
        <v>WorldCat Record</v>
      </c>
      <c r="AW107" s="2" t="s">
        <v>1477</v>
      </c>
      <c r="AX107" s="2" t="s">
        <v>1478</v>
      </c>
      <c r="AY107" s="2" t="s">
        <v>1479</v>
      </c>
      <c r="AZ107" s="2" t="s">
        <v>1479</v>
      </c>
      <c r="BA107" s="2" t="s">
        <v>1480</v>
      </c>
      <c r="BB107" s="2" t="s">
        <v>78</v>
      </c>
      <c r="BD107" s="2" t="s">
        <v>1481</v>
      </c>
      <c r="BE107" s="2" t="s">
        <v>1482</v>
      </c>
      <c r="BF107" s="2" t="s">
        <v>1483</v>
      </c>
    </row>
    <row r="108" spans="1:58" ht="79.5" customHeight="1">
      <c r="A108" s="1"/>
      <c r="B108" s="1" t="s">
        <v>58</v>
      </c>
      <c r="C108" s="1" t="s">
        <v>59</v>
      </c>
      <c r="D108" s="1" t="s">
        <v>1484</v>
      </c>
      <c r="E108" s="1" t="s">
        <v>1485</v>
      </c>
      <c r="F108" s="1" t="s">
        <v>1486</v>
      </c>
      <c r="H108" s="2" t="s">
        <v>63</v>
      </c>
      <c r="I108" s="2" t="s">
        <v>64</v>
      </c>
      <c r="J108" s="2" t="s">
        <v>63</v>
      </c>
      <c r="K108" s="2" t="s">
        <v>63</v>
      </c>
      <c r="L108" s="2" t="s">
        <v>64</v>
      </c>
      <c r="M108" s="1" t="s">
        <v>1487</v>
      </c>
      <c r="N108" s="1" t="s">
        <v>1488</v>
      </c>
      <c r="O108" s="2" t="s">
        <v>1489</v>
      </c>
      <c r="Q108" s="2" t="s">
        <v>69</v>
      </c>
      <c r="R108" s="2" t="s">
        <v>351</v>
      </c>
      <c r="S108" s="1" t="s">
        <v>1490</v>
      </c>
      <c r="T108" s="2" t="s">
        <v>71</v>
      </c>
      <c r="U108" s="3">
        <v>1</v>
      </c>
      <c r="V108" s="3">
        <v>1</v>
      </c>
      <c r="W108" s="4" t="s">
        <v>1491</v>
      </c>
      <c r="X108" s="4" t="s">
        <v>1491</v>
      </c>
      <c r="Y108" s="4" t="s">
        <v>1492</v>
      </c>
      <c r="Z108" s="4" t="s">
        <v>1492</v>
      </c>
      <c r="AA108" s="3">
        <v>394</v>
      </c>
      <c r="AB108" s="3">
        <v>338</v>
      </c>
      <c r="AC108" s="3">
        <v>1034</v>
      </c>
      <c r="AD108" s="3">
        <v>4</v>
      </c>
      <c r="AE108" s="3">
        <v>15</v>
      </c>
      <c r="AF108" s="3">
        <v>16</v>
      </c>
      <c r="AG108" s="3">
        <v>41</v>
      </c>
      <c r="AH108" s="3">
        <v>3</v>
      </c>
      <c r="AI108" s="3">
        <v>12</v>
      </c>
      <c r="AJ108" s="3">
        <v>5</v>
      </c>
      <c r="AK108" s="3">
        <v>9</v>
      </c>
      <c r="AL108" s="3">
        <v>11</v>
      </c>
      <c r="AM108" s="3">
        <v>16</v>
      </c>
      <c r="AN108" s="3">
        <v>3</v>
      </c>
      <c r="AO108" s="3">
        <v>13</v>
      </c>
      <c r="AP108" s="3">
        <v>0</v>
      </c>
      <c r="AQ108" s="3">
        <v>1</v>
      </c>
      <c r="AR108" s="2" t="s">
        <v>63</v>
      </c>
      <c r="AS108" s="2" t="s">
        <v>63</v>
      </c>
      <c r="AU108" s="5" t="str">
        <f>HYPERLINK("https://creighton-primo.hosted.exlibrisgroup.com/primo-explore/search?tab=default_tab&amp;search_scope=EVERYTHING&amp;vid=01CRU&amp;lang=en_US&amp;offset=0&amp;query=any,contains,991000476119702656","Catalog Record")</f>
        <v>Catalog Record</v>
      </c>
      <c r="AV108" s="5" t="str">
        <f>HYPERLINK("http://www.worldcat.org/oclc/43859346","WorldCat Record")</f>
        <v>WorldCat Record</v>
      </c>
      <c r="AW108" s="2" t="s">
        <v>1493</v>
      </c>
      <c r="AX108" s="2" t="s">
        <v>1494</v>
      </c>
      <c r="AY108" s="2" t="s">
        <v>1495</v>
      </c>
      <c r="AZ108" s="2" t="s">
        <v>1495</v>
      </c>
      <c r="BA108" s="2" t="s">
        <v>1496</v>
      </c>
      <c r="BB108" s="2" t="s">
        <v>78</v>
      </c>
      <c r="BD108" s="2" t="s">
        <v>1497</v>
      </c>
      <c r="BE108" s="2" t="s">
        <v>1498</v>
      </c>
      <c r="BF108" s="2" t="s">
        <v>1499</v>
      </c>
    </row>
    <row r="109" spans="1:58" ht="79.5" customHeight="1">
      <c r="A109" s="1"/>
      <c r="B109" s="1" t="s">
        <v>58</v>
      </c>
      <c r="C109" s="1" t="s">
        <v>59</v>
      </c>
      <c r="D109" s="1" t="s">
        <v>1500</v>
      </c>
      <c r="E109" s="1" t="s">
        <v>1501</v>
      </c>
      <c r="F109" s="1" t="s">
        <v>1502</v>
      </c>
      <c r="H109" s="2" t="s">
        <v>63</v>
      </c>
      <c r="I109" s="2" t="s">
        <v>64</v>
      </c>
      <c r="J109" s="2" t="s">
        <v>84</v>
      </c>
      <c r="K109" s="2" t="s">
        <v>63</v>
      </c>
      <c r="L109" s="2" t="s">
        <v>65</v>
      </c>
      <c r="M109" s="1" t="s">
        <v>1503</v>
      </c>
      <c r="N109" s="1" t="s">
        <v>1504</v>
      </c>
      <c r="O109" s="2" t="s">
        <v>534</v>
      </c>
      <c r="Q109" s="2" t="s">
        <v>69</v>
      </c>
      <c r="R109" s="2" t="s">
        <v>1505</v>
      </c>
      <c r="T109" s="2" t="s">
        <v>71</v>
      </c>
      <c r="U109" s="3">
        <v>3</v>
      </c>
      <c r="V109" s="3">
        <v>8</v>
      </c>
      <c r="W109" s="4" t="s">
        <v>1506</v>
      </c>
      <c r="X109" s="4" t="s">
        <v>1506</v>
      </c>
      <c r="Y109" s="4" t="s">
        <v>1507</v>
      </c>
      <c r="Z109" s="4" t="s">
        <v>1508</v>
      </c>
      <c r="AA109" s="3">
        <v>857</v>
      </c>
      <c r="AB109" s="3">
        <v>785</v>
      </c>
      <c r="AC109" s="3">
        <v>800</v>
      </c>
      <c r="AD109" s="3">
        <v>7</v>
      </c>
      <c r="AE109" s="3">
        <v>7</v>
      </c>
      <c r="AF109" s="3">
        <v>43</v>
      </c>
      <c r="AG109" s="3">
        <v>43</v>
      </c>
      <c r="AH109" s="3">
        <v>18</v>
      </c>
      <c r="AI109" s="3">
        <v>18</v>
      </c>
      <c r="AJ109" s="3">
        <v>11</v>
      </c>
      <c r="AK109" s="3">
        <v>11</v>
      </c>
      <c r="AL109" s="3">
        <v>21</v>
      </c>
      <c r="AM109" s="3">
        <v>21</v>
      </c>
      <c r="AN109" s="3">
        <v>5</v>
      </c>
      <c r="AO109" s="3">
        <v>5</v>
      </c>
      <c r="AP109" s="3">
        <v>0</v>
      </c>
      <c r="AQ109" s="3">
        <v>0</v>
      </c>
      <c r="AR109" s="2" t="s">
        <v>63</v>
      </c>
      <c r="AS109" s="2" t="s">
        <v>63</v>
      </c>
      <c r="AU109" s="5" t="str">
        <f>HYPERLINK("https://creighton-primo.hosted.exlibrisgroup.com/primo-explore/search?tab=default_tab&amp;search_scope=EVERYTHING&amp;vid=01CRU&amp;lang=en_US&amp;offset=0&amp;query=any,contains,991001762209702656","Catalog Record")</f>
        <v>Catalog Record</v>
      </c>
      <c r="AV109" s="5" t="str">
        <f>HYPERLINK("http://www.worldcat.org/oclc/8155099","WorldCat Record")</f>
        <v>WorldCat Record</v>
      </c>
      <c r="AW109" s="2" t="s">
        <v>1509</v>
      </c>
      <c r="AX109" s="2" t="s">
        <v>1510</v>
      </c>
      <c r="AY109" s="2" t="s">
        <v>1511</v>
      </c>
      <c r="AZ109" s="2" t="s">
        <v>1511</v>
      </c>
      <c r="BA109" s="2" t="s">
        <v>1512</v>
      </c>
      <c r="BB109" s="2" t="s">
        <v>78</v>
      </c>
      <c r="BD109" s="2" t="s">
        <v>1513</v>
      </c>
      <c r="BE109" s="2" t="s">
        <v>1514</v>
      </c>
      <c r="BF109" s="2" t="s">
        <v>1515</v>
      </c>
    </row>
    <row r="110" spans="1:58" ht="79.5" customHeight="1">
      <c r="A110" s="1"/>
      <c r="B110" s="1" t="s">
        <v>58</v>
      </c>
      <c r="C110" s="1" t="s">
        <v>59</v>
      </c>
      <c r="D110" s="1" t="s">
        <v>1516</v>
      </c>
      <c r="E110" s="1" t="s">
        <v>1517</v>
      </c>
      <c r="F110" s="1" t="s">
        <v>1518</v>
      </c>
      <c r="H110" s="2" t="s">
        <v>84</v>
      </c>
      <c r="I110" s="2" t="s">
        <v>64</v>
      </c>
      <c r="J110" s="2" t="s">
        <v>84</v>
      </c>
      <c r="K110" s="2" t="s">
        <v>63</v>
      </c>
      <c r="L110" s="2" t="s">
        <v>65</v>
      </c>
      <c r="M110" s="1" t="s">
        <v>1519</v>
      </c>
      <c r="N110" s="1" t="s">
        <v>1520</v>
      </c>
      <c r="O110" s="2" t="s">
        <v>263</v>
      </c>
      <c r="Q110" s="2" t="s">
        <v>69</v>
      </c>
      <c r="R110" s="2" t="s">
        <v>191</v>
      </c>
      <c r="S110" s="1" t="s">
        <v>1521</v>
      </c>
      <c r="T110" s="2" t="s">
        <v>71</v>
      </c>
      <c r="U110" s="3">
        <v>4</v>
      </c>
      <c r="V110" s="3">
        <v>7</v>
      </c>
      <c r="W110" s="4" t="s">
        <v>1522</v>
      </c>
      <c r="X110" s="4" t="s">
        <v>1522</v>
      </c>
      <c r="Y110" s="4" t="s">
        <v>90</v>
      </c>
      <c r="Z110" s="4" t="s">
        <v>1523</v>
      </c>
      <c r="AA110" s="3">
        <v>978</v>
      </c>
      <c r="AB110" s="3">
        <v>763</v>
      </c>
      <c r="AC110" s="3">
        <v>800</v>
      </c>
      <c r="AD110" s="3">
        <v>6</v>
      </c>
      <c r="AE110" s="3">
        <v>6</v>
      </c>
      <c r="AF110" s="3">
        <v>36</v>
      </c>
      <c r="AG110" s="3">
        <v>36</v>
      </c>
      <c r="AH110" s="3">
        <v>17</v>
      </c>
      <c r="AI110" s="3">
        <v>17</v>
      </c>
      <c r="AJ110" s="3">
        <v>9</v>
      </c>
      <c r="AK110" s="3">
        <v>9</v>
      </c>
      <c r="AL110" s="3">
        <v>18</v>
      </c>
      <c r="AM110" s="3">
        <v>18</v>
      </c>
      <c r="AN110" s="3">
        <v>3</v>
      </c>
      <c r="AO110" s="3">
        <v>3</v>
      </c>
      <c r="AP110" s="3">
        <v>0</v>
      </c>
      <c r="AQ110" s="3">
        <v>0</v>
      </c>
      <c r="AR110" s="2" t="s">
        <v>63</v>
      </c>
      <c r="AS110" s="2" t="s">
        <v>63</v>
      </c>
      <c r="AU110" s="5" t="str">
        <f>HYPERLINK("https://creighton-primo.hosted.exlibrisgroup.com/primo-explore/search?tab=default_tab&amp;search_scope=EVERYTHING&amp;vid=01CRU&amp;lang=en_US&amp;offset=0&amp;query=any,contains,991001762259702656","Catalog Record")</f>
        <v>Catalog Record</v>
      </c>
      <c r="AV110" s="5" t="str">
        <f>HYPERLINK("http://www.worldcat.org/oclc/12837549","WorldCat Record")</f>
        <v>WorldCat Record</v>
      </c>
      <c r="AW110" s="2" t="s">
        <v>1524</v>
      </c>
      <c r="AX110" s="2" t="s">
        <v>1525</v>
      </c>
      <c r="AY110" s="2" t="s">
        <v>1526</v>
      </c>
      <c r="AZ110" s="2" t="s">
        <v>1526</v>
      </c>
      <c r="BA110" s="2" t="s">
        <v>1527</v>
      </c>
      <c r="BB110" s="2" t="s">
        <v>78</v>
      </c>
      <c r="BD110" s="2" t="s">
        <v>1528</v>
      </c>
      <c r="BE110" s="2" t="s">
        <v>1529</v>
      </c>
      <c r="BF110" s="2" t="s">
        <v>1530</v>
      </c>
    </row>
    <row r="111" spans="1:58" ht="79.5" customHeight="1">
      <c r="A111" s="1"/>
      <c r="B111" s="1" t="s">
        <v>58</v>
      </c>
      <c r="C111" s="1" t="s">
        <v>59</v>
      </c>
      <c r="D111" s="1" t="s">
        <v>1531</v>
      </c>
      <c r="E111" s="1" t="s">
        <v>1532</v>
      </c>
      <c r="F111" s="1" t="s">
        <v>1533</v>
      </c>
      <c r="H111" s="2" t="s">
        <v>63</v>
      </c>
      <c r="I111" s="2" t="s">
        <v>64</v>
      </c>
      <c r="J111" s="2" t="s">
        <v>84</v>
      </c>
      <c r="K111" s="2" t="s">
        <v>63</v>
      </c>
      <c r="L111" s="2" t="s">
        <v>65</v>
      </c>
      <c r="M111" s="1" t="s">
        <v>1534</v>
      </c>
      <c r="N111" s="1" t="s">
        <v>1535</v>
      </c>
      <c r="O111" s="2" t="s">
        <v>263</v>
      </c>
      <c r="P111" s="1" t="s">
        <v>143</v>
      </c>
      <c r="Q111" s="2" t="s">
        <v>69</v>
      </c>
      <c r="R111" s="2" t="s">
        <v>1536</v>
      </c>
      <c r="T111" s="2" t="s">
        <v>71</v>
      </c>
      <c r="U111" s="3">
        <v>4</v>
      </c>
      <c r="V111" s="3">
        <v>10</v>
      </c>
      <c r="W111" s="4" t="s">
        <v>1537</v>
      </c>
      <c r="X111" s="4" t="s">
        <v>1538</v>
      </c>
      <c r="Y111" s="4" t="s">
        <v>1539</v>
      </c>
      <c r="Z111" s="4" t="s">
        <v>1540</v>
      </c>
      <c r="AA111" s="3">
        <v>291</v>
      </c>
      <c r="AB111" s="3">
        <v>241</v>
      </c>
      <c r="AC111" s="3">
        <v>660</v>
      </c>
      <c r="AD111" s="3">
        <v>3</v>
      </c>
      <c r="AE111" s="3">
        <v>7</v>
      </c>
      <c r="AF111" s="3">
        <v>10</v>
      </c>
      <c r="AG111" s="3">
        <v>37</v>
      </c>
      <c r="AH111" s="3">
        <v>5</v>
      </c>
      <c r="AI111" s="3">
        <v>16</v>
      </c>
      <c r="AJ111" s="3">
        <v>1</v>
      </c>
      <c r="AK111" s="3">
        <v>6</v>
      </c>
      <c r="AL111" s="3">
        <v>7</v>
      </c>
      <c r="AM111" s="3">
        <v>18</v>
      </c>
      <c r="AN111" s="3">
        <v>1</v>
      </c>
      <c r="AO111" s="3">
        <v>5</v>
      </c>
      <c r="AP111" s="3">
        <v>0</v>
      </c>
      <c r="AQ111" s="3">
        <v>0</v>
      </c>
      <c r="AR111" s="2" t="s">
        <v>63</v>
      </c>
      <c r="AS111" s="2" t="s">
        <v>63</v>
      </c>
      <c r="AU111" s="5" t="str">
        <f>HYPERLINK("https://creighton-primo.hosted.exlibrisgroup.com/primo-explore/search?tab=default_tab&amp;search_scope=EVERYTHING&amp;vid=01CRU&amp;lang=en_US&amp;offset=0&amp;query=any,contains,991001774969702656","Catalog Record")</f>
        <v>Catalog Record</v>
      </c>
      <c r="AV111" s="5" t="str">
        <f>HYPERLINK("http://www.worldcat.org/oclc/13330804","WorldCat Record")</f>
        <v>WorldCat Record</v>
      </c>
      <c r="AW111" s="2" t="s">
        <v>1541</v>
      </c>
      <c r="AX111" s="2" t="s">
        <v>1542</v>
      </c>
      <c r="AY111" s="2" t="s">
        <v>1543</v>
      </c>
      <c r="AZ111" s="2" t="s">
        <v>1543</v>
      </c>
      <c r="BA111" s="2" t="s">
        <v>1544</v>
      </c>
      <c r="BB111" s="2" t="s">
        <v>78</v>
      </c>
      <c r="BD111" s="2" t="s">
        <v>1545</v>
      </c>
      <c r="BE111" s="2" t="s">
        <v>1546</v>
      </c>
      <c r="BF111" s="2" t="s">
        <v>1547</v>
      </c>
    </row>
    <row r="112" spans="1:58" ht="79.5" customHeight="1">
      <c r="A112" s="1"/>
      <c r="B112" s="1" t="s">
        <v>58</v>
      </c>
      <c r="C112" s="1" t="s">
        <v>59</v>
      </c>
      <c r="D112" s="1" t="s">
        <v>1548</v>
      </c>
      <c r="E112" s="1" t="s">
        <v>1549</v>
      </c>
      <c r="F112" s="1" t="s">
        <v>1550</v>
      </c>
      <c r="H112" s="2" t="s">
        <v>63</v>
      </c>
      <c r="I112" s="2" t="s">
        <v>64</v>
      </c>
      <c r="J112" s="2" t="s">
        <v>84</v>
      </c>
      <c r="K112" s="2" t="s">
        <v>63</v>
      </c>
      <c r="L112" s="2" t="s">
        <v>65</v>
      </c>
      <c r="N112" s="1" t="s">
        <v>1551</v>
      </c>
      <c r="O112" s="2" t="s">
        <v>1033</v>
      </c>
      <c r="Q112" s="2" t="s">
        <v>69</v>
      </c>
      <c r="R112" s="2" t="s">
        <v>70</v>
      </c>
      <c r="T112" s="2" t="s">
        <v>71</v>
      </c>
      <c r="U112" s="3">
        <v>12</v>
      </c>
      <c r="V112" s="3">
        <v>18</v>
      </c>
      <c r="W112" s="4" t="s">
        <v>1552</v>
      </c>
      <c r="X112" s="4" t="s">
        <v>1552</v>
      </c>
      <c r="Y112" s="4" t="s">
        <v>1553</v>
      </c>
      <c r="Z112" s="4" t="s">
        <v>1554</v>
      </c>
      <c r="AA112" s="3">
        <v>487</v>
      </c>
      <c r="AB112" s="3">
        <v>358</v>
      </c>
      <c r="AC112" s="3">
        <v>501</v>
      </c>
      <c r="AD112" s="3">
        <v>4</v>
      </c>
      <c r="AE112" s="3">
        <v>4</v>
      </c>
      <c r="AF112" s="3">
        <v>22</v>
      </c>
      <c r="AG112" s="3">
        <v>27</v>
      </c>
      <c r="AH112" s="3">
        <v>10</v>
      </c>
      <c r="AI112" s="3">
        <v>12</v>
      </c>
      <c r="AJ112" s="3">
        <v>6</v>
      </c>
      <c r="AK112" s="3">
        <v>6</v>
      </c>
      <c r="AL112" s="3">
        <v>10</v>
      </c>
      <c r="AM112" s="3">
        <v>15</v>
      </c>
      <c r="AN112" s="3">
        <v>2</v>
      </c>
      <c r="AO112" s="3">
        <v>2</v>
      </c>
      <c r="AP112" s="3">
        <v>0</v>
      </c>
      <c r="AQ112" s="3">
        <v>0</v>
      </c>
      <c r="AR112" s="2" t="s">
        <v>63</v>
      </c>
      <c r="AS112" s="2" t="s">
        <v>84</v>
      </c>
      <c r="AT112" s="5" t="str">
        <f>HYPERLINK("http://catalog.hathitrust.org/Record/000214651","HathiTrust Record")</f>
        <v>HathiTrust Record</v>
      </c>
      <c r="AU112" s="5" t="str">
        <f>HYPERLINK("https://creighton-primo.hosted.exlibrisgroup.com/primo-explore/search?tab=default_tab&amp;search_scope=EVERYTHING&amp;vid=01CRU&amp;lang=en_US&amp;offset=0&amp;query=any,contains,991001791419702656","Catalog Record")</f>
        <v>Catalog Record</v>
      </c>
      <c r="AV112" s="5" t="str">
        <f>HYPERLINK("http://www.worldcat.org/oclc/4136788","WorldCat Record")</f>
        <v>WorldCat Record</v>
      </c>
      <c r="AW112" s="2" t="s">
        <v>1555</v>
      </c>
      <c r="AX112" s="2" t="s">
        <v>1556</v>
      </c>
      <c r="AY112" s="2" t="s">
        <v>1557</v>
      </c>
      <c r="AZ112" s="2" t="s">
        <v>1557</v>
      </c>
      <c r="BA112" s="2" t="s">
        <v>1558</v>
      </c>
      <c r="BB112" s="2" t="s">
        <v>78</v>
      </c>
      <c r="BD112" s="2" t="s">
        <v>1559</v>
      </c>
      <c r="BE112" s="2" t="s">
        <v>1560</v>
      </c>
      <c r="BF112" s="2" t="s">
        <v>1561</v>
      </c>
    </row>
    <row r="113" spans="1:58" ht="79.5" customHeight="1">
      <c r="A113" s="1"/>
      <c r="B113" s="1" t="s">
        <v>58</v>
      </c>
      <c r="C113" s="1" t="s">
        <v>59</v>
      </c>
      <c r="D113" s="1" t="s">
        <v>1562</v>
      </c>
      <c r="E113" s="1" t="s">
        <v>1563</v>
      </c>
      <c r="F113" s="1" t="s">
        <v>1564</v>
      </c>
      <c r="H113" s="2" t="s">
        <v>63</v>
      </c>
      <c r="I113" s="2" t="s">
        <v>64</v>
      </c>
      <c r="J113" s="2" t="s">
        <v>63</v>
      </c>
      <c r="K113" s="2" t="s">
        <v>63</v>
      </c>
      <c r="L113" s="2" t="s">
        <v>65</v>
      </c>
      <c r="M113" s="1" t="s">
        <v>1565</v>
      </c>
      <c r="N113" s="1" t="s">
        <v>1566</v>
      </c>
      <c r="O113" s="2" t="s">
        <v>1567</v>
      </c>
      <c r="Q113" s="2" t="s">
        <v>69</v>
      </c>
      <c r="R113" s="2" t="s">
        <v>104</v>
      </c>
      <c r="T113" s="2" t="s">
        <v>71</v>
      </c>
      <c r="U113" s="3">
        <v>4</v>
      </c>
      <c r="V113" s="3">
        <v>4</v>
      </c>
      <c r="W113" s="4" t="s">
        <v>481</v>
      </c>
      <c r="X113" s="4" t="s">
        <v>481</v>
      </c>
      <c r="Y113" s="4" t="s">
        <v>495</v>
      </c>
      <c r="Z113" s="4" t="s">
        <v>495</v>
      </c>
      <c r="AA113" s="3">
        <v>131</v>
      </c>
      <c r="AB113" s="3">
        <v>119</v>
      </c>
      <c r="AC113" s="3">
        <v>119</v>
      </c>
      <c r="AD113" s="3">
        <v>1</v>
      </c>
      <c r="AE113" s="3">
        <v>1</v>
      </c>
      <c r="AF113" s="3">
        <v>17</v>
      </c>
      <c r="AG113" s="3">
        <v>17</v>
      </c>
      <c r="AH113" s="3">
        <v>3</v>
      </c>
      <c r="AI113" s="3">
        <v>3</v>
      </c>
      <c r="AJ113" s="3">
        <v>5</v>
      </c>
      <c r="AK113" s="3">
        <v>5</v>
      </c>
      <c r="AL113" s="3">
        <v>14</v>
      </c>
      <c r="AM113" s="3">
        <v>14</v>
      </c>
      <c r="AN113" s="3">
        <v>0</v>
      </c>
      <c r="AO113" s="3">
        <v>0</v>
      </c>
      <c r="AP113" s="3">
        <v>0</v>
      </c>
      <c r="AQ113" s="3">
        <v>0</v>
      </c>
      <c r="AR113" s="2" t="s">
        <v>63</v>
      </c>
      <c r="AS113" s="2" t="s">
        <v>63</v>
      </c>
      <c r="AU113" s="5" t="str">
        <f>HYPERLINK("https://creighton-primo.hosted.exlibrisgroup.com/primo-explore/search?tab=default_tab&amp;search_scope=EVERYTHING&amp;vid=01CRU&amp;lang=en_US&amp;offset=0&amp;query=any,contains,991000787879702656","Catalog Record")</f>
        <v>Catalog Record</v>
      </c>
      <c r="AV113" s="5" t="str">
        <f>HYPERLINK("http://www.worldcat.org/oclc/1406018","WorldCat Record")</f>
        <v>WorldCat Record</v>
      </c>
      <c r="AW113" s="2" t="s">
        <v>1568</v>
      </c>
      <c r="AX113" s="2" t="s">
        <v>1569</v>
      </c>
      <c r="AY113" s="2" t="s">
        <v>1570</v>
      </c>
      <c r="AZ113" s="2" t="s">
        <v>1570</v>
      </c>
      <c r="BA113" s="2" t="s">
        <v>1571</v>
      </c>
      <c r="BB113" s="2" t="s">
        <v>78</v>
      </c>
      <c r="BE113" s="2" t="s">
        <v>1572</v>
      </c>
      <c r="BF113" s="2" t="s">
        <v>1573</v>
      </c>
    </row>
    <row r="114" spans="1:58" ht="79.5" customHeight="1">
      <c r="A114" s="1"/>
      <c r="B114" s="1" t="s">
        <v>58</v>
      </c>
      <c r="C114" s="1" t="s">
        <v>59</v>
      </c>
      <c r="D114" s="1" t="s">
        <v>1574</v>
      </c>
      <c r="E114" s="1" t="s">
        <v>1575</v>
      </c>
      <c r="F114" s="1" t="s">
        <v>1576</v>
      </c>
      <c r="H114" s="2" t="s">
        <v>63</v>
      </c>
      <c r="I114" s="2" t="s">
        <v>64</v>
      </c>
      <c r="J114" s="2" t="s">
        <v>63</v>
      </c>
      <c r="K114" s="2" t="s">
        <v>63</v>
      </c>
      <c r="L114" s="2" t="s">
        <v>65</v>
      </c>
      <c r="M114" s="1" t="s">
        <v>1577</v>
      </c>
      <c r="N114" s="1" t="s">
        <v>1578</v>
      </c>
      <c r="O114" s="2" t="s">
        <v>1047</v>
      </c>
      <c r="Q114" s="2" t="s">
        <v>69</v>
      </c>
      <c r="R114" s="2" t="s">
        <v>1141</v>
      </c>
      <c r="T114" s="2" t="s">
        <v>71</v>
      </c>
      <c r="U114" s="3">
        <v>8</v>
      </c>
      <c r="V114" s="3">
        <v>8</v>
      </c>
      <c r="W114" s="4" t="s">
        <v>612</v>
      </c>
      <c r="X114" s="4" t="s">
        <v>612</v>
      </c>
      <c r="Y114" s="4" t="s">
        <v>495</v>
      </c>
      <c r="Z114" s="4" t="s">
        <v>495</v>
      </c>
      <c r="AA114" s="3">
        <v>746</v>
      </c>
      <c r="AB114" s="3">
        <v>668</v>
      </c>
      <c r="AC114" s="3">
        <v>679</v>
      </c>
      <c r="AD114" s="3">
        <v>3</v>
      </c>
      <c r="AE114" s="3">
        <v>3</v>
      </c>
      <c r="AF114" s="3">
        <v>27</v>
      </c>
      <c r="AG114" s="3">
        <v>27</v>
      </c>
      <c r="AH114" s="3">
        <v>12</v>
      </c>
      <c r="AI114" s="3">
        <v>12</v>
      </c>
      <c r="AJ114" s="3">
        <v>5</v>
      </c>
      <c r="AK114" s="3">
        <v>5</v>
      </c>
      <c r="AL114" s="3">
        <v>11</v>
      </c>
      <c r="AM114" s="3">
        <v>11</v>
      </c>
      <c r="AN114" s="3">
        <v>1</v>
      </c>
      <c r="AO114" s="3">
        <v>1</v>
      </c>
      <c r="AP114" s="3">
        <v>0</v>
      </c>
      <c r="AQ114" s="3">
        <v>0</v>
      </c>
      <c r="AR114" s="2" t="s">
        <v>63</v>
      </c>
      <c r="AS114" s="2" t="s">
        <v>84</v>
      </c>
      <c r="AT114" s="5" t="str">
        <f>HYPERLINK("http://catalog.hathitrust.org/Record/001920936","HathiTrust Record")</f>
        <v>HathiTrust Record</v>
      </c>
      <c r="AU114" s="5" t="str">
        <f>HYPERLINK("https://creighton-primo.hosted.exlibrisgroup.com/primo-explore/search?tab=default_tab&amp;search_scope=EVERYTHING&amp;vid=01CRU&amp;lang=en_US&amp;offset=0&amp;query=any,contains,991000788469702656","Catalog Record")</f>
        <v>Catalog Record</v>
      </c>
      <c r="AV114" s="5" t="str">
        <f>HYPERLINK("http://www.worldcat.org/oclc/106345","WorldCat Record")</f>
        <v>WorldCat Record</v>
      </c>
      <c r="AW114" s="2" t="s">
        <v>1579</v>
      </c>
      <c r="AX114" s="2" t="s">
        <v>1580</v>
      </c>
      <c r="AY114" s="2" t="s">
        <v>1581</v>
      </c>
      <c r="AZ114" s="2" t="s">
        <v>1581</v>
      </c>
      <c r="BA114" s="2" t="s">
        <v>1582</v>
      </c>
      <c r="BB114" s="2" t="s">
        <v>78</v>
      </c>
      <c r="BD114" s="2" t="s">
        <v>1583</v>
      </c>
      <c r="BE114" s="2" t="s">
        <v>1584</v>
      </c>
      <c r="BF114" s="2" t="s">
        <v>1585</v>
      </c>
    </row>
    <row r="115" spans="1:58" ht="79.5" customHeight="1">
      <c r="A115" s="1"/>
      <c r="B115" s="1" t="s">
        <v>58</v>
      </c>
      <c r="C115" s="1" t="s">
        <v>59</v>
      </c>
      <c r="D115" s="1" t="s">
        <v>1586</v>
      </c>
      <c r="E115" s="1" t="s">
        <v>1587</v>
      </c>
      <c r="F115" s="1" t="s">
        <v>1588</v>
      </c>
      <c r="H115" s="2" t="s">
        <v>63</v>
      </c>
      <c r="I115" s="2" t="s">
        <v>64</v>
      </c>
      <c r="J115" s="2" t="s">
        <v>84</v>
      </c>
      <c r="K115" s="2" t="s">
        <v>63</v>
      </c>
      <c r="L115" s="2" t="s">
        <v>65</v>
      </c>
      <c r="M115" s="1" t="s">
        <v>1589</v>
      </c>
      <c r="N115" s="1" t="s">
        <v>1590</v>
      </c>
      <c r="O115" s="2" t="s">
        <v>992</v>
      </c>
      <c r="Q115" s="2" t="s">
        <v>69</v>
      </c>
      <c r="R115" s="2" t="s">
        <v>465</v>
      </c>
      <c r="S115" s="1" t="s">
        <v>1591</v>
      </c>
      <c r="T115" s="2" t="s">
        <v>71</v>
      </c>
      <c r="U115" s="3">
        <v>9</v>
      </c>
      <c r="V115" s="3">
        <v>9</v>
      </c>
      <c r="W115" s="4" t="s">
        <v>380</v>
      </c>
      <c r="X115" s="4" t="s">
        <v>380</v>
      </c>
      <c r="Y115" s="4" t="s">
        <v>1592</v>
      </c>
      <c r="Z115" s="4" t="s">
        <v>1592</v>
      </c>
      <c r="AA115" s="3">
        <v>1181</v>
      </c>
      <c r="AB115" s="3">
        <v>940</v>
      </c>
      <c r="AC115" s="3">
        <v>949</v>
      </c>
      <c r="AD115" s="3">
        <v>10</v>
      </c>
      <c r="AE115" s="3">
        <v>10</v>
      </c>
      <c r="AF115" s="3">
        <v>32</v>
      </c>
      <c r="AG115" s="3">
        <v>32</v>
      </c>
      <c r="AH115" s="3">
        <v>11</v>
      </c>
      <c r="AI115" s="3">
        <v>11</v>
      </c>
      <c r="AJ115" s="3">
        <v>7</v>
      </c>
      <c r="AK115" s="3">
        <v>7</v>
      </c>
      <c r="AL115" s="3">
        <v>17</v>
      </c>
      <c r="AM115" s="3">
        <v>17</v>
      </c>
      <c r="AN115" s="3">
        <v>7</v>
      </c>
      <c r="AO115" s="3">
        <v>7</v>
      </c>
      <c r="AP115" s="3">
        <v>0</v>
      </c>
      <c r="AQ115" s="3">
        <v>0</v>
      </c>
      <c r="AR115" s="2" t="s">
        <v>63</v>
      </c>
      <c r="AS115" s="2" t="s">
        <v>84</v>
      </c>
      <c r="AT115" s="5" t="str">
        <f>HYPERLINK("http://catalog.hathitrust.org/Record/000974073","HathiTrust Record")</f>
        <v>HathiTrust Record</v>
      </c>
      <c r="AU115" s="5" t="str">
        <f>HYPERLINK("https://creighton-primo.hosted.exlibrisgroup.com/primo-explore/search?tab=default_tab&amp;search_scope=EVERYTHING&amp;vid=01CRU&amp;lang=en_US&amp;offset=0&amp;query=any,contains,991001446929702656","Catalog Record")</f>
        <v>Catalog Record</v>
      </c>
      <c r="AV115" s="5" t="str">
        <f>HYPERLINK("http://www.worldcat.org/oclc/42863067","WorldCat Record")</f>
        <v>WorldCat Record</v>
      </c>
      <c r="AW115" s="2" t="s">
        <v>1593</v>
      </c>
      <c r="AX115" s="2" t="s">
        <v>1594</v>
      </c>
      <c r="AY115" s="2" t="s">
        <v>1595</v>
      </c>
      <c r="AZ115" s="2" t="s">
        <v>1595</v>
      </c>
      <c r="BA115" s="2" t="s">
        <v>1596</v>
      </c>
      <c r="BB115" s="2" t="s">
        <v>78</v>
      </c>
      <c r="BD115" s="2" t="s">
        <v>1597</v>
      </c>
      <c r="BE115" s="2" t="s">
        <v>1598</v>
      </c>
      <c r="BF115" s="2" t="s">
        <v>1599</v>
      </c>
    </row>
    <row r="116" spans="1:58" ht="79.5" customHeight="1">
      <c r="A116" s="1"/>
      <c r="B116" s="1" t="s">
        <v>58</v>
      </c>
      <c r="C116" s="1" t="s">
        <v>59</v>
      </c>
      <c r="D116" s="1" t="s">
        <v>1600</v>
      </c>
      <c r="E116" s="1" t="s">
        <v>1601</v>
      </c>
      <c r="F116" s="1" t="s">
        <v>1602</v>
      </c>
      <c r="H116" s="2" t="s">
        <v>63</v>
      </c>
      <c r="I116" s="2" t="s">
        <v>64</v>
      </c>
      <c r="J116" s="2" t="s">
        <v>63</v>
      </c>
      <c r="K116" s="2" t="s">
        <v>63</v>
      </c>
      <c r="L116" s="2" t="s">
        <v>65</v>
      </c>
      <c r="M116" s="1" t="s">
        <v>1603</v>
      </c>
      <c r="N116" s="1" t="s">
        <v>1604</v>
      </c>
      <c r="O116" s="2" t="s">
        <v>1351</v>
      </c>
      <c r="Q116" s="2" t="s">
        <v>69</v>
      </c>
      <c r="R116" s="2" t="s">
        <v>70</v>
      </c>
      <c r="T116" s="2" t="s">
        <v>71</v>
      </c>
      <c r="U116" s="3">
        <v>1</v>
      </c>
      <c r="V116" s="3">
        <v>1</v>
      </c>
      <c r="W116" s="4" t="s">
        <v>1605</v>
      </c>
      <c r="X116" s="4" t="s">
        <v>1605</v>
      </c>
      <c r="Y116" s="4" t="s">
        <v>1606</v>
      </c>
      <c r="Z116" s="4" t="s">
        <v>1606</v>
      </c>
      <c r="AA116" s="3">
        <v>59</v>
      </c>
      <c r="AB116" s="3">
        <v>50</v>
      </c>
      <c r="AC116" s="3">
        <v>74</v>
      </c>
      <c r="AD116" s="3">
        <v>2</v>
      </c>
      <c r="AE116" s="3">
        <v>2</v>
      </c>
      <c r="AF116" s="3">
        <v>1</v>
      </c>
      <c r="AG116" s="3">
        <v>2</v>
      </c>
      <c r="AH116" s="3">
        <v>0</v>
      </c>
      <c r="AI116" s="3">
        <v>1</v>
      </c>
      <c r="AJ116" s="3">
        <v>0</v>
      </c>
      <c r="AK116" s="3">
        <v>0</v>
      </c>
      <c r="AL116" s="3">
        <v>0</v>
      </c>
      <c r="AM116" s="3">
        <v>0</v>
      </c>
      <c r="AN116" s="3">
        <v>1</v>
      </c>
      <c r="AO116" s="3">
        <v>1</v>
      </c>
      <c r="AP116" s="3">
        <v>0</v>
      </c>
      <c r="AQ116" s="3">
        <v>0</v>
      </c>
      <c r="AR116" s="2" t="s">
        <v>63</v>
      </c>
      <c r="AS116" s="2" t="s">
        <v>63</v>
      </c>
      <c r="AU116" s="5" t="str">
        <f>HYPERLINK("https://creighton-primo.hosted.exlibrisgroup.com/primo-explore/search?tab=default_tab&amp;search_scope=EVERYTHING&amp;vid=01CRU&amp;lang=en_US&amp;offset=0&amp;query=any,contains,991000366699702656","Catalog Record")</f>
        <v>Catalog Record</v>
      </c>
      <c r="AV116" s="5" t="str">
        <f>HYPERLINK("http://www.worldcat.org/oclc/51653253","WorldCat Record")</f>
        <v>WorldCat Record</v>
      </c>
      <c r="AW116" s="2" t="s">
        <v>1607</v>
      </c>
      <c r="AX116" s="2" t="s">
        <v>1608</v>
      </c>
      <c r="AY116" s="2" t="s">
        <v>1609</v>
      </c>
      <c r="AZ116" s="2" t="s">
        <v>1609</v>
      </c>
      <c r="BA116" s="2" t="s">
        <v>1610</v>
      </c>
      <c r="BB116" s="2" t="s">
        <v>78</v>
      </c>
      <c r="BD116" s="2" t="s">
        <v>1611</v>
      </c>
      <c r="BE116" s="2" t="s">
        <v>1612</v>
      </c>
      <c r="BF116" s="2" t="s">
        <v>1613</v>
      </c>
    </row>
    <row r="117" spans="1:58" ht="79.5" customHeight="1">
      <c r="A117" s="1"/>
      <c r="B117" s="1" t="s">
        <v>58</v>
      </c>
      <c r="C117" s="1" t="s">
        <v>59</v>
      </c>
      <c r="D117" s="1" t="s">
        <v>1614</v>
      </c>
      <c r="E117" s="1" t="s">
        <v>1615</v>
      </c>
      <c r="F117" s="1" t="s">
        <v>1616</v>
      </c>
      <c r="H117" s="2" t="s">
        <v>63</v>
      </c>
      <c r="I117" s="2" t="s">
        <v>64</v>
      </c>
      <c r="J117" s="2" t="s">
        <v>63</v>
      </c>
      <c r="K117" s="2" t="s">
        <v>63</v>
      </c>
      <c r="L117" s="2" t="s">
        <v>64</v>
      </c>
      <c r="M117" s="1" t="s">
        <v>1617</v>
      </c>
      <c r="N117" s="1" t="s">
        <v>1618</v>
      </c>
      <c r="O117" s="2" t="s">
        <v>559</v>
      </c>
      <c r="P117" s="1" t="s">
        <v>221</v>
      </c>
      <c r="Q117" s="2" t="s">
        <v>69</v>
      </c>
      <c r="R117" s="2" t="s">
        <v>144</v>
      </c>
      <c r="T117" s="2" t="s">
        <v>71</v>
      </c>
      <c r="U117" s="3">
        <v>0</v>
      </c>
      <c r="V117" s="3">
        <v>0</v>
      </c>
      <c r="W117" s="4" t="s">
        <v>1619</v>
      </c>
      <c r="X117" s="4" t="s">
        <v>1619</v>
      </c>
      <c r="Y117" s="4" t="s">
        <v>1620</v>
      </c>
      <c r="Z117" s="4" t="s">
        <v>1620</v>
      </c>
      <c r="AA117" s="3">
        <v>194</v>
      </c>
      <c r="AB117" s="3">
        <v>173</v>
      </c>
      <c r="AC117" s="3">
        <v>1180</v>
      </c>
      <c r="AD117" s="3">
        <v>1</v>
      </c>
      <c r="AE117" s="3">
        <v>14</v>
      </c>
      <c r="AF117" s="3">
        <v>4</v>
      </c>
      <c r="AG117" s="3">
        <v>42</v>
      </c>
      <c r="AH117" s="3">
        <v>2</v>
      </c>
      <c r="AI117" s="3">
        <v>13</v>
      </c>
      <c r="AJ117" s="3">
        <v>1</v>
      </c>
      <c r="AK117" s="3">
        <v>9</v>
      </c>
      <c r="AL117" s="3">
        <v>2</v>
      </c>
      <c r="AM117" s="3">
        <v>13</v>
      </c>
      <c r="AN117" s="3">
        <v>0</v>
      </c>
      <c r="AO117" s="3">
        <v>12</v>
      </c>
      <c r="AP117" s="3">
        <v>0</v>
      </c>
      <c r="AQ117" s="3">
        <v>2</v>
      </c>
      <c r="AR117" s="2" t="s">
        <v>63</v>
      </c>
      <c r="AS117" s="2" t="s">
        <v>63</v>
      </c>
      <c r="AU117" s="5" t="str">
        <f>HYPERLINK("https://creighton-primo.hosted.exlibrisgroup.com/primo-explore/search?tab=default_tab&amp;search_scope=EVERYTHING&amp;vid=01CRU&amp;lang=en_US&amp;offset=0&amp;query=any,contains,991000477899702656","Catalog Record")</f>
        <v>Catalog Record</v>
      </c>
      <c r="AV117" s="5" t="str">
        <f>HYPERLINK("http://www.worldcat.org/oclc/53131648","WorldCat Record")</f>
        <v>WorldCat Record</v>
      </c>
      <c r="AW117" s="2" t="s">
        <v>1621</v>
      </c>
      <c r="AX117" s="2" t="s">
        <v>1622</v>
      </c>
      <c r="AY117" s="2" t="s">
        <v>1623</v>
      </c>
      <c r="AZ117" s="2" t="s">
        <v>1623</v>
      </c>
      <c r="BA117" s="2" t="s">
        <v>1624</v>
      </c>
      <c r="BB117" s="2" t="s">
        <v>78</v>
      </c>
      <c r="BD117" s="2" t="s">
        <v>1625</v>
      </c>
      <c r="BE117" s="2" t="s">
        <v>1626</v>
      </c>
      <c r="BF117" s="2" t="s">
        <v>1627</v>
      </c>
    </row>
    <row r="118" spans="1:58" ht="79.5" customHeight="1">
      <c r="A118" s="1"/>
      <c r="B118" s="1" t="s">
        <v>58</v>
      </c>
      <c r="C118" s="1" t="s">
        <v>59</v>
      </c>
      <c r="D118" s="1" t="s">
        <v>1628</v>
      </c>
      <c r="E118" s="1" t="s">
        <v>1629</v>
      </c>
      <c r="F118" s="1" t="s">
        <v>1630</v>
      </c>
      <c r="H118" s="2" t="s">
        <v>63</v>
      </c>
      <c r="I118" s="2" t="s">
        <v>64</v>
      </c>
      <c r="J118" s="2" t="s">
        <v>84</v>
      </c>
      <c r="K118" s="2" t="s">
        <v>63</v>
      </c>
      <c r="L118" s="2" t="s">
        <v>65</v>
      </c>
      <c r="N118" s="1" t="s">
        <v>1631</v>
      </c>
      <c r="O118" s="2" t="s">
        <v>263</v>
      </c>
      <c r="Q118" s="2" t="s">
        <v>69</v>
      </c>
      <c r="R118" s="2" t="s">
        <v>1366</v>
      </c>
      <c r="T118" s="2" t="s">
        <v>71</v>
      </c>
      <c r="U118" s="3">
        <v>11</v>
      </c>
      <c r="V118" s="3">
        <v>32</v>
      </c>
      <c r="W118" s="4" t="s">
        <v>1632</v>
      </c>
      <c r="X118" s="4" t="s">
        <v>1633</v>
      </c>
      <c r="Y118" s="4" t="s">
        <v>90</v>
      </c>
      <c r="Z118" s="4" t="s">
        <v>1634</v>
      </c>
      <c r="AA118" s="3">
        <v>630</v>
      </c>
      <c r="AB118" s="3">
        <v>559</v>
      </c>
      <c r="AC118" s="3">
        <v>565</v>
      </c>
      <c r="AD118" s="3">
        <v>7</v>
      </c>
      <c r="AE118" s="3">
        <v>7</v>
      </c>
      <c r="AF118" s="3">
        <v>27</v>
      </c>
      <c r="AG118" s="3">
        <v>27</v>
      </c>
      <c r="AH118" s="3">
        <v>14</v>
      </c>
      <c r="AI118" s="3">
        <v>14</v>
      </c>
      <c r="AJ118" s="3">
        <v>4</v>
      </c>
      <c r="AK118" s="3">
        <v>4</v>
      </c>
      <c r="AL118" s="3">
        <v>12</v>
      </c>
      <c r="AM118" s="3">
        <v>12</v>
      </c>
      <c r="AN118" s="3">
        <v>4</v>
      </c>
      <c r="AO118" s="3">
        <v>4</v>
      </c>
      <c r="AP118" s="3">
        <v>0</v>
      </c>
      <c r="AQ118" s="3">
        <v>0</v>
      </c>
      <c r="AR118" s="2" t="s">
        <v>63</v>
      </c>
      <c r="AS118" s="2" t="s">
        <v>84</v>
      </c>
      <c r="AT118" s="5" t="str">
        <f>HYPERLINK("http://catalog.hathitrust.org/Record/007104551","HathiTrust Record")</f>
        <v>HathiTrust Record</v>
      </c>
      <c r="AU118" s="5" t="str">
        <f>HYPERLINK("https://creighton-primo.hosted.exlibrisgroup.com/primo-explore/search?tab=default_tab&amp;search_scope=EVERYTHING&amp;vid=01CRU&amp;lang=en_US&amp;offset=0&amp;query=any,contains,991001762339702656","Catalog Record")</f>
        <v>Catalog Record</v>
      </c>
      <c r="AV118" s="5" t="str">
        <f>HYPERLINK("http://www.worldcat.org/oclc/14248435","WorldCat Record")</f>
        <v>WorldCat Record</v>
      </c>
      <c r="AW118" s="2" t="s">
        <v>1635</v>
      </c>
      <c r="AX118" s="2" t="s">
        <v>1636</v>
      </c>
      <c r="AY118" s="2" t="s">
        <v>1637</v>
      </c>
      <c r="AZ118" s="2" t="s">
        <v>1637</v>
      </c>
      <c r="BA118" s="2" t="s">
        <v>1638</v>
      </c>
      <c r="BB118" s="2" t="s">
        <v>78</v>
      </c>
      <c r="BD118" s="2" t="s">
        <v>1639</v>
      </c>
      <c r="BE118" s="2" t="s">
        <v>1640</v>
      </c>
      <c r="BF118" s="2" t="s">
        <v>1641</v>
      </c>
    </row>
    <row r="119" spans="1:58" ht="79.5" customHeight="1">
      <c r="A119" s="1"/>
      <c r="B119" s="1" t="s">
        <v>58</v>
      </c>
      <c r="C119" s="1" t="s">
        <v>59</v>
      </c>
      <c r="D119" s="1" t="s">
        <v>1642</v>
      </c>
      <c r="E119" s="1" t="s">
        <v>1643</v>
      </c>
      <c r="F119" s="1" t="s">
        <v>1644</v>
      </c>
      <c r="H119" s="2" t="s">
        <v>63</v>
      </c>
      <c r="I119" s="2" t="s">
        <v>64</v>
      </c>
      <c r="J119" s="2" t="s">
        <v>84</v>
      </c>
      <c r="K119" s="2" t="s">
        <v>63</v>
      </c>
      <c r="L119" s="2" t="s">
        <v>64</v>
      </c>
      <c r="M119" s="1" t="s">
        <v>1645</v>
      </c>
      <c r="N119" s="1" t="s">
        <v>1646</v>
      </c>
      <c r="O119" s="2" t="s">
        <v>1101</v>
      </c>
      <c r="Q119" s="2" t="s">
        <v>69</v>
      </c>
      <c r="R119" s="2" t="s">
        <v>70</v>
      </c>
      <c r="T119" s="2" t="s">
        <v>71</v>
      </c>
      <c r="U119" s="3">
        <v>4</v>
      </c>
      <c r="V119" s="3">
        <v>21</v>
      </c>
      <c r="W119" s="4" t="s">
        <v>641</v>
      </c>
      <c r="X119" s="4" t="s">
        <v>1647</v>
      </c>
      <c r="Y119" s="4" t="s">
        <v>667</v>
      </c>
      <c r="Z119" s="4" t="s">
        <v>1648</v>
      </c>
      <c r="AA119" s="3">
        <v>920</v>
      </c>
      <c r="AB119" s="3">
        <v>833</v>
      </c>
      <c r="AC119" s="3">
        <v>1595</v>
      </c>
      <c r="AD119" s="3">
        <v>4</v>
      </c>
      <c r="AE119" s="3">
        <v>16</v>
      </c>
      <c r="AF119" s="3">
        <v>29</v>
      </c>
      <c r="AG119" s="3">
        <v>58</v>
      </c>
      <c r="AH119" s="3">
        <v>11</v>
      </c>
      <c r="AI119" s="3">
        <v>20</v>
      </c>
      <c r="AJ119" s="3">
        <v>6</v>
      </c>
      <c r="AK119" s="3">
        <v>10</v>
      </c>
      <c r="AL119" s="3">
        <v>15</v>
      </c>
      <c r="AM119" s="3">
        <v>22</v>
      </c>
      <c r="AN119" s="3">
        <v>2</v>
      </c>
      <c r="AO119" s="3">
        <v>14</v>
      </c>
      <c r="AP119" s="3">
        <v>0</v>
      </c>
      <c r="AQ119" s="3">
        <v>1</v>
      </c>
      <c r="AR119" s="2" t="s">
        <v>63</v>
      </c>
      <c r="AS119" s="2" t="s">
        <v>84</v>
      </c>
      <c r="AT119" s="5" t="str">
        <f>HYPERLINK("http://catalog.hathitrust.org/Record/000360565","HathiTrust Record")</f>
        <v>HathiTrust Record</v>
      </c>
      <c r="AU119" s="5" t="str">
        <f>HYPERLINK("https://creighton-primo.hosted.exlibrisgroup.com/primo-explore/search?tab=default_tab&amp;search_scope=EVERYTHING&amp;vid=01CRU&amp;lang=en_US&amp;offset=0&amp;query=any,contains,991001762399702656","Catalog Record")</f>
        <v>Catalog Record</v>
      </c>
      <c r="AV119" s="5" t="str">
        <f>HYPERLINK("http://www.worldcat.org/oclc/482679","WorldCat Record")</f>
        <v>WorldCat Record</v>
      </c>
      <c r="AW119" s="2" t="s">
        <v>1649</v>
      </c>
      <c r="AX119" s="2" t="s">
        <v>1650</v>
      </c>
      <c r="AY119" s="2" t="s">
        <v>1651</v>
      </c>
      <c r="AZ119" s="2" t="s">
        <v>1651</v>
      </c>
      <c r="BA119" s="2" t="s">
        <v>1652</v>
      </c>
      <c r="BB119" s="2" t="s">
        <v>78</v>
      </c>
      <c r="BE119" s="2" t="s">
        <v>1653</v>
      </c>
      <c r="BF119" s="2" t="s">
        <v>1654</v>
      </c>
    </row>
    <row r="120" spans="1:58" ht="79.5" customHeight="1">
      <c r="A120" s="1"/>
      <c r="B120" s="1" t="s">
        <v>58</v>
      </c>
      <c r="C120" s="1" t="s">
        <v>59</v>
      </c>
      <c r="D120" s="1" t="s">
        <v>1655</v>
      </c>
      <c r="E120" s="1" t="s">
        <v>1656</v>
      </c>
      <c r="F120" s="1" t="s">
        <v>1657</v>
      </c>
      <c r="H120" s="2" t="s">
        <v>63</v>
      </c>
      <c r="I120" s="2" t="s">
        <v>64</v>
      </c>
      <c r="J120" s="2" t="s">
        <v>84</v>
      </c>
      <c r="K120" s="2" t="s">
        <v>63</v>
      </c>
      <c r="L120" s="2" t="s">
        <v>65</v>
      </c>
      <c r="M120" s="1" t="s">
        <v>1658</v>
      </c>
      <c r="N120" s="1" t="s">
        <v>1659</v>
      </c>
      <c r="O120" s="2" t="s">
        <v>87</v>
      </c>
      <c r="Q120" s="2" t="s">
        <v>69</v>
      </c>
      <c r="R120" s="2" t="s">
        <v>1366</v>
      </c>
      <c r="T120" s="2" t="s">
        <v>71</v>
      </c>
      <c r="U120" s="3">
        <v>10</v>
      </c>
      <c r="V120" s="3">
        <v>34</v>
      </c>
      <c r="W120" s="4" t="s">
        <v>612</v>
      </c>
      <c r="X120" s="4" t="s">
        <v>1660</v>
      </c>
      <c r="Y120" s="4" t="s">
        <v>90</v>
      </c>
      <c r="Z120" s="4" t="s">
        <v>1661</v>
      </c>
      <c r="AA120" s="3">
        <v>955</v>
      </c>
      <c r="AB120" s="3">
        <v>825</v>
      </c>
      <c r="AC120" s="3">
        <v>833</v>
      </c>
      <c r="AD120" s="3">
        <v>11</v>
      </c>
      <c r="AE120" s="3">
        <v>11</v>
      </c>
      <c r="AF120" s="3">
        <v>36</v>
      </c>
      <c r="AG120" s="3">
        <v>36</v>
      </c>
      <c r="AH120" s="3">
        <v>12</v>
      </c>
      <c r="AI120" s="3">
        <v>12</v>
      </c>
      <c r="AJ120" s="3">
        <v>9</v>
      </c>
      <c r="AK120" s="3">
        <v>9</v>
      </c>
      <c r="AL120" s="3">
        <v>14</v>
      </c>
      <c r="AM120" s="3">
        <v>14</v>
      </c>
      <c r="AN120" s="3">
        <v>6</v>
      </c>
      <c r="AO120" s="3">
        <v>6</v>
      </c>
      <c r="AP120" s="3">
        <v>0</v>
      </c>
      <c r="AQ120" s="3">
        <v>0</v>
      </c>
      <c r="AR120" s="2" t="s">
        <v>63</v>
      </c>
      <c r="AS120" s="2" t="s">
        <v>84</v>
      </c>
      <c r="AT120" s="5" t="str">
        <f>HYPERLINK("http://catalog.hathitrust.org/Record/002644854","HathiTrust Record")</f>
        <v>HathiTrust Record</v>
      </c>
      <c r="AU120" s="5" t="str">
        <f>HYPERLINK("https://creighton-primo.hosted.exlibrisgroup.com/primo-explore/search?tab=default_tab&amp;search_scope=EVERYTHING&amp;vid=01CRU&amp;lang=en_US&amp;offset=0&amp;query=any,contains,991001762429702656","Catalog Record")</f>
        <v>Catalog Record</v>
      </c>
      <c r="AV120" s="5" t="str">
        <f>HYPERLINK("http://www.worldcat.org/oclc/11527314","WorldCat Record")</f>
        <v>WorldCat Record</v>
      </c>
      <c r="AW120" s="2" t="s">
        <v>1662</v>
      </c>
      <c r="AX120" s="2" t="s">
        <v>1663</v>
      </c>
      <c r="AY120" s="2" t="s">
        <v>1664</v>
      </c>
      <c r="AZ120" s="2" t="s">
        <v>1664</v>
      </c>
      <c r="BA120" s="2" t="s">
        <v>1665</v>
      </c>
      <c r="BB120" s="2" t="s">
        <v>78</v>
      </c>
      <c r="BD120" s="2" t="s">
        <v>1666</v>
      </c>
      <c r="BE120" s="2" t="s">
        <v>1667</v>
      </c>
      <c r="BF120" s="2" t="s">
        <v>1668</v>
      </c>
    </row>
    <row r="121" spans="1:58" ht="79.5" customHeight="1">
      <c r="A121" s="1"/>
      <c r="B121" s="1" t="s">
        <v>58</v>
      </c>
      <c r="C121" s="1" t="s">
        <v>59</v>
      </c>
      <c r="D121" s="1" t="s">
        <v>1669</v>
      </c>
      <c r="E121" s="1" t="s">
        <v>1670</v>
      </c>
      <c r="F121" s="1" t="s">
        <v>1671</v>
      </c>
      <c r="H121" s="2" t="s">
        <v>63</v>
      </c>
      <c r="I121" s="2" t="s">
        <v>64</v>
      </c>
      <c r="J121" s="2" t="s">
        <v>63</v>
      </c>
      <c r="K121" s="2" t="s">
        <v>84</v>
      </c>
      <c r="L121" s="2" t="s">
        <v>65</v>
      </c>
      <c r="M121" s="1" t="s">
        <v>1672</v>
      </c>
      <c r="N121" s="1" t="s">
        <v>1673</v>
      </c>
      <c r="O121" s="2" t="s">
        <v>598</v>
      </c>
      <c r="P121" s="1" t="s">
        <v>221</v>
      </c>
      <c r="Q121" s="2" t="s">
        <v>69</v>
      </c>
      <c r="R121" s="2" t="s">
        <v>70</v>
      </c>
      <c r="T121" s="2" t="s">
        <v>71</v>
      </c>
      <c r="U121" s="3">
        <v>9</v>
      </c>
      <c r="V121" s="3">
        <v>9</v>
      </c>
      <c r="W121" s="4" t="s">
        <v>1674</v>
      </c>
      <c r="X121" s="4" t="s">
        <v>1674</v>
      </c>
      <c r="Y121" s="4" t="s">
        <v>1675</v>
      </c>
      <c r="Z121" s="4" t="s">
        <v>1675</v>
      </c>
      <c r="AA121" s="3">
        <v>1435</v>
      </c>
      <c r="AB121" s="3">
        <v>1288</v>
      </c>
      <c r="AC121" s="3">
        <v>2289</v>
      </c>
      <c r="AD121" s="3">
        <v>10</v>
      </c>
      <c r="AE121" s="3">
        <v>18</v>
      </c>
      <c r="AF121" s="3">
        <v>33</v>
      </c>
      <c r="AG121" s="3">
        <v>54</v>
      </c>
      <c r="AH121" s="3">
        <v>11</v>
      </c>
      <c r="AI121" s="3">
        <v>23</v>
      </c>
      <c r="AJ121" s="3">
        <v>8</v>
      </c>
      <c r="AK121" s="3">
        <v>10</v>
      </c>
      <c r="AL121" s="3">
        <v>13</v>
      </c>
      <c r="AM121" s="3">
        <v>19</v>
      </c>
      <c r="AN121" s="3">
        <v>6</v>
      </c>
      <c r="AO121" s="3">
        <v>10</v>
      </c>
      <c r="AP121" s="3">
        <v>1</v>
      </c>
      <c r="AQ121" s="3">
        <v>1</v>
      </c>
      <c r="AR121" s="2" t="s">
        <v>63</v>
      </c>
      <c r="AS121" s="2" t="s">
        <v>63</v>
      </c>
      <c r="AU121" s="5" t="str">
        <f>HYPERLINK("https://creighton-primo.hosted.exlibrisgroup.com/primo-explore/search?tab=default_tab&amp;search_scope=EVERYTHING&amp;vid=01CRU&amp;lang=en_US&amp;offset=0&amp;query=any,contains,991000852869702656","Catalog Record")</f>
        <v>Catalog Record</v>
      </c>
      <c r="AV121" s="5" t="str">
        <f>HYPERLINK("http://www.worldcat.org/oclc/20392741","WorldCat Record")</f>
        <v>WorldCat Record</v>
      </c>
      <c r="AW121" s="2" t="s">
        <v>1676</v>
      </c>
      <c r="AX121" s="2" t="s">
        <v>1677</v>
      </c>
      <c r="AY121" s="2" t="s">
        <v>1678</v>
      </c>
      <c r="AZ121" s="2" t="s">
        <v>1678</v>
      </c>
      <c r="BA121" s="2" t="s">
        <v>1679</v>
      </c>
      <c r="BB121" s="2" t="s">
        <v>78</v>
      </c>
      <c r="BD121" s="2" t="s">
        <v>1680</v>
      </c>
      <c r="BE121" s="2" t="s">
        <v>1681</v>
      </c>
      <c r="BF121" s="2" t="s">
        <v>1682</v>
      </c>
    </row>
    <row r="122" spans="1:58" ht="79.5" customHeight="1">
      <c r="A122" s="1"/>
      <c r="B122" s="1" t="s">
        <v>58</v>
      </c>
      <c r="C122" s="1" t="s">
        <v>59</v>
      </c>
      <c r="D122" s="1" t="s">
        <v>1683</v>
      </c>
      <c r="E122" s="1" t="s">
        <v>1684</v>
      </c>
      <c r="F122" s="1" t="s">
        <v>1685</v>
      </c>
      <c r="H122" s="2" t="s">
        <v>63</v>
      </c>
      <c r="I122" s="2" t="s">
        <v>64</v>
      </c>
      <c r="J122" s="2" t="s">
        <v>63</v>
      </c>
      <c r="K122" s="2" t="s">
        <v>84</v>
      </c>
      <c r="L122" s="2" t="s">
        <v>65</v>
      </c>
      <c r="M122" s="1" t="s">
        <v>1686</v>
      </c>
      <c r="N122" s="1" t="s">
        <v>1687</v>
      </c>
      <c r="O122" s="2" t="s">
        <v>559</v>
      </c>
      <c r="P122" s="1" t="s">
        <v>221</v>
      </c>
      <c r="Q122" s="2" t="s">
        <v>69</v>
      </c>
      <c r="R122" s="2" t="s">
        <v>70</v>
      </c>
      <c r="T122" s="2" t="s">
        <v>71</v>
      </c>
      <c r="U122" s="3">
        <v>0</v>
      </c>
      <c r="V122" s="3">
        <v>0</v>
      </c>
      <c r="W122" s="4" t="s">
        <v>1688</v>
      </c>
      <c r="X122" s="4" t="s">
        <v>1688</v>
      </c>
      <c r="Y122" s="4" t="s">
        <v>1688</v>
      </c>
      <c r="Z122" s="4" t="s">
        <v>1688</v>
      </c>
      <c r="AA122" s="3">
        <v>1548</v>
      </c>
      <c r="AB122" s="3">
        <v>1449</v>
      </c>
      <c r="AC122" s="3">
        <v>1589</v>
      </c>
      <c r="AD122" s="3">
        <v>14</v>
      </c>
      <c r="AE122" s="3">
        <v>17</v>
      </c>
      <c r="AF122" s="3">
        <v>43</v>
      </c>
      <c r="AG122" s="3">
        <v>46</v>
      </c>
      <c r="AH122" s="3">
        <v>18</v>
      </c>
      <c r="AI122" s="3">
        <v>19</v>
      </c>
      <c r="AJ122" s="3">
        <v>7</v>
      </c>
      <c r="AK122" s="3">
        <v>7</v>
      </c>
      <c r="AL122" s="3">
        <v>18</v>
      </c>
      <c r="AM122" s="3">
        <v>20</v>
      </c>
      <c r="AN122" s="3">
        <v>8</v>
      </c>
      <c r="AO122" s="3">
        <v>9</v>
      </c>
      <c r="AP122" s="3">
        <v>0</v>
      </c>
      <c r="AQ122" s="3">
        <v>0</v>
      </c>
      <c r="AR122" s="2" t="s">
        <v>63</v>
      </c>
      <c r="AS122" s="2" t="s">
        <v>84</v>
      </c>
      <c r="AT122" s="5" t="str">
        <f>HYPERLINK("http://catalog.hathitrust.org/Record/004764155","HathiTrust Record")</f>
        <v>HathiTrust Record</v>
      </c>
      <c r="AU122" s="5" t="str">
        <f>HYPERLINK("https://creighton-primo.hosted.exlibrisgroup.com/primo-explore/search?tab=default_tab&amp;search_scope=EVERYTHING&amp;vid=01CRU&amp;lang=en_US&amp;offset=0&amp;query=any,contains,991000424209702656","Catalog Record")</f>
        <v>Catalog Record</v>
      </c>
      <c r="AV122" s="5" t="str">
        <f>HYPERLINK("http://www.worldcat.org/oclc/54767487","WorldCat Record")</f>
        <v>WorldCat Record</v>
      </c>
      <c r="AW122" s="2" t="s">
        <v>1689</v>
      </c>
      <c r="AX122" s="2" t="s">
        <v>1690</v>
      </c>
      <c r="AY122" s="2" t="s">
        <v>1691</v>
      </c>
      <c r="AZ122" s="2" t="s">
        <v>1691</v>
      </c>
      <c r="BA122" s="2" t="s">
        <v>1692</v>
      </c>
      <c r="BB122" s="2" t="s">
        <v>78</v>
      </c>
      <c r="BD122" s="2" t="s">
        <v>1693</v>
      </c>
      <c r="BE122" s="2" t="s">
        <v>1694</v>
      </c>
      <c r="BF122" s="2" t="s">
        <v>1695</v>
      </c>
    </row>
    <row r="123" spans="1:58" ht="79.5" customHeight="1">
      <c r="A123" s="1"/>
      <c r="B123" s="1" t="s">
        <v>58</v>
      </c>
      <c r="C123" s="1" t="s">
        <v>59</v>
      </c>
      <c r="D123" s="1" t="s">
        <v>1696</v>
      </c>
      <c r="E123" s="1" t="s">
        <v>1697</v>
      </c>
      <c r="F123" s="1" t="s">
        <v>1698</v>
      </c>
      <c r="H123" s="2" t="s">
        <v>63</v>
      </c>
      <c r="I123" s="2" t="s">
        <v>64</v>
      </c>
      <c r="J123" s="2" t="s">
        <v>84</v>
      </c>
      <c r="K123" s="2" t="s">
        <v>63</v>
      </c>
      <c r="L123" s="2" t="s">
        <v>65</v>
      </c>
      <c r="M123" s="1" t="s">
        <v>1699</v>
      </c>
      <c r="N123" s="1" t="s">
        <v>1700</v>
      </c>
      <c r="O123" s="2" t="s">
        <v>277</v>
      </c>
      <c r="Q123" s="2" t="s">
        <v>69</v>
      </c>
      <c r="R123" s="2" t="s">
        <v>70</v>
      </c>
      <c r="T123" s="2" t="s">
        <v>71</v>
      </c>
      <c r="U123" s="3">
        <v>12</v>
      </c>
      <c r="V123" s="3">
        <v>19</v>
      </c>
      <c r="W123" s="4" t="s">
        <v>1701</v>
      </c>
      <c r="X123" s="4" t="s">
        <v>1702</v>
      </c>
      <c r="Y123" s="4" t="s">
        <v>1703</v>
      </c>
      <c r="Z123" s="4" t="s">
        <v>1704</v>
      </c>
      <c r="AA123" s="3">
        <v>737</v>
      </c>
      <c r="AB123" s="3">
        <v>600</v>
      </c>
      <c r="AC123" s="3">
        <v>608</v>
      </c>
      <c r="AD123" s="3">
        <v>5</v>
      </c>
      <c r="AE123" s="3">
        <v>5</v>
      </c>
      <c r="AF123" s="3">
        <v>29</v>
      </c>
      <c r="AG123" s="3">
        <v>29</v>
      </c>
      <c r="AH123" s="3">
        <v>14</v>
      </c>
      <c r="AI123" s="3">
        <v>14</v>
      </c>
      <c r="AJ123" s="3">
        <v>6</v>
      </c>
      <c r="AK123" s="3">
        <v>6</v>
      </c>
      <c r="AL123" s="3">
        <v>14</v>
      </c>
      <c r="AM123" s="3">
        <v>14</v>
      </c>
      <c r="AN123" s="3">
        <v>2</v>
      </c>
      <c r="AO123" s="3">
        <v>2</v>
      </c>
      <c r="AP123" s="3">
        <v>0</v>
      </c>
      <c r="AQ123" s="3">
        <v>0</v>
      </c>
      <c r="AR123" s="2" t="s">
        <v>63</v>
      </c>
      <c r="AS123" s="2" t="s">
        <v>84</v>
      </c>
      <c r="AT123" s="5" t="str">
        <f>HYPERLINK("http://catalog.hathitrust.org/Record/000013611","HathiTrust Record")</f>
        <v>HathiTrust Record</v>
      </c>
      <c r="AU123" s="5" t="str">
        <f>HYPERLINK("https://creighton-primo.hosted.exlibrisgroup.com/primo-explore/search?tab=default_tab&amp;search_scope=EVERYTHING&amp;vid=01CRU&amp;lang=en_US&amp;offset=0&amp;query=any,contains,991001781769702656","Catalog Record")</f>
        <v>Catalog Record</v>
      </c>
      <c r="AV123" s="5" t="str">
        <f>HYPERLINK("http://www.worldcat.org/oclc/874186","WorldCat Record")</f>
        <v>WorldCat Record</v>
      </c>
      <c r="AW123" s="2" t="s">
        <v>1705</v>
      </c>
      <c r="AX123" s="2" t="s">
        <v>1706</v>
      </c>
      <c r="AY123" s="2" t="s">
        <v>1707</v>
      </c>
      <c r="AZ123" s="2" t="s">
        <v>1707</v>
      </c>
      <c r="BA123" s="2" t="s">
        <v>1708</v>
      </c>
      <c r="BB123" s="2" t="s">
        <v>78</v>
      </c>
      <c r="BD123" s="2" t="s">
        <v>1709</v>
      </c>
      <c r="BE123" s="2" t="s">
        <v>1710</v>
      </c>
      <c r="BF123" s="2" t="s">
        <v>1711</v>
      </c>
    </row>
    <row r="124" spans="1:58" ht="79.5" customHeight="1">
      <c r="A124" s="1"/>
      <c r="B124" s="1" t="s">
        <v>58</v>
      </c>
      <c r="C124" s="1" t="s">
        <v>59</v>
      </c>
      <c r="D124" s="1" t="s">
        <v>1712</v>
      </c>
      <c r="E124" s="1" t="s">
        <v>1713</v>
      </c>
      <c r="F124" s="1" t="s">
        <v>1714</v>
      </c>
      <c r="H124" s="2" t="s">
        <v>63</v>
      </c>
      <c r="I124" s="2" t="s">
        <v>64</v>
      </c>
      <c r="J124" s="2" t="s">
        <v>84</v>
      </c>
      <c r="K124" s="2" t="s">
        <v>63</v>
      </c>
      <c r="L124" s="2" t="s">
        <v>65</v>
      </c>
      <c r="M124" s="1" t="s">
        <v>1715</v>
      </c>
      <c r="N124" s="1" t="s">
        <v>1716</v>
      </c>
      <c r="O124" s="2" t="s">
        <v>87</v>
      </c>
      <c r="Q124" s="2" t="s">
        <v>69</v>
      </c>
      <c r="R124" s="2" t="s">
        <v>70</v>
      </c>
      <c r="T124" s="2" t="s">
        <v>71</v>
      </c>
      <c r="U124" s="3">
        <v>32</v>
      </c>
      <c r="V124" s="3">
        <v>62</v>
      </c>
      <c r="W124" s="4" t="s">
        <v>1717</v>
      </c>
      <c r="X124" s="4" t="s">
        <v>1717</v>
      </c>
      <c r="Y124" s="4" t="s">
        <v>90</v>
      </c>
      <c r="Z124" s="4" t="s">
        <v>1718</v>
      </c>
      <c r="AA124" s="3">
        <v>1223</v>
      </c>
      <c r="AB124" s="3">
        <v>971</v>
      </c>
      <c r="AC124" s="3">
        <v>999</v>
      </c>
      <c r="AD124" s="3">
        <v>9</v>
      </c>
      <c r="AE124" s="3">
        <v>9</v>
      </c>
      <c r="AF124" s="3">
        <v>48</v>
      </c>
      <c r="AG124" s="3">
        <v>49</v>
      </c>
      <c r="AH124" s="3">
        <v>21</v>
      </c>
      <c r="AI124" s="3">
        <v>21</v>
      </c>
      <c r="AJ124" s="3">
        <v>11</v>
      </c>
      <c r="AK124" s="3">
        <v>11</v>
      </c>
      <c r="AL124" s="3">
        <v>20</v>
      </c>
      <c r="AM124" s="3">
        <v>21</v>
      </c>
      <c r="AN124" s="3">
        <v>7</v>
      </c>
      <c r="AO124" s="3">
        <v>7</v>
      </c>
      <c r="AP124" s="3">
        <v>0</v>
      </c>
      <c r="AQ124" s="3">
        <v>0</v>
      </c>
      <c r="AR124" s="2" t="s">
        <v>63</v>
      </c>
      <c r="AS124" s="2" t="s">
        <v>84</v>
      </c>
      <c r="AT124" s="5" t="str">
        <f>HYPERLINK("http://catalog.hathitrust.org/Record/000246960","HathiTrust Record")</f>
        <v>HathiTrust Record</v>
      </c>
      <c r="AU124" s="5" t="str">
        <f>HYPERLINK("https://creighton-primo.hosted.exlibrisgroup.com/primo-explore/search?tab=default_tab&amp;search_scope=EVERYTHING&amp;vid=01CRU&amp;lang=en_US&amp;offset=0&amp;query=any,contains,991001762469702656","Catalog Record")</f>
        <v>Catalog Record</v>
      </c>
      <c r="AV124" s="5" t="str">
        <f>HYPERLINK("http://www.worldcat.org/oclc/10754235","WorldCat Record")</f>
        <v>WorldCat Record</v>
      </c>
      <c r="AW124" s="2" t="s">
        <v>1719</v>
      </c>
      <c r="AX124" s="2" t="s">
        <v>1720</v>
      </c>
      <c r="AY124" s="2" t="s">
        <v>1721</v>
      </c>
      <c r="AZ124" s="2" t="s">
        <v>1721</v>
      </c>
      <c r="BA124" s="2" t="s">
        <v>1722</v>
      </c>
      <c r="BB124" s="2" t="s">
        <v>78</v>
      </c>
      <c r="BD124" s="2" t="s">
        <v>1723</v>
      </c>
      <c r="BE124" s="2" t="s">
        <v>1724</v>
      </c>
      <c r="BF124" s="2" t="s">
        <v>1725</v>
      </c>
    </row>
    <row r="125" spans="1:58" ht="79.5" customHeight="1">
      <c r="A125" s="1"/>
      <c r="B125" s="1" t="s">
        <v>58</v>
      </c>
      <c r="C125" s="1" t="s">
        <v>59</v>
      </c>
      <c r="D125" s="1" t="s">
        <v>1726</v>
      </c>
      <c r="E125" s="1" t="s">
        <v>1727</v>
      </c>
      <c r="F125" s="1" t="s">
        <v>1728</v>
      </c>
      <c r="H125" s="2" t="s">
        <v>63</v>
      </c>
      <c r="I125" s="2" t="s">
        <v>64</v>
      </c>
      <c r="J125" s="2" t="s">
        <v>63</v>
      </c>
      <c r="K125" s="2" t="s">
        <v>63</v>
      </c>
      <c r="L125" s="2" t="s">
        <v>65</v>
      </c>
      <c r="N125" s="1" t="s">
        <v>1729</v>
      </c>
      <c r="O125" s="2" t="s">
        <v>263</v>
      </c>
      <c r="Q125" s="2" t="s">
        <v>69</v>
      </c>
      <c r="R125" s="2" t="s">
        <v>1505</v>
      </c>
      <c r="S125" s="1" t="s">
        <v>1730</v>
      </c>
      <c r="T125" s="2" t="s">
        <v>71</v>
      </c>
      <c r="U125" s="3">
        <v>6</v>
      </c>
      <c r="V125" s="3">
        <v>6</v>
      </c>
      <c r="W125" s="4" t="s">
        <v>1731</v>
      </c>
      <c r="X125" s="4" t="s">
        <v>1731</v>
      </c>
      <c r="Y125" s="4" t="s">
        <v>90</v>
      </c>
      <c r="Z125" s="4" t="s">
        <v>90</v>
      </c>
      <c r="AA125" s="3">
        <v>617</v>
      </c>
      <c r="AB125" s="3">
        <v>531</v>
      </c>
      <c r="AC125" s="3">
        <v>555</v>
      </c>
      <c r="AD125" s="3">
        <v>4</v>
      </c>
      <c r="AE125" s="3">
        <v>4</v>
      </c>
      <c r="AF125" s="3">
        <v>22</v>
      </c>
      <c r="AG125" s="3">
        <v>22</v>
      </c>
      <c r="AH125" s="3">
        <v>7</v>
      </c>
      <c r="AI125" s="3">
        <v>7</v>
      </c>
      <c r="AJ125" s="3">
        <v>7</v>
      </c>
      <c r="AK125" s="3">
        <v>7</v>
      </c>
      <c r="AL125" s="3">
        <v>12</v>
      </c>
      <c r="AM125" s="3">
        <v>12</v>
      </c>
      <c r="AN125" s="3">
        <v>3</v>
      </c>
      <c r="AO125" s="3">
        <v>3</v>
      </c>
      <c r="AP125" s="3">
        <v>0</v>
      </c>
      <c r="AQ125" s="3">
        <v>0</v>
      </c>
      <c r="AR125" s="2" t="s">
        <v>63</v>
      </c>
      <c r="AS125" s="2" t="s">
        <v>63</v>
      </c>
      <c r="AU125" s="5" t="str">
        <f>HYPERLINK("https://creighton-primo.hosted.exlibrisgroup.com/primo-explore/search?tab=default_tab&amp;search_scope=EVERYTHING&amp;vid=01CRU&amp;lang=en_US&amp;offset=0&amp;query=any,contains,991000787949702656","Catalog Record")</f>
        <v>Catalog Record</v>
      </c>
      <c r="AV125" s="5" t="str">
        <f>HYPERLINK("http://www.worldcat.org/oclc/11548708","WorldCat Record")</f>
        <v>WorldCat Record</v>
      </c>
      <c r="AW125" s="2" t="s">
        <v>1732</v>
      </c>
      <c r="AX125" s="2" t="s">
        <v>1733</v>
      </c>
      <c r="AY125" s="2" t="s">
        <v>1734</v>
      </c>
      <c r="AZ125" s="2" t="s">
        <v>1734</v>
      </c>
      <c r="BA125" s="2" t="s">
        <v>1735</v>
      </c>
      <c r="BB125" s="2" t="s">
        <v>78</v>
      </c>
      <c r="BD125" s="2" t="s">
        <v>1736</v>
      </c>
      <c r="BE125" s="2" t="s">
        <v>1737</v>
      </c>
      <c r="BF125" s="2" t="s">
        <v>1738</v>
      </c>
    </row>
    <row r="126" spans="1:58" ht="79.5" customHeight="1">
      <c r="A126" s="1"/>
      <c r="B126" s="1" t="s">
        <v>58</v>
      </c>
      <c r="C126" s="1" t="s">
        <v>59</v>
      </c>
      <c r="D126" s="1" t="s">
        <v>1739</v>
      </c>
      <c r="E126" s="1" t="s">
        <v>1740</v>
      </c>
      <c r="F126" s="1" t="s">
        <v>1741</v>
      </c>
      <c r="H126" s="2" t="s">
        <v>63</v>
      </c>
      <c r="I126" s="2" t="s">
        <v>64</v>
      </c>
      <c r="J126" s="2" t="s">
        <v>84</v>
      </c>
      <c r="K126" s="2" t="s">
        <v>63</v>
      </c>
      <c r="L126" s="2" t="s">
        <v>65</v>
      </c>
      <c r="M126" s="1" t="s">
        <v>1742</v>
      </c>
      <c r="N126" s="1" t="s">
        <v>1743</v>
      </c>
      <c r="O126" s="2" t="s">
        <v>479</v>
      </c>
      <c r="Q126" s="2" t="s">
        <v>69</v>
      </c>
      <c r="R126" s="2" t="s">
        <v>130</v>
      </c>
      <c r="T126" s="2" t="s">
        <v>71</v>
      </c>
      <c r="U126" s="3">
        <v>5</v>
      </c>
      <c r="V126" s="3">
        <v>24</v>
      </c>
      <c r="W126" s="4" t="s">
        <v>1744</v>
      </c>
      <c r="X126" s="4" t="s">
        <v>1745</v>
      </c>
      <c r="Y126" s="4" t="s">
        <v>1746</v>
      </c>
      <c r="Z126" s="4" t="s">
        <v>1747</v>
      </c>
      <c r="AA126" s="3">
        <v>543</v>
      </c>
      <c r="AB126" s="3">
        <v>425</v>
      </c>
      <c r="AC126" s="3">
        <v>431</v>
      </c>
      <c r="AD126" s="3">
        <v>4</v>
      </c>
      <c r="AE126" s="3">
        <v>4</v>
      </c>
      <c r="AF126" s="3">
        <v>18</v>
      </c>
      <c r="AG126" s="3">
        <v>18</v>
      </c>
      <c r="AH126" s="3">
        <v>5</v>
      </c>
      <c r="AI126" s="3">
        <v>5</v>
      </c>
      <c r="AJ126" s="3">
        <v>4</v>
      </c>
      <c r="AK126" s="3">
        <v>4</v>
      </c>
      <c r="AL126" s="3">
        <v>12</v>
      </c>
      <c r="AM126" s="3">
        <v>12</v>
      </c>
      <c r="AN126" s="3">
        <v>2</v>
      </c>
      <c r="AO126" s="3">
        <v>2</v>
      </c>
      <c r="AP126" s="3">
        <v>0</v>
      </c>
      <c r="AQ126" s="3">
        <v>0</v>
      </c>
      <c r="AR126" s="2" t="s">
        <v>63</v>
      </c>
      <c r="AS126" s="2" t="s">
        <v>84</v>
      </c>
      <c r="AT126" s="5" t="str">
        <f>HYPERLINK("http://catalog.hathitrust.org/Record/000202924","HathiTrust Record")</f>
        <v>HathiTrust Record</v>
      </c>
      <c r="AU126" s="5" t="str">
        <f>HYPERLINK("https://creighton-primo.hosted.exlibrisgroup.com/primo-explore/search?tab=default_tab&amp;search_scope=EVERYTHING&amp;vid=01CRU&amp;lang=en_US&amp;offset=0&amp;query=any,contains,991001762539702656","Catalog Record")</f>
        <v>Catalog Record</v>
      </c>
      <c r="AV126" s="5" t="str">
        <f>HYPERLINK("http://www.worldcat.org/oclc/9082713","WorldCat Record")</f>
        <v>WorldCat Record</v>
      </c>
      <c r="AW126" s="2" t="s">
        <v>1748</v>
      </c>
      <c r="AX126" s="2" t="s">
        <v>1749</v>
      </c>
      <c r="AY126" s="2" t="s">
        <v>1750</v>
      </c>
      <c r="AZ126" s="2" t="s">
        <v>1750</v>
      </c>
      <c r="BA126" s="2" t="s">
        <v>1751</v>
      </c>
      <c r="BB126" s="2" t="s">
        <v>78</v>
      </c>
      <c r="BD126" s="2" t="s">
        <v>1752</v>
      </c>
      <c r="BE126" s="2" t="s">
        <v>1753</v>
      </c>
      <c r="BF126" s="2" t="s">
        <v>1754</v>
      </c>
    </row>
    <row r="127" spans="1:58" ht="79.5" customHeight="1">
      <c r="A127" s="1"/>
      <c r="B127" s="1" t="s">
        <v>58</v>
      </c>
      <c r="C127" s="1" t="s">
        <v>59</v>
      </c>
      <c r="D127" s="1" t="s">
        <v>1755</v>
      </c>
      <c r="E127" s="1" t="s">
        <v>1756</v>
      </c>
      <c r="F127" s="1" t="s">
        <v>1757</v>
      </c>
      <c r="H127" s="2" t="s">
        <v>63</v>
      </c>
      <c r="I127" s="2" t="s">
        <v>64</v>
      </c>
      <c r="J127" s="2" t="s">
        <v>84</v>
      </c>
      <c r="K127" s="2" t="s">
        <v>63</v>
      </c>
      <c r="L127" s="2" t="s">
        <v>65</v>
      </c>
      <c r="M127" s="1" t="s">
        <v>1758</v>
      </c>
      <c r="N127" s="1" t="s">
        <v>1759</v>
      </c>
      <c r="O127" s="2" t="s">
        <v>1760</v>
      </c>
      <c r="Q127" s="2" t="s">
        <v>69</v>
      </c>
      <c r="R127" s="2" t="s">
        <v>70</v>
      </c>
      <c r="T127" s="2" t="s">
        <v>71</v>
      </c>
      <c r="U127" s="3">
        <v>1</v>
      </c>
      <c r="V127" s="3">
        <v>3</v>
      </c>
      <c r="W127" s="4" t="s">
        <v>1761</v>
      </c>
      <c r="X127" s="4" t="s">
        <v>1762</v>
      </c>
      <c r="Y127" s="4" t="s">
        <v>1763</v>
      </c>
      <c r="Z127" s="4" t="s">
        <v>1764</v>
      </c>
      <c r="AA127" s="3">
        <v>444</v>
      </c>
      <c r="AB127" s="3">
        <v>389</v>
      </c>
      <c r="AC127" s="3">
        <v>464</v>
      </c>
      <c r="AD127" s="3">
        <v>8</v>
      </c>
      <c r="AE127" s="3">
        <v>8</v>
      </c>
      <c r="AF127" s="3">
        <v>27</v>
      </c>
      <c r="AG127" s="3">
        <v>32</v>
      </c>
      <c r="AH127" s="3">
        <v>6</v>
      </c>
      <c r="AI127" s="3">
        <v>8</v>
      </c>
      <c r="AJ127" s="3">
        <v>8</v>
      </c>
      <c r="AK127" s="3">
        <v>10</v>
      </c>
      <c r="AL127" s="3">
        <v>17</v>
      </c>
      <c r="AM127" s="3">
        <v>18</v>
      </c>
      <c r="AN127" s="3">
        <v>4</v>
      </c>
      <c r="AO127" s="3">
        <v>4</v>
      </c>
      <c r="AP127" s="3">
        <v>0</v>
      </c>
      <c r="AQ127" s="3">
        <v>0</v>
      </c>
      <c r="AR127" s="2" t="s">
        <v>63</v>
      </c>
      <c r="AS127" s="2" t="s">
        <v>84</v>
      </c>
      <c r="AT127" s="5" t="str">
        <f>HYPERLINK("http://catalog.hathitrust.org/Record/004508869","HathiTrust Record")</f>
        <v>HathiTrust Record</v>
      </c>
      <c r="AU127" s="5" t="str">
        <f>HYPERLINK("https://creighton-primo.hosted.exlibrisgroup.com/primo-explore/search?tab=default_tab&amp;search_scope=EVERYTHING&amp;vid=01CRU&amp;lang=en_US&amp;offset=0&amp;query=any,contains,991001785639702656","Catalog Record")</f>
        <v>Catalog Record</v>
      </c>
      <c r="AV127" s="5" t="str">
        <f>HYPERLINK("http://www.worldcat.org/oclc/21263","WorldCat Record")</f>
        <v>WorldCat Record</v>
      </c>
      <c r="AW127" s="2" t="s">
        <v>1765</v>
      </c>
      <c r="AX127" s="2" t="s">
        <v>1766</v>
      </c>
      <c r="AY127" s="2" t="s">
        <v>1767</v>
      </c>
      <c r="AZ127" s="2" t="s">
        <v>1767</v>
      </c>
      <c r="BA127" s="2" t="s">
        <v>1768</v>
      </c>
      <c r="BB127" s="2" t="s">
        <v>78</v>
      </c>
      <c r="BE127" s="2" t="s">
        <v>1769</v>
      </c>
      <c r="BF127" s="2" t="s">
        <v>1770</v>
      </c>
    </row>
    <row r="128" spans="1:58" ht="79.5" customHeight="1">
      <c r="A128" s="1"/>
      <c r="B128" s="1" t="s">
        <v>58</v>
      </c>
      <c r="C128" s="1" t="s">
        <v>59</v>
      </c>
      <c r="D128" s="1" t="s">
        <v>1771</v>
      </c>
      <c r="E128" s="1" t="s">
        <v>1772</v>
      </c>
      <c r="F128" s="1" t="s">
        <v>1773</v>
      </c>
      <c r="H128" s="2" t="s">
        <v>63</v>
      </c>
      <c r="I128" s="2" t="s">
        <v>64</v>
      </c>
      <c r="J128" s="2" t="s">
        <v>84</v>
      </c>
      <c r="K128" s="2" t="s">
        <v>63</v>
      </c>
      <c r="L128" s="2" t="s">
        <v>65</v>
      </c>
      <c r="M128" s="1" t="s">
        <v>1774</v>
      </c>
      <c r="N128" s="1" t="s">
        <v>1775</v>
      </c>
      <c r="O128" s="2" t="s">
        <v>1776</v>
      </c>
      <c r="Q128" s="2" t="s">
        <v>69</v>
      </c>
      <c r="R128" s="2" t="s">
        <v>1127</v>
      </c>
      <c r="T128" s="2" t="s">
        <v>71</v>
      </c>
      <c r="U128" s="3">
        <v>2</v>
      </c>
      <c r="V128" s="3">
        <v>7</v>
      </c>
      <c r="W128" s="4" t="s">
        <v>1777</v>
      </c>
      <c r="X128" s="4" t="s">
        <v>1778</v>
      </c>
      <c r="Y128" s="4" t="s">
        <v>495</v>
      </c>
      <c r="Z128" s="4" t="s">
        <v>1779</v>
      </c>
      <c r="AA128" s="3">
        <v>393</v>
      </c>
      <c r="AB128" s="3">
        <v>359</v>
      </c>
      <c r="AC128" s="3">
        <v>431</v>
      </c>
      <c r="AD128" s="3">
        <v>6</v>
      </c>
      <c r="AE128" s="3">
        <v>6</v>
      </c>
      <c r="AF128" s="3">
        <v>16</v>
      </c>
      <c r="AG128" s="3">
        <v>19</v>
      </c>
      <c r="AH128" s="3">
        <v>5</v>
      </c>
      <c r="AI128" s="3">
        <v>7</v>
      </c>
      <c r="AJ128" s="3">
        <v>1</v>
      </c>
      <c r="AK128" s="3">
        <v>2</v>
      </c>
      <c r="AL128" s="3">
        <v>9</v>
      </c>
      <c r="AM128" s="3">
        <v>10</v>
      </c>
      <c r="AN128" s="3">
        <v>3</v>
      </c>
      <c r="AO128" s="3">
        <v>3</v>
      </c>
      <c r="AP128" s="3">
        <v>0</v>
      </c>
      <c r="AQ128" s="3">
        <v>0</v>
      </c>
      <c r="AR128" s="2" t="s">
        <v>63</v>
      </c>
      <c r="AS128" s="2" t="s">
        <v>63</v>
      </c>
      <c r="AT128" s="5" t="str">
        <f>HYPERLINK("http://catalog.hathitrust.org/Record/000386791","HathiTrust Record")</f>
        <v>HathiTrust Record</v>
      </c>
      <c r="AU128" s="5" t="str">
        <f>HYPERLINK("https://creighton-primo.hosted.exlibrisgroup.com/primo-explore/search?tab=default_tab&amp;search_scope=EVERYTHING&amp;vid=01CRU&amp;lang=en_US&amp;offset=0&amp;query=any,contains,991001762509702656","Catalog Record")</f>
        <v>Catalog Record</v>
      </c>
      <c r="AV128" s="5" t="str">
        <f>HYPERLINK("http://www.worldcat.org/oclc/194124","WorldCat Record")</f>
        <v>WorldCat Record</v>
      </c>
      <c r="AW128" s="2" t="s">
        <v>1780</v>
      </c>
      <c r="AX128" s="2" t="s">
        <v>1781</v>
      </c>
      <c r="AY128" s="2" t="s">
        <v>1782</v>
      </c>
      <c r="AZ128" s="2" t="s">
        <v>1782</v>
      </c>
      <c r="BA128" s="2" t="s">
        <v>1783</v>
      </c>
      <c r="BB128" s="2" t="s">
        <v>78</v>
      </c>
      <c r="BE128" s="2" t="s">
        <v>1784</v>
      </c>
      <c r="BF128" s="2" t="s">
        <v>1785</v>
      </c>
    </row>
    <row r="129" spans="1:58" ht="79.5" customHeight="1">
      <c r="A129" s="1"/>
      <c r="B129" s="1" t="s">
        <v>58</v>
      </c>
      <c r="C129" s="1" t="s">
        <v>59</v>
      </c>
      <c r="D129" s="1" t="s">
        <v>1786</v>
      </c>
      <c r="E129" s="1" t="s">
        <v>1787</v>
      </c>
      <c r="F129" s="1" t="s">
        <v>1788</v>
      </c>
      <c r="H129" s="2" t="s">
        <v>63</v>
      </c>
      <c r="I129" s="2" t="s">
        <v>64</v>
      </c>
      <c r="J129" s="2" t="s">
        <v>84</v>
      </c>
      <c r="K129" s="2" t="s">
        <v>63</v>
      </c>
      <c r="L129" s="2" t="s">
        <v>65</v>
      </c>
      <c r="N129" s="1" t="s">
        <v>1789</v>
      </c>
      <c r="O129" s="2" t="s">
        <v>174</v>
      </c>
      <c r="Q129" s="2" t="s">
        <v>69</v>
      </c>
      <c r="R129" s="2" t="s">
        <v>130</v>
      </c>
      <c r="S129" s="1" t="s">
        <v>1790</v>
      </c>
      <c r="T129" s="2" t="s">
        <v>71</v>
      </c>
      <c r="U129" s="3">
        <v>5</v>
      </c>
      <c r="V129" s="3">
        <v>12</v>
      </c>
      <c r="W129" s="4" t="s">
        <v>1791</v>
      </c>
      <c r="X129" s="4" t="s">
        <v>1792</v>
      </c>
      <c r="Y129" s="4" t="s">
        <v>1793</v>
      </c>
      <c r="Z129" s="4" t="s">
        <v>1794</v>
      </c>
      <c r="AA129" s="3">
        <v>406</v>
      </c>
      <c r="AB129" s="3">
        <v>231</v>
      </c>
      <c r="AC129" s="3">
        <v>239</v>
      </c>
      <c r="AD129" s="3">
        <v>3</v>
      </c>
      <c r="AE129" s="3">
        <v>3</v>
      </c>
      <c r="AF129" s="3">
        <v>7</v>
      </c>
      <c r="AG129" s="3">
        <v>7</v>
      </c>
      <c r="AH129" s="3">
        <v>2</v>
      </c>
      <c r="AI129" s="3">
        <v>2</v>
      </c>
      <c r="AJ129" s="3">
        <v>2</v>
      </c>
      <c r="AK129" s="3">
        <v>2</v>
      </c>
      <c r="AL129" s="3">
        <v>2</v>
      </c>
      <c r="AM129" s="3">
        <v>2</v>
      </c>
      <c r="AN129" s="3">
        <v>1</v>
      </c>
      <c r="AO129" s="3">
        <v>1</v>
      </c>
      <c r="AP129" s="3">
        <v>0</v>
      </c>
      <c r="AQ129" s="3">
        <v>0</v>
      </c>
      <c r="AR129" s="2" t="s">
        <v>63</v>
      </c>
      <c r="AS129" s="2" t="s">
        <v>84</v>
      </c>
      <c r="AT129" s="5" t="str">
        <f>HYPERLINK("http://catalog.hathitrust.org/Record/002560673","HathiTrust Record")</f>
        <v>HathiTrust Record</v>
      </c>
      <c r="AU129" s="5" t="str">
        <f>HYPERLINK("https://creighton-primo.hosted.exlibrisgroup.com/primo-explore/search?tab=default_tab&amp;search_scope=EVERYTHING&amp;vid=01CRU&amp;lang=en_US&amp;offset=0&amp;query=any,contains,991001796279702656","Catalog Record")</f>
        <v>Catalog Record</v>
      </c>
      <c r="AV129" s="5" t="str">
        <f>HYPERLINK("http://www.worldcat.org/oclc/23968596","WorldCat Record")</f>
        <v>WorldCat Record</v>
      </c>
      <c r="AW129" s="2" t="s">
        <v>1795</v>
      </c>
      <c r="AX129" s="2" t="s">
        <v>1796</v>
      </c>
      <c r="AY129" s="2" t="s">
        <v>1797</v>
      </c>
      <c r="AZ129" s="2" t="s">
        <v>1797</v>
      </c>
      <c r="BA129" s="2" t="s">
        <v>1798</v>
      </c>
      <c r="BB129" s="2" t="s">
        <v>78</v>
      </c>
      <c r="BD129" s="2" t="s">
        <v>1799</v>
      </c>
      <c r="BE129" s="2" t="s">
        <v>1800</v>
      </c>
      <c r="BF129" s="2" t="s">
        <v>1801</v>
      </c>
    </row>
    <row r="130" spans="1:58" ht="79.5" customHeight="1">
      <c r="A130" s="1"/>
      <c r="B130" s="1" t="s">
        <v>58</v>
      </c>
      <c r="C130" s="1" t="s">
        <v>59</v>
      </c>
      <c r="D130" s="1" t="s">
        <v>1802</v>
      </c>
      <c r="E130" s="1" t="s">
        <v>1803</v>
      </c>
      <c r="F130" s="1" t="s">
        <v>1804</v>
      </c>
      <c r="H130" s="2" t="s">
        <v>63</v>
      </c>
      <c r="I130" s="2" t="s">
        <v>64</v>
      </c>
      <c r="J130" s="2" t="s">
        <v>63</v>
      </c>
      <c r="K130" s="2" t="s">
        <v>84</v>
      </c>
      <c r="L130" s="2" t="s">
        <v>65</v>
      </c>
      <c r="M130" s="1" t="s">
        <v>218</v>
      </c>
      <c r="N130" s="1" t="s">
        <v>1805</v>
      </c>
      <c r="O130" s="2" t="s">
        <v>1760</v>
      </c>
      <c r="P130" s="1" t="s">
        <v>830</v>
      </c>
      <c r="Q130" s="2" t="s">
        <v>69</v>
      </c>
      <c r="R130" s="2" t="s">
        <v>70</v>
      </c>
      <c r="T130" s="2" t="s">
        <v>71</v>
      </c>
      <c r="U130" s="3">
        <v>16</v>
      </c>
      <c r="V130" s="3">
        <v>16</v>
      </c>
      <c r="W130" s="4" t="s">
        <v>1806</v>
      </c>
      <c r="X130" s="4" t="s">
        <v>1806</v>
      </c>
      <c r="Y130" s="4" t="s">
        <v>90</v>
      </c>
      <c r="Z130" s="4" t="s">
        <v>90</v>
      </c>
      <c r="AA130" s="3">
        <v>2230</v>
      </c>
      <c r="AB130" s="3">
        <v>1926</v>
      </c>
      <c r="AC130" s="3">
        <v>2241</v>
      </c>
      <c r="AD130" s="3">
        <v>16</v>
      </c>
      <c r="AE130" s="3">
        <v>19</v>
      </c>
      <c r="AF130" s="3">
        <v>59</v>
      </c>
      <c r="AG130" s="3">
        <v>63</v>
      </c>
      <c r="AH130" s="3">
        <v>25</v>
      </c>
      <c r="AI130" s="3">
        <v>26</v>
      </c>
      <c r="AJ130" s="3">
        <v>10</v>
      </c>
      <c r="AK130" s="3">
        <v>11</v>
      </c>
      <c r="AL130" s="3">
        <v>25</v>
      </c>
      <c r="AM130" s="3">
        <v>26</v>
      </c>
      <c r="AN130" s="3">
        <v>10</v>
      </c>
      <c r="AO130" s="3">
        <v>12</v>
      </c>
      <c r="AP130" s="3">
        <v>0</v>
      </c>
      <c r="AQ130" s="3">
        <v>0</v>
      </c>
      <c r="AR130" s="2" t="s">
        <v>63</v>
      </c>
      <c r="AS130" s="2" t="s">
        <v>63</v>
      </c>
      <c r="AU130" s="5" t="str">
        <f>HYPERLINK("https://creighton-primo.hosted.exlibrisgroup.com/primo-explore/search?tab=default_tab&amp;search_scope=EVERYTHING&amp;vid=01CRU&amp;lang=en_US&amp;offset=0&amp;query=any,contains,991000788879702656","Catalog Record")</f>
        <v>Catalog Record</v>
      </c>
      <c r="AV130" s="5" t="str">
        <f>HYPERLINK("http://www.worldcat.org/oclc/204288","WorldCat Record")</f>
        <v>WorldCat Record</v>
      </c>
      <c r="AW130" s="2" t="s">
        <v>1807</v>
      </c>
      <c r="AX130" s="2" t="s">
        <v>1808</v>
      </c>
      <c r="AY130" s="2" t="s">
        <v>1809</v>
      </c>
      <c r="AZ130" s="2" t="s">
        <v>1809</v>
      </c>
      <c r="BA130" s="2" t="s">
        <v>1810</v>
      </c>
      <c r="BB130" s="2" t="s">
        <v>78</v>
      </c>
      <c r="BD130" s="2" t="s">
        <v>1811</v>
      </c>
      <c r="BE130" s="2" t="s">
        <v>1812</v>
      </c>
      <c r="BF130" s="2" t="s">
        <v>1813</v>
      </c>
    </row>
    <row r="131" spans="1:58" ht="79.5" customHeight="1">
      <c r="A131" s="1"/>
      <c r="B131" s="1" t="s">
        <v>58</v>
      </c>
      <c r="C131" s="1" t="s">
        <v>59</v>
      </c>
      <c r="D131" s="1" t="s">
        <v>1814</v>
      </c>
      <c r="E131" s="1" t="s">
        <v>1815</v>
      </c>
      <c r="F131" s="1" t="s">
        <v>1816</v>
      </c>
      <c r="H131" s="2" t="s">
        <v>63</v>
      </c>
      <c r="I131" s="2" t="s">
        <v>64</v>
      </c>
      <c r="J131" s="2" t="s">
        <v>84</v>
      </c>
      <c r="K131" s="2" t="s">
        <v>63</v>
      </c>
      <c r="L131" s="2" t="s">
        <v>65</v>
      </c>
      <c r="M131" s="1" t="s">
        <v>1817</v>
      </c>
      <c r="N131" s="1" t="s">
        <v>1818</v>
      </c>
      <c r="O131" s="2" t="s">
        <v>1338</v>
      </c>
      <c r="Q131" s="2" t="s">
        <v>69</v>
      </c>
      <c r="R131" s="2" t="s">
        <v>70</v>
      </c>
      <c r="T131" s="2" t="s">
        <v>71</v>
      </c>
      <c r="U131" s="3">
        <v>11</v>
      </c>
      <c r="V131" s="3">
        <v>15</v>
      </c>
      <c r="W131" s="4" t="s">
        <v>481</v>
      </c>
      <c r="X131" s="4" t="s">
        <v>1819</v>
      </c>
      <c r="Y131" s="4" t="s">
        <v>1325</v>
      </c>
      <c r="Z131" s="4" t="s">
        <v>1820</v>
      </c>
      <c r="AA131" s="3">
        <v>792</v>
      </c>
      <c r="AB131" s="3">
        <v>675</v>
      </c>
      <c r="AC131" s="3">
        <v>787</v>
      </c>
      <c r="AD131" s="3">
        <v>8</v>
      </c>
      <c r="AE131" s="3">
        <v>8</v>
      </c>
      <c r="AF131" s="3">
        <v>30</v>
      </c>
      <c r="AG131" s="3">
        <v>34</v>
      </c>
      <c r="AH131" s="3">
        <v>13</v>
      </c>
      <c r="AI131" s="3">
        <v>16</v>
      </c>
      <c r="AJ131" s="3">
        <v>5</v>
      </c>
      <c r="AK131" s="3">
        <v>6</v>
      </c>
      <c r="AL131" s="3">
        <v>13</v>
      </c>
      <c r="AM131" s="3">
        <v>15</v>
      </c>
      <c r="AN131" s="3">
        <v>4</v>
      </c>
      <c r="AO131" s="3">
        <v>4</v>
      </c>
      <c r="AP131" s="3">
        <v>0</v>
      </c>
      <c r="AQ131" s="3">
        <v>0</v>
      </c>
      <c r="AR131" s="2" t="s">
        <v>63</v>
      </c>
      <c r="AS131" s="2" t="s">
        <v>84</v>
      </c>
      <c r="AT131" s="5" t="str">
        <f>HYPERLINK("http://catalog.hathitrust.org/Record/000256270","HathiTrust Record")</f>
        <v>HathiTrust Record</v>
      </c>
      <c r="AU131" s="5" t="str">
        <f>HYPERLINK("https://creighton-primo.hosted.exlibrisgroup.com/primo-explore/search?tab=default_tab&amp;search_scope=EVERYTHING&amp;vid=01CRU&amp;lang=en_US&amp;offset=0&amp;query=any,contains,991001777159702656","Catalog Record")</f>
        <v>Catalog Record</v>
      </c>
      <c r="AV131" s="5" t="str">
        <f>HYPERLINK("http://www.worldcat.org/oclc/4495621","WorldCat Record")</f>
        <v>WorldCat Record</v>
      </c>
      <c r="AW131" s="2" t="s">
        <v>1821</v>
      </c>
      <c r="AX131" s="2" t="s">
        <v>1822</v>
      </c>
      <c r="AY131" s="2" t="s">
        <v>1823</v>
      </c>
      <c r="AZ131" s="2" t="s">
        <v>1823</v>
      </c>
      <c r="BA131" s="2" t="s">
        <v>1824</v>
      </c>
      <c r="BB131" s="2" t="s">
        <v>78</v>
      </c>
      <c r="BD131" s="2" t="s">
        <v>1825</v>
      </c>
      <c r="BE131" s="2" t="s">
        <v>1826</v>
      </c>
      <c r="BF131" s="2" t="s">
        <v>1827</v>
      </c>
    </row>
    <row r="132" spans="1:58" ht="79.5" customHeight="1">
      <c r="A132" s="1"/>
      <c r="B132" s="1" t="s">
        <v>58</v>
      </c>
      <c r="C132" s="1" t="s">
        <v>59</v>
      </c>
      <c r="D132" s="1" t="s">
        <v>1828</v>
      </c>
      <c r="E132" s="1" t="s">
        <v>1829</v>
      </c>
      <c r="F132" s="1" t="s">
        <v>1830</v>
      </c>
      <c r="H132" s="2" t="s">
        <v>63</v>
      </c>
      <c r="I132" s="2" t="s">
        <v>64</v>
      </c>
      <c r="J132" s="2" t="s">
        <v>84</v>
      </c>
      <c r="K132" s="2" t="s">
        <v>63</v>
      </c>
      <c r="L132" s="2" t="s">
        <v>65</v>
      </c>
      <c r="N132" s="1" t="s">
        <v>1831</v>
      </c>
      <c r="O132" s="2" t="s">
        <v>534</v>
      </c>
      <c r="Q132" s="2" t="s">
        <v>69</v>
      </c>
      <c r="R132" s="2" t="s">
        <v>70</v>
      </c>
      <c r="T132" s="2" t="s">
        <v>71</v>
      </c>
      <c r="U132" s="3">
        <v>7</v>
      </c>
      <c r="V132" s="3">
        <v>11</v>
      </c>
      <c r="W132" s="4" t="s">
        <v>353</v>
      </c>
      <c r="X132" s="4" t="s">
        <v>353</v>
      </c>
      <c r="Y132" s="4" t="s">
        <v>1832</v>
      </c>
      <c r="Z132" s="4" t="s">
        <v>1833</v>
      </c>
      <c r="AA132" s="3">
        <v>358</v>
      </c>
      <c r="AB132" s="3">
        <v>317</v>
      </c>
      <c r="AC132" s="3">
        <v>319</v>
      </c>
      <c r="AD132" s="3">
        <v>4</v>
      </c>
      <c r="AE132" s="3">
        <v>4</v>
      </c>
      <c r="AF132" s="3">
        <v>13</v>
      </c>
      <c r="AG132" s="3">
        <v>13</v>
      </c>
      <c r="AH132" s="3">
        <v>5</v>
      </c>
      <c r="AI132" s="3">
        <v>5</v>
      </c>
      <c r="AJ132" s="3">
        <v>2</v>
      </c>
      <c r="AK132" s="3">
        <v>2</v>
      </c>
      <c r="AL132" s="3">
        <v>7</v>
      </c>
      <c r="AM132" s="3">
        <v>7</v>
      </c>
      <c r="AN132" s="3">
        <v>2</v>
      </c>
      <c r="AO132" s="3">
        <v>2</v>
      </c>
      <c r="AP132" s="3">
        <v>0</v>
      </c>
      <c r="AQ132" s="3">
        <v>0</v>
      </c>
      <c r="AR132" s="2" t="s">
        <v>63</v>
      </c>
      <c r="AS132" s="2" t="s">
        <v>84</v>
      </c>
      <c r="AT132" s="5" t="str">
        <f>HYPERLINK("http://catalog.hathitrust.org/Record/000098908","HathiTrust Record")</f>
        <v>HathiTrust Record</v>
      </c>
      <c r="AU132" s="5" t="str">
        <f>HYPERLINK("https://creighton-primo.hosted.exlibrisgroup.com/primo-explore/search?tab=default_tab&amp;search_scope=EVERYTHING&amp;vid=01CRU&amp;lang=en_US&amp;offset=0&amp;query=any,contains,991001781579702656","Catalog Record")</f>
        <v>Catalog Record</v>
      </c>
      <c r="AV132" s="5" t="str">
        <f>HYPERLINK("http://www.worldcat.org/oclc/6943237","WorldCat Record")</f>
        <v>WorldCat Record</v>
      </c>
      <c r="AW132" s="2" t="s">
        <v>1834</v>
      </c>
      <c r="AX132" s="2" t="s">
        <v>1835</v>
      </c>
      <c r="AY132" s="2" t="s">
        <v>1836</v>
      </c>
      <c r="AZ132" s="2" t="s">
        <v>1836</v>
      </c>
      <c r="BA132" s="2" t="s">
        <v>1837</v>
      </c>
      <c r="BB132" s="2" t="s">
        <v>78</v>
      </c>
      <c r="BD132" s="2" t="s">
        <v>1838</v>
      </c>
      <c r="BE132" s="2" t="s">
        <v>1839</v>
      </c>
      <c r="BF132" s="2" t="s">
        <v>1840</v>
      </c>
    </row>
    <row r="133" spans="1:58" ht="79.5" customHeight="1">
      <c r="A133" s="1"/>
      <c r="B133" s="1" t="s">
        <v>58</v>
      </c>
      <c r="C133" s="1" t="s">
        <v>59</v>
      </c>
      <c r="D133" s="1" t="s">
        <v>1841</v>
      </c>
      <c r="E133" s="1" t="s">
        <v>1842</v>
      </c>
      <c r="F133" s="1" t="s">
        <v>1843</v>
      </c>
      <c r="H133" s="2" t="s">
        <v>63</v>
      </c>
      <c r="I133" s="2" t="s">
        <v>64</v>
      </c>
      <c r="J133" s="2" t="s">
        <v>84</v>
      </c>
      <c r="K133" s="2" t="s">
        <v>63</v>
      </c>
      <c r="L133" s="2" t="s">
        <v>65</v>
      </c>
      <c r="M133" s="1" t="s">
        <v>247</v>
      </c>
      <c r="N133" s="1" t="s">
        <v>1844</v>
      </c>
      <c r="O133" s="2" t="s">
        <v>559</v>
      </c>
      <c r="P133" s="1" t="s">
        <v>1845</v>
      </c>
      <c r="Q133" s="2" t="s">
        <v>69</v>
      </c>
      <c r="R133" s="2" t="s">
        <v>191</v>
      </c>
      <c r="T133" s="2" t="s">
        <v>71</v>
      </c>
      <c r="U133" s="3">
        <v>0</v>
      </c>
      <c r="V133" s="3">
        <v>3</v>
      </c>
      <c r="W133" s="4" t="s">
        <v>1846</v>
      </c>
      <c r="X133" s="4" t="s">
        <v>1846</v>
      </c>
      <c r="Y133" s="4" t="s">
        <v>1847</v>
      </c>
      <c r="Z133" s="4" t="s">
        <v>1847</v>
      </c>
      <c r="AA133" s="3">
        <v>1116</v>
      </c>
      <c r="AB133" s="3">
        <v>993</v>
      </c>
      <c r="AC133" s="3">
        <v>1099</v>
      </c>
      <c r="AD133" s="3">
        <v>8</v>
      </c>
      <c r="AE133" s="3">
        <v>8</v>
      </c>
      <c r="AF133" s="3">
        <v>26</v>
      </c>
      <c r="AG133" s="3">
        <v>28</v>
      </c>
      <c r="AH133" s="3">
        <v>7</v>
      </c>
      <c r="AI133" s="3">
        <v>9</v>
      </c>
      <c r="AJ133" s="3">
        <v>5</v>
      </c>
      <c r="AK133" s="3">
        <v>6</v>
      </c>
      <c r="AL133" s="3">
        <v>14</v>
      </c>
      <c r="AM133" s="3">
        <v>14</v>
      </c>
      <c r="AN133" s="3">
        <v>5</v>
      </c>
      <c r="AO133" s="3">
        <v>5</v>
      </c>
      <c r="AP133" s="3">
        <v>0</v>
      </c>
      <c r="AQ133" s="3">
        <v>0</v>
      </c>
      <c r="AR133" s="2" t="s">
        <v>63</v>
      </c>
      <c r="AS133" s="2" t="s">
        <v>84</v>
      </c>
      <c r="AT133" s="5" t="str">
        <f>HYPERLINK("http://catalog.hathitrust.org/Record/004920070","HathiTrust Record")</f>
        <v>HathiTrust Record</v>
      </c>
      <c r="AU133" s="5" t="str">
        <f>HYPERLINK("https://creighton-primo.hosted.exlibrisgroup.com/primo-explore/search?tab=default_tab&amp;search_scope=EVERYTHING&amp;vid=01CRU&amp;lang=en_US&amp;offset=0&amp;query=any,contains,991001730279702656","Catalog Record")</f>
        <v>Catalog Record</v>
      </c>
      <c r="AV133" s="5" t="str">
        <f>HYPERLINK("http://www.worldcat.org/oclc/55131380","WorldCat Record")</f>
        <v>WorldCat Record</v>
      </c>
      <c r="AW133" s="2" t="s">
        <v>1848</v>
      </c>
      <c r="AX133" s="2" t="s">
        <v>1849</v>
      </c>
      <c r="AY133" s="2" t="s">
        <v>1850</v>
      </c>
      <c r="AZ133" s="2" t="s">
        <v>1850</v>
      </c>
      <c r="BA133" s="2" t="s">
        <v>1851</v>
      </c>
      <c r="BB133" s="2" t="s">
        <v>78</v>
      </c>
      <c r="BD133" s="2" t="s">
        <v>1852</v>
      </c>
      <c r="BE133" s="2" t="s">
        <v>1853</v>
      </c>
      <c r="BF133" s="2" t="s">
        <v>1854</v>
      </c>
    </row>
    <row r="134" spans="1:58" ht="79.5" customHeight="1">
      <c r="A134" s="1"/>
      <c r="B134" s="1" t="s">
        <v>58</v>
      </c>
      <c r="C134" s="1" t="s">
        <v>59</v>
      </c>
      <c r="D134" s="1" t="s">
        <v>1855</v>
      </c>
      <c r="E134" s="1" t="s">
        <v>1856</v>
      </c>
      <c r="F134" s="1" t="s">
        <v>1857</v>
      </c>
      <c r="H134" s="2" t="s">
        <v>63</v>
      </c>
      <c r="I134" s="2" t="s">
        <v>64</v>
      </c>
      <c r="J134" s="2" t="s">
        <v>84</v>
      </c>
      <c r="K134" s="2" t="s">
        <v>63</v>
      </c>
      <c r="L134" s="2" t="s">
        <v>65</v>
      </c>
      <c r="N134" s="1" t="s">
        <v>1858</v>
      </c>
      <c r="O134" s="2" t="s">
        <v>1338</v>
      </c>
      <c r="Q134" s="2" t="s">
        <v>69</v>
      </c>
      <c r="R134" s="2" t="s">
        <v>70</v>
      </c>
      <c r="T134" s="2" t="s">
        <v>71</v>
      </c>
      <c r="U134" s="3">
        <v>11</v>
      </c>
      <c r="V134" s="3">
        <v>19</v>
      </c>
      <c r="W134" s="4" t="s">
        <v>1859</v>
      </c>
      <c r="X134" s="4" t="s">
        <v>1860</v>
      </c>
      <c r="Y134" s="4" t="s">
        <v>1861</v>
      </c>
      <c r="Z134" s="4" t="s">
        <v>1862</v>
      </c>
      <c r="AA134" s="3">
        <v>415</v>
      </c>
      <c r="AB134" s="3">
        <v>333</v>
      </c>
      <c r="AC134" s="3">
        <v>335</v>
      </c>
      <c r="AD134" s="3">
        <v>3</v>
      </c>
      <c r="AE134" s="3">
        <v>3</v>
      </c>
      <c r="AF134" s="3">
        <v>15</v>
      </c>
      <c r="AG134" s="3">
        <v>15</v>
      </c>
      <c r="AH134" s="3">
        <v>6</v>
      </c>
      <c r="AI134" s="3">
        <v>6</v>
      </c>
      <c r="AJ134" s="3">
        <v>4</v>
      </c>
      <c r="AK134" s="3">
        <v>4</v>
      </c>
      <c r="AL134" s="3">
        <v>9</v>
      </c>
      <c r="AM134" s="3">
        <v>9</v>
      </c>
      <c r="AN134" s="3">
        <v>1</v>
      </c>
      <c r="AO134" s="3">
        <v>1</v>
      </c>
      <c r="AP134" s="3">
        <v>0</v>
      </c>
      <c r="AQ134" s="3">
        <v>0</v>
      </c>
      <c r="AR134" s="2" t="s">
        <v>63</v>
      </c>
      <c r="AS134" s="2" t="s">
        <v>84</v>
      </c>
      <c r="AT134" s="5" t="str">
        <f>HYPERLINK("http://catalog.hathitrust.org/Record/000177841","HathiTrust Record")</f>
        <v>HathiTrust Record</v>
      </c>
      <c r="AU134" s="5" t="str">
        <f>HYPERLINK("https://creighton-primo.hosted.exlibrisgroup.com/primo-explore/search?tab=default_tab&amp;search_scope=EVERYTHING&amp;vid=01CRU&amp;lang=en_US&amp;offset=0&amp;query=any,contains,991001759529702656","Catalog Record")</f>
        <v>Catalog Record</v>
      </c>
      <c r="AV134" s="5" t="str">
        <f>HYPERLINK("http://www.worldcat.org/oclc/4036839","WorldCat Record")</f>
        <v>WorldCat Record</v>
      </c>
      <c r="AW134" s="2" t="s">
        <v>1863</v>
      </c>
      <c r="AX134" s="2" t="s">
        <v>1864</v>
      </c>
      <c r="AY134" s="2" t="s">
        <v>1865</v>
      </c>
      <c r="AZ134" s="2" t="s">
        <v>1865</v>
      </c>
      <c r="BA134" s="2" t="s">
        <v>1866</v>
      </c>
      <c r="BB134" s="2" t="s">
        <v>78</v>
      </c>
      <c r="BD134" s="2" t="s">
        <v>1867</v>
      </c>
      <c r="BE134" s="2" t="s">
        <v>1868</v>
      </c>
      <c r="BF134" s="2" t="s">
        <v>1869</v>
      </c>
    </row>
    <row r="135" spans="1:58" ht="79.5" customHeight="1">
      <c r="A135" s="1"/>
      <c r="B135" s="1" t="s">
        <v>58</v>
      </c>
      <c r="C135" s="1" t="s">
        <v>59</v>
      </c>
      <c r="D135" s="1" t="s">
        <v>1870</v>
      </c>
      <c r="E135" s="1" t="s">
        <v>1871</v>
      </c>
      <c r="F135" s="1" t="s">
        <v>1872</v>
      </c>
      <c r="H135" s="2" t="s">
        <v>63</v>
      </c>
      <c r="I135" s="2" t="s">
        <v>64</v>
      </c>
      <c r="J135" s="2" t="s">
        <v>63</v>
      </c>
      <c r="K135" s="2" t="s">
        <v>84</v>
      </c>
      <c r="L135" s="2" t="s">
        <v>65</v>
      </c>
      <c r="M135" s="1" t="s">
        <v>871</v>
      </c>
      <c r="N135" s="1" t="s">
        <v>1873</v>
      </c>
      <c r="O135" s="2" t="s">
        <v>559</v>
      </c>
      <c r="P135" s="1" t="s">
        <v>1874</v>
      </c>
      <c r="Q135" s="2" t="s">
        <v>69</v>
      </c>
      <c r="R135" s="2" t="s">
        <v>191</v>
      </c>
      <c r="T135" s="2" t="s">
        <v>71</v>
      </c>
      <c r="U135" s="3">
        <v>16</v>
      </c>
      <c r="V135" s="3">
        <v>16</v>
      </c>
      <c r="W135" s="4" t="s">
        <v>1875</v>
      </c>
      <c r="X135" s="4" t="s">
        <v>1875</v>
      </c>
      <c r="Y135" s="4" t="s">
        <v>1876</v>
      </c>
      <c r="Z135" s="4" t="s">
        <v>1876</v>
      </c>
      <c r="AA135" s="3">
        <v>114</v>
      </c>
      <c r="AB135" s="3">
        <v>73</v>
      </c>
      <c r="AC135" s="3">
        <v>911</v>
      </c>
      <c r="AD135" s="3">
        <v>1</v>
      </c>
      <c r="AE135" s="3">
        <v>9</v>
      </c>
      <c r="AF135" s="3">
        <v>0</v>
      </c>
      <c r="AG135" s="3">
        <v>29</v>
      </c>
      <c r="AH135" s="3">
        <v>0</v>
      </c>
      <c r="AI135" s="3">
        <v>12</v>
      </c>
      <c r="AJ135" s="3">
        <v>0</v>
      </c>
      <c r="AK135" s="3">
        <v>4</v>
      </c>
      <c r="AL135" s="3">
        <v>0</v>
      </c>
      <c r="AM135" s="3">
        <v>14</v>
      </c>
      <c r="AN135" s="3">
        <v>0</v>
      </c>
      <c r="AO135" s="3">
        <v>6</v>
      </c>
      <c r="AP135" s="3">
        <v>0</v>
      </c>
      <c r="AQ135" s="3">
        <v>0</v>
      </c>
      <c r="AR135" s="2" t="s">
        <v>63</v>
      </c>
      <c r="AS135" s="2" t="s">
        <v>63</v>
      </c>
      <c r="AU135" s="5" t="str">
        <f>HYPERLINK("https://creighton-primo.hosted.exlibrisgroup.com/primo-explore/search?tab=default_tab&amp;search_scope=EVERYTHING&amp;vid=01CRU&amp;lang=en_US&amp;offset=0&amp;query=any,contains,991001724009702656","Catalog Record")</f>
        <v>Catalog Record</v>
      </c>
      <c r="AV135" s="5" t="str">
        <f>HYPERLINK("http://www.worldcat.org/oclc/51534775","WorldCat Record")</f>
        <v>WorldCat Record</v>
      </c>
      <c r="AW135" s="2" t="s">
        <v>875</v>
      </c>
      <c r="AX135" s="2" t="s">
        <v>1877</v>
      </c>
      <c r="AY135" s="2" t="s">
        <v>1878</v>
      </c>
      <c r="AZ135" s="2" t="s">
        <v>1878</v>
      </c>
      <c r="BA135" s="2" t="s">
        <v>1879</v>
      </c>
      <c r="BB135" s="2" t="s">
        <v>78</v>
      </c>
      <c r="BD135" s="2" t="s">
        <v>1880</v>
      </c>
      <c r="BE135" s="2" t="s">
        <v>1881</v>
      </c>
      <c r="BF135" s="2" t="s">
        <v>1882</v>
      </c>
    </row>
    <row r="136" spans="1:58" ht="79.5" customHeight="1">
      <c r="A136" s="1"/>
      <c r="B136" s="1" t="s">
        <v>58</v>
      </c>
      <c r="C136" s="1" t="s">
        <v>59</v>
      </c>
      <c r="D136" s="1" t="s">
        <v>1883</v>
      </c>
      <c r="E136" s="1" t="s">
        <v>1884</v>
      </c>
      <c r="F136" s="1" t="s">
        <v>1885</v>
      </c>
      <c r="H136" s="2" t="s">
        <v>63</v>
      </c>
      <c r="I136" s="2" t="s">
        <v>64</v>
      </c>
      <c r="J136" s="2" t="s">
        <v>84</v>
      </c>
      <c r="K136" s="2" t="s">
        <v>63</v>
      </c>
      <c r="L136" s="2" t="s">
        <v>64</v>
      </c>
      <c r="M136" s="1" t="s">
        <v>1886</v>
      </c>
      <c r="N136" s="1" t="s">
        <v>1887</v>
      </c>
      <c r="O136" s="2" t="s">
        <v>1338</v>
      </c>
      <c r="Q136" s="2" t="s">
        <v>69</v>
      </c>
      <c r="R136" s="2" t="s">
        <v>191</v>
      </c>
      <c r="T136" s="2" t="s">
        <v>71</v>
      </c>
      <c r="U136" s="3">
        <v>3</v>
      </c>
      <c r="V136" s="3">
        <v>17</v>
      </c>
      <c r="W136" s="4" t="s">
        <v>1888</v>
      </c>
      <c r="X136" s="4" t="s">
        <v>1889</v>
      </c>
      <c r="Y136" s="4" t="s">
        <v>1890</v>
      </c>
      <c r="Z136" s="4" t="s">
        <v>1891</v>
      </c>
      <c r="AA136" s="3">
        <v>1366</v>
      </c>
      <c r="AB136" s="3">
        <v>1090</v>
      </c>
      <c r="AC136" s="3">
        <v>1780</v>
      </c>
      <c r="AD136" s="3">
        <v>12</v>
      </c>
      <c r="AE136" s="3">
        <v>19</v>
      </c>
      <c r="AF136" s="3">
        <v>41</v>
      </c>
      <c r="AG136" s="3">
        <v>62</v>
      </c>
      <c r="AH136" s="3">
        <v>18</v>
      </c>
      <c r="AI136" s="3">
        <v>23</v>
      </c>
      <c r="AJ136" s="3">
        <v>6</v>
      </c>
      <c r="AK136" s="3">
        <v>11</v>
      </c>
      <c r="AL136" s="3">
        <v>15</v>
      </c>
      <c r="AM136" s="3">
        <v>21</v>
      </c>
      <c r="AN136" s="3">
        <v>9</v>
      </c>
      <c r="AO136" s="3">
        <v>16</v>
      </c>
      <c r="AP136" s="3">
        <v>0</v>
      </c>
      <c r="AQ136" s="3">
        <v>2</v>
      </c>
      <c r="AR136" s="2" t="s">
        <v>63</v>
      </c>
      <c r="AS136" s="2" t="s">
        <v>84</v>
      </c>
      <c r="AT136" s="5" t="str">
        <f>HYPERLINK("http://catalog.hathitrust.org/Record/000017100","HathiTrust Record")</f>
        <v>HathiTrust Record</v>
      </c>
      <c r="AU136" s="5" t="str">
        <f>HYPERLINK("https://creighton-primo.hosted.exlibrisgroup.com/primo-explore/search?tab=default_tab&amp;search_scope=EVERYTHING&amp;vid=01CRU&amp;lang=en_US&amp;offset=0&amp;query=any,contains,991001784679702656","Catalog Record")</f>
        <v>Catalog Record</v>
      </c>
      <c r="AV136" s="5" t="str">
        <f>HYPERLINK("http://www.worldcat.org/oclc/4515541","WorldCat Record")</f>
        <v>WorldCat Record</v>
      </c>
      <c r="AW136" s="2" t="s">
        <v>1892</v>
      </c>
      <c r="AX136" s="2" t="s">
        <v>1893</v>
      </c>
      <c r="AY136" s="2" t="s">
        <v>1894</v>
      </c>
      <c r="AZ136" s="2" t="s">
        <v>1894</v>
      </c>
      <c r="BA136" s="2" t="s">
        <v>1895</v>
      </c>
      <c r="BB136" s="2" t="s">
        <v>78</v>
      </c>
      <c r="BD136" s="2" t="s">
        <v>1896</v>
      </c>
      <c r="BE136" s="2" t="s">
        <v>1897</v>
      </c>
      <c r="BF136" s="2" t="s">
        <v>1898</v>
      </c>
    </row>
    <row r="137" spans="1:58" ht="79.5" customHeight="1">
      <c r="A137" s="1"/>
      <c r="B137" s="1" t="s">
        <v>58</v>
      </c>
      <c r="C137" s="1" t="s">
        <v>59</v>
      </c>
      <c r="D137" s="1" t="s">
        <v>1899</v>
      </c>
      <c r="E137" s="1" t="s">
        <v>1900</v>
      </c>
      <c r="F137" s="1" t="s">
        <v>1901</v>
      </c>
      <c r="H137" s="2" t="s">
        <v>63</v>
      </c>
      <c r="I137" s="2" t="s">
        <v>64</v>
      </c>
      <c r="J137" s="2" t="s">
        <v>84</v>
      </c>
      <c r="K137" s="2" t="s">
        <v>63</v>
      </c>
      <c r="L137" s="2" t="s">
        <v>65</v>
      </c>
      <c r="N137" s="1" t="s">
        <v>1902</v>
      </c>
      <c r="O137" s="2" t="s">
        <v>87</v>
      </c>
      <c r="Q137" s="2" t="s">
        <v>69</v>
      </c>
      <c r="R137" s="2" t="s">
        <v>732</v>
      </c>
      <c r="T137" s="2" t="s">
        <v>71</v>
      </c>
      <c r="U137" s="3">
        <v>2</v>
      </c>
      <c r="V137" s="3">
        <v>4</v>
      </c>
      <c r="W137" s="4" t="s">
        <v>1903</v>
      </c>
      <c r="X137" s="4" t="s">
        <v>1903</v>
      </c>
      <c r="Y137" s="4" t="s">
        <v>90</v>
      </c>
      <c r="Z137" s="4" t="s">
        <v>1904</v>
      </c>
      <c r="AA137" s="3">
        <v>687</v>
      </c>
      <c r="AB137" s="3">
        <v>609</v>
      </c>
      <c r="AC137" s="3">
        <v>614</v>
      </c>
      <c r="AD137" s="3">
        <v>6</v>
      </c>
      <c r="AE137" s="3">
        <v>6</v>
      </c>
      <c r="AF137" s="3">
        <v>29</v>
      </c>
      <c r="AG137" s="3">
        <v>29</v>
      </c>
      <c r="AH137" s="3">
        <v>14</v>
      </c>
      <c r="AI137" s="3">
        <v>14</v>
      </c>
      <c r="AJ137" s="3">
        <v>6</v>
      </c>
      <c r="AK137" s="3">
        <v>6</v>
      </c>
      <c r="AL137" s="3">
        <v>14</v>
      </c>
      <c r="AM137" s="3">
        <v>14</v>
      </c>
      <c r="AN137" s="3">
        <v>4</v>
      </c>
      <c r="AO137" s="3">
        <v>4</v>
      </c>
      <c r="AP137" s="3">
        <v>0</v>
      </c>
      <c r="AQ137" s="3">
        <v>0</v>
      </c>
      <c r="AR137" s="2" t="s">
        <v>63</v>
      </c>
      <c r="AS137" s="2" t="s">
        <v>84</v>
      </c>
      <c r="AT137" s="5" t="str">
        <f>HYPERLINK("http://catalog.hathitrust.org/Record/000608436","HathiTrust Record")</f>
        <v>HathiTrust Record</v>
      </c>
      <c r="AU137" s="5" t="str">
        <f>HYPERLINK("https://creighton-primo.hosted.exlibrisgroup.com/primo-explore/search?tab=default_tab&amp;search_scope=EVERYTHING&amp;vid=01CRU&amp;lang=en_US&amp;offset=0&amp;query=any,contains,991001762769702656","Catalog Record")</f>
        <v>Catalog Record</v>
      </c>
      <c r="AV137" s="5" t="str">
        <f>HYPERLINK("http://www.worldcat.org/oclc/10925015","WorldCat Record")</f>
        <v>WorldCat Record</v>
      </c>
      <c r="AW137" s="2" t="s">
        <v>1905</v>
      </c>
      <c r="AX137" s="2" t="s">
        <v>1906</v>
      </c>
      <c r="AY137" s="2" t="s">
        <v>1907</v>
      </c>
      <c r="AZ137" s="2" t="s">
        <v>1907</v>
      </c>
      <c r="BA137" s="2" t="s">
        <v>1908</v>
      </c>
      <c r="BB137" s="2" t="s">
        <v>78</v>
      </c>
      <c r="BD137" s="2" t="s">
        <v>1909</v>
      </c>
      <c r="BE137" s="2" t="s">
        <v>1910</v>
      </c>
      <c r="BF137" s="2" t="s">
        <v>1911</v>
      </c>
    </row>
    <row r="138" spans="1:58" ht="79.5" customHeight="1">
      <c r="A138" s="1"/>
      <c r="B138" s="1" t="s">
        <v>58</v>
      </c>
      <c r="C138" s="1" t="s">
        <v>59</v>
      </c>
      <c r="D138" s="1" t="s">
        <v>1912</v>
      </c>
      <c r="E138" s="1" t="s">
        <v>1913</v>
      </c>
      <c r="F138" s="1" t="s">
        <v>1914</v>
      </c>
      <c r="H138" s="2" t="s">
        <v>63</v>
      </c>
      <c r="I138" s="2" t="s">
        <v>64</v>
      </c>
      <c r="J138" s="2" t="s">
        <v>63</v>
      </c>
      <c r="K138" s="2" t="s">
        <v>63</v>
      </c>
      <c r="L138" s="2" t="s">
        <v>65</v>
      </c>
      <c r="M138" s="1" t="s">
        <v>1915</v>
      </c>
      <c r="N138" s="1" t="s">
        <v>1916</v>
      </c>
      <c r="O138" s="2" t="s">
        <v>1917</v>
      </c>
      <c r="Q138" s="2" t="s">
        <v>69</v>
      </c>
      <c r="R138" s="2" t="s">
        <v>70</v>
      </c>
      <c r="S138" s="1" t="s">
        <v>1918</v>
      </c>
      <c r="T138" s="2" t="s">
        <v>71</v>
      </c>
      <c r="U138" s="3">
        <v>3</v>
      </c>
      <c r="V138" s="3">
        <v>3</v>
      </c>
      <c r="W138" s="4" t="s">
        <v>1919</v>
      </c>
      <c r="X138" s="4" t="s">
        <v>1919</v>
      </c>
      <c r="Y138" s="4" t="s">
        <v>1920</v>
      </c>
      <c r="Z138" s="4" t="s">
        <v>1920</v>
      </c>
      <c r="AA138" s="3">
        <v>725</v>
      </c>
      <c r="AB138" s="3">
        <v>661</v>
      </c>
      <c r="AC138" s="3">
        <v>1158</v>
      </c>
      <c r="AD138" s="3">
        <v>4</v>
      </c>
      <c r="AE138" s="3">
        <v>8</v>
      </c>
      <c r="AF138" s="3">
        <v>23</v>
      </c>
      <c r="AG138" s="3">
        <v>49</v>
      </c>
      <c r="AH138" s="3">
        <v>8</v>
      </c>
      <c r="AI138" s="3">
        <v>21</v>
      </c>
      <c r="AJ138" s="3">
        <v>3</v>
      </c>
      <c r="AK138" s="3">
        <v>9</v>
      </c>
      <c r="AL138" s="3">
        <v>11</v>
      </c>
      <c r="AM138" s="3">
        <v>23</v>
      </c>
      <c r="AN138" s="3">
        <v>3</v>
      </c>
      <c r="AO138" s="3">
        <v>7</v>
      </c>
      <c r="AP138" s="3">
        <v>0</v>
      </c>
      <c r="AQ138" s="3">
        <v>0</v>
      </c>
      <c r="AR138" s="2" t="s">
        <v>63</v>
      </c>
      <c r="AS138" s="2" t="s">
        <v>63</v>
      </c>
      <c r="AU138" s="5" t="str">
        <f>HYPERLINK("https://creighton-primo.hosted.exlibrisgroup.com/primo-explore/search?tab=default_tab&amp;search_scope=EVERYTHING&amp;vid=01CRU&amp;lang=en_US&amp;offset=0&amp;query=any,contains,991001096409702656","Catalog Record")</f>
        <v>Catalog Record</v>
      </c>
      <c r="AV138" s="5" t="str">
        <f>HYPERLINK("http://www.worldcat.org/oclc/444733","WorldCat Record")</f>
        <v>WorldCat Record</v>
      </c>
      <c r="AW138" s="2" t="s">
        <v>1921</v>
      </c>
      <c r="AX138" s="2" t="s">
        <v>1922</v>
      </c>
      <c r="AY138" s="2" t="s">
        <v>1923</v>
      </c>
      <c r="AZ138" s="2" t="s">
        <v>1923</v>
      </c>
      <c r="BA138" s="2" t="s">
        <v>1924</v>
      </c>
      <c r="BB138" s="2" t="s">
        <v>78</v>
      </c>
      <c r="BE138" s="2" t="s">
        <v>1925</v>
      </c>
      <c r="BF138" s="2" t="s">
        <v>1926</v>
      </c>
    </row>
    <row r="139" spans="1:58" ht="79.5" customHeight="1">
      <c r="A139" s="1"/>
      <c r="B139" s="1" t="s">
        <v>58</v>
      </c>
      <c r="C139" s="1" t="s">
        <v>59</v>
      </c>
      <c r="D139" s="1" t="s">
        <v>1927</v>
      </c>
      <c r="E139" s="1" t="s">
        <v>1928</v>
      </c>
      <c r="F139" s="1" t="s">
        <v>1929</v>
      </c>
      <c r="H139" s="2" t="s">
        <v>63</v>
      </c>
      <c r="I139" s="2" t="s">
        <v>64</v>
      </c>
      <c r="J139" s="2" t="s">
        <v>84</v>
      </c>
      <c r="K139" s="2" t="s">
        <v>63</v>
      </c>
      <c r="L139" s="2" t="s">
        <v>65</v>
      </c>
      <c r="M139" s="1" t="s">
        <v>1930</v>
      </c>
      <c r="N139" s="1" t="s">
        <v>1931</v>
      </c>
      <c r="O139" s="2" t="s">
        <v>220</v>
      </c>
      <c r="Q139" s="2" t="s">
        <v>69</v>
      </c>
      <c r="R139" s="2" t="s">
        <v>70</v>
      </c>
      <c r="T139" s="2" t="s">
        <v>71</v>
      </c>
      <c r="U139" s="3">
        <v>6</v>
      </c>
      <c r="V139" s="3">
        <v>16</v>
      </c>
      <c r="W139" s="4" t="s">
        <v>1932</v>
      </c>
      <c r="X139" s="4" t="s">
        <v>1933</v>
      </c>
      <c r="Y139" s="4" t="s">
        <v>1934</v>
      </c>
      <c r="Z139" s="4" t="s">
        <v>1935</v>
      </c>
      <c r="AA139" s="3">
        <v>465</v>
      </c>
      <c r="AB139" s="3">
        <v>354</v>
      </c>
      <c r="AC139" s="3">
        <v>355</v>
      </c>
      <c r="AD139" s="3">
        <v>6</v>
      </c>
      <c r="AE139" s="3">
        <v>6</v>
      </c>
      <c r="AF139" s="3">
        <v>21</v>
      </c>
      <c r="AG139" s="3">
        <v>21</v>
      </c>
      <c r="AH139" s="3">
        <v>7</v>
      </c>
      <c r="AI139" s="3">
        <v>7</v>
      </c>
      <c r="AJ139" s="3">
        <v>4</v>
      </c>
      <c r="AK139" s="3">
        <v>4</v>
      </c>
      <c r="AL139" s="3">
        <v>11</v>
      </c>
      <c r="AM139" s="3">
        <v>11</v>
      </c>
      <c r="AN139" s="3">
        <v>4</v>
      </c>
      <c r="AO139" s="3">
        <v>4</v>
      </c>
      <c r="AP139" s="3">
        <v>0</v>
      </c>
      <c r="AQ139" s="3">
        <v>0</v>
      </c>
      <c r="AR139" s="2" t="s">
        <v>63</v>
      </c>
      <c r="AS139" s="2" t="s">
        <v>84</v>
      </c>
      <c r="AT139" s="5" t="str">
        <f>HYPERLINK("http://catalog.hathitrust.org/Record/000858010","HathiTrust Record")</f>
        <v>HathiTrust Record</v>
      </c>
      <c r="AU139" s="5" t="str">
        <f>HYPERLINK("https://creighton-primo.hosted.exlibrisgroup.com/primo-explore/search?tab=default_tab&amp;search_scope=EVERYTHING&amp;vid=01CRU&amp;lang=en_US&amp;offset=0&amp;query=any,contains,991001788569702656","Catalog Record")</f>
        <v>Catalog Record</v>
      </c>
      <c r="AV139" s="5" t="str">
        <f>HYPERLINK("http://www.worldcat.org/oclc/15549708","WorldCat Record")</f>
        <v>WorldCat Record</v>
      </c>
      <c r="AW139" s="2" t="s">
        <v>1936</v>
      </c>
      <c r="AX139" s="2" t="s">
        <v>1937</v>
      </c>
      <c r="AY139" s="2" t="s">
        <v>1938</v>
      </c>
      <c r="AZ139" s="2" t="s">
        <v>1938</v>
      </c>
      <c r="BA139" s="2" t="s">
        <v>1939</v>
      </c>
      <c r="BB139" s="2" t="s">
        <v>78</v>
      </c>
      <c r="BD139" s="2" t="s">
        <v>1940</v>
      </c>
      <c r="BE139" s="2" t="s">
        <v>1941</v>
      </c>
      <c r="BF139" s="2" t="s">
        <v>1942</v>
      </c>
    </row>
    <row r="140" spans="1:58" ht="79.5" customHeight="1">
      <c r="A140" s="1"/>
      <c r="B140" s="1" t="s">
        <v>58</v>
      </c>
      <c r="C140" s="1" t="s">
        <v>59</v>
      </c>
      <c r="D140" s="1" t="s">
        <v>1943</v>
      </c>
      <c r="E140" s="1" t="s">
        <v>1944</v>
      </c>
      <c r="F140" s="1" t="s">
        <v>1945</v>
      </c>
      <c r="H140" s="2" t="s">
        <v>63</v>
      </c>
      <c r="I140" s="2" t="s">
        <v>64</v>
      </c>
      <c r="J140" s="2" t="s">
        <v>84</v>
      </c>
      <c r="K140" s="2" t="s">
        <v>63</v>
      </c>
      <c r="L140" s="2" t="s">
        <v>65</v>
      </c>
      <c r="N140" s="1" t="s">
        <v>1946</v>
      </c>
      <c r="O140" s="2" t="s">
        <v>859</v>
      </c>
      <c r="Q140" s="2" t="s">
        <v>69</v>
      </c>
      <c r="R140" s="2" t="s">
        <v>130</v>
      </c>
      <c r="S140" s="1" t="s">
        <v>1947</v>
      </c>
      <c r="T140" s="2" t="s">
        <v>71</v>
      </c>
      <c r="U140" s="3">
        <v>5</v>
      </c>
      <c r="V140" s="3">
        <v>7</v>
      </c>
      <c r="W140" s="4" t="s">
        <v>1948</v>
      </c>
      <c r="X140" s="4" t="s">
        <v>1948</v>
      </c>
      <c r="Y140" s="4" t="s">
        <v>1890</v>
      </c>
      <c r="Z140" s="4" t="s">
        <v>1904</v>
      </c>
      <c r="AA140" s="3">
        <v>399</v>
      </c>
      <c r="AB140" s="3">
        <v>278</v>
      </c>
      <c r="AC140" s="3">
        <v>284</v>
      </c>
      <c r="AD140" s="3">
        <v>4</v>
      </c>
      <c r="AE140" s="3">
        <v>4</v>
      </c>
      <c r="AF140" s="3">
        <v>11</v>
      </c>
      <c r="AG140" s="3">
        <v>11</v>
      </c>
      <c r="AH140" s="3">
        <v>2</v>
      </c>
      <c r="AI140" s="3">
        <v>2</v>
      </c>
      <c r="AJ140" s="3">
        <v>4</v>
      </c>
      <c r="AK140" s="3">
        <v>4</v>
      </c>
      <c r="AL140" s="3">
        <v>5</v>
      </c>
      <c r="AM140" s="3">
        <v>5</v>
      </c>
      <c r="AN140" s="3">
        <v>2</v>
      </c>
      <c r="AO140" s="3">
        <v>2</v>
      </c>
      <c r="AP140" s="3">
        <v>0</v>
      </c>
      <c r="AQ140" s="3">
        <v>0</v>
      </c>
      <c r="AR140" s="2" t="s">
        <v>63</v>
      </c>
      <c r="AS140" s="2" t="s">
        <v>84</v>
      </c>
      <c r="AT140" s="5" t="str">
        <f>HYPERLINK("http://catalog.hathitrust.org/Record/000764835","HathiTrust Record")</f>
        <v>HathiTrust Record</v>
      </c>
      <c r="AU140" s="5" t="str">
        <f>HYPERLINK("https://creighton-primo.hosted.exlibrisgroup.com/primo-explore/search?tab=default_tab&amp;search_scope=EVERYTHING&amp;vid=01CRU&amp;lang=en_US&amp;offset=0&amp;query=any,contains,991001784779702656","Catalog Record")</f>
        <v>Catalog Record</v>
      </c>
      <c r="AV140" s="5" t="str">
        <f>HYPERLINK("http://www.worldcat.org/oclc/7795126","WorldCat Record")</f>
        <v>WorldCat Record</v>
      </c>
      <c r="AW140" s="2" t="s">
        <v>1949</v>
      </c>
      <c r="AX140" s="2" t="s">
        <v>1950</v>
      </c>
      <c r="AY140" s="2" t="s">
        <v>1951</v>
      </c>
      <c r="AZ140" s="2" t="s">
        <v>1951</v>
      </c>
      <c r="BA140" s="2" t="s">
        <v>1952</v>
      </c>
      <c r="BB140" s="2" t="s">
        <v>78</v>
      </c>
      <c r="BD140" s="2" t="s">
        <v>1953</v>
      </c>
      <c r="BE140" s="2" t="s">
        <v>1954</v>
      </c>
      <c r="BF140" s="2" t="s">
        <v>1955</v>
      </c>
    </row>
    <row r="141" spans="1:58" ht="79.5" customHeight="1">
      <c r="A141" s="1"/>
      <c r="B141" s="1" t="s">
        <v>58</v>
      </c>
      <c r="C141" s="1" t="s">
        <v>59</v>
      </c>
      <c r="D141" s="1" t="s">
        <v>1956</v>
      </c>
      <c r="E141" s="1" t="s">
        <v>1957</v>
      </c>
      <c r="F141" s="1" t="s">
        <v>1958</v>
      </c>
      <c r="H141" s="2" t="s">
        <v>63</v>
      </c>
      <c r="I141" s="2" t="s">
        <v>64</v>
      </c>
      <c r="J141" s="2" t="s">
        <v>84</v>
      </c>
      <c r="K141" s="2" t="s">
        <v>63</v>
      </c>
      <c r="L141" s="2" t="s">
        <v>65</v>
      </c>
      <c r="M141" s="1" t="s">
        <v>1959</v>
      </c>
      <c r="N141" s="1" t="s">
        <v>1960</v>
      </c>
      <c r="O141" s="2" t="s">
        <v>1033</v>
      </c>
      <c r="Q141" s="2" t="s">
        <v>69</v>
      </c>
      <c r="R141" s="2" t="s">
        <v>70</v>
      </c>
      <c r="T141" s="2" t="s">
        <v>71</v>
      </c>
      <c r="U141" s="3">
        <v>0</v>
      </c>
      <c r="V141" s="3">
        <v>9</v>
      </c>
      <c r="X141" s="4" t="s">
        <v>1961</v>
      </c>
      <c r="Y141" s="4" t="s">
        <v>1962</v>
      </c>
      <c r="Z141" s="4" t="s">
        <v>1963</v>
      </c>
      <c r="AA141" s="3">
        <v>541</v>
      </c>
      <c r="AB141" s="3">
        <v>471</v>
      </c>
      <c r="AC141" s="3">
        <v>473</v>
      </c>
      <c r="AD141" s="3">
        <v>4</v>
      </c>
      <c r="AE141" s="3">
        <v>4</v>
      </c>
      <c r="AF141" s="3">
        <v>16</v>
      </c>
      <c r="AG141" s="3">
        <v>16</v>
      </c>
      <c r="AH141" s="3">
        <v>5</v>
      </c>
      <c r="AI141" s="3">
        <v>5</v>
      </c>
      <c r="AJ141" s="3">
        <v>4</v>
      </c>
      <c r="AK141" s="3">
        <v>4</v>
      </c>
      <c r="AL141" s="3">
        <v>10</v>
      </c>
      <c r="AM141" s="3">
        <v>10</v>
      </c>
      <c r="AN141" s="3">
        <v>1</v>
      </c>
      <c r="AO141" s="3">
        <v>1</v>
      </c>
      <c r="AP141" s="3">
        <v>0</v>
      </c>
      <c r="AQ141" s="3">
        <v>0</v>
      </c>
      <c r="AR141" s="2" t="s">
        <v>63</v>
      </c>
      <c r="AS141" s="2" t="s">
        <v>84</v>
      </c>
      <c r="AT141" s="5" t="str">
        <f>HYPERLINK("http://catalog.hathitrust.org/Record/000138766","HathiTrust Record")</f>
        <v>HathiTrust Record</v>
      </c>
      <c r="AU141" s="5" t="str">
        <f>HYPERLINK("https://creighton-primo.hosted.exlibrisgroup.com/primo-explore/search?tab=default_tab&amp;search_scope=EVERYTHING&amp;vid=01CRU&amp;lang=en_US&amp;offset=0&amp;query=any,contains,991001785009702656","Catalog Record")</f>
        <v>Catalog Record</v>
      </c>
      <c r="AV141" s="5" t="str">
        <f>HYPERLINK("http://www.worldcat.org/oclc/3631390","WorldCat Record")</f>
        <v>WorldCat Record</v>
      </c>
      <c r="AW141" s="2" t="s">
        <v>1964</v>
      </c>
      <c r="AX141" s="2" t="s">
        <v>1965</v>
      </c>
      <c r="AY141" s="2" t="s">
        <v>1966</v>
      </c>
      <c r="AZ141" s="2" t="s">
        <v>1966</v>
      </c>
      <c r="BA141" s="2" t="s">
        <v>1967</v>
      </c>
      <c r="BB141" s="2" t="s">
        <v>78</v>
      </c>
      <c r="BD141" s="2" t="s">
        <v>1968</v>
      </c>
      <c r="BE141" s="2" t="s">
        <v>1969</v>
      </c>
      <c r="BF141" s="2" t="s">
        <v>1970</v>
      </c>
    </row>
    <row r="142" spans="1:58" ht="79.5" customHeight="1">
      <c r="A142" s="1"/>
      <c r="B142" s="1" t="s">
        <v>58</v>
      </c>
      <c r="C142" s="1" t="s">
        <v>59</v>
      </c>
      <c r="D142" s="1" t="s">
        <v>1971</v>
      </c>
      <c r="E142" s="1" t="s">
        <v>1972</v>
      </c>
      <c r="F142" s="1" t="s">
        <v>1973</v>
      </c>
      <c r="H142" s="2" t="s">
        <v>63</v>
      </c>
      <c r="I142" s="2" t="s">
        <v>64</v>
      </c>
      <c r="J142" s="2" t="s">
        <v>84</v>
      </c>
      <c r="K142" s="2" t="s">
        <v>63</v>
      </c>
      <c r="L142" s="2" t="s">
        <v>65</v>
      </c>
      <c r="M142" s="1" t="s">
        <v>1974</v>
      </c>
      <c r="N142" s="1" t="s">
        <v>1975</v>
      </c>
      <c r="O142" s="2" t="s">
        <v>1168</v>
      </c>
      <c r="P142" s="1" t="s">
        <v>175</v>
      </c>
      <c r="Q142" s="2" t="s">
        <v>69</v>
      </c>
      <c r="R142" s="2" t="s">
        <v>191</v>
      </c>
      <c r="T142" s="2" t="s">
        <v>71</v>
      </c>
      <c r="U142" s="3">
        <v>5</v>
      </c>
      <c r="V142" s="3">
        <v>18</v>
      </c>
      <c r="W142" s="4" t="s">
        <v>1976</v>
      </c>
      <c r="X142" s="4" t="s">
        <v>1976</v>
      </c>
      <c r="Y142" s="4" t="s">
        <v>1977</v>
      </c>
      <c r="Z142" s="4" t="s">
        <v>1978</v>
      </c>
      <c r="AA142" s="3">
        <v>286</v>
      </c>
      <c r="AB142" s="3">
        <v>218</v>
      </c>
      <c r="AC142" s="3">
        <v>851</v>
      </c>
      <c r="AD142" s="3">
        <v>5</v>
      </c>
      <c r="AE142" s="3">
        <v>9</v>
      </c>
      <c r="AF142" s="3">
        <v>8</v>
      </c>
      <c r="AG142" s="3">
        <v>31</v>
      </c>
      <c r="AH142" s="3">
        <v>0</v>
      </c>
      <c r="AI142" s="3">
        <v>9</v>
      </c>
      <c r="AJ142" s="3">
        <v>1</v>
      </c>
      <c r="AK142" s="3">
        <v>7</v>
      </c>
      <c r="AL142" s="3">
        <v>6</v>
      </c>
      <c r="AM142" s="3">
        <v>17</v>
      </c>
      <c r="AN142" s="3">
        <v>2</v>
      </c>
      <c r="AO142" s="3">
        <v>5</v>
      </c>
      <c r="AP142" s="3">
        <v>0</v>
      </c>
      <c r="AQ142" s="3">
        <v>0</v>
      </c>
      <c r="AR142" s="2" t="s">
        <v>63</v>
      </c>
      <c r="AS142" s="2" t="s">
        <v>84</v>
      </c>
      <c r="AT142" s="5" t="str">
        <f>HYPERLINK("http://catalog.hathitrust.org/Record/102214541","HathiTrust Record")</f>
        <v>HathiTrust Record</v>
      </c>
      <c r="AU142" s="5" t="str">
        <f>HYPERLINK("https://creighton-primo.hosted.exlibrisgroup.com/primo-explore/search?tab=default_tab&amp;search_scope=EVERYTHING&amp;vid=01CRU&amp;lang=en_US&amp;offset=0&amp;query=any,contains,991001772939702656","Catalog Record")</f>
        <v>Catalog Record</v>
      </c>
      <c r="AV142" s="5" t="str">
        <f>HYPERLINK("http://www.worldcat.org/oclc/5676006","WorldCat Record")</f>
        <v>WorldCat Record</v>
      </c>
      <c r="AW142" s="2" t="s">
        <v>1979</v>
      </c>
      <c r="AX142" s="2" t="s">
        <v>1980</v>
      </c>
      <c r="AY142" s="2" t="s">
        <v>1981</v>
      </c>
      <c r="AZ142" s="2" t="s">
        <v>1981</v>
      </c>
      <c r="BA142" s="2" t="s">
        <v>1982</v>
      </c>
      <c r="BB142" s="2" t="s">
        <v>78</v>
      </c>
      <c r="BD142" s="2" t="s">
        <v>1983</v>
      </c>
      <c r="BE142" s="2" t="s">
        <v>1984</v>
      </c>
      <c r="BF142" s="2" t="s">
        <v>1985</v>
      </c>
    </row>
    <row r="143" spans="1:58" ht="79.5" customHeight="1">
      <c r="A143" s="1"/>
      <c r="B143" s="1" t="s">
        <v>58</v>
      </c>
      <c r="C143" s="1" t="s">
        <v>59</v>
      </c>
      <c r="D143" s="1" t="s">
        <v>1986</v>
      </c>
      <c r="E143" s="1" t="s">
        <v>1987</v>
      </c>
      <c r="F143" s="1" t="s">
        <v>1988</v>
      </c>
      <c r="H143" s="2" t="s">
        <v>63</v>
      </c>
      <c r="I143" s="2" t="s">
        <v>64</v>
      </c>
      <c r="J143" s="2" t="s">
        <v>84</v>
      </c>
      <c r="K143" s="2" t="s">
        <v>63</v>
      </c>
      <c r="L143" s="2" t="s">
        <v>65</v>
      </c>
      <c r="N143" s="1" t="s">
        <v>1989</v>
      </c>
      <c r="O143" s="2" t="s">
        <v>263</v>
      </c>
      <c r="Q143" s="2" t="s">
        <v>69</v>
      </c>
      <c r="R143" s="2" t="s">
        <v>70</v>
      </c>
      <c r="T143" s="2" t="s">
        <v>71</v>
      </c>
      <c r="U143" s="3">
        <v>5</v>
      </c>
      <c r="V143" s="3">
        <v>21</v>
      </c>
      <c r="W143" s="4" t="s">
        <v>1183</v>
      </c>
      <c r="X143" s="4" t="s">
        <v>1990</v>
      </c>
      <c r="Y143" s="4" t="s">
        <v>90</v>
      </c>
      <c r="Z143" s="4" t="s">
        <v>1991</v>
      </c>
      <c r="AA143" s="3">
        <v>922</v>
      </c>
      <c r="AB143" s="3">
        <v>829</v>
      </c>
      <c r="AC143" s="3">
        <v>835</v>
      </c>
      <c r="AD143" s="3">
        <v>10</v>
      </c>
      <c r="AE143" s="3">
        <v>10</v>
      </c>
      <c r="AF143" s="3">
        <v>35</v>
      </c>
      <c r="AG143" s="3">
        <v>35</v>
      </c>
      <c r="AH143" s="3">
        <v>13</v>
      </c>
      <c r="AI143" s="3">
        <v>13</v>
      </c>
      <c r="AJ143" s="3">
        <v>8</v>
      </c>
      <c r="AK143" s="3">
        <v>8</v>
      </c>
      <c r="AL143" s="3">
        <v>17</v>
      </c>
      <c r="AM143" s="3">
        <v>17</v>
      </c>
      <c r="AN143" s="3">
        <v>7</v>
      </c>
      <c r="AO143" s="3">
        <v>7</v>
      </c>
      <c r="AP143" s="3">
        <v>0</v>
      </c>
      <c r="AQ143" s="3">
        <v>0</v>
      </c>
      <c r="AR143" s="2" t="s">
        <v>63</v>
      </c>
      <c r="AS143" s="2" t="s">
        <v>84</v>
      </c>
      <c r="AT143" s="5" t="str">
        <f>HYPERLINK("http://catalog.hathitrust.org/Record/000435143","HathiTrust Record")</f>
        <v>HathiTrust Record</v>
      </c>
      <c r="AU143" s="5" t="str">
        <f>HYPERLINK("https://creighton-primo.hosted.exlibrisgroup.com/primo-explore/search?tab=default_tab&amp;search_scope=EVERYTHING&amp;vid=01CRU&amp;lang=en_US&amp;offset=0&amp;query=any,contains,991001762699702656","Catalog Record")</f>
        <v>Catalog Record</v>
      </c>
      <c r="AV143" s="5" t="str">
        <f>HYPERLINK("http://www.worldcat.org/oclc/13064677","WorldCat Record")</f>
        <v>WorldCat Record</v>
      </c>
      <c r="AW143" s="2" t="s">
        <v>1992</v>
      </c>
      <c r="AX143" s="2" t="s">
        <v>1993</v>
      </c>
      <c r="AY143" s="2" t="s">
        <v>1994</v>
      </c>
      <c r="AZ143" s="2" t="s">
        <v>1994</v>
      </c>
      <c r="BA143" s="2" t="s">
        <v>1995</v>
      </c>
      <c r="BB143" s="2" t="s">
        <v>78</v>
      </c>
      <c r="BD143" s="2" t="s">
        <v>1996</v>
      </c>
      <c r="BE143" s="2" t="s">
        <v>1997</v>
      </c>
      <c r="BF143" s="2" t="s">
        <v>1998</v>
      </c>
    </row>
    <row r="144" spans="1:58" ht="79.5" customHeight="1">
      <c r="A144" s="1"/>
      <c r="B144" s="1" t="s">
        <v>58</v>
      </c>
      <c r="C144" s="1" t="s">
        <v>59</v>
      </c>
      <c r="D144" s="1" t="s">
        <v>1999</v>
      </c>
      <c r="E144" s="1" t="s">
        <v>2000</v>
      </c>
      <c r="F144" s="1" t="s">
        <v>2001</v>
      </c>
      <c r="H144" s="2" t="s">
        <v>63</v>
      </c>
      <c r="I144" s="2" t="s">
        <v>64</v>
      </c>
      <c r="J144" s="2" t="s">
        <v>84</v>
      </c>
      <c r="K144" s="2" t="s">
        <v>63</v>
      </c>
      <c r="L144" s="2" t="s">
        <v>65</v>
      </c>
      <c r="N144" s="1" t="s">
        <v>2002</v>
      </c>
      <c r="O144" s="2" t="s">
        <v>598</v>
      </c>
      <c r="P144" s="1" t="s">
        <v>159</v>
      </c>
      <c r="Q144" s="2" t="s">
        <v>69</v>
      </c>
      <c r="R144" s="2" t="s">
        <v>351</v>
      </c>
      <c r="S144" s="1" t="s">
        <v>2003</v>
      </c>
      <c r="T144" s="2" t="s">
        <v>71</v>
      </c>
      <c r="U144" s="3">
        <v>8</v>
      </c>
      <c r="V144" s="3">
        <v>109</v>
      </c>
      <c r="W144" s="4" t="s">
        <v>2004</v>
      </c>
      <c r="X144" s="4" t="s">
        <v>2005</v>
      </c>
      <c r="Y144" s="4" t="s">
        <v>2006</v>
      </c>
      <c r="Z144" s="4" t="s">
        <v>2006</v>
      </c>
      <c r="AA144" s="3">
        <v>665</v>
      </c>
      <c r="AB144" s="3">
        <v>494</v>
      </c>
      <c r="AC144" s="3">
        <v>540</v>
      </c>
      <c r="AD144" s="3">
        <v>4</v>
      </c>
      <c r="AE144" s="3">
        <v>5</v>
      </c>
      <c r="AF144" s="3">
        <v>23</v>
      </c>
      <c r="AG144" s="3">
        <v>26</v>
      </c>
      <c r="AH144" s="3">
        <v>9</v>
      </c>
      <c r="AI144" s="3">
        <v>10</v>
      </c>
      <c r="AJ144" s="3">
        <v>7</v>
      </c>
      <c r="AK144" s="3">
        <v>8</v>
      </c>
      <c r="AL144" s="3">
        <v>14</v>
      </c>
      <c r="AM144" s="3">
        <v>14</v>
      </c>
      <c r="AN144" s="3">
        <v>2</v>
      </c>
      <c r="AO144" s="3">
        <v>3</v>
      </c>
      <c r="AP144" s="3">
        <v>0</v>
      </c>
      <c r="AQ144" s="3">
        <v>0</v>
      </c>
      <c r="AR144" s="2" t="s">
        <v>63</v>
      </c>
      <c r="AS144" s="2" t="s">
        <v>84</v>
      </c>
      <c r="AT144" s="5" t="str">
        <f>HYPERLINK("http://catalog.hathitrust.org/Record/001837734","HathiTrust Record")</f>
        <v>HathiTrust Record</v>
      </c>
      <c r="AU144" s="5" t="str">
        <f>HYPERLINK("https://creighton-primo.hosted.exlibrisgroup.com/primo-explore/search?tab=default_tab&amp;search_scope=EVERYTHING&amp;vid=01CRU&amp;lang=en_US&amp;offset=0&amp;query=any,contains,991001796519702656","Catalog Record")</f>
        <v>Catalog Record</v>
      </c>
      <c r="AV144" s="5" t="str">
        <f>HYPERLINK("http://www.worldcat.org/oclc/19921974","WorldCat Record")</f>
        <v>WorldCat Record</v>
      </c>
      <c r="AW144" s="2" t="s">
        <v>2007</v>
      </c>
      <c r="AX144" s="2" t="s">
        <v>2008</v>
      </c>
      <c r="AY144" s="2" t="s">
        <v>2009</v>
      </c>
      <c r="AZ144" s="2" t="s">
        <v>2009</v>
      </c>
      <c r="BA144" s="2" t="s">
        <v>2010</v>
      </c>
      <c r="BB144" s="2" t="s">
        <v>78</v>
      </c>
      <c r="BD144" s="2" t="s">
        <v>2011</v>
      </c>
      <c r="BE144" s="2" t="s">
        <v>2012</v>
      </c>
      <c r="BF144" s="2" t="s">
        <v>2013</v>
      </c>
    </row>
    <row r="145" spans="1:58" ht="79.5" customHeight="1">
      <c r="A145" s="1"/>
      <c r="B145" s="1" t="s">
        <v>58</v>
      </c>
      <c r="C145" s="1" t="s">
        <v>59</v>
      </c>
      <c r="D145" s="1" t="s">
        <v>2014</v>
      </c>
      <c r="E145" s="1" t="s">
        <v>2015</v>
      </c>
      <c r="F145" s="1" t="s">
        <v>2016</v>
      </c>
      <c r="H145" s="2" t="s">
        <v>63</v>
      </c>
      <c r="I145" s="2" t="s">
        <v>64</v>
      </c>
      <c r="J145" s="2" t="s">
        <v>84</v>
      </c>
      <c r="K145" s="2" t="s">
        <v>63</v>
      </c>
      <c r="L145" s="2" t="s">
        <v>65</v>
      </c>
      <c r="M145" s="1" t="s">
        <v>2017</v>
      </c>
      <c r="N145" s="1" t="s">
        <v>2018</v>
      </c>
      <c r="O145" s="2" t="s">
        <v>1338</v>
      </c>
      <c r="Q145" s="2" t="s">
        <v>69</v>
      </c>
      <c r="R145" s="2" t="s">
        <v>70</v>
      </c>
      <c r="S145" s="1" t="s">
        <v>2019</v>
      </c>
      <c r="T145" s="2" t="s">
        <v>71</v>
      </c>
      <c r="U145" s="3">
        <v>8</v>
      </c>
      <c r="V145" s="3">
        <v>11</v>
      </c>
      <c r="W145" s="4" t="s">
        <v>2020</v>
      </c>
      <c r="X145" s="4" t="s">
        <v>2021</v>
      </c>
      <c r="Y145" s="4" t="s">
        <v>1977</v>
      </c>
      <c r="Z145" s="4" t="s">
        <v>2022</v>
      </c>
      <c r="AA145" s="3">
        <v>779</v>
      </c>
      <c r="AB145" s="3">
        <v>675</v>
      </c>
      <c r="AC145" s="3">
        <v>682</v>
      </c>
      <c r="AD145" s="3">
        <v>6</v>
      </c>
      <c r="AE145" s="3">
        <v>6</v>
      </c>
      <c r="AF145" s="3">
        <v>28</v>
      </c>
      <c r="AG145" s="3">
        <v>28</v>
      </c>
      <c r="AH145" s="3">
        <v>15</v>
      </c>
      <c r="AI145" s="3">
        <v>15</v>
      </c>
      <c r="AJ145" s="3">
        <v>5</v>
      </c>
      <c r="AK145" s="3">
        <v>5</v>
      </c>
      <c r="AL145" s="3">
        <v>12</v>
      </c>
      <c r="AM145" s="3">
        <v>12</v>
      </c>
      <c r="AN145" s="3">
        <v>4</v>
      </c>
      <c r="AO145" s="3">
        <v>4</v>
      </c>
      <c r="AP145" s="3">
        <v>0</v>
      </c>
      <c r="AQ145" s="3">
        <v>0</v>
      </c>
      <c r="AR145" s="2" t="s">
        <v>63</v>
      </c>
      <c r="AS145" s="2" t="s">
        <v>84</v>
      </c>
      <c r="AT145" s="5" t="str">
        <f>HYPERLINK("http://catalog.hathitrust.org/Record/000127129","HathiTrust Record")</f>
        <v>HathiTrust Record</v>
      </c>
      <c r="AU145" s="5" t="str">
        <f>HYPERLINK("https://creighton-primo.hosted.exlibrisgroup.com/primo-explore/search?tab=default_tab&amp;search_scope=EVERYTHING&amp;vid=01CRU&amp;lang=en_US&amp;offset=0&amp;query=any,contains,991001782679702656","Catalog Record")</f>
        <v>Catalog Record</v>
      </c>
      <c r="AV145" s="5" t="str">
        <f>HYPERLINK("http://www.worldcat.org/oclc/4493613","WorldCat Record")</f>
        <v>WorldCat Record</v>
      </c>
      <c r="AW145" s="2" t="s">
        <v>2023</v>
      </c>
      <c r="AX145" s="2" t="s">
        <v>2024</v>
      </c>
      <c r="AY145" s="2" t="s">
        <v>2025</v>
      </c>
      <c r="AZ145" s="2" t="s">
        <v>2025</v>
      </c>
      <c r="BA145" s="2" t="s">
        <v>2026</v>
      </c>
      <c r="BB145" s="2" t="s">
        <v>78</v>
      </c>
      <c r="BD145" s="2" t="s">
        <v>2027</v>
      </c>
      <c r="BE145" s="2" t="s">
        <v>2028</v>
      </c>
      <c r="BF145" s="2" t="s">
        <v>2029</v>
      </c>
    </row>
    <row r="146" spans="1:58" ht="79.5" customHeight="1">
      <c r="A146" s="1"/>
      <c r="B146" s="1" t="s">
        <v>58</v>
      </c>
      <c r="C146" s="1" t="s">
        <v>59</v>
      </c>
      <c r="D146" s="1" t="s">
        <v>2030</v>
      </c>
      <c r="E146" s="1" t="s">
        <v>2031</v>
      </c>
      <c r="F146" s="1" t="s">
        <v>2032</v>
      </c>
      <c r="H146" s="2" t="s">
        <v>63</v>
      </c>
      <c r="I146" s="2" t="s">
        <v>64</v>
      </c>
      <c r="J146" s="2" t="s">
        <v>84</v>
      </c>
      <c r="K146" s="2" t="s">
        <v>63</v>
      </c>
      <c r="L146" s="2" t="s">
        <v>65</v>
      </c>
      <c r="M146" s="1" t="s">
        <v>2033</v>
      </c>
      <c r="N146" s="1" t="s">
        <v>2034</v>
      </c>
      <c r="O146" s="2" t="s">
        <v>573</v>
      </c>
      <c r="Q146" s="2" t="s">
        <v>69</v>
      </c>
      <c r="R146" s="2" t="s">
        <v>70</v>
      </c>
      <c r="S146" s="1" t="s">
        <v>2035</v>
      </c>
      <c r="T146" s="2" t="s">
        <v>71</v>
      </c>
      <c r="U146" s="3">
        <v>0</v>
      </c>
      <c r="V146" s="3">
        <v>2</v>
      </c>
      <c r="X146" s="4" t="s">
        <v>2036</v>
      </c>
      <c r="Y146" s="4" t="s">
        <v>2037</v>
      </c>
      <c r="Z146" s="4" t="s">
        <v>2038</v>
      </c>
      <c r="AA146" s="3">
        <v>573</v>
      </c>
      <c r="AB146" s="3">
        <v>492</v>
      </c>
      <c r="AC146" s="3">
        <v>500</v>
      </c>
      <c r="AD146" s="3">
        <v>6</v>
      </c>
      <c r="AE146" s="3">
        <v>6</v>
      </c>
      <c r="AF146" s="3">
        <v>22</v>
      </c>
      <c r="AG146" s="3">
        <v>22</v>
      </c>
      <c r="AH146" s="3">
        <v>12</v>
      </c>
      <c r="AI146" s="3">
        <v>12</v>
      </c>
      <c r="AJ146" s="3">
        <v>2</v>
      </c>
      <c r="AK146" s="3">
        <v>2</v>
      </c>
      <c r="AL146" s="3">
        <v>11</v>
      </c>
      <c r="AM146" s="3">
        <v>11</v>
      </c>
      <c r="AN146" s="3">
        <v>4</v>
      </c>
      <c r="AO146" s="3">
        <v>4</v>
      </c>
      <c r="AP146" s="3">
        <v>0</v>
      </c>
      <c r="AQ146" s="3">
        <v>0</v>
      </c>
      <c r="AR146" s="2" t="s">
        <v>63</v>
      </c>
      <c r="AS146" s="2" t="s">
        <v>84</v>
      </c>
      <c r="AT146" s="5" t="str">
        <f>HYPERLINK("http://catalog.hathitrust.org/Record/000293697","HathiTrust Record")</f>
        <v>HathiTrust Record</v>
      </c>
      <c r="AU146" s="5" t="str">
        <f>HYPERLINK("https://creighton-primo.hosted.exlibrisgroup.com/primo-explore/search?tab=default_tab&amp;search_scope=EVERYTHING&amp;vid=01CRU&amp;lang=en_US&amp;offset=0&amp;query=any,contains,991001772249702656","Catalog Record")</f>
        <v>Catalog Record</v>
      </c>
      <c r="AV146" s="5" t="str">
        <f>HYPERLINK("http://www.worldcat.org/oclc/3168772","WorldCat Record")</f>
        <v>WorldCat Record</v>
      </c>
      <c r="AW146" s="2" t="s">
        <v>2039</v>
      </c>
      <c r="AX146" s="2" t="s">
        <v>2040</v>
      </c>
      <c r="AY146" s="2" t="s">
        <v>2041</v>
      </c>
      <c r="AZ146" s="2" t="s">
        <v>2041</v>
      </c>
      <c r="BA146" s="2" t="s">
        <v>2042</v>
      </c>
      <c r="BB146" s="2" t="s">
        <v>78</v>
      </c>
      <c r="BD146" s="2" t="s">
        <v>2043</v>
      </c>
      <c r="BE146" s="2" t="s">
        <v>2044</v>
      </c>
      <c r="BF146" s="2" t="s">
        <v>2045</v>
      </c>
    </row>
    <row r="147" spans="1:58" ht="79.5" customHeight="1">
      <c r="A147" s="1"/>
      <c r="B147" s="1" t="s">
        <v>58</v>
      </c>
      <c r="C147" s="1" t="s">
        <v>59</v>
      </c>
      <c r="D147" s="1" t="s">
        <v>2046</v>
      </c>
      <c r="E147" s="1" t="s">
        <v>2047</v>
      </c>
      <c r="F147" s="1" t="s">
        <v>2048</v>
      </c>
      <c r="H147" s="2" t="s">
        <v>63</v>
      </c>
      <c r="I147" s="2" t="s">
        <v>64</v>
      </c>
      <c r="J147" s="2" t="s">
        <v>84</v>
      </c>
      <c r="K147" s="2" t="s">
        <v>63</v>
      </c>
      <c r="L147" s="2" t="s">
        <v>65</v>
      </c>
      <c r="M147" s="1" t="s">
        <v>2049</v>
      </c>
      <c r="N147" s="1" t="s">
        <v>2050</v>
      </c>
      <c r="O147" s="2" t="s">
        <v>87</v>
      </c>
      <c r="Q147" s="2" t="s">
        <v>69</v>
      </c>
      <c r="R147" s="2" t="s">
        <v>1366</v>
      </c>
      <c r="S147" s="1" t="s">
        <v>2051</v>
      </c>
      <c r="T147" s="2" t="s">
        <v>71</v>
      </c>
      <c r="U147" s="3">
        <v>6</v>
      </c>
      <c r="V147" s="3">
        <v>24</v>
      </c>
      <c r="W147" s="4" t="s">
        <v>1904</v>
      </c>
      <c r="X147" s="4" t="s">
        <v>2052</v>
      </c>
      <c r="Y147" s="4" t="s">
        <v>1539</v>
      </c>
      <c r="Z147" s="4" t="s">
        <v>2053</v>
      </c>
      <c r="AA147" s="3">
        <v>324</v>
      </c>
      <c r="AB147" s="3">
        <v>268</v>
      </c>
      <c r="AC147" s="3">
        <v>348</v>
      </c>
      <c r="AD147" s="3">
        <v>4</v>
      </c>
      <c r="AE147" s="3">
        <v>4</v>
      </c>
      <c r="AF147" s="3">
        <v>15</v>
      </c>
      <c r="AG147" s="3">
        <v>19</v>
      </c>
      <c r="AH147" s="3">
        <v>3</v>
      </c>
      <c r="AI147" s="3">
        <v>4</v>
      </c>
      <c r="AJ147" s="3">
        <v>5</v>
      </c>
      <c r="AK147" s="3">
        <v>7</v>
      </c>
      <c r="AL147" s="3">
        <v>9</v>
      </c>
      <c r="AM147" s="3">
        <v>10</v>
      </c>
      <c r="AN147" s="3">
        <v>2</v>
      </c>
      <c r="AO147" s="3">
        <v>2</v>
      </c>
      <c r="AP147" s="3">
        <v>0</v>
      </c>
      <c r="AQ147" s="3">
        <v>0</v>
      </c>
      <c r="AR147" s="2" t="s">
        <v>63</v>
      </c>
      <c r="AS147" s="2" t="s">
        <v>84</v>
      </c>
      <c r="AT147" s="5" t="str">
        <f>HYPERLINK("http://catalog.hathitrust.org/Record/000283660","HathiTrust Record")</f>
        <v>HathiTrust Record</v>
      </c>
      <c r="AU147" s="5" t="str">
        <f>HYPERLINK("https://creighton-primo.hosted.exlibrisgroup.com/primo-explore/search?tab=default_tab&amp;search_scope=EVERYTHING&amp;vid=01CRU&amp;lang=en_US&amp;offset=0&amp;query=any,contains,991001761999702656","Catalog Record")</f>
        <v>Catalog Record</v>
      </c>
      <c r="AV147" s="5" t="str">
        <f>HYPERLINK("http://www.worldcat.org/oclc/11533744","WorldCat Record")</f>
        <v>WorldCat Record</v>
      </c>
      <c r="AW147" s="2" t="s">
        <v>2054</v>
      </c>
      <c r="AX147" s="2" t="s">
        <v>2055</v>
      </c>
      <c r="AY147" s="2" t="s">
        <v>2056</v>
      </c>
      <c r="AZ147" s="2" t="s">
        <v>2056</v>
      </c>
      <c r="BA147" s="2" t="s">
        <v>2057</v>
      </c>
      <c r="BB147" s="2" t="s">
        <v>78</v>
      </c>
      <c r="BD147" s="2" t="s">
        <v>2058</v>
      </c>
      <c r="BE147" s="2" t="s">
        <v>2059</v>
      </c>
      <c r="BF147" s="2" t="s">
        <v>2060</v>
      </c>
    </row>
    <row r="148" spans="1:58" ht="79.5" customHeight="1">
      <c r="A148" s="1"/>
      <c r="B148" s="1" t="s">
        <v>58</v>
      </c>
      <c r="C148" s="1" t="s">
        <v>59</v>
      </c>
      <c r="D148" s="1" t="s">
        <v>2061</v>
      </c>
      <c r="E148" s="1" t="s">
        <v>2062</v>
      </c>
      <c r="F148" s="1" t="s">
        <v>2063</v>
      </c>
      <c r="H148" s="2" t="s">
        <v>63</v>
      </c>
      <c r="I148" s="2" t="s">
        <v>64</v>
      </c>
      <c r="J148" s="2" t="s">
        <v>84</v>
      </c>
      <c r="K148" s="2" t="s">
        <v>63</v>
      </c>
      <c r="L148" s="2" t="s">
        <v>65</v>
      </c>
      <c r="M148" s="1" t="s">
        <v>2064</v>
      </c>
      <c r="N148" s="1" t="s">
        <v>2065</v>
      </c>
      <c r="O148" s="2" t="s">
        <v>1760</v>
      </c>
      <c r="P148" s="1" t="s">
        <v>830</v>
      </c>
      <c r="Q148" s="2" t="s">
        <v>69</v>
      </c>
      <c r="R148" s="2" t="s">
        <v>351</v>
      </c>
      <c r="S148" s="1" t="s">
        <v>2066</v>
      </c>
      <c r="T148" s="2" t="s">
        <v>71</v>
      </c>
      <c r="U148" s="3">
        <v>15</v>
      </c>
      <c r="V148" s="3">
        <v>28</v>
      </c>
      <c r="W148" s="4" t="s">
        <v>2067</v>
      </c>
      <c r="X148" s="4" t="s">
        <v>2068</v>
      </c>
      <c r="Y148" s="4" t="s">
        <v>73</v>
      </c>
      <c r="Z148" s="4" t="s">
        <v>2038</v>
      </c>
      <c r="AA148" s="3">
        <v>1096</v>
      </c>
      <c r="AB148" s="3">
        <v>942</v>
      </c>
      <c r="AC148" s="3">
        <v>957</v>
      </c>
      <c r="AD148" s="3">
        <v>9</v>
      </c>
      <c r="AE148" s="3">
        <v>9</v>
      </c>
      <c r="AF148" s="3">
        <v>42</v>
      </c>
      <c r="AG148" s="3">
        <v>43</v>
      </c>
      <c r="AH148" s="3">
        <v>18</v>
      </c>
      <c r="AI148" s="3">
        <v>18</v>
      </c>
      <c r="AJ148" s="3">
        <v>6</v>
      </c>
      <c r="AK148" s="3">
        <v>7</v>
      </c>
      <c r="AL148" s="3">
        <v>18</v>
      </c>
      <c r="AM148" s="3">
        <v>18</v>
      </c>
      <c r="AN148" s="3">
        <v>7</v>
      </c>
      <c r="AO148" s="3">
        <v>7</v>
      </c>
      <c r="AP148" s="3">
        <v>0</v>
      </c>
      <c r="AQ148" s="3">
        <v>0</v>
      </c>
      <c r="AR148" s="2" t="s">
        <v>63</v>
      </c>
      <c r="AS148" s="2" t="s">
        <v>84</v>
      </c>
      <c r="AT148" s="5" t="str">
        <f>HYPERLINK("http://catalog.hathitrust.org/Record/000472670","HathiTrust Record")</f>
        <v>HathiTrust Record</v>
      </c>
      <c r="AU148" s="5" t="str">
        <f>HYPERLINK("https://creighton-primo.hosted.exlibrisgroup.com/primo-explore/search?tab=default_tab&amp;search_scope=EVERYTHING&amp;vid=01CRU&amp;lang=en_US&amp;offset=0&amp;query=any,contains,991001762659702656","Catalog Record")</f>
        <v>Catalog Record</v>
      </c>
      <c r="AV148" s="5" t="str">
        <f>HYPERLINK("http://www.worldcat.org/oclc/223048","WorldCat Record")</f>
        <v>WorldCat Record</v>
      </c>
      <c r="AW148" s="2" t="s">
        <v>2069</v>
      </c>
      <c r="AX148" s="2" t="s">
        <v>2070</v>
      </c>
      <c r="AY148" s="2" t="s">
        <v>2071</v>
      </c>
      <c r="AZ148" s="2" t="s">
        <v>2071</v>
      </c>
      <c r="BA148" s="2" t="s">
        <v>2072</v>
      </c>
      <c r="BB148" s="2" t="s">
        <v>78</v>
      </c>
      <c r="BE148" s="2" t="s">
        <v>2073</v>
      </c>
      <c r="BF148" s="2" t="s">
        <v>2074</v>
      </c>
    </row>
    <row r="149" spans="1:58" ht="79.5" customHeight="1">
      <c r="A149" s="1"/>
      <c r="B149" s="1" t="s">
        <v>58</v>
      </c>
      <c r="C149" s="1" t="s">
        <v>59</v>
      </c>
      <c r="D149" s="1" t="s">
        <v>2075</v>
      </c>
      <c r="E149" s="1" t="s">
        <v>2076</v>
      </c>
      <c r="F149" s="1" t="s">
        <v>2077</v>
      </c>
      <c r="H149" s="2" t="s">
        <v>63</v>
      </c>
      <c r="I149" s="2" t="s">
        <v>64</v>
      </c>
      <c r="J149" s="2" t="s">
        <v>84</v>
      </c>
      <c r="K149" s="2" t="s">
        <v>63</v>
      </c>
      <c r="L149" s="2" t="s">
        <v>65</v>
      </c>
      <c r="N149" s="1" t="s">
        <v>2018</v>
      </c>
      <c r="O149" s="2" t="s">
        <v>1338</v>
      </c>
      <c r="Q149" s="2" t="s">
        <v>69</v>
      </c>
      <c r="R149" s="2" t="s">
        <v>70</v>
      </c>
      <c r="S149" s="1" t="s">
        <v>2078</v>
      </c>
      <c r="T149" s="2" t="s">
        <v>71</v>
      </c>
      <c r="U149" s="3">
        <v>6</v>
      </c>
      <c r="V149" s="3">
        <v>8</v>
      </c>
      <c r="W149" s="4" t="s">
        <v>2079</v>
      </c>
      <c r="X149" s="4" t="s">
        <v>2080</v>
      </c>
      <c r="Y149" s="4" t="s">
        <v>73</v>
      </c>
      <c r="Z149" s="4" t="s">
        <v>2081</v>
      </c>
      <c r="AA149" s="3">
        <v>435</v>
      </c>
      <c r="AB149" s="3">
        <v>381</v>
      </c>
      <c r="AC149" s="3">
        <v>388</v>
      </c>
      <c r="AD149" s="3">
        <v>4</v>
      </c>
      <c r="AE149" s="3">
        <v>4</v>
      </c>
      <c r="AF149" s="3">
        <v>10</v>
      </c>
      <c r="AG149" s="3">
        <v>10</v>
      </c>
      <c r="AH149" s="3">
        <v>1</v>
      </c>
      <c r="AI149" s="3">
        <v>1</v>
      </c>
      <c r="AJ149" s="3">
        <v>4</v>
      </c>
      <c r="AK149" s="3">
        <v>4</v>
      </c>
      <c r="AL149" s="3">
        <v>7</v>
      </c>
      <c r="AM149" s="3">
        <v>7</v>
      </c>
      <c r="AN149" s="3">
        <v>2</v>
      </c>
      <c r="AO149" s="3">
        <v>2</v>
      </c>
      <c r="AP149" s="3">
        <v>0</v>
      </c>
      <c r="AQ149" s="3">
        <v>0</v>
      </c>
      <c r="AR149" s="2" t="s">
        <v>63</v>
      </c>
      <c r="AS149" s="2" t="s">
        <v>84</v>
      </c>
      <c r="AT149" s="5" t="str">
        <f>HYPERLINK("http://catalog.hathitrust.org/Record/000729630","HathiTrust Record")</f>
        <v>HathiTrust Record</v>
      </c>
      <c r="AU149" s="5" t="str">
        <f>HYPERLINK("https://creighton-primo.hosted.exlibrisgroup.com/primo-explore/search?tab=default_tab&amp;search_scope=EVERYTHING&amp;vid=01CRU&amp;lang=en_US&amp;offset=0&amp;query=any,contains,991001762639702656","Catalog Record")</f>
        <v>Catalog Record</v>
      </c>
      <c r="AV149" s="5" t="str">
        <f>HYPERLINK("http://www.worldcat.org/oclc/5239852","WorldCat Record")</f>
        <v>WorldCat Record</v>
      </c>
      <c r="AW149" s="2" t="s">
        <v>2082</v>
      </c>
      <c r="AX149" s="2" t="s">
        <v>2083</v>
      </c>
      <c r="AY149" s="2" t="s">
        <v>2084</v>
      </c>
      <c r="AZ149" s="2" t="s">
        <v>2084</v>
      </c>
      <c r="BA149" s="2" t="s">
        <v>2085</v>
      </c>
      <c r="BB149" s="2" t="s">
        <v>78</v>
      </c>
      <c r="BD149" s="2" t="s">
        <v>2086</v>
      </c>
      <c r="BE149" s="2" t="s">
        <v>2087</v>
      </c>
      <c r="BF149" s="2" t="s">
        <v>2088</v>
      </c>
    </row>
    <row r="150" spans="1:58" ht="79.5" customHeight="1">
      <c r="A150" s="1"/>
      <c r="B150" s="1" t="s">
        <v>58</v>
      </c>
      <c r="C150" s="1" t="s">
        <v>59</v>
      </c>
      <c r="D150" s="1" t="s">
        <v>2089</v>
      </c>
      <c r="E150" s="1" t="s">
        <v>2090</v>
      </c>
      <c r="F150" s="1" t="s">
        <v>2091</v>
      </c>
      <c r="H150" s="2" t="s">
        <v>63</v>
      </c>
      <c r="I150" s="2" t="s">
        <v>64</v>
      </c>
      <c r="J150" s="2" t="s">
        <v>63</v>
      </c>
      <c r="K150" s="2" t="s">
        <v>63</v>
      </c>
      <c r="L150" s="2" t="s">
        <v>65</v>
      </c>
      <c r="N150" s="1" t="s">
        <v>2092</v>
      </c>
      <c r="O150" s="2" t="s">
        <v>2093</v>
      </c>
      <c r="Q150" s="2" t="s">
        <v>69</v>
      </c>
      <c r="R150" s="2" t="s">
        <v>2094</v>
      </c>
      <c r="T150" s="2" t="s">
        <v>71</v>
      </c>
      <c r="U150" s="3">
        <v>2</v>
      </c>
      <c r="V150" s="3">
        <v>2</v>
      </c>
      <c r="W150" s="4" t="s">
        <v>2095</v>
      </c>
      <c r="X150" s="4" t="s">
        <v>2095</v>
      </c>
      <c r="Y150" s="4" t="s">
        <v>2096</v>
      </c>
      <c r="Z150" s="4" t="s">
        <v>2096</v>
      </c>
      <c r="AA150" s="3">
        <v>28</v>
      </c>
      <c r="AB150" s="3">
        <v>28</v>
      </c>
      <c r="AC150" s="3">
        <v>30</v>
      </c>
      <c r="AD150" s="3">
        <v>1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2" t="s">
        <v>63</v>
      </c>
      <c r="AS150" s="2" t="s">
        <v>84</v>
      </c>
      <c r="AT150" s="5" t="str">
        <f>HYPERLINK("http://catalog.hathitrust.org/Record/004158203","HathiTrust Record")</f>
        <v>HathiTrust Record</v>
      </c>
      <c r="AU150" s="5" t="str">
        <f>HYPERLINK("https://creighton-primo.hosted.exlibrisgroup.com/primo-explore/search?tab=default_tab&amp;search_scope=EVERYTHING&amp;vid=01CRU&amp;lang=en_US&amp;offset=0&amp;query=any,contains,991000399099702656","Catalog Record")</f>
        <v>Catalog Record</v>
      </c>
      <c r="AV150" s="5" t="str">
        <f>HYPERLINK("http://www.worldcat.org/oclc/44862057","WorldCat Record")</f>
        <v>WorldCat Record</v>
      </c>
      <c r="AW150" s="2" t="s">
        <v>2097</v>
      </c>
      <c r="AX150" s="2" t="s">
        <v>2098</v>
      </c>
      <c r="AY150" s="2" t="s">
        <v>2099</v>
      </c>
      <c r="AZ150" s="2" t="s">
        <v>2099</v>
      </c>
      <c r="BA150" s="2" t="s">
        <v>2100</v>
      </c>
      <c r="BB150" s="2" t="s">
        <v>78</v>
      </c>
      <c r="BE150" s="2" t="s">
        <v>2101</v>
      </c>
      <c r="BF150" s="2" t="s">
        <v>2102</v>
      </c>
    </row>
    <row r="151" spans="1:58" ht="79.5" customHeight="1">
      <c r="A151" s="1"/>
      <c r="B151" s="1" t="s">
        <v>58</v>
      </c>
      <c r="C151" s="1" t="s">
        <v>59</v>
      </c>
      <c r="D151" s="1" t="s">
        <v>2103</v>
      </c>
      <c r="E151" s="1" t="s">
        <v>2104</v>
      </c>
      <c r="F151" s="1" t="s">
        <v>2105</v>
      </c>
      <c r="H151" s="2" t="s">
        <v>63</v>
      </c>
      <c r="I151" s="2" t="s">
        <v>64</v>
      </c>
      <c r="J151" s="2" t="s">
        <v>84</v>
      </c>
      <c r="K151" s="2" t="s">
        <v>63</v>
      </c>
      <c r="L151" s="2" t="s">
        <v>65</v>
      </c>
      <c r="M151" s="1" t="s">
        <v>2106</v>
      </c>
      <c r="N151" s="1" t="s">
        <v>2107</v>
      </c>
      <c r="O151" s="2" t="s">
        <v>1474</v>
      </c>
      <c r="P151" s="1" t="s">
        <v>2108</v>
      </c>
      <c r="Q151" s="2" t="s">
        <v>69</v>
      </c>
      <c r="R151" s="2" t="s">
        <v>1536</v>
      </c>
      <c r="T151" s="2" t="s">
        <v>71</v>
      </c>
      <c r="U151" s="3">
        <v>1</v>
      </c>
      <c r="V151" s="3">
        <v>4</v>
      </c>
      <c r="W151" s="4" t="s">
        <v>2109</v>
      </c>
      <c r="X151" s="4" t="s">
        <v>2110</v>
      </c>
      <c r="Y151" s="4" t="s">
        <v>1539</v>
      </c>
      <c r="Z151" s="4" t="s">
        <v>2111</v>
      </c>
      <c r="AA151" s="3">
        <v>473</v>
      </c>
      <c r="AB151" s="3">
        <v>421</v>
      </c>
      <c r="AC151" s="3">
        <v>1021</v>
      </c>
      <c r="AD151" s="3">
        <v>4</v>
      </c>
      <c r="AE151" s="3">
        <v>9</v>
      </c>
      <c r="AF151" s="3">
        <v>21</v>
      </c>
      <c r="AG151" s="3">
        <v>38</v>
      </c>
      <c r="AH151" s="3">
        <v>9</v>
      </c>
      <c r="AI151" s="3">
        <v>13</v>
      </c>
      <c r="AJ151" s="3">
        <v>4</v>
      </c>
      <c r="AK151" s="3">
        <v>6</v>
      </c>
      <c r="AL151" s="3">
        <v>11</v>
      </c>
      <c r="AM151" s="3">
        <v>22</v>
      </c>
      <c r="AN151" s="3">
        <v>2</v>
      </c>
      <c r="AO151" s="3">
        <v>6</v>
      </c>
      <c r="AP151" s="3">
        <v>0</v>
      </c>
      <c r="AQ151" s="3">
        <v>1</v>
      </c>
      <c r="AR151" s="2" t="s">
        <v>63</v>
      </c>
      <c r="AS151" s="2" t="s">
        <v>84</v>
      </c>
      <c r="AT151" s="5" t="str">
        <f>HYPERLINK("http://catalog.hathitrust.org/Record/007550926","HathiTrust Record")</f>
        <v>HathiTrust Record</v>
      </c>
      <c r="AU151" s="5" t="str">
        <f>HYPERLINK("https://creighton-primo.hosted.exlibrisgroup.com/primo-explore/search?tab=default_tab&amp;search_scope=EVERYTHING&amp;vid=01CRU&amp;lang=en_US&amp;offset=0&amp;query=any,contains,991001761829702656","Catalog Record")</f>
        <v>Catalog Record</v>
      </c>
      <c r="AV151" s="5" t="str">
        <f>HYPERLINK("http://www.worldcat.org/oclc/2318294","WorldCat Record")</f>
        <v>WorldCat Record</v>
      </c>
      <c r="AW151" s="2" t="s">
        <v>2112</v>
      </c>
      <c r="AX151" s="2" t="s">
        <v>2113</v>
      </c>
      <c r="AY151" s="2" t="s">
        <v>2114</v>
      </c>
      <c r="AZ151" s="2" t="s">
        <v>2114</v>
      </c>
      <c r="BA151" s="2" t="s">
        <v>2115</v>
      </c>
      <c r="BB151" s="2" t="s">
        <v>78</v>
      </c>
      <c r="BD151" s="2" t="s">
        <v>2116</v>
      </c>
      <c r="BE151" s="2" t="s">
        <v>2117</v>
      </c>
      <c r="BF151" s="2" t="s">
        <v>2118</v>
      </c>
    </row>
    <row r="152" spans="1:58" ht="79.5" customHeight="1">
      <c r="A152" s="1"/>
      <c r="B152" s="1" t="s">
        <v>58</v>
      </c>
      <c r="C152" s="1" t="s">
        <v>59</v>
      </c>
      <c r="D152" s="1" t="s">
        <v>2119</v>
      </c>
      <c r="E152" s="1" t="s">
        <v>2120</v>
      </c>
      <c r="F152" s="1" t="s">
        <v>2121</v>
      </c>
      <c r="H152" s="2" t="s">
        <v>63</v>
      </c>
      <c r="I152" s="2" t="s">
        <v>64</v>
      </c>
      <c r="J152" s="2" t="s">
        <v>63</v>
      </c>
      <c r="K152" s="2" t="s">
        <v>63</v>
      </c>
      <c r="L152" s="2" t="s">
        <v>65</v>
      </c>
      <c r="N152" s="1" t="s">
        <v>2122</v>
      </c>
      <c r="O152" s="2" t="s">
        <v>1447</v>
      </c>
      <c r="Q152" s="2" t="s">
        <v>69</v>
      </c>
      <c r="R152" s="2" t="s">
        <v>1505</v>
      </c>
      <c r="S152" s="1" t="s">
        <v>2123</v>
      </c>
      <c r="T152" s="2" t="s">
        <v>71</v>
      </c>
      <c r="U152" s="3">
        <v>3</v>
      </c>
      <c r="V152" s="3">
        <v>3</v>
      </c>
      <c r="W152" s="4" t="s">
        <v>2124</v>
      </c>
      <c r="X152" s="4" t="s">
        <v>2124</v>
      </c>
      <c r="Y152" s="4" t="s">
        <v>2125</v>
      </c>
      <c r="Z152" s="4" t="s">
        <v>2125</v>
      </c>
      <c r="AA152" s="3">
        <v>965</v>
      </c>
      <c r="AB152" s="3">
        <v>805</v>
      </c>
      <c r="AC152" s="3">
        <v>835</v>
      </c>
      <c r="AD152" s="3">
        <v>8</v>
      </c>
      <c r="AE152" s="3">
        <v>8</v>
      </c>
      <c r="AF152" s="3">
        <v>39</v>
      </c>
      <c r="AG152" s="3">
        <v>39</v>
      </c>
      <c r="AH152" s="3">
        <v>13</v>
      </c>
      <c r="AI152" s="3">
        <v>13</v>
      </c>
      <c r="AJ152" s="3">
        <v>6</v>
      </c>
      <c r="AK152" s="3">
        <v>6</v>
      </c>
      <c r="AL152" s="3">
        <v>21</v>
      </c>
      <c r="AM152" s="3">
        <v>21</v>
      </c>
      <c r="AN152" s="3">
        <v>7</v>
      </c>
      <c r="AO152" s="3">
        <v>7</v>
      </c>
      <c r="AP152" s="3">
        <v>1</v>
      </c>
      <c r="AQ152" s="3">
        <v>1</v>
      </c>
      <c r="AR152" s="2" t="s">
        <v>63</v>
      </c>
      <c r="AS152" s="2" t="s">
        <v>63</v>
      </c>
      <c r="AU152" s="5" t="str">
        <f>HYPERLINK("https://creighton-primo.hosted.exlibrisgroup.com/primo-explore/search?tab=default_tab&amp;search_scope=EVERYTHING&amp;vid=01CRU&amp;lang=en_US&amp;offset=0&amp;query=any,contains,991000386699702656","Catalog Record")</f>
        <v>Catalog Record</v>
      </c>
      <c r="AV152" s="5" t="str">
        <f>HYPERLINK("http://www.worldcat.org/oclc/26769037","WorldCat Record")</f>
        <v>WorldCat Record</v>
      </c>
      <c r="AW152" s="2" t="s">
        <v>2126</v>
      </c>
      <c r="AX152" s="2" t="s">
        <v>2127</v>
      </c>
      <c r="AY152" s="2" t="s">
        <v>2128</v>
      </c>
      <c r="AZ152" s="2" t="s">
        <v>2128</v>
      </c>
      <c r="BA152" s="2" t="s">
        <v>2129</v>
      </c>
      <c r="BB152" s="2" t="s">
        <v>78</v>
      </c>
      <c r="BD152" s="2" t="s">
        <v>2130</v>
      </c>
      <c r="BE152" s="2" t="s">
        <v>2131</v>
      </c>
      <c r="BF152" s="2" t="s">
        <v>2132</v>
      </c>
    </row>
    <row r="153" spans="1:58" ht="79.5" customHeight="1">
      <c r="A153" s="1"/>
      <c r="B153" s="1" t="s">
        <v>58</v>
      </c>
      <c r="C153" s="1" t="s">
        <v>59</v>
      </c>
      <c r="D153" s="1" t="s">
        <v>2133</v>
      </c>
      <c r="E153" s="1" t="s">
        <v>2134</v>
      </c>
      <c r="F153" s="1" t="s">
        <v>2135</v>
      </c>
      <c r="H153" s="2" t="s">
        <v>63</v>
      </c>
      <c r="I153" s="2" t="s">
        <v>64</v>
      </c>
      <c r="J153" s="2" t="s">
        <v>63</v>
      </c>
      <c r="K153" s="2" t="s">
        <v>84</v>
      </c>
      <c r="L153" s="2" t="s">
        <v>65</v>
      </c>
      <c r="M153" s="1" t="s">
        <v>1113</v>
      </c>
      <c r="N153" s="1" t="s">
        <v>2136</v>
      </c>
      <c r="O153" s="2" t="s">
        <v>1432</v>
      </c>
      <c r="Q153" s="2" t="s">
        <v>69</v>
      </c>
      <c r="R153" s="2" t="s">
        <v>70</v>
      </c>
      <c r="T153" s="2" t="s">
        <v>71</v>
      </c>
      <c r="U153" s="3">
        <v>9</v>
      </c>
      <c r="V153" s="3">
        <v>9</v>
      </c>
      <c r="W153" s="4" t="s">
        <v>236</v>
      </c>
      <c r="X153" s="4" t="s">
        <v>236</v>
      </c>
      <c r="Y153" s="4" t="s">
        <v>2137</v>
      </c>
      <c r="Z153" s="4" t="s">
        <v>2137</v>
      </c>
      <c r="AA153" s="3">
        <v>2526</v>
      </c>
      <c r="AB153" s="3">
        <v>2363</v>
      </c>
      <c r="AC153" s="3">
        <v>4412</v>
      </c>
      <c r="AD153" s="3">
        <v>27</v>
      </c>
      <c r="AE153" s="3">
        <v>62</v>
      </c>
      <c r="AF153" s="3">
        <v>48</v>
      </c>
      <c r="AG153" s="3">
        <v>75</v>
      </c>
      <c r="AH153" s="3">
        <v>17</v>
      </c>
      <c r="AI153" s="3">
        <v>30</v>
      </c>
      <c r="AJ153" s="3">
        <v>11</v>
      </c>
      <c r="AK153" s="3">
        <v>12</v>
      </c>
      <c r="AL153" s="3">
        <v>20</v>
      </c>
      <c r="AM153" s="3">
        <v>28</v>
      </c>
      <c r="AN153" s="3">
        <v>8</v>
      </c>
      <c r="AO153" s="3">
        <v>18</v>
      </c>
      <c r="AP153" s="3">
        <v>1</v>
      </c>
      <c r="AQ153" s="3">
        <v>1</v>
      </c>
      <c r="AR153" s="2" t="s">
        <v>63</v>
      </c>
      <c r="AS153" s="2" t="s">
        <v>84</v>
      </c>
      <c r="AT153" s="5" t="str">
        <f>HYPERLINK("http://catalog.hathitrust.org/Record/000279270","HathiTrust Record")</f>
        <v>HathiTrust Record</v>
      </c>
      <c r="AU153" s="5" t="str">
        <f>HYPERLINK("https://creighton-primo.hosted.exlibrisgroup.com/primo-explore/search?tab=default_tab&amp;search_scope=EVERYTHING&amp;vid=01CRU&amp;lang=en_US&amp;offset=0&amp;query=any,contains,991000695669702656","Catalog Record")</f>
        <v>Catalog Record</v>
      </c>
      <c r="AV153" s="5" t="str">
        <f>HYPERLINK("http://www.worldcat.org/oclc/4238","WorldCat Record")</f>
        <v>WorldCat Record</v>
      </c>
      <c r="AW153" s="2" t="s">
        <v>2138</v>
      </c>
      <c r="AX153" s="2" t="s">
        <v>2139</v>
      </c>
      <c r="AY153" s="2" t="s">
        <v>2140</v>
      </c>
      <c r="AZ153" s="2" t="s">
        <v>2140</v>
      </c>
      <c r="BA153" s="2" t="s">
        <v>2141</v>
      </c>
      <c r="BB153" s="2" t="s">
        <v>78</v>
      </c>
      <c r="BE153" s="2" t="s">
        <v>2142</v>
      </c>
      <c r="BF153" s="2" t="s">
        <v>2143</v>
      </c>
    </row>
    <row r="154" spans="1:58" ht="79.5" customHeight="1">
      <c r="A154" s="1"/>
      <c r="B154" s="1" t="s">
        <v>58</v>
      </c>
      <c r="C154" s="1" t="s">
        <v>59</v>
      </c>
      <c r="D154" s="1" t="s">
        <v>2144</v>
      </c>
      <c r="E154" s="1" t="s">
        <v>2145</v>
      </c>
      <c r="F154" s="1" t="s">
        <v>2146</v>
      </c>
      <c r="H154" s="2" t="s">
        <v>63</v>
      </c>
      <c r="I154" s="2" t="s">
        <v>64</v>
      </c>
      <c r="J154" s="2" t="s">
        <v>63</v>
      </c>
      <c r="K154" s="2" t="s">
        <v>63</v>
      </c>
      <c r="L154" s="2" t="s">
        <v>65</v>
      </c>
      <c r="M154" s="1" t="s">
        <v>2147</v>
      </c>
      <c r="N154" s="1" t="s">
        <v>2148</v>
      </c>
      <c r="O154" s="2" t="s">
        <v>1760</v>
      </c>
      <c r="Q154" s="2" t="s">
        <v>69</v>
      </c>
      <c r="R154" s="2" t="s">
        <v>1366</v>
      </c>
      <c r="T154" s="2" t="s">
        <v>71</v>
      </c>
      <c r="U154" s="3">
        <v>4</v>
      </c>
      <c r="V154" s="3">
        <v>4</v>
      </c>
      <c r="W154" s="4" t="s">
        <v>1156</v>
      </c>
      <c r="X154" s="4" t="s">
        <v>1156</v>
      </c>
      <c r="Y154" s="4" t="s">
        <v>2149</v>
      </c>
      <c r="Z154" s="4" t="s">
        <v>2149</v>
      </c>
      <c r="AA154" s="3">
        <v>880</v>
      </c>
      <c r="AB154" s="3">
        <v>750</v>
      </c>
      <c r="AC154" s="3">
        <v>828</v>
      </c>
      <c r="AD154" s="3">
        <v>5</v>
      </c>
      <c r="AE154" s="3">
        <v>5</v>
      </c>
      <c r="AF154" s="3">
        <v>37</v>
      </c>
      <c r="AG154" s="3">
        <v>41</v>
      </c>
      <c r="AH154" s="3">
        <v>14</v>
      </c>
      <c r="AI154" s="3">
        <v>16</v>
      </c>
      <c r="AJ154" s="3">
        <v>7</v>
      </c>
      <c r="AK154" s="3">
        <v>9</v>
      </c>
      <c r="AL154" s="3">
        <v>21</v>
      </c>
      <c r="AM154" s="3">
        <v>22</v>
      </c>
      <c r="AN154" s="3">
        <v>4</v>
      </c>
      <c r="AO154" s="3">
        <v>4</v>
      </c>
      <c r="AP154" s="3">
        <v>0</v>
      </c>
      <c r="AQ154" s="3">
        <v>0</v>
      </c>
      <c r="AR154" s="2" t="s">
        <v>63</v>
      </c>
      <c r="AS154" s="2" t="s">
        <v>63</v>
      </c>
      <c r="AU154" s="5" t="str">
        <f>HYPERLINK("https://creighton-primo.hosted.exlibrisgroup.com/primo-explore/search?tab=default_tab&amp;search_scope=EVERYTHING&amp;vid=01CRU&amp;lang=en_US&amp;offset=0&amp;query=any,contains,991000792539702656","Catalog Record")</f>
        <v>Catalog Record</v>
      </c>
      <c r="AV154" s="5" t="str">
        <f>HYPERLINK("http://www.worldcat.org/oclc/953528","WorldCat Record")</f>
        <v>WorldCat Record</v>
      </c>
      <c r="AW154" s="2" t="s">
        <v>2150</v>
      </c>
      <c r="AX154" s="2" t="s">
        <v>2151</v>
      </c>
      <c r="AY154" s="2" t="s">
        <v>2152</v>
      </c>
      <c r="AZ154" s="2" t="s">
        <v>2152</v>
      </c>
      <c r="BA154" s="2" t="s">
        <v>2153</v>
      </c>
      <c r="BB154" s="2" t="s">
        <v>78</v>
      </c>
      <c r="BE154" s="2" t="s">
        <v>2154</v>
      </c>
      <c r="BF154" s="2" t="s">
        <v>2155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0</xdr:col>
                    <xdr:colOff>276225</xdr:colOff>
                    <xdr:row>1</xdr:row>
                    <xdr:rowOff>9525</xdr:rowOff>
                  </from>
                  <to>
                    <xdr:col>0</xdr:col>
                    <xdr:colOff>1076325</xdr:colOff>
                    <xdr:row>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276225</xdr:colOff>
                    <xdr:row>2</xdr:row>
                    <xdr:rowOff>9525</xdr:rowOff>
                  </from>
                  <to>
                    <xdr:col>0</xdr:col>
                    <xdr:colOff>1076325</xdr:colOff>
                    <xdr:row>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276225</xdr:colOff>
                    <xdr:row>3</xdr:row>
                    <xdr:rowOff>9525</xdr:rowOff>
                  </from>
                  <to>
                    <xdr:col>0</xdr:col>
                    <xdr:colOff>1076325</xdr:colOff>
                    <xdr:row>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276225</xdr:colOff>
                    <xdr:row>4</xdr:row>
                    <xdr:rowOff>9525</xdr:rowOff>
                  </from>
                  <to>
                    <xdr:col>0</xdr:col>
                    <xdr:colOff>1076325</xdr:colOff>
                    <xdr:row>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276225</xdr:colOff>
                    <xdr:row>5</xdr:row>
                    <xdr:rowOff>9525</xdr:rowOff>
                  </from>
                  <to>
                    <xdr:col>0</xdr:col>
                    <xdr:colOff>1076325</xdr:colOff>
                    <xdr:row>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276225</xdr:colOff>
                    <xdr:row>6</xdr:row>
                    <xdr:rowOff>9525</xdr:rowOff>
                  </from>
                  <to>
                    <xdr:col>0</xdr:col>
                    <xdr:colOff>1076325</xdr:colOff>
                    <xdr:row>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0</xdr:col>
                    <xdr:colOff>276225</xdr:colOff>
                    <xdr:row>7</xdr:row>
                    <xdr:rowOff>9525</xdr:rowOff>
                  </from>
                  <to>
                    <xdr:col>0</xdr:col>
                    <xdr:colOff>1076325</xdr:colOff>
                    <xdr:row>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276225</xdr:colOff>
                    <xdr:row>8</xdr:row>
                    <xdr:rowOff>9525</xdr:rowOff>
                  </from>
                  <to>
                    <xdr:col>0</xdr:col>
                    <xdr:colOff>1076325</xdr:colOff>
                    <xdr:row>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276225</xdr:colOff>
                    <xdr:row>9</xdr:row>
                    <xdr:rowOff>9525</xdr:rowOff>
                  </from>
                  <to>
                    <xdr:col>0</xdr:col>
                    <xdr:colOff>1076325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0</xdr:col>
                    <xdr:colOff>276225</xdr:colOff>
                    <xdr:row>10</xdr:row>
                    <xdr:rowOff>9525</xdr:rowOff>
                  </from>
                  <to>
                    <xdr:col>0</xdr:col>
                    <xdr:colOff>1076325</xdr:colOff>
                    <xdr:row>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0</xdr:col>
                    <xdr:colOff>276225</xdr:colOff>
                    <xdr:row>11</xdr:row>
                    <xdr:rowOff>9525</xdr:rowOff>
                  </from>
                  <to>
                    <xdr:col>0</xdr:col>
                    <xdr:colOff>1076325</xdr:colOff>
                    <xdr:row>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0</xdr:col>
                    <xdr:colOff>276225</xdr:colOff>
                    <xdr:row>12</xdr:row>
                    <xdr:rowOff>9525</xdr:rowOff>
                  </from>
                  <to>
                    <xdr:col>0</xdr:col>
                    <xdr:colOff>1076325</xdr:colOff>
                    <xdr:row>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0</xdr:col>
                    <xdr:colOff>276225</xdr:colOff>
                    <xdr:row>13</xdr:row>
                    <xdr:rowOff>9525</xdr:rowOff>
                  </from>
                  <to>
                    <xdr:col>0</xdr:col>
                    <xdr:colOff>1076325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0</xdr:col>
                    <xdr:colOff>1076325</xdr:colOff>
                    <xdr:row>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0</xdr:col>
                    <xdr:colOff>276225</xdr:colOff>
                    <xdr:row>15</xdr:row>
                    <xdr:rowOff>9525</xdr:rowOff>
                  </from>
                  <to>
                    <xdr:col>0</xdr:col>
                    <xdr:colOff>1076325</xdr:colOff>
                    <xdr:row>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0</xdr:col>
                    <xdr:colOff>276225</xdr:colOff>
                    <xdr:row>16</xdr:row>
                    <xdr:rowOff>9525</xdr:rowOff>
                  </from>
                  <to>
                    <xdr:col>0</xdr:col>
                    <xdr:colOff>1076325</xdr:colOff>
                    <xdr:row>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0</xdr:col>
                    <xdr:colOff>276225</xdr:colOff>
                    <xdr:row>17</xdr:row>
                    <xdr:rowOff>9525</xdr:rowOff>
                  </from>
                  <to>
                    <xdr:col>0</xdr:col>
                    <xdr:colOff>1076325</xdr:colOff>
                    <xdr:row>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0</xdr:col>
                    <xdr:colOff>276225</xdr:colOff>
                    <xdr:row>18</xdr:row>
                    <xdr:rowOff>9525</xdr:rowOff>
                  </from>
                  <to>
                    <xdr:col>0</xdr:col>
                    <xdr:colOff>1076325</xdr:colOff>
                    <xdr:row>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0</xdr:col>
                    <xdr:colOff>276225</xdr:colOff>
                    <xdr:row>19</xdr:row>
                    <xdr:rowOff>9525</xdr:rowOff>
                  </from>
                  <to>
                    <xdr:col>0</xdr:col>
                    <xdr:colOff>1076325</xdr:colOff>
                    <xdr:row>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0</xdr:col>
                    <xdr:colOff>276225</xdr:colOff>
                    <xdr:row>20</xdr:row>
                    <xdr:rowOff>9525</xdr:rowOff>
                  </from>
                  <to>
                    <xdr:col>0</xdr:col>
                    <xdr:colOff>1076325</xdr:colOff>
                    <xdr:row>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0</xdr:col>
                    <xdr:colOff>276225</xdr:colOff>
                    <xdr:row>21</xdr:row>
                    <xdr:rowOff>9525</xdr:rowOff>
                  </from>
                  <to>
                    <xdr:col>0</xdr:col>
                    <xdr:colOff>1076325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0</xdr:col>
                    <xdr:colOff>276225</xdr:colOff>
                    <xdr:row>22</xdr:row>
                    <xdr:rowOff>9525</xdr:rowOff>
                  </from>
                  <to>
                    <xdr:col>0</xdr:col>
                    <xdr:colOff>1076325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0</xdr:col>
                    <xdr:colOff>276225</xdr:colOff>
                    <xdr:row>23</xdr:row>
                    <xdr:rowOff>9525</xdr:rowOff>
                  </from>
                  <to>
                    <xdr:col>0</xdr:col>
                    <xdr:colOff>1076325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0</xdr:col>
                    <xdr:colOff>276225</xdr:colOff>
                    <xdr:row>24</xdr:row>
                    <xdr:rowOff>9525</xdr:rowOff>
                  </from>
                  <to>
                    <xdr:col>0</xdr:col>
                    <xdr:colOff>1076325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0</xdr:col>
                    <xdr:colOff>276225</xdr:colOff>
                    <xdr:row>25</xdr:row>
                    <xdr:rowOff>9525</xdr:rowOff>
                  </from>
                  <to>
                    <xdr:col>0</xdr:col>
                    <xdr:colOff>1076325</xdr:colOff>
                    <xdr:row>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0</xdr:col>
                    <xdr:colOff>276225</xdr:colOff>
                    <xdr:row>26</xdr:row>
                    <xdr:rowOff>9525</xdr:rowOff>
                  </from>
                  <to>
                    <xdr:col>0</xdr:col>
                    <xdr:colOff>1076325</xdr:colOff>
                    <xdr:row>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0</xdr:col>
                    <xdr:colOff>276225</xdr:colOff>
                    <xdr:row>27</xdr:row>
                    <xdr:rowOff>9525</xdr:rowOff>
                  </from>
                  <to>
                    <xdr:col>0</xdr:col>
                    <xdr:colOff>1076325</xdr:colOff>
                    <xdr:row>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0</xdr:col>
                    <xdr:colOff>276225</xdr:colOff>
                    <xdr:row>28</xdr:row>
                    <xdr:rowOff>9525</xdr:rowOff>
                  </from>
                  <to>
                    <xdr:col>0</xdr:col>
                    <xdr:colOff>1076325</xdr:colOff>
                    <xdr:row>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0</xdr:col>
                    <xdr:colOff>276225</xdr:colOff>
                    <xdr:row>29</xdr:row>
                    <xdr:rowOff>9525</xdr:rowOff>
                  </from>
                  <to>
                    <xdr:col>0</xdr:col>
                    <xdr:colOff>1076325</xdr:colOff>
                    <xdr:row>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0</xdr:col>
                    <xdr:colOff>276225</xdr:colOff>
                    <xdr:row>30</xdr:row>
                    <xdr:rowOff>9525</xdr:rowOff>
                  </from>
                  <to>
                    <xdr:col>0</xdr:col>
                    <xdr:colOff>1076325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0</xdr:col>
                    <xdr:colOff>276225</xdr:colOff>
                    <xdr:row>31</xdr:row>
                    <xdr:rowOff>9525</xdr:rowOff>
                  </from>
                  <to>
                    <xdr:col>0</xdr:col>
                    <xdr:colOff>1076325</xdr:colOff>
                    <xdr:row>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0</xdr:col>
                    <xdr:colOff>276225</xdr:colOff>
                    <xdr:row>32</xdr:row>
                    <xdr:rowOff>9525</xdr:rowOff>
                  </from>
                  <to>
                    <xdr:col>0</xdr:col>
                    <xdr:colOff>1076325</xdr:colOff>
                    <xdr:row>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0</xdr:col>
                    <xdr:colOff>276225</xdr:colOff>
                    <xdr:row>33</xdr:row>
                    <xdr:rowOff>9525</xdr:rowOff>
                  </from>
                  <to>
                    <xdr:col>0</xdr:col>
                    <xdr:colOff>1076325</xdr:colOff>
                    <xdr:row>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0</xdr:col>
                    <xdr:colOff>276225</xdr:colOff>
                    <xdr:row>34</xdr:row>
                    <xdr:rowOff>9525</xdr:rowOff>
                  </from>
                  <to>
                    <xdr:col>0</xdr:col>
                    <xdr:colOff>1076325</xdr:colOff>
                    <xdr:row>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0</xdr:col>
                    <xdr:colOff>276225</xdr:colOff>
                    <xdr:row>35</xdr:row>
                    <xdr:rowOff>9525</xdr:rowOff>
                  </from>
                  <to>
                    <xdr:col>0</xdr:col>
                    <xdr:colOff>1076325</xdr:colOff>
                    <xdr:row>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0</xdr:col>
                    <xdr:colOff>276225</xdr:colOff>
                    <xdr:row>36</xdr:row>
                    <xdr:rowOff>9525</xdr:rowOff>
                  </from>
                  <to>
                    <xdr:col>0</xdr:col>
                    <xdr:colOff>1076325</xdr:colOff>
                    <xdr:row>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0</xdr:col>
                    <xdr:colOff>276225</xdr:colOff>
                    <xdr:row>37</xdr:row>
                    <xdr:rowOff>9525</xdr:rowOff>
                  </from>
                  <to>
                    <xdr:col>0</xdr:col>
                    <xdr:colOff>1076325</xdr:colOff>
                    <xdr:row>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0</xdr:col>
                    <xdr:colOff>276225</xdr:colOff>
                    <xdr:row>38</xdr:row>
                    <xdr:rowOff>9525</xdr:rowOff>
                  </from>
                  <to>
                    <xdr:col>0</xdr:col>
                    <xdr:colOff>1076325</xdr:colOff>
                    <xdr:row>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0</xdr:col>
                    <xdr:colOff>276225</xdr:colOff>
                    <xdr:row>39</xdr:row>
                    <xdr:rowOff>9525</xdr:rowOff>
                  </from>
                  <to>
                    <xdr:col>0</xdr:col>
                    <xdr:colOff>1076325</xdr:colOff>
                    <xdr:row>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0</xdr:col>
                    <xdr:colOff>276225</xdr:colOff>
                    <xdr:row>40</xdr:row>
                    <xdr:rowOff>9525</xdr:rowOff>
                  </from>
                  <to>
                    <xdr:col>0</xdr:col>
                    <xdr:colOff>1076325</xdr:colOff>
                    <xdr:row>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0</xdr:col>
                    <xdr:colOff>276225</xdr:colOff>
                    <xdr:row>41</xdr:row>
                    <xdr:rowOff>9525</xdr:rowOff>
                  </from>
                  <to>
                    <xdr:col>0</xdr:col>
                    <xdr:colOff>1076325</xdr:colOff>
                    <xdr:row>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0</xdr:col>
                    <xdr:colOff>276225</xdr:colOff>
                    <xdr:row>42</xdr:row>
                    <xdr:rowOff>9525</xdr:rowOff>
                  </from>
                  <to>
                    <xdr:col>0</xdr:col>
                    <xdr:colOff>1076325</xdr:colOff>
                    <xdr:row>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0</xdr:col>
                    <xdr:colOff>276225</xdr:colOff>
                    <xdr:row>43</xdr:row>
                    <xdr:rowOff>9525</xdr:rowOff>
                  </from>
                  <to>
                    <xdr:col>0</xdr:col>
                    <xdr:colOff>1076325</xdr:colOff>
                    <xdr:row>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0</xdr:col>
                    <xdr:colOff>276225</xdr:colOff>
                    <xdr:row>44</xdr:row>
                    <xdr:rowOff>9525</xdr:rowOff>
                  </from>
                  <to>
                    <xdr:col>0</xdr:col>
                    <xdr:colOff>1076325</xdr:colOff>
                    <xdr:row>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 moveWithCells="1">
                  <from>
                    <xdr:col>0</xdr:col>
                    <xdr:colOff>276225</xdr:colOff>
                    <xdr:row>45</xdr:row>
                    <xdr:rowOff>9525</xdr:rowOff>
                  </from>
                  <to>
                    <xdr:col>0</xdr:col>
                    <xdr:colOff>1076325</xdr:colOff>
                    <xdr:row>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 moveWithCells="1">
                  <from>
                    <xdr:col>0</xdr:col>
                    <xdr:colOff>276225</xdr:colOff>
                    <xdr:row>46</xdr:row>
                    <xdr:rowOff>9525</xdr:rowOff>
                  </from>
                  <to>
                    <xdr:col>0</xdr:col>
                    <xdr:colOff>1076325</xdr:colOff>
                    <xdr:row>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 moveWithCells="1">
                  <from>
                    <xdr:col>0</xdr:col>
                    <xdr:colOff>276225</xdr:colOff>
                    <xdr:row>47</xdr:row>
                    <xdr:rowOff>9525</xdr:rowOff>
                  </from>
                  <to>
                    <xdr:col>0</xdr:col>
                    <xdr:colOff>1076325</xdr:colOff>
                    <xdr:row>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 moveWithCells="1">
                  <from>
                    <xdr:col>0</xdr:col>
                    <xdr:colOff>276225</xdr:colOff>
                    <xdr:row>48</xdr:row>
                    <xdr:rowOff>9525</xdr:rowOff>
                  </from>
                  <to>
                    <xdr:col>0</xdr:col>
                    <xdr:colOff>1076325</xdr:colOff>
                    <xdr:row>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 moveWithCells="1">
                  <from>
                    <xdr:col>0</xdr:col>
                    <xdr:colOff>276225</xdr:colOff>
                    <xdr:row>49</xdr:row>
                    <xdr:rowOff>9525</xdr:rowOff>
                  </from>
                  <to>
                    <xdr:col>0</xdr:col>
                    <xdr:colOff>1076325</xdr:colOff>
                    <xdr:row>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 moveWithCells="1">
                  <from>
                    <xdr:col>0</xdr:col>
                    <xdr:colOff>276225</xdr:colOff>
                    <xdr:row>50</xdr:row>
                    <xdr:rowOff>9525</xdr:rowOff>
                  </from>
                  <to>
                    <xdr:col>0</xdr:col>
                    <xdr:colOff>1076325</xdr:colOff>
                    <xdr:row>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 moveWithCells="1">
                  <from>
                    <xdr:col>0</xdr:col>
                    <xdr:colOff>276225</xdr:colOff>
                    <xdr:row>51</xdr:row>
                    <xdr:rowOff>9525</xdr:rowOff>
                  </from>
                  <to>
                    <xdr:col>0</xdr:col>
                    <xdr:colOff>1076325</xdr:colOff>
                    <xdr:row>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 moveWithCells="1">
                  <from>
                    <xdr:col>0</xdr:col>
                    <xdr:colOff>276225</xdr:colOff>
                    <xdr:row>52</xdr:row>
                    <xdr:rowOff>9525</xdr:rowOff>
                  </from>
                  <to>
                    <xdr:col>0</xdr:col>
                    <xdr:colOff>1076325</xdr:colOff>
                    <xdr:row>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 moveWithCells="1">
                  <from>
                    <xdr:col>0</xdr:col>
                    <xdr:colOff>276225</xdr:colOff>
                    <xdr:row>53</xdr:row>
                    <xdr:rowOff>9525</xdr:rowOff>
                  </from>
                  <to>
                    <xdr:col>0</xdr:col>
                    <xdr:colOff>1076325</xdr:colOff>
                    <xdr:row>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 moveWithCells="1">
                  <from>
                    <xdr:col>0</xdr:col>
                    <xdr:colOff>276225</xdr:colOff>
                    <xdr:row>54</xdr:row>
                    <xdr:rowOff>9525</xdr:rowOff>
                  </from>
                  <to>
                    <xdr:col>0</xdr:col>
                    <xdr:colOff>1076325</xdr:colOff>
                    <xdr:row>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 moveWithCells="1">
                  <from>
                    <xdr:col>0</xdr:col>
                    <xdr:colOff>276225</xdr:colOff>
                    <xdr:row>55</xdr:row>
                    <xdr:rowOff>9525</xdr:rowOff>
                  </from>
                  <to>
                    <xdr:col>0</xdr:col>
                    <xdr:colOff>1076325</xdr:colOff>
                    <xdr:row>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 moveWithCells="1">
                  <from>
                    <xdr:col>0</xdr:col>
                    <xdr:colOff>276225</xdr:colOff>
                    <xdr:row>56</xdr:row>
                    <xdr:rowOff>9525</xdr:rowOff>
                  </from>
                  <to>
                    <xdr:col>0</xdr:col>
                    <xdr:colOff>1076325</xdr:colOff>
                    <xdr:row>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 moveWithCells="1">
                  <from>
                    <xdr:col>0</xdr:col>
                    <xdr:colOff>276225</xdr:colOff>
                    <xdr:row>57</xdr:row>
                    <xdr:rowOff>9525</xdr:rowOff>
                  </from>
                  <to>
                    <xdr:col>0</xdr:col>
                    <xdr:colOff>1076325</xdr:colOff>
                    <xdr:row>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 moveWithCells="1">
                  <from>
                    <xdr:col>0</xdr:col>
                    <xdr:colOff>276225</xdr:colOff>
                    <xdr:row>58</xdr:row>
                    <xdr:rowOff>9525</xdr:rowOff>
                  </from>
                  <to>
                    <xdr:col>0</xdr:col>
                    <xdr:colOff>1076325</xdr:colOff>
                    <xdr:row>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 moveWithCells="1">
                  <from>
                    <xdr:col>0</xdr:col>
                    <xdr:colOff>276225</xdr:colOff>
                    <xdr:row>59</xdr:row>
                    <xdr:rowOff>9525</xdr:rowOff>
                  </from>
                  <to>
                    <xdr:col>0</xdr:col>
                    <xdr:colOff>1076325</xdr:colOff>
                    <xdr:row>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 moveWithCells="1">
                  <from>
                    <xdr:col>0</xdr:col>
                    <xdr:colOff>276225</xdr:colOff>
                    <xdr:row>60</xdr:row>
                    <xdr:rowOff>9525</xdr:rowOff>
                  </from>
                  <to>
                    <xdr:col>0</xdr:col>
                    <xdr:colOff>1076325</xdr:colOff>
                    <xdr:row>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 moveWithCells="1">
                  <from>
                    <xdr:col>0</xdr:col>
                    <xdr:colOff>276225</xdr:colOff>
                    <xdr:row>61</xdr:row>
                    <xdr:rowOff>9525</xdr:rowOff>
                  </from>
                  <to>
                    <xdr:col>0</xdr:col>
                    <xdr:colOff>1076325</xdr:colOff>
                    <xdr:row>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 moveWithCells="1">
                  <from>
                    <xdr:col>0</xdr:col>
                    <xdr:colOff>276225</xdr:colOff>
                    <xdr:row>62</xdr:row>
                    <xdr:rowOff>9525</xdr:rowOff>
                  </from>
                  <to>
                    <xdr:col>0</xdr:col>
                    <xdr:colOff>1076325</xdr:colOff>
                    <xdr:row>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 moveWithCells="1">
                  <from>
                    <xdr:col>0</xdr:col>
                    <xdr:colOff>276225</xdr:colOff>
                    <xdr:row>63</xdr:row>
                    <xdr:rowOff>9525</xdr:rowOff>
                  </from>
                  <to>
                    <xdr:col>0</xdr:col>
                    <xdr:colOff>1076325</xdr:colOff>
                    <xdr:row>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 moveWithCells="1">
                  <from>
                    <xdr:col>0</xdr:col>
                    <xdr:colOff>276225</xdr:colOff>
                    <xdr:row>64</xdr:row>
                    <xdr:rowOff>9525</xdr:rowOff>
                  </from>
                  <to>
                    <xdr:col>0</xdr:col>
                    <xdr:colOff>1076325</xdr:colOff>
                    <xdr:row>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 moveWithCells="1">
                  <from>
                    <xdr:col>0</xdr:col>
                    <xdr:colOff>276225</xdr:colOff>
                    <xdr:row>65</xdr:row>
                    <xdr:rowOff>9525</xdr:rowOff>
                  </from>
                  <to>
                    <xdr:col>0</xdr:col>
                    <xdr:colOff>1076325</xdr:colOff>
                    <xdr:row>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Check Box 66">
              <controlPr defaultSize="0" autoFill="0" autoLine="0" autoPict="0">
                <anchor moveWithCells="1">
                  <from>
                    <xdr:col>0</xdr:col>
                    <xdr:colOff>276225</xdr:colOff>
                    <xdr:row>66</xdr:row>
                    <xdr:rowOff>9525</xdr:rowOff>
                  </from>
                  <to>
                    <xdr:col>0</xdr:col>
                    <xdr:colOff>1076325</xdr:colOff>
                    <xdr:row>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Check Box 67">
              <controlPr defaultSize="0" autoFill="0" autoLine="0" autoPict="0">
                <anchor moveWithCells="1">
                  <from>
                    <xdr:col>0</xdr:col>
                    <xdr:colOff>276225</xdr:colOff>
                    <xdr:row>67</xdr:row>
                    <xdr:rowOff>9525</xdr:rowOff>
                  </from>
                  <to>
                    <xdr:col>0</xdr:col>
                    <xdr:colOff>1076325</xdr:colOff>
                    <xdr:row>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Check Box 68">
              <controlPr defaultSize="0" autoFill="0" autoLine="0" autoPict="0">
                <anchor moveWithCells="1">
                  <from>
                    <xdr:col>0</xdr:col>
                    <xdr:colOff>276225</xdr:colOff>
                    <xdr:row>68</xdr:row>
                    <xdr:rowOff>9525</xdr:rowOff>
                  </from>
                  <to>
                    <xdr:col>0</xdr:col>
                    <xdr:colOff>1076325</xdr:colOff>
                    <xdr:row>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Check Box 69">
              <controlPr defaultSize="0" autoFill="0" autoLine="0" autoPict="0">
                <anchor moveWithCells="1">
                  <from>
                    <xdr:col>0</xdr:col>
                    <xdr:colOff>276225</xdr:colOff>
                    <xdr:row>69</xdr:row>
                    <xdr:rowOff>9525</xdr:rowOff>
                  </from>
                  <to>
                    <xdr:col>0</xdr:col>
                    <xdr:colOff>1076325</xdr:colOff>
                    <xdr:row>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Check Box 70">
              <controlPr defaultSize="0" autoFill="0" autoLine="0" autoPict="0">
                <anchor moveWithCells="1">
                  <from>
                    <xdr:col>0</xdr:col>
                    <xdr:colOff>276225</xdr:colOff>
                    <xdr:row>70</xdr:row>
                    <xdr:rowOff>9525</xdr:rowOff>
                  </from>
                  <to>
                    <xdr:col>0</xdr:col>
                    <xdr:colOff>1076325</xdr:colOff>
                    <xdr:row>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Check Box 71">
              <controlPr defaultSize="0" autoFill="0" autoLine="0" autoPict="0">
                <anchor moveWithCells="1">
                  <from>
                    <xdr:col>0</xdr:col>
                    <xdr:colOff>276225</xdr:colOff>
                    <xdr:row>71</xdr:row>
                    <xdr:rowOff>9525</xdr:rowOff>
                  </from>
                  <to>
                    <xdr:col>0</xdr:col>
                    <xdr:colOff>1076325</xdr:colOff>
                    <xdr:row>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Check Box 72">
              <controlPr defaultSize="0" autoFill="0" autoLine="0" autoPict="0">
                <anchor moveWithCells="1">
                  <from>
                    <xdr:col>0</xdr:col>
                    <xdr:colOff>276225</xdr:colOff>
                    <xdr:row>72</xdr:row>
                    <xdr:rowOff>9525</xdr:rowOff>
                  </from>
                  <to>
                    <xdr:col>0</xdr:col>
                    <xdr:colOff>1076325</xdr:colOff>
                    <xdr:row>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Check Box 73">
              <controlPr defaultSize="0" autoFill="0" autoLine="0" autoPict="0">
                <anchor moveWithCells="1">
                  <from>
                    <xdr:col>0</xdr:col>
                    <xdr:colOff>276225</xdr:colOff>
                    <xdr:row>73</xdr:row>
                    <xdr:rowOff>9525</xdr:rowOff>
                  </from>
                  <to>
                    <xdr:col>0</xdr:col>
                    <xdr:colOff>1076325</xdr:colOff>
                    <xdr:row>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Check Box 74">
              <controlPr defaultSize="0" autoFill="0" autoLine="0" autoPict="0">
                <anchor moveWithCells="1">
                  <from>
                    <xdr:col>0</xdr:col>
                    <xdr:colOff>276225</xdr:colOff>
                    <xdr:row>74</xdr:row>
                    <xdr:rowOff>9525</xdr:rowOff>
                  </from>
                  <to>
                    <xdr:col>0</xdr:col>
                    <xdr:colOff>1076325</xdr:colOff>
                    <xdr:row>74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Check Box 75">
              <controlPr defaultSize="0" autoFill="0" autoLine="0" autoPict="0">
                <anchor moveWithCells="1">
                  <from>
                    <xdr:col>0</xdr:col>
                    <xdr:colOff>276225</xdr:colOff>
                    <xdr:row>75</xdr:row>
                    <xdr:rowOff>9525</xdr:rowOff>
                  </from>
                  <to>
                    <xdr:col>0</xdr:col>
                    <xdr:colOff>1076325</xdr:colOff>
                    <xdr:row>75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Check Box 76">
              <controlPr defaultSize="0" autoFill="0" autoLine="0" autoPict="0">
                <anchor moveWithCells="1">
                  <from>
                    <xdr:col>0</xdr:col>
                    <xdr:colOff>276225</xdr:colOff>
                    <xdr:row>76</xdr:row>
                    <xdr:rowOff>9525</xdr:rowOff>
                  </from>
                  <to>
                    <xdr:col>0</xdr:col>
                    <xdr:colOff>1076325</xdr:colOff>
                    <xdr:row>76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Check Box 77">
              <controlPr defaultSize="0" autoFill="0" autoLine="0" autoPict="0">
                <anchor moveWithCells="1">
                  <from>
                    <xdr:col>0</xdr:col>
                    <xdr:colOff>276225</xdr:colOff>
                    <xdr:row>77</xdr:row>
                    <xdr:rowOff>9525</xdr:rowOff>
                  </from>
                  <to>
                    <xdr:col>0</xdr:col>
                    <xdr:colOff>1076325</xdr:colOff>
                    <xdr:row>77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Check Box 78">
              <controlPr defaultSize="0" autoFill="0" autoLine="0" autoPict="0">
                <anchor moveWithCells="1">
                  <from>
                    <xdr:col>0</xdr:col>
                    <xdr:colOff>276225</xdr:colOff>
                    <xdr:row>78</xdr:row>
                    <xdr:rowOff>9525</xdr:rowOff>
                  </from>
                  <to>
                    <xdr:col>0</xdr:col>
                    <xdr:colOff>1076325</xdr:colOff>
                    <xdr:row>78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Check Box 79">
              <controlPr defaultSize="0" autoFill="0" autoLine="0" autoPict="0">
                <anchor moveWithCells="1">
                  <from>
                    <xdr:col>0</xdr:col>
                    <xdr:colOff>276225</xdr:colOff>
                    <xdr:row>79</xdr:row>
                    <xdr:rowOff>9525</xdr:rowOff>
                  </from>
                  <to>
                    <xdr:col>0</xdr:col>
                    <xdr:colOff>1076325</xdr:colOff>
                    <xdr:row>79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Check Box 80">
              <controlPr defaultSize="0" autoFill="0" autoLine="0" autoPict="0">
                <anchor moveWithCells="1">
                  <from>
                    <xdr:col>0</xdr:col>
                    <xdr:colOff>276225</xdr:colOff>
                    <xdr:row>80</xdr:row>
                    <xdr:rowOff>9525</xdr:rowOff>
                  </from>
                  <to>
                    <xdr:col>0</xdr:col>
                    <xdr:colOff>1076325</xdr:colOff>
                    <xdr:row>80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Check Box 81">
              <controlPr defaultSize="0" autoFill="0" autoLine="0" autoPict="0">
                <anchor moveWithCells="1">
                  <from>
                    <xdr:col>0</xdr:col>
                    <xdr:colOff>276225</xdr:colOff>
                    <xdr:row>81</xdr:row>
                    <xdr:rowOff>9525</xdr:rowOff>
                  </from>
                  <to>
                    <xdr:col>0</xdr:col>
                    <xdr:colOff>1076325</xdr:colOff>
                    <xdr:row>81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Check Box 82">
              <controlPr defaultSize="0" autoFill="0" autoLine="0" autoPict="0">
                <anchor moveWithCells="1">
                  <from>
                    <xdr:col>0</xdr:col>
                    <xdr:colOff>276225</xdr:colOff>
                    <xdr:row>82</xdr:row>
                    <xdr:rowOff>9525</xdr:rowOff>
                  </from>
                  <to>
                    <xdr:col>0</xdr:col>
                    <xdr:colOff>1076325</xdr:colOff>
                    <xdr:row>82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Check Box 83">
              <controlPr defaultSize="0" autoFill="0" autoLine="0" autoPict="0">
                <anchor moveWithCells="1">
                  <from>
                    <xdr:col>0</xdr:col>
                    <xdr:colOff>276225</xdr:colOff>
                    <xdr:row>83</xdr:row>
                    <xdr:rowOff>9525</xdr:rowOff>
                  </from>
                  <to>
                    <xdr:col>0</xdr:col>
                    <xdr:colOff>1076325</xdr:colOff>
                    <xdr:row>83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Check Box 84">
              <controlPr defaultSize="0" autoFill="0" autoLine="0" autoPict="0">
                <anchor moveWithCells="1">
                  <from>
                    <xdr:col>0</xdr:col>
                    <xdr:colOff>276225</xdr:colOff>
                    <xdr:row>84</xdr:row>
                    <xdr:rowOff>9525</xdr:rowOff>
                  </from>
                  <to>
                    <xdr:col>0</xdr:col>
                    <xdr:colOff>1076325</xdr:colOff>
                    <xdr:row>84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Check Box 85">
              <controlPr defaultSize="0" autoFill="0" autoLine="0" autoPict="0">
                <anchor moveWithCells="1">
                  <from>
                    <xdr:col>0</xdr:col>
                    <xdr:colOff>276225</xdr:colOff>
                    <xdr:row>85</xdr:row>
                    <xdr:rowOff>9525</xdr:rowOff>
                  </from>
                  <to>
                    <xdr:col>0</xdr:col>
                    <xdr:colOff>1076325</xdr:colOff>
                    <xdr:row>85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Check Box 86">
              <controlPr defaultSize="0" autoFill="0" autoLine="0" autoPict="0">
                <anchor moveWithCells="1">
                  <from>
                    <xdr:col>0</xdr:col>
                    <xdr:colOff>276225</xdr:colOff>
                    <xdr:row>86</xdr:row>
                    <xdr:rowOff>9525</xdr:rowOff>
                  </from>
                  <to>
                    <xdr:col>0</xdr:col>
                    <xdr:colOff>1076325</xdr:colOff>
                    <xdr:row>86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Check Box 87">
              <controlPr defaultSize="0" autoFill="0" autoLine="0" autoPict="0">
                <anchor moveWithCells="1">
                  <from>
                    <xdr:col>0</xdr:col>
                    <xdr:colOff>276225</xdr:colOff>
                    <xdr:row>87</xdr:row>
                    <xdr:rowOff>9525</xdr:rowOff>
                  </from>
                  <to>
                    <xdr:col>0</xdr:col>
                    <xdr:colOff>1076325</xdr:colOff>
                    <xdr:row>87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Check Box 88">
              <controlPr defaultSize="0" autoFill="0" autoLine="0" autoPict="0">
                <anchor moveWithCells="1">
                  <from>
                    <xdr:col>0</xdr:col>
                    <xdr:colOff>276225</xdr:colOff>
                    <xdr:row>88</xdr:row>
                    <xdr:rowOff>9525</xdr:rowOff>
                  </from>
                  <to>
                    <xdr:col>0</xdr:col>
                    <xdr:colOff>1076325</xdr:colOff>
                    <xdr:row>88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Check Box 89">
              <controlPr defaultSize="0" autoFill="0" autoLine="0" autoPict="0">
                <anchor moveWithCells="1">
                  <from>
                    <xdr:col>0</xdr:col>
                    <xdr:colOff>276225</xdr:colOff>
                    <xdr:row>89</xdr:row>
                    <xdr:rowOff>9525</xdr:rowOff>
                  </from>
                  <to>
                    <xdr:col>0</xdr:col>
                    <xdr:colOff>1076325</xdr:colOff>
                    <xdr:row>89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Check Box 90">
              <controlPr defaultSize="0" autoFill="0" autoLine="0" autoPict="0">
                <anchor moveWithCells="1">
                  <from>
                    <xdr:col>0</xdr:col>
                    <xdr:colOff>276225</xdr:colOff>
                    <xdr:row>90</xdr:row>
                    <xdr:rowOff>9525</xdr:rowOff>
                  </from>
                  <to>
                    <xdr:col>0</xdr:col>
                    <xdr:colOff>1076325</xdr:colOff>
                    <xdr:row>90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Check Box 91">
              <controlPr defaultSize="0" autoFill="0" autoLine="0" autoPict="0">
                <anchor moveWithCells="1">
                  <from>
                    <xdr:col>0</xdr:col>
                    <xdr:colOff>276225</xdr:colOff>
                    <xdr:row>91</xdr:row>
                    <xdr:rowOff>9525</xdr:rowOff>
                  </from>
                  <to>
                    <xdr:col>0</xdr:col>
                    <xdr:colOff>1076325</xdr:colOff>
                    <xdr:row>91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Check Box 92">
              <controlPr defaultSize="0" autoFill="0" autoLine="0" autoPict="0">
                <anchor moveWithCells="1">
                  <from>
                    <xdr:col>0</xdr:col>
                    <xdr:colOff>276225</xdr:colOff>
                    <xdr:row>92</xdr:row>
                    <xdr:rowOff>9525</xdr:rowOff>
                  </from>
                  <to>
                    <xdr:col>0</xdr:col>
                    <xdr:colOff>1076325</xdr:colOff>
                    <xdr:row>92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Check Box 93">
              <controlPr defaultSize="0" autoFill="0" autoLine="0" autoPict="0">
                <anchor moveWithCells="1">
                  <from>
                    <xdr:col>0</xdr:col>
                    <xdr:colOff>276225</xdr:colOff>
                    <xdr:row>93</xdr:row>
                    <xdr:rowOff>9525</xdr:rowOff>
                  </from>
                  <to>
                    <xdr:col>0</xdr:col>
                    <xdr:colOff>1076325</xdr:colOff>
                    <xdr:row>93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Check Box 94">
              <controlPr defaultSize="0" autoFill="0" autoLine="0" autoPict="0">
                <anchor moveWithCells="1">
                  <from>
                    <xdr:col>0</xdr:col>
                    <xdr:colOff>276225</xdr:colOff>
                    <xdr:row>94</xdr:row>
                    <xdr:rowOff>9525</xdr:rowOff>
                  </from>
                  <to>
                    <xdr:col>0</xdr:col>
                    <xdr:colOff>1076325</xdr:colOff>
                    <xdr:row>94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Check Box 95">
              <controlPr defaultSize="0" autoFill="0" autoLine="0" autoPict="0">
                <anchor moveWithCells="1">
                  <from>
                    <xdr:col>0</xdr:col>
                    <xdr:colOff>276225</xdr:colOff>
                    <xdr:row>95</xdr:row>
                    <xdr:rowOff>9525</xdr:rowOff>
                  </from>
                  <to>
                    <xdr:col>0</xdr:col>
                    <xdr:colOff>1076325</xdr:colOff>
                    <xdr:row>95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Check Box 96">
              <controlPr defaultSize="0" autoFill="0" autoLine="0" autoPict="0">
                <anchor moveWithCells="1">
                  <from>
                    <xdr:col>0</xdr:col>
                    <xdr:colOff>276225</xdr:colOff>
                    <xdr:row>96</xdr:row>
                    <xdr:rowOff>9525</xdr:rowOff>
                  </from>
                  <to>
                    <xdr:col>0</xdr:col>
                    <xdr:colOff>1076325</xdr:colOff>
                    <xdr:row>96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Check Box 97">
              <controlPr defaultSize="0" autoFill="0" autoLine="0" autoPict="0">
                <anchor moveWithCells="1">
                  <from>
                    <xdr:col>0</xdr:col>
                    <xdr:colOff>276225</xdr:colOff>
                    <xdr:row>97</xdr:row>
                    <xdr:rowOff>9525</xdr:rowOff>
                  </from>
                  <to>
                    <xdr:col>0</xdr:col>
                    <xdr:colOff>1076325</xdr:colOff>
                    <xdr:row>97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Check Box 98">
              <controlPr defaultSize="0" autoFill="0" autoLine="0" autoPict="0">
                <anchor moveWithCells="1">
                  <from>
                    <xdr:col>0</xdr:col>
                    <xdr:colOff>276225</xdr:colOff>
                    <xdr:row>98</xdr:row>
                    <xdr:rowOff>9525</xdr:rowOff>
                  </from>
                  <to>
                    <xdr:col>0</xdr:col>
                    <xdr:colOff>1076325</xdr:colOff>
                    <xdr:row>98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Check Box 99">
              <controlPr defaultSize="0" autoFill="0" autoLine="0" autoPict="0">
                <anchor moveWithCells="1">
                  <from>
                    <xdr:col>0</xdr:col>
                    <xdr:colOff>276225</xdr:colOff>
                    <xdr:row>99</xdr:row>
                    <xdr:rowOff>9525</xdr:rowOff>
                  </from>
                  <to>
                    <xdr:col>0</xdr:col>
                    <xdr:colOff>1076325</xdr:colOff>
                    <xdr:row>99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Check Box 100">
              <controlPr defaultSize="0" autoFill="0" autoLine="0" autoPict="0">
                <anchor moveWithCells="1">
                  <from>
                    <xdr:col>0</xdr:col>
                    <xdr:colOff>276225</xdr:colOff>
                    <xdr:row>100</xdr:row>
                    <xdr:rowOff>9525</xdr:rowOff>
                  </from>
                  <to>
                    <xdr:col>0</xdr:col>
                    <xdr:colOff>1076325</xdr:colOff>
                    <xdr:row>100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Check Box 101">
              <controlPr defaultSize="0" autoFill="0" autoLine="0" autoPict="0">
                <anchor moveWithCells="1">
                  <from>
                    <xdr:col>0</xdr:col>
                    <xdr:colOff>276225</xdr:colOff>
                    <xdr:row>101</xdr:row>
                    <xdr:rowOff>9525</xdr:rowOff>
                  </from>
                  <to>
                    <xdr:col>0</xdr:col>
                    <xdr:colOff>1076325</xdr:colOff>
                    <xdr:row>101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Check Box 102">
              <controlPr defaultSize="0" autoFill="0" autoLine="0" autoPict="0">
                <anchor moveWithCells="1">
                  <from>
                    <xdr:col>0</xdr:col>
                    <xdr:colOff>276225</xdr:colOff>
                    <xdr:row>102</xdr:row>
                    <xdr:rowOff>9525</xdr:rowOff>
                  </from>
                  <to>
                    <xdr:col>0</xdr:col>
                    <xdr:colOff>1076325</xdr:colOff>
                    <xdr:row>102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Check Box 103">
              <controlPr defaultSize="0" autoFill="0" autoLine="0" autoPict="0">
                <anchor moveWithCells="1">
                  <from>
                    <xdr:col>0</xdr:col>
                    <xdr:colOff>276225</xdr:colOff>
                    <xdr:row>103</xdr:row>
                    <xdr:rowOff>9525</xdr:rowOff>
                  </from>
                  <to>
                    <xdr:col>0</xdr:col>
                    <xdr:colOff>1076325</xdr:colOff>
                    <xdr:row>103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Check Box 104">
              <controlPr defaultSize="0" autoFill="0" autoLine="0" autoPict="0">
                <anchor moveWithCells="1">
                  <from>
                    <xdr:col>0</xdr:col>
                    <xdr:colOff>276225</xdr:colOff>
                    <xdr:row>104</xdr:row>
                    <xdr:rowOff>9525</xdr:rowOff>
                  </from>
                  <to>
                    <xdr:col>0</xdr:col>
                    <xdr:colOff>1076325</xdr:colOff>
                    <xdr:row>104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Check Box 105">
              <controlPr defaultSize="0" autoFill="0" autoLine="0" autoPict="0">
                <anchor moveWithCells="1">
                  <from>
                    <xdr:col>0</xdr:col>
                    <xdr:colOff>276225</xdr:colOff>
                    <xdr:row>105</xdr:row>
                    <xdr:rowOff>9525</xdr:rowOff>
                  </from>
                  <to>
                    <xdr:col>0</xdr:col>
                    <xdr:colOff>1076325</xdr:colOff>
                    <xdr:row>105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Check Box 106">
              <controlPr defaultSize="0" autoFill="0" autoLine="0" autoPict="0">
                <anchor moveWithCells="1">
                  <from>
                    <xdr:col>0</xdr:col>
                    <xdr:colOff>276225</xdr:colOff>
                    <xdr:row>106</xdr:row>
                    <xdr:rowOff>9525</xdr:rowOff>
                  </from>
                  <to>
                    <xdr:col>0</xdr:col>
                    <xdr:colOff>1076325</xdr:colOff>
                    <xdr:row>106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Check Box 107">
              <controlPr defaultSize="0" autoFill="0" autoLine="0" autoPict="0">
                <anchor moveWithCells="1">
                  <from>
                    <xdr:col>0</xdr:col>
                    <xdr:colOff>276225</xdr:colOff>
                    <xdr:row>107</xdr:row>
                    <xdr:rowOff>9525</xdr:rowOff>
                  </from>
                  <to>
                    <xdr:col>0</xdr:col>
                    <xdr:colOff>1076325</xdr:colOff>
                    <xdr:row>107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Check Box 108">
              <controlPr defaultSize="0" autoFill="0" autoLine="0" autoPict="0">
                <anchor moveWithCells="1">
                  <from>
                    <xdr:col>0</xdr:col>
                    <xdr:colOff>276225</xdr:colOff>
                    <xdr:row>108</xdr:row>
                    <xdr:rowOff>9525</xdr:rowOff>
                  </from>
                  <to>
                    <xdr:col>0</xdr:col>
                    <xdr:colOff>1076325</xdr:colOff>
                    <xdr:row>108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Check Box 109">
              <controlPr defaultSize="0" autoFill="0" autoLine="0" autoPict="0">
                <anchor moveWithCells="1">
                  <from>
                    <xdr:col>0</xdr:col>
                    <xdr:colOff>276225</xdr:colOff>
                    <xdr:row>109</xdr:row>
                    <xdr:rowOff>9525</xdr:rowOff>
                  </from>
                  <to>
                    <xdr:col>0</xdr:col>
                    <xdr:colOff>1076325</xdr:colOff>
                    <xdr:row>109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Check Box 110">
              <controlPr defaultSize="0" autoFill="0" autoLine="0" autoPict="0">
                <anchor moveWithCells="1">
                  <from>
                    <xdr:col>0</xdr:col>
                    <xdr:colOff>276225</xdr:colOff>
                    <xdr:row>110</xdr:row>
                    <xdr:rowOff>9525</xdr:rowOff>
                  </from>
                  <to>
                    <xdr:col>0</xdr:col>
                    <xdr:colOff>1076325</xdr:colOff>
                    <xdr:row>110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Check Box 111">
              <controlPr defaultSize="0" autoFill="0" autoLine="0" autoPict="0">
                <anchor moveWithCells="1">
                  <from>
                    <xdr:col>0</xdr:col>
                    <xdr:colOff>276225</xdr:colOff>
                    <xdr:row>111</xdr:row>
                    <xdr:rowOff>9525</xdr:rowOff>
                  </from>
                  <to>
                    <xdr:col>0</xdr:col>
                    <xdr:colOff>1076325</xdr:colOff>
                    <xdr:row>111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Check Box 112">
              <controlPr defaultSize="0" autoFill="0" autoLine="0" autoPict="0">
                <anchor moveWithCells="1">
                  <from>
                    <xdr:col>0</xdr:col>
                    <xdr:colOff>276225</xdr:colOff>
                    <xdr:row>112</xdr:row>
                    <xdr:rowOff>9525</xdr:rowOff>
                  </from>
                  <to>
                    <xdr:col>0</xdr:col>
                    <xdr:colOff>1076325</xdr:colOff>
                    <xdr:row>112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Check Box 113">
              <controlPr defaultSize="0" autoFill="0" autoLine="0" autoPict="0">
                <anchor moveWithCells="1">
                  <from>
                    <xdr:col>0</xdr:col>
                    <xdr:colOff>276225</xdr:colOff>
                    <xdr:row>113</xdr:row>
                    <xdr:rowOff>9525</xdr:rowOff>
                  </from>
                  <to>
                    <xdr:col>0</xdr:col>
                    <xdr:colOff>1076325</xdr:colOff>
                    <xdr:row>113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Check Box 114">
              <controlPr defaultSize="0" autoFill="0" autoLine="0" autoPict="0">
                <anchor moveWithCells="1">
                  <from>
                    <xdr:col>0</xdr:col>
                    <xdr:colOff>276225</xdr:colOff>
                    <xdr:row>114</xdr:row>
                    <xdr:rowOff>9525</xdr:rowOff>
                  </from>
                  <to>
                    <xdr:col>0</xdr:col>
                    <xdr:colOff>1076325</xdr:colOff>
                    <xdr:row>114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Check Box 115">
              <controlPr defaultSize="0" autoFill="0" autoLine="0" autoPict="0">
                <anchor moveWithCells="1">
                  <from>
                    <xdr:col>0</xdr:col>
                    <xdr:colOff>276225</xdr:colOff>
                    <xdr:row>115</xdr:row>
                    <xdr:rowOff>9525</xdr:rowOff>
                  </from>
                  <to>
                    <xdr:col>0</xdr:col>
                    <xdr:colOff>1076325</xdr:colOff>
                    <xdr:row>115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8" name="Check Box 116">
              <controlPr defaultSize="0" autoFill="0" autoLine="0" autoPict="0">
                <anchor moveWithCells="1">
                  <from>
                    <xdr:col>0</xdr:col>
                    <xdr:colOff>276225</xdr:colOff>
                    <xdr:row>116</xdr:row>
                    <xdr:rowOff>9525</xdr:rowOff>
                  </from>
                  <to>
                    <xdr:col>0</xdr:col>
                    <xdr:colOff>1076325</xdr:colOff>
                    <xdr:row>116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9" name="Check Box 117">
              <controlPr defaultSize="0" autoFill="0" autoLine="0" autoPict="0">
                <anchor moveWithCells="1">
                  <from>
                    <xdr:col>0</xdr:col>
                    <xdr:colOff>276225</xdr:colOff>
                    <xdr:row>117</xdr:row>
                    <xdr:rowOff>9525</xdr:rowOff>
                  </from>
                  <to>
                    <xdr:col>0</xdr:col>
                    <xdr:colOff>1076325</xdr:colOff>
                    <xdr:row>117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0" name="Check Box 118">
              <controlPr defaultSize="0" autoFill="0" autoLine="0" autoPict="0">
                <anchor moveWithCells="1">
                  <from>
                    <xdr:col>0</xdr:col>
                    <xdr:colOff>276225</xdr:colOff>
                    <xdr:row>118</xdr:row>
                    <xdr:rowOff>9525</xdr:rowOff>
                  </from>
                  <to>
                    <xdr:col>0</xdr:col>
                    <xdr:colOff>1076325</xdr:colOff>
                    <xdr:row>118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1" name="Check Box 119">
              <controlPr defaultSize="0" autoFill="0" autoLine="0" autoPict="0">
                <anchor moveWithCells="1">
                  <from>
                    <xdr:col>0</xdr:col>
                    <xdr:colOff>276225</xdr:colOff>
                    <xdr:row>119</xdr:row>
                    <xdr:rowOff>9525</xdr:rowOff>
                  </from>
                  <to>
                    <xdr:col>0</xdr:col>
                    <xdr:colOff>1076325</xdr:colOff>
                    <xdr:row>119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2" name="Check Box 120">
              <controlPr defaultSize="0" autoFill="0" autoLine="0" autoPict="0">
                <anchor moveWithCells="1">
                  <from>
                    <xdr:col>0</xdr:col>
                    <xdr:colOff>276225</xdr:colOff>
                    <xdr:row>120</xdr:row>
                    <xdr:rowOff>9525</xdr:rowOff>
                  </from>
                  <to>
                    <xdr:col>0</xdr:col>
                    <xdr:colOff>1076325</xdr:colOff>
                    <xdr:row>120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3" name="Check Box 121">
              <controlPr defaultSize="0" autoFill="0" autoLine="0" autoPict="0">
                <anchor moveWithCells="1">
                  <from>
                    <xdr:col>0</xdr:col>
                    <xdr:colOff>276225</xdr:colOff>
                    <xdr:row>121</xdr:row>
                    <xdr:rowOff>9525</xdr:rowOff>
                  </from>
                  <to>
                    <xdr:col>0</xdr:col>
                    <xdr:colOff>1076325</xdr:colOff>
                    <xdr:row>121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4" name="Check Box 122">
              <controlPr defaultSize="0" autoFill="0" autoLine="0" autoPict="0">
                <anchor moveWithCells="1">
                  <from>
                    <xdr:col>0</xdr:col>
                    <xdr:colOff>276225</xdr:colOff>
                    <xdr:row>122</xdr:row>
                    <xdr:rowOff>9525</xdr:rowOff>
                  </from>
                  <to>
                    <xdr:col>0</xdr:col>
                    <xdr:colOff>1076325</xdr:colOff>
                    <xdr:row>122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5" name="Check Box 123">
              <controlPr defaultSize="0" autoFill="0" autoLine="0" autoPict="0">
                <anchor moveWithCells="1">
                  <from>
                    <xdr:col>0</xdr:col>
                    <xdr:colOff>276225</xdr:colOff>
                    <xdr:row>123</xdr:row>
                    <xdr:rowOff>9525</xdr:rowOff>
                  </from>
                  <to>
                    <xdr:col>0</xdr:col>
                    <xdr:colOff>1076325</xdr:colOff>
                    <xdr:row>123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6" name="Check Box 124">
              <controlPr defaultSize="0" autoFill="0" autoLine="0" autoPict="0">
                <anchor moveWithCells="1">
                  <from>
                    <xdr:col>0</xdr:col>
                    <xdr:colOff>276225</xdr:colOff>
                    <xdr:row>124</xdr:row>
                    <xdr:rowOff>9525</xdr:rowOff>
                  </from>
                  <to>
                    <xdr:col>0</xdr:col>
                    <xdr:colOff>1076325</xdr:colOff>
                    <xdr:row>124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7" name="Check Box 125">
              <controlPr defaultSize="0" autoFill="0" autoLine="0" autoPict="0">
                <anchor moveWithCells="1">
                  <from>
                    <xdr:col>0</xdr:col>
                    <xdr:colOff>276225</xdr:colOff>
                    <xdr:row>125</xdr:row>
                    <xdr:rowOff>9525</xdr:rowOff>
                  </from>
                  <to>
                    <xdr:col>0</xdr:col>
                    <xdr:colOff>1076325</xdr:colOff>
                    <xdr:row>125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8" name="Check Box 126">
              <controlPr defaultSize="0" autoFill="0" autoLine="0" autoPict="0">
                <anchor moveWithCells="1">
                  <from>
                    <xdr:col>0</xdr:col>
                    <xdr:colOff>276225</xdr:colOff>
                    <xdr:row>126</xdr:row>
                    <xdr:rowOff>9525</xdr:rowOff>
                  </from>
                  <to>
                    <xdr:col>0</xdr:col>
                    <xdr:colOff>1076325</xdr:colOff>
                    <xdr:row>126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9" name="Check Box 127">
              <controlPr defaultSize="0" autoFill="0" autoLine="0" autoPict="0">
                <anchor moveWithCells="1">
                  <from>
                    <xdr:col>0</xdr:col>
                    <xdr:colOff>276225</xdr:colOff>
                    <xdr:row>127</xdr:row>
                    <xdr:rowOff>9525</xdr:rowOff>
                  </from>
                  <to>
                    <xdr:col>0</xdr:col>
                    <xdr:colOff>1076325</xdr:colOff>
                    <xdr:row>127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0" name="Check Box 128">
              <controlPr defaultSize="0" autoFill="0" autoLine="0" autoPict="0">
                <anchor moveWithCells="1">
                  <from>
                    <xdr:col>0</xdr:col>
                    <xdr:colOff>276225</xdr:colOff>
                    <xdr:row>128</xdr:row>
                    <xdr:rowOff>9525</xdr:rowOff>
                  </from>
                  <to>
                    <xdr:col>0</xdr:col>
                    <xdr:colOff>1076325</xdr:colOff>
                    <xdr:row>128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1" name="Check Box 129">
              <controlPr defaultSize="0" autoFill="0" autoLine="0" autoPict="0">
                <anchor moveWithCells="1">
                  <from>
                    <xdr:col>0</xdr:col>
                    <xdr:colOff>276225</xdr:colOff>
                    <xdr:row>129</xdr:row>
                    <xdr:rowOff>9525</xdr:rowOff>
                  </from>
                  <to>
                    <xdr:col>0</xdr:col>
                    <xdr:colOff>1076325</xdr:colOff>
                    <xdr:row>129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2" name="Check Box 130">
              <controlPr defaultSize="0" autoFill="0" autoLine="0" autoPict="0">
                <anchor moveWithCells="1">
                  <from>
                    <xdr:col>0</xdr:col>
                    <xdr:colOff>276225</xdr:colOff>
                    <xdr:row>130</xdr:row>
                    <xdr:rowOff>9525</xdr:rowOff>
                  </from>
                  <to>
                    <xdr:col>0</xdr:col>
                    <xdr:colOff>1076325</xdr:colOff>
                    <xdr:row>130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3" name="Check Box 131">
              <controlPr defaultSize="0" autoFill="0" autoLine="0" autoPict="0">
                <anchor moveWithCells="1">
                  <from>
                    <xdr:col>0</xdr:col>
                    <xdr:colOff>276225</xdr:colOff>
                    <xdr:row>131</xdr:row>
                    <xdr:rowOff>9525</xdr:rowOff>
                  </from>
                  <to>
                    <xdr:col>0</xdr:col>
                    <xdr:colOff>1076325</xdr:colOff>
                    <xdr:row>131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4" name="Check Box 132">
              <controlPr defaultSize="0" autoFill="0" autoLine="0" autoPict="0">
                <anchor moveWithCells="1">
                  <from>
                    <xdr:col>0</xdr:col>
                    <xdr:colOff>276225</xdr:colOff>
                    <xdr:row>132</xdr:row>
                    <xdr:rowOff>9525</xdr:rowOff>
                  </from>
                  <to>
                    <xdr:col>0</xdr:col>
                    <xdr:colOff>1076325</xdr:colOff>
                    <xdr:row>132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5" name="Check Box 133">
              <controlPr defaultSize="0" autoFill="0" autoLine="0" autoPict="0">
                <anchor moveWithCells="1">
                  <from>
                    <xdr:col>0</xdr:col>
                    <xdr:colOff>276225</xdr:colOff>
                    <xdr:row>133</xdr:row>
                    <xdr:rowOff>9525</xdr:rowOff>
                  </from>
                  <to>
                    <xdr:col>0</xdr:col>
                    <xdr:colOff>1076325</xdr:colOff>
                    <xdr:row>133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6" name="Check Box 134">
              <controlPr defaultSize="0" autoFill="0" autoLine="0" autoPict="0">
                <anchor moveWithCells="1">
                  <from>
                    <xdr:col>0</xdr:col>
                    <xdr:colOff>276225</xdr:colOff>
                    <xdr:row>134</xdr:row>
                    <xdr:rowOff>9525</xdr:rowOff>
                  </from>
                  <to>
                    <xdr:col>0</xdr:col>
                    <xdr:colOff>1076325</xdr:colOff>
                    <xdr:row>134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7" name="Check Box 135">
              <controlPr defaultSize="0" autoFill="0" autoLine="0" autoPict="0">
                <anchor moveWithCells="1">
                  <from>
                    <xdr:col>0</xdr:col>
                    <xdr:colOff>276225</xdr:colOff>
                    <xdr:row>135</xdr:row>
                    <xdr:rowOff>9525</xdr:rowOff>
                  </from>
                  <to>
                    <xdr:col>0</xdr:col>
                    <xdr:colOff>1076325</xdr:colOff>
                    <xdr:row>135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8" name="Check Box 136">
              <controlPr defaultSize="0" autoFill="0" autoLine="0" autoPict="0">
                <anchor moveWithCells="1">
                  <from>
                    <xdr:col>0</xdr:col>
                    <xdr:colOff>276225</xdr:colOff>
                    <xdr:row>136</xdr:row>
                    <xdr:rowOff>9525</xdr:rowOff>
                  </from>
                  <to>
                    <xdr:col>0</xdr:col>
                    <xdr:colOff>1076325</xdr:colOff>
                    <xdr:row>136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9" name="Check Box 137">
              <controlPr defaultSize="0" autoFill="0" autoLine="0" autoPict="0">
                <anchor moveWithCells="1">
                  <from>
                    <xdr:col>0</xdr:col>
                    <xdr:colOff>276225</xdr:colOff>
                    <xdr:row>137</xdr:row>
                    <xdr:rowOff>9525</xdr:rowOff>
                  </from>
                  <to>
                    <xdr:col>0</xdr:col>
                    <xdr:colOff>1076325</xdr:colOff>
                    <xdr:row>137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0" name="Check Box 138">
              <controlPr defaultSize="0" autoFill="0" autoLine="0" autoPict="0">
                <anchor moveWithCells="1">
                  <from>
                    <xdr:col>0</xdr:col>
                    <xdr:colOff>276225</xdr:colOff>
                    <xdr:row>138</xdr:row>
                    <xdr:rowOff>9525</xdr:rowOff>
                  </from>
                  <to>
                    <xdr:col>0</xdr:col>
                    <xdr:colOff>1076325</xdr:colOff>
                    <xdr:row>138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1" name="Check Box 139">
              <controlPr defaultSize="0" autoFill="0" autoLine="0" autoPict="0">
                <anchor moveWithCells="1">
                  <from>
                    <xdr:col>0</xdr:col>
                    <xdr:colOff>276225</xdr:colOff>
                    <xdr:row>139</xdr:row>
                    <xdr:rowOff>9525</xdr:rowOff>
                  </from>
                  <to>
                    <xdr:col>0</xdr:col>
                    <xdr:colOff>1076325</xdr:colOff>
                    <xdr:row>139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2" name="Check Box 140">
              <controlPr defaultSize="0" autoFill="0" autoLine="0" autoPict="0">
                <anchor moveWithCells="1">
                  <from>
                    <xdr:col>0</xdr:col>
                    <xdr:colOff>276225</xdr:colOff>
                    <xdr:row>140</xdr:row>
                    <xdr:rowOff>9525</xdr:rowOff>
                  </from>
                  <to>
                    <xdr:col>0</xdr:col>
                    <xdr:colOff>1076325</xdr:colOff>
                    <xdr:row>140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3" name="Check Box 141">
              <controlPr defaultSize="0" autoFill="0" autoLine="0" autoPict="0">
                <anchor moveWithCells="1">
                  <from>
                    <xdr:col>0</xdr:col>
                    <xdr:colOff>276225</xdr:colOff>
                    <xdr:row>141</xdr:row>
                    <xdr:rowOff>9525</xdr:rowOff>
                  </from>
                  <to>
                    <xdr:col>0</xdr:col>
                    <xdr:colOff>1076325</xdr:colOff>
                    <xdr:row>141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4" name="Check Box 142">
              <controlPr defaultSize="0" autoFill="0" autoLine="0" autoPict="0">
                <anchor moveWithCells="1">
                  <from>
                    <xdr:col>0</xdr:col>
                    <xdr:colOff>276225</xdr:colOff>
                    <xdr:row>142</xdr:row>
                    <xdr:rowOff>9525</xdr:rowOff>
                  </from>
                  <to>
                    <xdr:col>0</xdr:col>
                    <xdr:colOff>1076325</xdr:colOff>
                    <xdr:row>142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5" name="Check Box 143">
              <controlPr defaultSize="0" autoFill="0" autoLine="0" autoPict="0">
                <anchor moveWithCells="1">
                  <from>
                    <xdr:col>0</xdr:col>
                    <xdr:colOff>276225</xdr:colOff>
                    <xdr:row>143</xdr:row>
                    <xdr:rowOff>9525</xdr:rowOff>
                  </from>
                  <to>
                    <xdr:col>0</xdr:col>
                    <xdr:colOff>1076325</xdr:colOff>
                    <xdr:row>143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6" name="Check Box 144">
              <controlPr defaultSize="0" autoFill="0" autoLine="0" autoPict="0">
                <anchor moveWithCells="1">
                  <from>
                    <xdr:col>0</xdr:col>
                    <xdr:colOff>276225</xdr:colOff>
                    <xdr:row>144</xdr:row>
                    <xdr:rowOff>9525</xdr:rowOff>
                  </from>
                  <to>
                    <xdr:col>0</xdr:col>
                    <xdr:colOff>1076325</xdr:colOff>
                    <xdr:row>144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7" name="Check Box 145">
              <controlPr defaultSize="0" autoFill="0" autoLine="0" autoPict="0">
                <anchor moveWithCells="1">
                  <from>
                    <xdr:col>0</xdr:col>
                    <xdr:colOff>276225</xdr:colOff>
                    <xdr:row>145</xdr:row>
                    <xdr:rowOff>9525</xdr:rowOff>
                  </from>
                  <to>
                    <xdr:col>0</xdr:col>
                    <xdr:colOff>1076325</xdr:colOff>
                    <xdr:row>145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8" name="Check Box 146">
              <controlPr defaultSize="0" autoFill="0" autoLine="0" autoPict="0">
                <anchor moveWithCells="1">
                  <from>
                    <xdr:col>0</xdr:col>
                    <xdr:colOff>276225</xdr:colOff>
                    <xdr:row>146</xdr:row>
                    <xdr:rowOff>9525</xdr:rowOff>
                  </from>
                  <to>
                    <xdr:col>0</xdr:col>
                    <xdr:colOff>1076325</xdr:colOff>
                    <xdr:row>146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9" name="Check Box 147">
              <controlPr defaultSize="0" autoFill="0" autoLine="0" autoPict="0">
                <anchor moveWithCells="1">
                  <from>
                    <xdr:col>0</xdr:col>
                    <xdr:colOff>276225</xdr:colOff>
                    <xdr:row>147</xdr:row>
                    <xdr:rowOff>9525</xdr:rowOff>
                  </from>
                  <to>
                    <xdr:col>0</xdr:col>
                    <xdr:colOff>1076325</xdr:colOff>
                    <xdr:row>147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0" name="Check Box 148">
              <controlPr defaultSize="0" autoFill="0" autoLine="0" autoPict="0">
                <anchor moveWithCells="1">
                  <from>
                    <xdr:col>0</xdr:col>
                    <xdr:colOff>276225</xdr:colOff>
                    <xdr:row>148</xdr:row>
                    <xdr:rowOff>9525</xdr:rowOff>
                  </from>
                  <to>
                    <xdr:col>0</xdr:col>
                    <xdr:colOff>1076325</xdr:colOff>
                    <xdr:row>148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1" name="Check Box 149">
              <controlPr defaultSize="0" autoFill="0" autoLine="0" autoPict="0">
                <anchor moveWithCells="1">
                  <from>
                    <xdr:col>0</xdr:col>
                    <xdr:colOff>276225</xdr:colOff>
                    <xdr:row>149</xdr:row>
                    <xdr:rowOff>9525</xdr:rowOff>
                  </from>
                  <to>
                    <xdr:col>0</xdr:col>
                    <xdr:colOff>1076325</xdr:colOff>
                    <xdr:row>149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2" name="Check Box 150">
              <controlPr defaultSize="0" autoFill="0" autoLine="0" autoPict="0">
                <anchor moveWithCells="1">
                  <from>
                    <xdr:col>0</xdr:col>
                    <xdr:colOff>276225</xdr:colOff>
                    <xdr:row>150</xdr:row>
                    <xdr:rowOff>9525</xdr:rowOff>
                  </from>
                  <to>
                    <xdr:col>0</xdr:col>
                    <xdr:colOff>1076325</xdr:colOff>
                    <xdr:row>150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3" name="Check Box 151">
              <controlPr defaultSize="0" autoFill="0" autoLine="0" autoPict="0">
                <anchor moveWithCells="1">
                  <from>
                    <xdr:col>0</xdr:col>
                    <xdr:colOff>276225</xdr:colOff>
                    <xdr:row>151</xdr:row>
                    <xdr:rowOff>9525</xdr:rowOff>
                  </from>
                  <to>
                    <xdr:col>0</xdr:col>
                    <xdr:colOff>1076325</xdr:colOff>
                    <xdr:row>151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4" name="Check Box 152">
              <controlPr defaultSize="0" autoFill="0" autoLine="0" autoPict="0">
                <anchor moveWithCells="1">
                  <from>
                    <xdr:col>0</xdr:col>
                    <xdr:colOff>276225</xdr:colOff>
                    <xdr:row>152</xdr:row>
                    <xdr:rowOff>9525</xdr:rowOff>
                  </from>
                  <to>
                    <xdr:col>0</xdr:col>
                    <xdr:colOff>1076325</xdr:colOff>
                    <xdr:row>152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5" name="Check Box 153">
              <controlPr defaultSize="0" autoFill="0" autoLine="0" autoPict="0">
                <anchor moveWithCells="1">
                  <from>
                    <xdr:col>0</xdr:col>
                    <xdr:colOff>276225</xdr:colOff>
                    <xdr:row>153</xdr:row>
                    <xdr:rowOff>9525</xdr:rowOff>
                  </from>
                  <to>
                    <xdr:col>0</xdr:col>
                    <xdr:colOff>1076325</xdr:colOff>
                    <xdr:row>153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6B459BD5-7FDA-4C37-A606-9946576E540F}"/>
</file>

<file path=customXml/itemProps2.xml><?xml version="1.0" encoding="utf-8"?>
<ds:datastoreItem xmlns:ds="http://schemas.openxmlformats.org/officeDocument/2006/customXml" ds:itemID="{B01D7B2B-FE3E-41D6-A41A-2302D3856A12}"/>
</file>

<file path=customXml/itemProps3.xml><?xml version="1.0" encoding="utf-8"?>
<ds:datastoreItem xmlns:ds="http://schemas.openxmlformats.org/officeDocument/2006/customXml" ds:itemID="{5426C944-5D88-4BD2-9988-B7263104AF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Kiscaden</dc:creator>
  <cp:keywords/>
  <dc:description/>
  <cp:lastModifiedBy>Kiscaden, Elizabeth</cp:lastModifiedBy>
  <cp:revision/>
  <dcterms:created xsi:type="dcterms:W3CDTF">2022-03-02T05:10:07Z</dcterms:created>
  <dcterms:modified xsi:type="dcterms:W3CDTF">2022-03-02T19:35:16Z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290100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