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A9237FBD-7C44-445A-8C68-89FA4AEBE002}" xr6:coauthVersionLast="47" xr6:coauthVersionMax="47" xr10:uidLastSave="{00000000-0000-0000-0000-000000000000}"/>
  <bookViews>
    <workbookView xWindow="-28920" yWindow="-120" windowWidth="29040" windowHeight="15840" xr2:uid="{D458AC54-2C9E-40AF-B222-901FCAD22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34" i="1" l="1"/>
  <c r="AU634" i="1"/>
  <c r="AT634" i="1"/>
  <c r="AV633" i="1"/>
  <c r="AU633" i="1"/>
  <c r="AT633" i="1"/>
  <c r="AV632" i="1"/>
  <c r="AU632" i="1"/>
  <c r="AT632" i="1"/>
  <c r="AV631" i="1"/>
  <c r="AU631" i="1"/>
  <c r="AT631" i="1"/>
  <c r="AV630" i="1"/>
  <c r="AU630" i="1"/>
  <c r="AT630" i="1"/>
  <c r="AV629" i="1"/>
  <c r="AU629" i="1"/>
  <c r="AT629" i="1"/>
  <c r="AV628" i="1"/>
  <c r="AU628" i="1"/>
  <c r="AT628" i="1"/>
  <c r="AV627" i="1"/>
  <c r="AU627" i="1"/>
  <c r="AV626" i="1"/>
  <c r="AU626" i="1"/>
  <c r="AT626" i="1"/>
  <c r="AV625" i="1"/>
  <c r="AU625" i="1"/>
  <c r="AT625" i="1"/>
  <c r="AV624" i="1"/>
  <c r="AU624" i="1"/>
  <c r="AT624" i="1"/>
  <c r="AV623" i="1"/>
  <c r="AU623" i="1"/>
  <c r="AT623" i="1"/>
  <c r="AV622" i="1"/>
  <c r="AU622" i="1"/>
  <c r="AV621" i="1"/>
  <c r="AU621" i="1"/>
  <c r="AV620" i="1"/>
  <c r="AU620" i="1"/>
  <c r="AT620" i="1"/>
  <c r="AV619" i="1"/>
  <c r="AU619" i="1"/>
  <c r="AV618" i="1"/>
  <c r="AU618" i="1"/>
  <c r="AV617" i="1"/>
  <c r="AU617" i="1"/>
  <c r="AT617" i="1"/>
  <c r="AV616" i="1"/>
  <c r="AU616" i="1"/>
  <c r="AT616" i="1"/>
  <c r="AV615" i="1"/>
  <c r="AU615" i="1"/>
  <c r="AT615" i="1"/>
  <c r="AV614" i="1"/>
  <c r="AU614" i="1"/>
  <c r="AV613" i="1"/>
  <c r="AU613" i="1"/>
  <c r="AT613" i="1"/>
  <c r="AV612" i="1"/>
  <c r="AU612" i="1"/>
  <c r="AV611" i="1"/>
  <c r="AU611" i="1"/>
  <c r="AT611" i="1"/>
  <c r="AV610" i="1"/>
  <c r="AU610" i="1"/>
  <c r="AV609" i="1"/>
  <c r="AU609" i="1"/>
  <c r="AT609" i="1"/>
  <c r="AV608" i="1"/>
  <c r="AU608" i="1"/>
  <c r="AT608" i="1"/>
  <c r="AV607" i="1"/>
  <c r="AU607" i="1"/>
  <c r="AT607" i="1"/>
  <c r="AV606" i="1"/>
  <c r="AU606" i="1"/>
  <c r="AV605" i="1"/>
  <c r="AU605" i="1"/>
  <c r="AT605" i="1"/>
  <c r="AV604" i="1"/>
  <c r="AU604" i="1"/>
  <c r="AT604" i="1"/>
  <c r="AV603" i="1"/>
  <c r="AU603" i="1"/>
  <c r="AT603" i="1"/>
  <c r="AV602" i="1"/>
  <c r="AU602" i="1"/>
  <c r="AT602" i="1"/>
  <c r="AV601" i="1"/>
  <c r="AU601" i="1"/>
  <c r="AT601" i="1"/>
  <c r="AV600" i="1"/>
  <c r="AU600" i="1"/>
  <c r="AT600" i="1"/>
  <c r="AV599" i="1"/>
  <c r="AU599" i="1"/>
  <c r="AT599" i="1"/>
  <c r="AV598" i="1"/>
  <c r="AU598" i="1"/>
  <c r="AT598" i="1"/>
  <c r="AV597" i="1"/>
  <c r="AU597" i="1"/>
  <c r="AT597" i="1"/>
  <c r="AV596" i="1"/>
  <c r="AU596" i="1"/>
  <c r="AT596" i="1"/>
  <c r="AV595" i="1"/>
  <c r="AU595" i="1"/>
  <c r="AV594" i="1"/>
  <c r="AU594" i="1"/>
  <c r="AT594" i="1"/>
  <c r="AV593" i="1"/>
  <c r="AU593" i="1"/>
  <c r="AT593" i="1"/>
  <c r="AV592" i="1"/>
  <c r="AU592" i="1"/>
  <c r="AT592" i="1"/>
  <c r="AV591" i="1"/>
  <c r="AU591" i="1"/>
  <c r="AV590" i="1"/>
  <c r="AU590" i="1"/>
  <c r="AT590" i="1"/>
  <c r="AV589" i="1"/>
  <c r="AU589" i="1"/>
  <c r="AV588" i="1"/>
  <c r="AU588" i="1"/>
  <c r="AV587" i="1"/>
  <c r="AU587" i="1"/>
  <c r="AV586" i="1"/>
  <c r="AU586" i="1"/>
  <c r="AV585" i="1"/>
  <c r="AU585" i="1"/>
  <c r="AT585" i="1"/>
  <c r="AV584" i="1"/>
  <c r="AU584" i="1"/>
  <c r="AT584" i="1"/>
  <c r="AV583" i="1"/>
  <c r="AU583" i="1"/>
  <c r="AT583" i="1"/>
  <c r="AV582" i="1"/>
  <c r="AU582" i="1"/>
  <c r="AT582" i="1"/>
  <c r="AV581" i="1"/>
  <c r="AU581" i="1"/>
  <c r="AT581" i="1"/>
  <c r="AV580" i="1"/>
  <c r="AU580" i="1"/>
  <c r="AV579" i="1"/>
  <c r="AU579" i="1"/>
  <c r="AT579" i="1"/>
  <c r="AV578" i="1"/>
  <c r="AU578" i="1"/>
  <c r="AT578" i="1"/>
  <c r="AV577" i="1"/>
  <c r="AU577" i="1"/>
  <c r="AT577" i="1"/>
  <c r="AV576" i="1"/>
  <c r="AU576" i="1"/>
  <c r="AV575" i="1"/>
  <c r="AU575" i="1"/>
  <c r="AT575" i="1"/>
  <c r="AV574" i="1"/>
  <c r="AU574" i="1"/>
  <c r="AT574" i="1"/>
  <c r="AV573" i="1"/>
  <c r="AU573" i="1"/>
  <c r="AT573" i="1"/>
  <c r="AV572" i="1"/>
  <c r="AU572" i="1"/>
  <c r="AT572" i="1"/>
  <c r="AV571" i="1"/>
  <c r="AU571" i="1"/>
  <c r="AV570" i="1"/>
  <c r="AU570" i="1"/>
  <c r="AV569" i="1"/>
  <c r="AU569" i="1"/>
  <c r="AT569" i="1"/>
  <c r="AV568" i="1"/>
  <c r="AU568" i="1"/>
  <c r="AV567" i="1"/>
  <c r="AU567" i="1"/>
  <c r="AV566" i="1"/>
  <c r="AU566" i="1"/>
  <c r="AT566" i="1"/>
  <c r="AV565" i="1"/>
  <c r="AU565" i="1"/>
  <c r="AT565" i="1"/>
  <c r="AV564" i="1"/>
  <c r="AU564" i="1"/>
  <c r="AT564" i="1"/>
  <c r="AV563" i="1"/>
  <c r="AU563" i="1"/>
  <c r="AT563" i="1"/>
  <c r="AV562" i="1"/>
  <c r="AU562" i="1"/>
  <c r="AT562" i="1"/>
  <c r="AV561" i="1"/>
  <c r="AU561" i="1"/>
  <c r="AT561" i="1"/>
  <c r="AV560" i="1"/>
  <c r="AU560" i="1"/>
  <c r="AV559" i="1"/>
  <c r="AU559" i="1"/>
  <c r="AT559" i="1"/>
  <c r="AV558" i="1"/>
  <c r="AU558" i="1"/>
  <c r="AV557" i="1"/>
  <c r="AU557" i="1"/>
  <c r="AV556" i="1"/>
  <c r="AU556" i="1"/>
  <c r="AT556" i="1"/>
  <c r="AV555" i="1"/>
  <c r="AU555" i="1"/>
  <c r="AT555" i="1"/>
  <c r="AV554" i="1"/>
  <c r="AU554" i="1"/>
  <c r="AV553" i="1"/>
  <c r="AU553" i="1"/>
  <c r="AT553" i="1"/>
  <c r="AV552" i="1"/>
  <c r="AU552" i="1"/>
  <c r="AT552" i="1"/>
  <c r="AV551" i="1"/>
  <c r="AU551" i="1"/>
  <c r="AT551" i="1"/>
  <c r="AV550" i="1"/>
  <c r="AU550" i="1"/>
  <c r="AV549" i="1"/>
  <c r="AU549" i="1"/>
  <c r="AT549" i="1"/>
  <c r="AV548" i="1"/>
  <c r="AU548" i="1"/>
  <c r="AV547" i="1"/>
  <c r="AU547" i="1"/>
  <c r="AT547" i="1"/>
  <c r="AV546" i="1"/>
  <c r="AU546" i="1"/>
  <c r="AV545" i="1"/>
  <c r="AU545" i="1"/>
  <c r="AV544" i="1"/>
  <c r="AU544" i="1"/>
  <c r="AV543" i="1"/>
  <c r="AU543" i="1"/>
  <c r="AT543" i="1"/>
  <c r="AV542" i="1"/>
  <c r="AU542" i="1"/>
  <c r="AT542" i="1"/>
  <c r="AV541" i="1"/>
  <c r="AU541" i="1"/>
  <c r="AV540" i="1"/>
  <c r="AU540" i="1"/>
  <c r="AT540" i="1"/>
  <c r="AV539" i="1"/>
  <c r="AU539" i="1"/>
  <c r="AV538" i="1"/>
  <c r="AU538" i="1"/>
  <c r="AV537" i="1"/>
  <c r="AU537" i="1"/>
  <c r="AV536" i="1"/>
  <c r="AU536" i="1"/>
  <c r="AT536" i="1"/>
  <c r="AV535" i="1"/>
  <c r="AU535" i="1"/>
  <c r="AT535" i="1"/>
  <c r="AV534" i="1"/>
  <c r="AU534" i="1"/>
  <c r="AV533" i="1"/>
  <c r="AU533" i="1"/>
  <c r="AV532" i="1"/>
  <c r="AU532" i="1"/>
  <c r="AT532" i="1"/>
  <c r="AV531" i="1"/>
  <c r="AU531" i="1"/>
  <c r="AT531" i="1"/>
  <c r="AV530" i="1"/>
  <c r="AU530" i="1"/>
  <c r="AV529" i="1"/>
  <c r="AU529" i="1"/>
  <c r="AV528" i="1"/>
  <c r="AU528" i="1"/>
  <c r="AV527" i="1"/>
  <c r="AU527" i="1"/>
  <c r="AT527" i="1"/>
  <c r="AV526" i="1"/>
  <c r="AU526" i="1"/>
  <c r="AT526" i="1"/>
  <c r="AV525" i="1"/>
  <c r="AU525" i="1"/>
  <c r="AT525" i="1"/>
  <c r="AV524" i="1"/>
  <c r="AU524" i="1"/>
  <c r="AV523" i="1"/>
  <c r="AU523" i="1"/>
  <c r="AV522" i="1"/>
  <c r="AU522" i="1"/>
  <c r="AT522" i="1"/>
  <c r="AV521" i="1"/>
  <c r="AU521" i="1"/>
  <c r="AT521" i="1"/>
  <c r="AV520" i="1"/>
  <c r="AU520" i="1"/>
  <c r="AT520" i="1"/>
  <c r="AV519" i="1"/>
  <c r="AU519" i="1"/>
  <c r="AT519" i="1"/>
  <c r="AV518" i="1"/>
  <c r="AU518" i="1"/>
  <c r="AV517" i="1"/>
  <c r="AU517" i="1"/>
  <c r="AV516" i="1"/>
  <c r="AU516" i="1"/>
  <c r="AT516" i="1"/>
  <c r="AV515" i="1"/>
  <c r="AU515" i="1"/>
  <c r="AV514" i="1"/>
  <c r="AU514" i="1"/>
  <c r="AT514" i="1"/>
  <c r="AV513" i="1"/>
  <c r="AU513" i="1"/>
  <c r="AV512" i="1"/>
  <c r="AU512" i="1"/>
  <c r="AV511" i="1"/>
  <c r="AU511" i="1"/>
  <c r="AT511" i="1"/>
  <c r="AV510" i="1"/>
  <c r="AU510" i="1"/>
  <c r="AV509" i="1"/>
  <c r="AU509" i="1"/>
  <c r="AT509" i="1"/>
  <c r="AV508" i="1"/>
  <c r="AU508" i="1"/>
  <c r="AV507" i="1"/>
  <c r="AU507" i="1"/>
  <c r="AT507" i="1"/>
  <c r="AV506" i="1"/>
  <c r="AU506" i="1"/>
  <c r="AT506" i="1"/>
  <c r="AV505" i="1"/>
  <c r="AU505" i="1"/>
  <c r="AT505" i="1"/>
  <c r="AV504" i="1"/>
  <c r="AU504" i="1"/>
  <c r="AV503" i="1"/>
  <c r="AU503" i="1"/>
  <c r="AT503" i="1"/>
  <c r="AV502" i="1"/>
  <c r="AU502" i="1"/>
  <c r="AT502" i="1"/>
  <c r="AV501" i="1"/>
  <c r="AU501" i="1"/>
  <c r="AT501" i="1"/>
  <c r="AV500" i="1"/>
  <c r="AU500" i="1"/>
  <c r="AV499" i="1"/>
  <c r="AU499" i="1"/>
  <c r="AT499" i="1"/>
  <c r="AV498" i="1"/>
  <c r="AU498" i="1"/>
  <c r="AV497" i="1"/>
  <c r="AU497" i="1"/>
  <c r="AT497" i="1"/>
  <c r="AV496" i="1"/>
  <c r="AU496" i="1"/>
  <c r="AV495" i="1"/>
  <c r="AU495" i="1"/>
  <c r="AT495" i="1"/>
  <c r="AV494" i="1"/>
  <c r="AU494" i="1"/>
  <c r="AT494" i="1"/>
  <c r="AV493" i="1"/>
  <c r="AU493" i="1"/>
  <c r="AV492" i="1"/>
  <c r="AU492" i="1"/>
  <c r="AT492" i="1"/>
  <c r="AV491" i="1"/>
  <c r="AU491" i="1"/>
  <c r="AT491" i="1"/>
  <c r="AV490" i="1"/>
  <c r="AU490" i="1"/>
  <c r="AV489" i="1"/>
  <c r="AU489" i="1"/>
  <c r="AV488" i="1"/>
  <c r="AU488" i="1"/>
  <c r="AT488" i="1"/>
  <c r="AV487" i="1"/>
  <c r="AU487" i="1"/>
  <c r="AV486" i="1"/>
  <c r="AU486" i="1"/>
  <c r="AT486" i="1"/>
  <c r="AV485" i="1"/>
  <c r="AU485" i="1"/>
  <c r="AT485" i="1"/>
  <c r="AV484" i="1"/>
  <c r="AU484" i="1"/>
  <c r="AT484" i="1"/>
  <c r="AV483" i="1"/>
  <c r="AU483" i="1"/>
  <c r="AT483" i="1"/>
  <c r="AV482" i="1"/>
  <c r="AU482" i="1"/>
  <c r="AT482" i="1"/>
  <c r="AV481" i="1"/>
  <c r="AU481" i="1"/>
  <c r="AT481" i="1"/>
  <c r="AV480" i="1"/>
  <c r="AU480" i="1"/>
  <c r="AT480" i="1"/>
  <c r="AV479" i="1"/>
  <c r="AU479" i="1"/>
  <c r="AV478" i="1"/>
  <c r="AU478" i="1"/>
  <c r="AT478" i="1"/>
  <c r="AV477" i="1"/>
  <c r="AU477" i="1"/>
  <c r="AT477" i="1"/>
  <c r="AV476" i="1"/>
  <c r="AU476" i="1"/>
  <c r="AT476" i="1"/>
  <c r="AV475" i="1"/>
  <c r="AU475" i="1"/>
  <c r="AT475" i="1"/>
  <c r="AV474" i="1"/>
  <c r="AU474" i="1"/>
  <c r="AT474" i="1"/>
  <c r="AV473" i="1"/>
  <c r="AU473" i="1"/>
  <c r="AT473" i="1"/>
  <c r="AV472" i="1"/>
  <c r="AU472" i="1"/>
  <c r="AT472" i="1"/>
  <c r="AV471" i="1"/>
  <c r="AU471" i="1"/>
  <c r="AT471" i="1"/>
  <c r="AV470" i="1"/>
  <c r="AU470" i="1"/>
  <c r="AT470" i="1"/>
  <c r="AV469" i="1"/>
  <c r="AU469" i="1"/>
  <c r="AV468" i="1"/>
  <c r="AU468" i="1"/>
  <c r="AT468" i="1"/>
  <c r="AV467" i="1"/>
  <c r="AU467" i="1"/>
  <c r="AT467" i="1"/>
  <c r="AV466" i="1"/>
  <c r="AU466" i="1"/>
  <c r="AT466" i="1"/>
  <c r="AV465" i="1"/>
  <c r="AU465" i="1"/>
  <c r="AT465" i="1"/>
  <c r="AV464" i="1"/>
  <c r="AU464" i="1"/>
  <c r="AT464" i="1"/>
  <c r="AV463" i="1"/>
  <c r="AU463" i="1"/>
  <c r="AV462" i="1"/>
  <c r="AU462" i="1"/>
  <c r="AT462" i="1"/>
  <c r="AV461" i="1"/>
  <c r="AU461" i="1"/>
  <c r="AT461" i="1"/>
  <c r="AV460" i="1"/>
  <c r="AU460" i="1"/>
  <c r="AV459" i="1"/>
  <c r="AU459" i="1"/>
  <c r="AT459" i="1"/>
  <c r="AV458" i="1"/>
  <c r="AU458" i="1"/>
  <c r="AV457" i="1"/>
  <c r="AU457" i="1"/>
  <c r="AV456" i="1"/>
  <c r="AU456" i="1"/>
  <c r="AV455" i="1"/>
  <c r="AU455" i="1"/>
  <c r="AV454" i="1"/>
  <c r="AU454" i="1"/>
  <c r="AV453" i="1"/>
  <c r="AU453" i="1"/>
  <c r="AT453" i="1"/>
  <c r="AV452" i="1"/>
  <c r="AU452" i="1"/>
  <c r="AT452" i="1"/>
  <c r="AV451" i="1"/>
  <c r="AU451" i="1"/>
  <c r="AV450" i="1"/>
  <c r="AU450" i="1"/>
  <c r="AT450" i="1"/>
  <c r="AV449" i="1"/>
  <c r="AU449" i="1"/>
  <c r="AT449" i="1"/>
  <c r="AV448" i="1"/>
  <c r="AU448" i="1"/>
  <c r="AT448" i="1"/>
  <c r="AV447" i="1"/>
  <c r="AU447" i="1"/>
  <c r="AT447" i="1"/>
  <c r="AV446" i="1"/>
  <c r="AU446" i="1"/>
  <c r="AV445" i="1"/>
  <c r="AU445" i="1"/>
  <c r="AV444" i="1"/>
  <c r="AU444" i="1"/>
  <c r="AT444" i="1"/>
  <c r="AV443" i="1"/>
  <c r="AU443" i="1"/>
  <c r="AT443" i="1"/>
  <c r="AV442" i="1"/>
  <c r="AU442" i="1"/>
  <c r="AT442" i="1"/>
  <c r="AV441" i="1"/>
  <c r="AU441" i="1"/>
  <c r="AT441" i="1"/>
  <c r="AV440" i="1"/>
  <c r="AU440" i="1"/>
  <c r="AT440" i="1"/>
  <c r="AV439" i="1"/>
  <c r="AU439" i="1"/>
  <c r="AT439" i="1"/>
  <c r="AV438" i="1"/>
  <c r="AU438" i="1"/>
  <c r="AT438" i="1"/>
  <c r="AV437" i="1"/>
  <c r="AU437" i="1"/>
  <c r="AT437" i="1"/>
  <c r="AV436" i="1"/>
  <c r="AU436" i="1"/>
  <c r="AT436" i="1"/>
  <c r="AV435" i="1"/>
  <c r="AU435" i="1"/>
  <c r="AT435" i="1"/>
  <c r="AV434" i="1"/>
  <c r="AU434" i="1"/>
  <c r="AT434" i="1"/>
  <c r="AV433" i="1"/>
  <c r="AU433" i="1"/>
  <c r="AT433" i="1"/>
  <c r="AV432" i="1"/>
  <c r="AU432" i="1"/>
  <c r="AV431" i="1"/>
  <c r="AU431" i="1"/>
  <c r="AV430" i="1"/>
  <c r="AU430" i="1"/>
  <c r="AT430" i="1"/>
  <c r="AV429" i="1"/>
  <c r="AU429" i="1"/>
  <c r="AT429" i="1"/>
  <c r="AV428" i="1"/>
  <c r="AU428" i="1"/>
  <c r="AT428" i="1"/>
  <c r="AV427" i="1"/>
  <c r="AU427" i="1"/>
  <c r="AV426" i="1"/>
  <c r="AU426" i="1"/>
  <c r="AT426" i="1"/>
  <c r="AV425" i="1"/>
  <c r="AU425" i="1"/>
  <c r="AT425" i="1"/>
  <c r="AV424" i="1"/>
  <c r="AU424" i="1"/>
  <c r="AV423" i="1"/>
  <c r="AU423" i="1"/>
  <c r="AT423" i="1"/>
  <c r="AV422" i="1"/>
  <c r="AU422" i="1"/>
  <c r="AT422" i="1"/>
  <c r="AV421" i="1"/>
  <c r="AU421" i="1"/>
  <c r="AV420" i="1"/>
  <c r="AU420" i="1"/>
  <c r="AT420" i="1"/>
  <c r="AV419" i="1"/>
  <c r="AU419" i="1"/>
  <c r="AT419" i="1"/>
  <c r="AV418" i="1"/>
  <c r="AU418" i="1"/>
  <c r="AT418" i="1"/>
  <c r="AV417" i="1"/>
  <c r="AU417" i="1"/>
  <c r="AT417" i="1"/>
  <c r="AV416" i="1"/>
  <c r="AU416" i="1"/>
  <c r="AT416" i="1"/>
  <c r="AV415" i="1"/>
  <c r="AU415" i="1"/>
  <c r="AT415" i="1"/>
  <c r="AV414" i="1"/>
  <c r="AU414" i="1"/>
  <c r="AT414" i="1"/>
  <c r="AV413" i="1"/>
  <c r="AU413" i="1"/>
  <c r="AT413" i="1"/>
  <c r="AV412" i="1"/>
  <c r="AU412" i="1"/>
  <c r="AT412" i="1"/>
  <c r="AV411" i="1"/>
  <c r="AU411" i="1"/>
  <c r="AV410" i="1"/>
  <c r="AU410" i="1"/>
  <c r="AT410" i="1"/>
  <c r="AV409" i="1"/>
  <c r="AU409" i="1"/>
  <c r="AT409" i="1"/>
  <c r="AV408" i="1"/>
  <c r="AU408" i="1"/>
  <c r="AV407" i="1"/>
  <c r="AU407" i="1"/>
  <c r="AT407" i="1"/>
  <c r="AV406" i="1"/>
  <c r="AU406" i="1"/>
  <c r="AV405" i="1"/>
  <c r="AU405" i="1"/>
  <c r="AV404" i="1"/>
  <c r="AU404" i="1"/>
  <c r="AV403" i="1"/>
  <c r="AU403" i="1"/>
  <c r="AT403" i="1"/>
  <c r="AV402" i="1"/>
  <c r="AU402" i="1"/>
  <c r="AT402" i="1"/>
  <c r="AV401" i="1"/>
  <c r="AU401" i="1"/>
  <c r="AV400" i="1"/>
  <c r="AU400" i="1"/>
  <c r="AT400" i="1"/>
  <c r="AV399" i="1"/>
  <c r="AU399" i="1"/>
  <c r="AT399" i="1"/>
  <c r="AV398" i="1"/>
  <c r="AU398" i="1"/>
  <c r="AT398" i="1"/>
  <c r="AV397" i="1"/>
  <c r="AU397" i="1"/>
  <c r="AV396" i="1"/>
  <c r="AU396" i="1"/>
  <c r="AT396" i="1"/>
  <c r="AV395" i="1"/>
  <c r="AU395" i="1"/>
  <c r="AV394" i="1"/>
  <c r="AU394" i="1"/>
  <c r="AV393" i="1"/>
  <c r="AU393" i="1"/>
  <c r="AT393" i="1"/>
  <c r="AV392" i="1"/>
  <c r="AU392" i="1"/>
  <c r="AT392" i="1"/>
  <c r="AV391" i="1"/>
  <c r="AU391" i="1"/>
  <c r="AT391" i="1"/>
  <c r="AV390" i="1"/>
  <c r="AU390" i="1"/>
  <c r="AT390" i="1"/>
  <c r="AV389" i="1"/>
  <c r="AU389" i="1"/>
  <c r="AT389" i="1"/>
  <c r="AV388" i="1"/>
  <c r="AU388" i="1"/>
  <c r="AT388" i="1"/>
  <c r="AV387" i="1"/>
  <c r="AU387" i="1"/>
  <c r="AV386" i="1"/>
  <c r="AU386" i="1"/>
  <c r="AT386" i="1"/>
  <c r="AV385" i="1"/>
  <c r="AU385" i="1"/>
  <c r="AV384" i="1"/>
  <c r="AU384" i="1"/>
  <c r="AT384" i="1"/>
  <c r="AV383" i="1"/>
  <c r="AU383" i="1"/>
  <c r="AT383" i="1"/>
  <c r="AV382" i="1"/>
  <c r="AU382" i="1"/>
  <c r="AT382" i="1"/>
  <c r="AV381" i="1"/>
  <c r="AU381" i="1"/>
  <c r="AV380" i="1"/>
  <c r="AU380" i="1"/>
  <c r="AT380" i="1"/>
  <c r="AV379" i="1"/>
  <c r="AU379" i="1"/>
  <c r="AT379" i="1"/>
  <c r="AV378" i="1"/>
  <c r="AU378" i="1"/>
  <c r="AV377" i="1"/>
  <c r="AU377" i="1"/>
  <c r="AT377" i="1"/>
  <c r="AV376" i="1"/>
  <c r="AU376" i="1"/>
  <c r="AT376" i="1"/>
  <c r="AV375" i="1"/>
  <c r="AU375" i="1"/>
  <c r="AT375" i="1"/>
  <c r="AV374" i="1"/>
  <c r="AU374" i="1"/>
  <c r="AT374" i="1"/>
  <c r="AV373" i="1"/>
  <c r="AU373" i="1"/>
  <c r="AT373" i="1"/>
  <c r="AV372" i="1"/>
  <c r="AU372" i="1"/>
  <c r="AV371" i="1"/>
  <c r="AU371" i="1"/>
  <c r="AV370" i="1"/>
  <c r="AU370" i="1"/>
  <c r="AT370" i="1"/>
  <c r="AV369" i="1"/>
  <c r="AU369" i="1"/>
  <c r="AT369" i="1"/>
  <c r="AV368" i="1"/>
  <c r="AU368" i="1"/>
  <c r="AT368" i="1"/>
  <c r="AV367" i="1"/>
  <c r="AU367" i="1"/>
  <c r="AV366" i="1"/>
  <c r="AU366" i="1"/>
  <c r="AV365" i="1"/>
  <c r="AU365" i="1"/>
  <c r="AT365" i="1"/>
  <c r="AV364" i="1"/>
  <c r="AU364" i="1"/>
  <c r="AT364" i="1"/>
  <c r="AV363" i="1"/>
  <c r="AU363" i="1"/>
  <c r="AT363" i="1"/>
  <c r="AV362" i="1"/>
  <c r="AU362" i="1"/>
  <c r="AT362" i="1"/>
  <c r="AV361" i="1"/>
  <c r="AU361" i="1"/>
  <c r="AT361" i="1"/>
  <c r="AV360" i="1"/>
  <c r="AU360" i="1"/>
  <c r="AT360" i="1"/>
  <c r="AV359" i="1"/>
  <c r="AU359" i="1"/>
  <c r="AT359" i="1"/>
  <c r="AV358" i="1"/>
  <c r="AU358" i="1"/>
  <c r="AT358" i="1"/>
  <c r="AV357" i="1"/>
  <c r="AU357" i="1"/>
  <c r="AT357" i="1"/>
  <c r="AV356" i="1"/>
  <c r="AU356" i="1"/>
  <c r="AT356" i="1"/>
  <c r="AV355" i="1"/>
  <c r="AU355" i="1"/>
  <c r="AT355" i="1"/>
  <c r="AV354" i="1"/>
  <c r="AU354" i="1"/>
  <c r="AT354" i="1"/>
  <c r="AV353" i="1"/>
  <c r="AU353" i="1"/>
  <c r="AT353" i="1"/>
  <c r="AV352" i="1"/>
  <c r="AU352" i="1"/>
  <c r="AT352" i="1"/>
  <c r="AV351" i="1"/>
  <c r="AU351" i="1"/>
  <c r="AT351" i="1"/>
  <c r="AV350" i="1"/>
  <c r="AU350" i="1"/>
  <c r="AT350" i="1"/>
  <c r="AV349" i="1"/>
  <c r="AU349" i="1"/>
  <c r="AT349" i="1"/>
  <c r="AV348" i="1"/>
  <c r="AU348" i="1"/>
  <c r="AV347" i="1"/>
  <c r="AU347" i="1"/>
  <c r="AT347" i="1"/>
  <c r="AV346" i="1"/>
  <c r="AU346" i="1"/>
  <c r="AV345" i="1"/>
  <c r="AU345" i="1"/>
  <c r="AV344" i="1"/>
  <c r="AU344" i="1"/>
  <c r="AV343" i="1"/>
  <c r="AU343" i="1"/>
  <c r="AT343" i="1"/>
  <c r="AV342" i="1"/>
  <c r="AU342" i="1"/>
  <c r="AV341" i="1"/>
  <c r="AU341" i="1"/>
  <c r="AT341" i="1"/>
  <c r="AV340" i="1"/>
  <c r="AU340" i="1"/>
  <c r="AT340" i="1"/>
  <c r="AV339" i="1"/>
  <c r="AU339" i="1"/>
  <c r="AT339" i="1"/>
  <c r="AV338" i="1"/>
  <c r="AU338" i="1"/>
  <c r="AV337" i="1"/>
  <c r="AU337" i="1"/>
  <c r="AV336" i="1"/>
  <c r="AU336" i="1"/>
  <c r="AV335" i="1"/>
  <c r="AU335" i="1"/>
  <c r="AT335" i="1"/>
  <c r="AV334" i="1"/>
  <c r="AU334" i="1"/>
  <c r="AT334" i="1"/>
  <c r="AV333" i="1"/>
  <c r="AU333" i="1"/>
  <c r="AV332" i="1"/>
  <c r="AU332" i="1"/>
  <c r="AV331" i="1"/>
  <c r="AU331" i="1"/>
  <c r="AV330" i="1"/>
  <c r="AU330" i="1"/>
  <c r="AT330" i="1"/>
  <c r="AV329" i="1"/>
  <c r="AU329" i="1"/>
  <c r="AT329" i="1"/>
  <c r="AV328" i="1"/>
  <c r="AU328" i="1"/>
  <c r="AV327" i="1"/>
  <c r="AU327" i="1"/>
  <c r="AV326" i="1"/>
  <c r="AU326" i="1"/>
  <c r="AT326" i="1"/>
  <c r="AV325" i="1"/>
  <c r="AU325" i="1"/>
  <c r="AT325" i="1"/>
  <c r="AV324" i="1"/>
  <c r="AU324" i="1"/>
  <c r="AT324" i="1"/>
  <c r="AV323" i="1"/>
  <c r="AU323" i="1"/>
  <c r="AV322" i="1"/>
  <c r="AU322" i="1"/>
  <c r="AT322" i="1"/>
  <c r="AV321" i="1"/>
  <c r="AU321" i="1"/>
  <c r="AT321" i="1"/>
  <c r="AV320" i="1"/>
  <c r="AU320" i="1"/>
  <c r="AT320" i="1"/>
  <c r="AV319" i="1"/>
  <c r="AU319" i="1"/>
  <c r="AT319" i="1"/>
  <c r="AV318" i="1"/>
  <c r="AU318" i="1"/>
  <c r="AT318" i="1"/>
  <c r="AV317" i="1"/>
  <c r="AU317" i="1"/>
  <c r="AV316" i="1"/>
  <c r="AU316" i="1"/>
  <c r="AT316" i="1"/>
  <c r="AV315" i="1"/>
  <c r="AU315" i="1"/>
  <c r="AT315" i="1"/>
  <c r="AV314" i="1"/>
  <c r="AU314" i="1"/>
  <c r="AT314" i="1"/>
  <c r="AV313" i="1"/>
  <c r="AU313" i="1"/>
  <c r="AT313" i="1"/>
  <c r="AV312" i="1"/>
  <c r="AU312" i="1"/>
  <c r="AT312" i="1"/>
  <c r="AV311" i="1"/>
  <c r="AU311" i="1"/>
  <c r="AT311" i="1"/>
  <c r="AV310" i="1"/>
  <c r="AU310" i="1"/>
  <c r="AT310" i="1"/>
  <c r="AV309" i="1"/>
  <c r="AU309" i="1"/>
  <c r="AT309" i="1"/>
  <c r="AV308" i="1"/>
  <c r="AU308" i="1"/>
  <c r="AT308" i="1"/>
  <c r="AV307" i="1"/>
  <c r="AU307" i="1"/>
  <c r="AV306" i="1"/>
  <c r="AU306" i="1"/>
  <c r="AT306" i="1"/>
  <c r="AV305" i="1"/>
  <c r="AU305" i="1"/>
  <c r="AT305" i="1"/>
  <c r="AV304" i="1"/>
  <c r="AU304" i="1"/>
  <c r="AT304" i="1"/>
  <c r="AV303" i="1"/>
  <c r="AU303" i="1"/>
  <c r="AT303" i="1"/>
  <c r="AV302" i="1"/>
  <c r="AU302" i="1"/>
  <c r="AT302" i="1"/>
  <c r="AV301" i="1"/>
  <c r="AU301" i="1"/>
  <c r="AT301" i="1"/>
  <c r="AV300" i="1"/>
  <c r="AU300" i="1"/>
  <c r="AV299" i="1"/>
  <c r="AU299" i="1"/>
  <c r="AT299" i="1"/>
  <c r="AV298" i="1"/>
  <c r="AU298" i="1"/>
  <c r="AV297" i="1"/>
  <c r="AU297" i="1"/>
  <c r="AT297" i="1"/>
  <c r="AV296" i="1"/>
  <c r="AU296" i="1"/>
  <c r="AT296" i="1"/>
  <c r="AV295" i="1"/>
  <c r="AU295" i="1"/>
  <c r="AT295" i="1"/>
  <c r="AV294" i="1"/>
  <c r="AU294" i="1"/>
  <c r="AT294" i="1"/>
  <c r="AV293" i="1"/>
  <c r="AU293" i="1"/>
  <c r="AV292" i="1"/>
  <c r="AU292" i="1"/>
  <c r="AT292" i="1"/>
  <c r="AV291" i="1"/>
  <c r="AU291" i="1"/>
  <c r="AT291" i="1"/>
  <c r="AV290" i="1"/>
  <c r="AU290" i="1"/>
  <c r="AT290" i="1"/>
  <c r="AV289" i="1"/>
  <c r="AU289" i="1"/>
  <c r="AT289" i="1"/>
  <c r="AV288" i="1"/>
  <c r="AU288" i="1"/>
  <c r="AT288" i="1"/>
  <c r="AV287" i="1"/>
  <c r="AU287" i="1"/>
  <c r="AT287" i="1"/>
  <c r="AV286" i="1"/>
  <c r="AU286" i="1"/>
  <c r="AT286" i="1"/>
  <c r="AV285" i="1"/>
  <c r="AU285" i="1"/>
  <c r="AT285" i="1"/>
  <c r="AV284" i="1"/>
  <c r="AU284" i="1"/>
  <c r="AV283" i="1"/>
  <c r="AU283" i="1"/>
  <c r="AV282" i="1"/>
  <c r="AU282" i="1"/>
  <c r="AV281" i="1"/>
  <c r="AU281" i="1"/>
  <c r="AT281" i="1"/>
  <c r="AV280" i="1"/>
  <c r="AU280" i="1"/>
  <c r="AT280" i="1"/>
  <c r="AV279" i="1"/>
  <c r="AU279" i="1"/>
  <c r="AT279" i="1"/>
  <c r="AV278" i="1"/>
  <c r="AU278" i="1"/>
  <c r="AT278" i="1"/>
  <c r="AV277" i="1"/>
  <c r="AU277" i="1"/>
  <c r="AT277" i="1"/>
  <c r="AV276" i="1"/>
  <c r="AU276" i="1"/>
  <c r="AT276" i="1"/>
  <c r="AV275" i="1"/>
  <c r="AU275" i="1"/>
  <c r="AT275" i="1"/>
  <c r="AV274" i="1"/>
  <c r="AU274" i="1"/>
  <c r="AT274" i="1"/>
  <c r="AV273" i="1"/>
  <c r="AU273" i="1"/>
  <c r="AV272" i="1"/>
  <c r="AU272" i="1"/>
  <c r="AT272" i="1"/>
  <c r="AV271" i="1"/>
  <c r="AU271" i="1"/>
  <c r="AV270" i="1"/>
  <c r="AU270" i="1"/>
  <c r="AT270" i="1"/>
  <c r="AV269" i="1"/>
  <c r="AU269" i="1"/>
  <c r="AT269" i="1"/>
  <c r="AV268" i="1"/>
  <c r="AU268" i="1"/>
  <c r="AV267" i="1"/>
  <c r="AU267" i="1"/>
  <c r="AT267" i="1"/>
  <c r="AV266" i="1"/>
  <c r="AU266" i="1"/>
  <c r="AT266" i="1"/>
  <c r="AV265" i="1"/>
  <c r="AU265" i="1"/>
  <c r="AT265" i="1"/>
  <c r="AV264" i="1"/>
  <c r="AU264" i="1"/>
  <c r="AV263" i="1"/>
  <c r="AU263" i="1"/>
  <c r="AT263" i="1"/>
  <c r="AV262" i="1"/>
  <c r="AU262" i="1"/>
  <c r="AT262" i="1"/>
  <c r="AV261" i="1"/>
  <c r="AU261" i="1"/>
  <c r="AT261" i="1"/>
  <c r="AV260" i="1"/>
  <c r="AU260" i="1"/>
  <c r="AT260" i="1"/>
  <c r="AV259" i="1"/>
  <c r="AU259" i="1"/>
  <c r="AV258" i="1"/>
  <c r="AU258" i="1"/>
  <c r="AT258" i="1"/>
  <c r="AV257" i="1"/>
  <c r="AU257" i="1"/>
  <c r="AT257" i="1"/>
  <c r="AV256" i="1"/>
  <c r="AU256" i="1"/>
  <c r="AV255" i="1"/>
  <c r="AU255" i="1"/>
  <c r="AV254" i="1"/>
  <c r="AU254" i="1"/>
  <c r="AV253" i="1"/>
  <c r="AU253" i="1"/>
  <c r="AT253" i="1"/>
  <c r="AV252" i="1"/>
  <c r="AU252" i="1"/>
  <c r="AT252" i="1"/>
  <c r="AV251" i="1"/>
  <c r="AU251" i="1"/>
  <c r="AV250" i="1"/>
  <c r="AU250" i="1"/>
  <c r="AT250" i="1"/>
  <c r="AV249" i="1"/>
  <c r="AU249" i="1"/>
  <c r="AT249" i="1"/>
  <c r="AV248" i="1"/>
  <c r="AU248" i="1"/>
  <c r="AT248" i="1"/>
  <c r="AV247" i="1"/>
  <c r="AU247" i="1"/>
  <c r="AT247" i="1"/>
  <c r="AV246" i="1"/>
  <c r="AU246" i="1"/>
  <c r="AT246" i="1"/>
  <c r="AV245" i="1"/>
  <c r="AU245" i="1"/>
  <c r="AV244" i="1"/>
  <c r="AU244" i="1"/>
  <c r="AT244" i="1"/>
  <c r="AV243" i="1"/>
  <c r="AU243" i="1"/>
  <c r="AT243" i="1"/>
  <c r="AV242" i="1"/>
  <c r="AU242" i="1"/>
  <c r="AV241" i="1"/>
  <c r="AU241" i="1"/>
  <c r="AT241" i="1"/>
  <c r="AV240" i="1"/>
  <c r="AU240" i="1"/>
  <c r="AT240" i="1"/>
  <c r="AV239" i="1"/>
  <c r="AU239" i="1"/>
  <c r="AV238" i="1"/>
  <c r="AU238" i="1"/>
  <c r="AT238" i="1"/>
  <c r="AV237" i="1"/>
  <c r="AU237" i="1"/>
  <c r="AT237" i="1"/>
  <c r="AV236" i="1"/>
  <c r="AU236" i="1"/>
  <c r="AV235" i="1"/>
  <c r="AU235" i="1"/>
  <c r="AV234" i="1"/>
  <c r="AU234" i="1"/>
  <c r="AT234" i="1"/>
  <c r="AV233" i="1"/>
  <c r="AU233" i="1"/>
  <c r="AV232" i="1"/>
  <c r="AU232" i="1"/>
  <c r="AV231" i="1"/>
  <c r="AU231" i="1"/>
  <c r="AV230" i="1"/>
  <c r="AU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V221" i="1"/>
  <c r="AU221" i="1"/>
  <c r="AT221" i="1"/>
  <c r="AV220" i="1"/>
  <c r="AU220" i="1"/>
  <c r="AT220" i="1"/>
  <c r="AV219" i="1"/>
  <c r="AU219" i="1"/>
  <c r="AV218" i="1"/>
  <c r="AU218" i="1"/>
  <c r="AT218" i="1"/>
  <c r="AV217" i="1"/>
  <c r="AU217" i="1"/>
  <c r="AV216" i="1"/>
  <c r="AU216" i="1"/>
  <c r="AV215" i="1"/>
  <c r="AU215" i="1"/>
  <c r="AT215" i="1"/>
  <c r="AV214" i="1"/>
  <c r="AU214" i="1"/>
  <c r="AT214" i="1"/>
  <c r="AV213" i="1"/>
  <c r="AU213" i="1"/>
  <c r="AT213" i="1"/>
  <c r="AV212" i="1"/>
  <c r="AU212" i="1"/>
  <c r="AT212" i="1"/>
  <c r="AV211" i="1"/>
  <c r="AU211" i="1"/>
  <c r="AV210" i="1"/>
  <c r="AU210" i="1"/>
  <c r="AT210" i="1"/>
  <c r="AV209" i="1"/>
  <c r="AU209" i="1"/>
  <c r="AV208" i="1"/>
  <c r="AU208" i="1"/>
  <c r="AT208" i="1"/>
  <c r="AV207" i="1"/>
  <c r="AU207" i="1"/>
  <c r="AT207" i="1"/>
  <c r="AV206" i="1"/>
  <c r="AU206" i="1"/>
  <c r="AT206" i="1"/>
  <c r="AV205" i="1"/>
  <c r="AU205" i="1"/>
  <c r="AT205" i="1"/>
  <c r="AV204" i="1"/>
  <c r="AU204" i="1"/>
  <c r="AT204" i="1"/>
  <c r="AV203" i="1"/>
  <c r="AU203" i="1"/>
  <c r="AT203" i="1"/>
  <c r="AV202" i="1"/>
  <c r="AU202" i="1"/>
  <c r="AT202" i="1"/>
  <c r="AV201" i="1"/>
  <c r="AU201" i="1"/>
  <c r="AT201" i="1"/>
  <c r="AV200" i="1"/>
  <c r="AU200" i="1"/>
  <c r="AT200" i="1"/>
  <c r="AV199" i="1"/>
  <c r="AU199" i="1"/>
  <c r="AT199" i="1"/>
  <c r="AV198" i="1"/>
  <c r="AU198" i="1"/>
  <c r="AV197" i="1"/>
  <c r="AU197" i="1"/>
  <c r="AV196" i="1"/>
  <c r="AU196" i="1"/>
  <c r="AV195" i="1"/>
  <c r="AU195" i="1"/>
  <c r="AT195" i="1"/>
  <c r="AV194" i="1"/>
  <c r="AU194" i="1"/>
  <c r="AV193" i="1"/>
  <c r="AU193" i="1"/>
  <c r="AT193" i="1"/>
  <c r="AV192" i="1"/>
  <c r="AU192" i="1"/>
  <c r="AV191" i="1"/>
  <c r="AU191" i="1"/>
  <c r="AT191" i="1"/>
  <c r="AV190" i="1"/>
  <c r="AU190" i="1"/>
  <c r="AV189" i="1"/>
  <c r="AU189" i="1"/>
  <c r="AV188" i="1"/>
  <c r="AU188" i="1"/>
  <c r="AT188" i="1"/>
  <c r="AV187" i="1"/>
  <c r="AU187" i="1"/>
  <c r="AT187" i="1"/>
  <c r="AV186" i="1"/>
  <c r="AU186" i="1"/>
  <c r="AT186" i="1"/>
  <c r="AV185" i="1"/>
  <c r="AU185" i="1"/>
  <c r="AT185" i="1"/>
  <c r="AV184" i="1"/>
  <c r="AU184" i="1"/>
  <c r="AV183" i="1"/>
  <c r="AU183" i="1"/>
  <c r="AT183" i="1"/>
  <c r="AV182" i="1"/>
  <c r="AU182" i="1"/>
  <c r="AT182" i="1"/>
  <c r="AV181" i="1"/>
  <c r="AU181" i="1"/>
  <c r="AV180" i="1"/>
  <c r="AU180" i="1"/>
  <c r="AT180" i="1"/>
  <c r="AV179" i="1"/>
  <c r="AU179" i="1"/>
  <c r="AT179" i="1"/>
  <c r="AV178" i="1"/>
  <c r="AU178" i="1"/>
  <c r="AV177" i="1"/>
  <c r="AU177" i="1"/>
  <c r="AT177" i="1"/>
  <c r="AV176" i="1"/>
  <c r="AU176" i="1"/>
  <c r="AT176" i="1"/>
  <c r="AV175" i="1"/>
  <c r="AU175" i="1"/>
  <c r="AV174" i="1"/>
  <c r="AU174" i="1"/>
  <c r="AV173" i="1"/>
  <c r="AU173" i="1"/>
  <c r="AT173" i="1"/>
  <c r="AV172" i="1"/>
  <c r="AU172" i="1"/>
  <c r="AV171" i="1"/>
  <c r="AU171" i="1"/>
  <c r="AT171" i="1"/>
  <c r="AV170" i="1"/>
  <c r="AU170" i="1"/>
  <c r="AT170" i="1"/>
  <c r="AV169" i="1"/>
  <c r="AU169" i="1"/>
  <c r="AV168" i="1"/>
  <c r="AU168" i="1"/>
  <c r="AT168" i="1"/>
  <c r="AV167" i="1"/>
  <c r="AU167" i="1"/>
  <c r="AV166" i="1"/>
  <c r="AU166" i="1"/>
  <c r="AT166" i="1"/>
  <c r="AV165" i="1"/>
  <c r="AU165" i="1"/>
  <c r="AT165" i="1"/>
  <c r="AV164" i="1"/>
  <c r="AU164" i="1"/>
  <c r="AT164" i="1"/>
  <c r="AV163" i="1"/>
  <c r="AU163" i="1"/>
  <c r="AT163" i="1"/>
  <c r="AV162" i="1"/>
  <c r="AU162" i="1"/>
  <c r="AT162" i="1"/>
  <c r="AV161" i="1"/>
  <c r="AU161" i="1"/>
  <c r="AV160" i="1"/>
  <c r="AU160" i="1"/>
  <c r="AV159" i="1"/>
  <c r="AU159" i="1"/>
  <c r="AV158" i="1"/>
  <c r="AU158" i="1"/>
  <c r="AV157" i="1"/>
  <c r="AU157" i="1"/>
  <c r="AT157" i="1"/>
  <c r="AV156" i="1"/>
  <c r="AU156" i="1"/>
  <c r="AV155" i="1"/>
  <c r="AU155" i="1"/>
  <c r="AT155" i="1"/>
  <c r="AV154" i="1"/>
  <c r="AU154" i="1"/>
  <c r="AV153" i="1"/>
  <c r="AU153" i="1"/>
  <c r="AT153" i="1"/>
  <c r="AV152" i="1"/>
  <c r="AU152" i="1"/>
  <c r="AV151" i="1"/>
  <c r="AU151" i="1"/>
  <c r="AT151" i="1"/>
  <c r="AV150" i="1"/>
  <c r="AU150" i="1"/>
  <c r="AV149" i="1"/>
  <c r="AU149" i="1"/>
  <c r="AV148" i="1"/>
  <c r="AU148" i="1"/>
  <c r="AT148" i="1"/>
  <c r="AV147" i="1"/>
  <c r="AU147" i="1"/>
  <c r="AT147" i="1"/>
  <c r="AV146" i="1"/>
  <c r="AU146" i="1"/>
  <c r="AT146" i="1"/>
  <c r="AV145" i="1"/>
  <c r="AU145" i="1"/>
  <c r="AT145" i="1"/>
  <c r="AV144" i="1"/>
  <c r="AU144" i="1"/>
  <c r="AT144" i="1"/>
  <c r="AV143" i="1"/>
  <c r="AU143" i="1"/>
  <c r="AT143" i="1"/>
  <c r="AV142" i="1"/>
  <c r="AU142" i="1"/>
  <c r="AT142" i="1"/>
  <c r="AV141" i="1"/>
  <c r="AU141" i="1"/>
  <c r="AT141" i="1"/>
  <c r="AV140" i="1"/>
  <c r="AU140" i="1"/>
  <c r="AT140" i="1"/>
  <c r="AV139" i="1"/>
  <c r="AU139" i="1"/>
  <c r="AT139" i="1"/>
  <c r="AV138" i="1"/>
  <c r="AU138" i="1"/>
  <c r="AV137" i="1"/>
  <c r="AU137" i="1"/>
  <c r="AT137" i="1"/>
  <c r="AV136" i="1"/>
  <c r="AU136" i="1"/>
  <c r="AT136" i="1"/>
  <c r="AV135" i="1"/>
  <c r="AU135" i="1"/>
  <c r="AT135" i="1"/>
  <c r="AV134" i="1"/>
  <c r="AU134" i="1"/>
  <c r="AV133" i="1"/>
  <c r="AU133" i="1"/>
  <c r="AV132" i="1"/>
  <c r="AU132" i="1"/>
  <c r="AV131" i="1"/>
  <c r="AU131" i="1"/>
  <c r="AV130" i="1"/>
  <c r="AU130" i="1"/>
  <c r="AT130" i="1"/>
  <c r="AV129" i="1"/>
  <c r="AU129" i="1"/>
  <c r="AT129" i="1"/>
  <c r="AV128" i="1"/>
  <c r="AU128" i="1"/>
  <c r="AV127" i="1"/>
  <c r="AU127" i="1"/>
  <c r="AT127" i="1"/>
  <c r="AV126" i="1"/>
  <c r="AU126" i="1"/>
  <c r="AV125" i="1"/>
  <c r="AU125" i="1"/>
  <c r="AV124" i="1"/>
  <c r="AU124" i="1"/>
  <c r="AV123" i="1"/>
  <c r="AU123" i="1"/>
  <c r="AT123" i="1"/>
  <c r="AV122" i="1"/>
  <c r="AU122" i="1"/>
  <c r="AT122" i="1"/>
  <c r="AV121" i="1"/>
  <c r="AU121" i="1"/>
  <c r="AT121" i="1"/>
  <c r="AV120" i="1"/>
  <c r="AU120" i="1"/>
  <c r="AT120" i="1"/>
  <c r="AV119" i="1"/>
  <c r="AU119" i="1"/>
  <c r="AT119" i="1"/>
  <c r="AV118" i="1"/>
  <c r="AU118" i="1"/>
  <c r="AT118" i="1"/>
  <c r="AV117" i="1"/>
  <c r="AU117" i="1"/>
  <c r="AT117" i="1"/>
  <c r="AV116" i="1"/>
  <c r="AU116" i="1"/>
  <c r="AV115" i="1"/>
  <c r="AU115" i="1"/>
  <c r="AV114" i="1"/>
  <c r="AU114" i="1"/>
  <c r="AT114" i="1"/>
  <c r="AV113" i="1"/>
  <c r="AU113" i="1"/>
  <c r="AV112" i="1"/>
  <c r="AU112" i="1"/>
  <c r="AV111" i="1"/>
  <c r="AU111" i="1"/>
  <c r="AT111" i="1"/>
  <c r="AV110" i="1"/>
  <c r="AU110" i="1"/>
  <c r="AT110" i="1"/>
  <c r="AV109" i="1"/>
  <c r="AU109" i="1"/>
  <c r="AT109" i="1"/>
  <c r="AV108" i="1"/>
  <c r="AU108" i="1"/>
  <c r="AT108" i="1"/>
  <c r="AV107" i="1"/>
  <c r="AU107" i="1"/>
  <c r="AT107" i="1"/>
  <c r="AV106" i="1"/>
  <c r="AU106" i="1"/>
  <c r="AT106" i="1"/>
  <c r="AV105" i="1"/>
  <c r="AU105" i="1"/>
  <c r="AT105" i="1"/>
  <c r="AV104" i="1"/>
  <c r="AU104" i="1"/>
  <c r="AT104" i="1"/>
  <c r="AV103" i="1"/>
  <c r="AU103" i="1"/>
  <c r="AT103" i="1"/>
  <c r="AV102" i="1"/>
  <c r="AU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V90" i="1"/>
  <c r="AU90" i="1"/>
  <c r="AV89" i="1"/>
  <c r="AU89" i="1"/>
  <c r="AT89" i="1"/>
  <c r="AV88" i="1"/>
  <c r="AU88" i="1"/>
  <c r="AT88" i="1"/>
  <c r="AV87" i="1"/>
  <c r="AU87" i="1"/>
  <c r="AT87" i="1"/>
  <c r="AV86" i="1"/>
  <c r="AU86" i="1"/>
  <c r="AV85" i="1"/>
  <c r="AU85" i="1"/>
  <c r="AT85" i="1"/>
  <c r="AV84" i="1"/>
  <c r="AU84" i="1"/>
  <c r="AT84" i="1"/>
  <c r="AV83" i="1"/>
  <c r="AU83" i="1"/>
  <c r="AT83" i="1"/>
  <c r="AV82" i="1"/>
  <c r="AU82" i="1"/>
  <c r="AT82" i="1"/>
  <c r="AV81" i="1"/>
  <c r="AU81" i="1"/>
  <c r="AT81" i="1"/>
  <c r="AV80" i="1"/>
  <c r="AU80" i="1"/>
  <c r="AT80" i="1"/>
  <c r="AV79" i="1"/>
  <c r="AU79" i="1"/>
  <c r="AV78" i="1"/>
  <c r="AU78" i="1"/>
  <c r="AV77" i="1"/>
  <c r="AU77" i="1"/>
  <c r="AV76" i="1"/>
  <c r="AU76" i="1"/>
  <c r="AT76" i="1"/>
  <c r="AV75" i="1"/>
  <c r="AU75" i="1"/>
  <c r="AT75" i="1"/>
  <c r="AV74" i="1"/>
  <c r="AU74" i="1"/>
  <c r="AT74" i="1"/>
  <c r="AV73" i="1"/>
  <c r="AU73" i="1"/>
  <c r="AT73" i="1"/>
  <c r="AV72" i="1"/>
  <c r="AU72" i="1"/>
  <c r="AT72" i="1"/>
  <c r="AV71" i="1"/>
  <c r="AU71" i="1"/>
  <c r="AT71" i="1"/>
  <c r="AV70" i="1"/>
  <c r="AU70" i="1"/>
  <c r="AV69" i="1"/>
  <c r="AU69" i="1"/>
  <c r="AT69" i="1"/>
  <c r="AV68" i="1"/>
  <c r="AU68" i="1"/>
  <c r="AT68" i="1"/>
  <c r="AV67" i="1"/>
  <c r="AU67" i="1"/>
  <c r="AV66" i="1"/>
  <c r="AU66" i="1"/>
  <c r="AV65" i="1"/>
  <c r="AU65" i="1"/>
  <c r="AT65" i="1"/>
  <c r="AV64" i="1"/>
  <c r="AU64" i="1"/>
  <c r="AT64" i="1"/>
  <c r="AV63" i="1"/>
  <c r="AU63" i="1"/>
  <c r="AT63" i="1"/>
  <c r="AV62" i="1"/>
  <c r="AU62" i="1"/>
  <c r="AT62" i="1"/>
  <c r="AV61" i="1"/>
  <c r="AU61" i="1"/>
  <c r="AV60" i="1"/>
  <c r="AU60" i="1"/>
  <c r="AT60" i="1"/>
  <c r="AV59" i="1"/>
  <c r="AU59" i="1"/>
  <c r="AT59" i="1"/>
  <c r="AV58" i="1"/>
  <c r="AU58" i="1"/>
  <c r="AT58" i="1"/>
  <c r="AV57" i="1"/>
  <c r="AU57" i="1"/>
  <c r="AT57" i="1"/>
  <c r="AV56" i="1"/>
  <c r="AU56" i="1"/>
  <c r="AT56" i="1"/>
  <c r="AV55" i="1"/>
  <c r="AU55" i="1"/>
  <c r="AV54" i="1"/>
  <c r="AU54" i="1"/>
  <c r="AV53" i="1"/>
  <c r="AU53" i="1"/>
  <c r="AT53" i="1"/>
  <c r="AV52" i="1"/>
  <c r="AU52" i="1"/>
  <c r="AV51" i="1"/>
  <c r="AU51" i="1"/>
  <c r="AV50" i="1"/>
  <c r="AU50" i="1"/>
  <c r="AT50" i="1"/>
  <c r="AV49" i="1"/>
  <c r="AU49" i="1"/>
  <c r="AV48" i="1"/>
  <c r="AU48" i="1"/>
  <c r="AV47" i="1"/>
  <c r="AU47" i="1"/>
  <c r="AT47" i="1"/>
  <c r="AV46" i="1"/>
  <c r="AU46" i="1"/>
  <c r="AV45" i="1"/>
  <c r="AU45" i="1"/>
  <c r="AT45" i="1"/>
  <c r="AV44" i="1"/>
  <c r="AU44" i="1"/>
  <c r="AT44" i="1"/>
  <c r="AV43" i="1"/>
  <c r="AU43" i="1"/>
  <c r="AT43" i="1"/>
  <c r="AV42" i="1"/>
  <c r="AU42" i="1"/>
  <c r="AV41" i="1"/>
  <c r="AU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V35" i="1"/>
  <c r="AU35" i="1"/>
  <c r="AT35" i="1"/>
  <c r="AV34" i="1"/>
  <c r="AU34" i="1"/>
  <c r="AV33" i="1"/>
  <c r="AU33" i="1"/>
  <c r="AV32" i="1"/>
  <c r="AU32" i="1"/>
  <c r="AT32" i="1"/>
  <c r="AV31" i="1"/>
  <c r="AU31" i="1"/>
  <c r="AT31" i="1"/>
  <c r="AV30" i="1"/>
  <c r="AU30" i="1"/>
  <c r="AV29" i="1"/>
  <c r="AU29" i="1"/>
  <c r="AT29" i="1"/>
  <c r="AV28" i="1"/>
  <c r="AU28" i="1"/>
  <c r="AV27" i="1"/>
  <c r="AU27" i="1"/>
  <c r="AV26" i="1"/>
  <c r="AU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V13" i="1"/>
  <c r="AU13" i="1"/>
  <c r="AV12" i="1"/>
  <c r="AU12" i="1"/>
  <c r="AT12" i="1"/>
  <c r="AV11" i="1"/>
  <c r="AU11" i="1"/>
  <c r="AV10" i="1"/>
  <c r="AU10" i="1"/>
  <c r="AV9" i="1"/>
  <c r="AU9" i="1"/>
  <c r="AT9" i="1"/>
  <c r="AV8" i="1"/>
  <c r="AU8" i="1"/>
  <c r="AT8" i="1"/>
  <c r="AV7" i="1"/>
  <c r="AU7" i="1"/>
  <c r="AT7" i="1"/>
  <c r="AV6" i="1"/>
  <c r="AU6" i="1"/>
  <c r="AT6" i="1"/>
  <c r="AV5" i="1"/>
  <c r="AU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<sst xmlns="http://schemas.openxmlformats.org/spreadsheetml/2006/main" count="20285" uniqueCount="8081">
  <si>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</si>
  <si>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</si>
  <si>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</si>
  <si>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</si>
  <si>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</si>
  <si>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</si>
  <si>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</si>
  <si>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</si>
  <si>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</si>
  <si>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</si>
  <si>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</si>
  <si>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</si>
  <si>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</si>
  <si>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</si>
  <si>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</si>
  <si>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</si>
  <si>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</si>
  <si>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</si>
  <si>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</si>
  <si>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</si>
  <si>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</si>
  <si>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</si>
  <si>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</si>
  <si>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</si>
  <si>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</si>
  <si>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</si>
  <si>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</si>
  <si>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</si>
  <si>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</si>
  <si>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</si>
  <si>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</si>
  <si>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</si>
  <si>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</si>
  <si>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</si>
  <si>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</si>
  <si>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</si>
  <si>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</si>
  <si>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</si>
  <si>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</si>
  <si>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</si>
  <si>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</si>
  <si>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</si>
  <si>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</si>
  <si>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</si>
  <si>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</si>
  <si>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</si>
  <si>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</si>
  <si>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</si>
  <si>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</si>
  <si>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</si>
  <si>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</si>
  <si>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</si>
  <si>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</si>
  <si>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</si>
  <si>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</si>
  <si>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</si>
  <si>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</si>
  <si>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</si>
  <si>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</si>
  <si>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BL100 .B43</t>
  </si>
  <si>
    <t>0                      BL 0100000B  43</t>
  </si>
  <si>
    <t>A rumor of angels : modern society and the rediscovery of the supernatural / [by] Peter L. Berger.</t>
  </si>
  <si>
    <t>No</t>
  </si>
  <si>
    <t>1</t>
  </si>
  <si>
    <t>0</t>
  </si>
  <si>
    <t>Berger, Peter L., 1929-2017.</t>
  </si>
  <si>
    <t>Garden City, N.Y. : Doubleday, [1970, c1969]</t>
  </si>
  <si>
    <t>1970</t>
  </si>
  <si>
    <t>eng</t>
  </si>
  <si>
    <t>nyu</t>
  </si>
  <si>
    <t xml:space="preserve">BL </t>
  </si>
  <si>
    <t>2010-03-31</t>
  </si>
  <si>
    <t>1990-11-26</t>
  </si>
  <si>
    <t>1089551547:eng</t>
  </si>
  <si>
    <t>6211140</t>
  </si>
  <si>
    <t>991004946089702656</t>
  </si>
  <si>
    <t>2261721450002656</t>
  </si>
  <si>
    <t>BOOK</t>
  </si>
  <si>
    <t>32285000400860</t>
  </si>
  <si>
    <t>893700851</t>
  </si>
  <si>
    <t>BL1031 .E6 1962</t>
  </si>
  <si>
    <t>0                      BL 1031000E  6           1962</t>
  </si>
  <si>
    <t>Hinduism and Buddhism : an historical sketch.</t>
  </si>
  <si>
    <t>V.2</t>
  </si>
  <si>
    <t>Yes</t>
  </si>
  <si>
    <t>Eliot, Charles, 1862-1931.</t>
  </si>
  <si>
    <t>London : Routledge &amp; K. Paul, 1921, 1962 printing.</t>
  </si>
  <si>
    <t>1962</t>
  </si>
  <si>
    <t>___</t>
  </si>
  <si>
    <t>1996-04-14</t>
  </si>
  <si>
    <t>1990-10-16</t>
  </si>
  <si>
    <t>4923759231:eng</t>
  </si>
  <si>
    <t>1159441</t>
  </si>
  <si>
    <t>991003578949702656</t>
  </si>
  <si>
    <t>2262255580002656</t>
  </si>
  <si>
    <t>32285000349026</t>
  </si>
  <si>
    <t>893342713</t>
  </si>
  <si>
    <t>V.3</t>
  </si>
  <si>
    <t>32285000349034</t>
  </si>
  <si>
    <t>893342712</t>
  </si>
  <si>
    <t>V.1</t>
  </si>
  <si>
    <t>1996-03-12</t>
  </si>
  <si>
    <t>32285000349018</t>
  </si>
  <si>
    <t>893348833</t>
  </si>
  <si>
    <t>BL1031 .R5</t>
  </si>
  <si>
    <t>0                      BL 1031000R  5</t>
  </si>
  <si>
    <t>Religions of the Far East : their history to the present day / George C. Ring.</t>
  </si>
  <si>
    <t>Ring, George C. (Cyril), 1890-</t>
  </si>
  <si>
    <t>Milwaukee : Bruce, 1950.</t>
  </si>
  <si>
    <t>1950</t>
  </si>
  <si>
    <t xml:space="preserve">xx </t>
  </si>
  <si>
    <t>Science and culture series</t>
  </si>
  <si>
    <t>1997-07-30</t>
  </si>
  <si>
    <t>6888538:eng</t>
  </si>
  <si>
    <t>3009696</t>
  </si>
  <si>
    <t>991004317479702656</t>
  </si>
  <si>
    <t>2259427280002656</t>
  </si>
  <si>
    <t>32285000349042</t>
  </si>
  <si>
    <t>893436137</t>
  </si>
  <si>
    <t>BL1032 .B4</t>
  </si>
  <si>
    <t>0                      BL 1032000B  4</t>
  </si>
  <si>
    <t>Religion and progress in modern Asia.</t>
  </si>
  <si>
    <t>Bellah, Robert N. (Robert Neelly), 1927-2013, editor.</t>
  </si>
  <si>
    <t>New York, Free Press [1965]</t>
  </si>
  <si>
    <t>1965</t>
  </si>
  <si>
    <t>2010-02-23</t>
  </si>
  <si>
    <t>791700791:eng</t>
  </si>
  <si>
    <t>377511</t>
  </si>
  <si>
    <t>991002609479702656</t>
  </si>
  <si>
    <t>2260881150002656</t>
  </si>
  <si>
    <t>32285000349059</t>
  </si>
  <si>
    <t>893792667</t>
  </si>
  <si>
    <t>BL1032 .J3</t>
  </si>
  <si>
    <t>0                      BL 1032000J  3</t>
  </si>
  <si>
    <t>The oriental religions and American thought : nineteenth-century explorations / Carl T. Jackson.</t>
  </si>
  <si>
    <t>Jackson, Carl T., 1934-</t>
  </si>
  <si>
    <t>Westport, Conn. : Greenwood Press, 1981.</t>
  </si>
  <si>
    <t>1981</t>
  </si>
  <si>
    <t>ctu</t>
  </si>
  <si>
    <t>Contributions in American studies, 0084 9227 ; no. 55</t>
  </si>
  <si>
    <t>1996-10-07</t>
  </si>
  <si>
    <t>889272675:eng</t>
  </si>
  <si>
    <t>6914774</t>
  </si>
  <si>
    <t>991005057999702656</t>
  </si>
  <si>
    <t>2262727000002656</t>
  </si>
  <si>
    <t>9780313224911</t>
  </si>
  <si>
    <t>32285000349067</t>
  </si>
  <si>
    <t>893260479</t>
  </si>
  <si>
    <t>BL1060 .G3</t>
  </si>
  <si>
    <t>0                      BL 1060000G  3</t>
  </si>
  <si>
    <t>Thespis; ritual, myth, and drama in the ancient Near East. Foreword by Gilbert Murray.</t>
  </si>
  <si>
    <t>Gaster, Theodor Herzl, 1906-1992.</t>
  </si>
  <si>
    <t>New York, Schuman [1950]</t>
  </si>
  <si>
    <t>1992-05-20</t>
  </si>
  <si>
    <t>119730411:eng</t>
  </si>
  <si>
    <t>1515052</t>
  </si>
  <si>
    <t>991003794299702656</t>
  </si>
  <si>
    <t>2264030490002656</t>
  </si>
  <si>
    <t>32285000349109</t>
  </si>
  <si>
    <t>893525233</t>
  </si>
  <si>
    <t>BL1060 .T44</t>
  </si>
  <si>
    <t>0                      BL 1060000T  44</t>
  </si>
  <si>
    <t>The pagan god : popular religion in the Greco-Roman Near East / by Javier Teixidor.</t>
  </si>
  <si>
    <t>Teixidor, Javier.</t>
  </si>
  <si>
    <t>Princeton, N.J. : Princeton University Press, c1977.</t>
  </si>
  <si>
    <t>1977</t>
  </si>
  <si>
    <t>nju</t>
  </si>
  <si>
    <t>2001-12-05</t>
  </si>
  <si>
    <t>889621854:eng</t>
  </si>
  <si>
    <t>2644903</t>
  </si>
  <si>
    <t>991004196709702656</t>
  </si>
  <si>
    <t>2255340830002656</t>
  </si>
  <si>
    <t>9780691072203</t>
  </si>
  <si>
    <t>32285000349141</t>
  </si>
  <si>
    <t>893687473</t>
  </si>
  <si>
    <t>BL1107 .E2</t>
  </si>
  <si>
    <t>0                      BL 1107000E  2</t>
  </si>
  <si>
    <t>The beginnings of Indian philosophy; selections from the Rig Veda, Atharva Veda, Upanisads, and Mahābhārata. Translated from the Sanskrit with and introd., notes and glossarial index.</t>
  </si>
  <si>
    <t>Edgerton, Franklin, 1885-1963 editor, translator.</t>
  </si>
  <si>
    <t>Cambridge, Mass., Harvard University Press [1970,c1965]</t>
  </si>
  <si>
    <t>2008-05-02</t>
  </si>
  <si>
    <t>890080103:eng</t>
  </si>
  <si>
    <t>356207</t>
  </si>
  <si>
    <t>991002461829702656</t>
  </si>
  <si>
    <t>2265141820002656</t>
  </si>
  <si>
    <t>32285000349158</t>
  </si>
  <si>
    <t>893616149</t>
  </si>
  <si>
    <t>BL1107 .G76</t>
  </si>
  <si>
    <t>0                      BL 1107000G  76</t>
  </si>
  <si>
    <t>Readings in Vedic literature : the tradition speaks for itself / by Satsvarūpa dāsa Gosvāmī.</t>
  </si>
  <si>
    <t>Gosvāmī, Satsvarūpa Dāsa, 1939-</t>
  </si>
  <si>
    <t>New York : Bhaktivedanta Book Trust, c1977.</t>
  </si>
  <si>
    <t>1995-04-18</t>
  </si>
  <si>
    <t>6752672:eng</t>
  </si>
  <si>
    <t>2899134</t>
  </si>
  <si>
    <t>991004278399702656</t>
  </si>
  <si>
    <t>2257570410002656</t>
  </si>
  <si>
    <t>9780912776880</t>
  </si>
  <si>
    <t>32285000349166</t>
  </si>
  <si>
    <t>893722358</t>
  </si>
  <si>
    <t>BL1110 .V42</t>
  </si>
  <si>
    <t>0                      BL 1110000V  42</t>
  </si>
  <si>
    <t>The Vedic experience : Mantramañjarī : an anthology of the Vedas for modern man and contemporary celebration / edited and translated with introductions and notes by Raimundo Panikkar, with the collaboration of N. Shanta ... [et al.].</t>
  </si>
  <si>
    <t>Berkeley : University of California Press, c1977.</t>
  </si>
  <si>
    <t>cau</t>
  </si>
  <si>
    <t>2007-06-18</t>
  </si>
  <si>
    <t>836724892:eng</t>
  </si>
  <si>
    <t>3255332</t>
  </si>
  <si>
    <t>991004388849702656</t>
  </si>
  <si>
    <t>2272431090002656</t>
  </si>
  <si>
    <t>9780520028548</t>
  </si>
  <si>
    <t>32285000349182</t>
  </si>
  <si>
    <t>893628137</t>
  </si>
  <si>
    <t>BL1135 .P6213</t>
  </si>
  <si>
    <t>0                      BL 1135000P  6213</t>
  </si>
  <si>
    <t>Classical Hindu mythology : a reader in the Sanskrit Purāṇas / edited and translated by Cornelia Dimmitt and J. A. B. van Buitenen.</t>
  </si>
  <si>
    <t>Puranas. Selections. English.</t>
  </si>
  <si>
    <t>Philadelphia : Temple University Press, c1978.</t>
  </si>
  <si>
    <t>1978</t>
  </si>
  <si>
    <t>pau</t>
  </si>
  <si>
    <t>2003-12-01</t>
  </si>
  <si>
    <t>889917834:eng</t>
  </si>
  <si>
    <t>3868975</t>
  </si>
  <si>
    <t>991004534709702656</t>
  </si>
  <si>
    <t>2262820710002656</t>
  </si>
  <si>
    <t>9780877221173</t>
  </si>
  <si>
    <t>32285000349331</t>
  </si>
  <si>
    <t>893687839</t>
  </si>
  <si>
    <t>BL1175.B445 G67 v...</t>
  </si>
  <si>
    <t>0                      BL 1175000B  445                G  67                                v...</t>
  </si>
  <si>
    <t>Srīla Prabhupāda-līlāmrta : a biography of His Divine Grace A.C. Bhaktivedanta Swami Prabhupāda / Satsvarūpa dāsa Goswami.</t>
  </si>
  <si>
    <t>V. 3</t>
  </si>
  <si>
    <t>Los Angeles, Calif. : Bhaktivedanta Book Trust, c1980-</t>
  </si>
  <si>
    <t>1980</t>
  </si>
  <si>
    <t>1995-04-20</t>
  </si>
  <si>
    <t>2005-07-06</t>
  </si>
  <si>
    <t>3374187413:eng</t>
  </si>
  <si>
    <t>6042746</t>
  </si>
  <si>
    <t>991004919799702656</t>
  </si>
  <si>
    <t>2256394520002656</t>
  </si>
  <si>
    <t>32285000349851</t>
  </si>
  <si>
    <t>893612910</t>
  </si>
  <si>
    <t>V. 2</t>
  </si>
  <si>
    <t>32285000349844</t>
  </si>
  <si>
    <t>893612911</t>
  </si>
  <si>
    <t>V. 1</t>
  </si>
  <si>
    <t>32285000349836</t>
  </si>
  <si>
    <t>893594231</t>
  </si>
  <si>
    <t>BL1225.G34 C7 1985</t>
  </si>
  <si>
    <t>0                      BL 1225000G  34                 C  7           1985</t>
  </si>
  <si>
    <t>Ganeśa : lord of obstacles, lord of beginnings / Paul B. Courtright.</t>
  </si>
  <si>
    <t>Courtright, Paul B.</t>
  </si>
  <si>
    <t>New York : Oxford University Press, 1985.</t>
  </si>
  <si>
    <t>1985</t>
  </si>
  <si>
    <t>2008-06-10</t>
  </si>
  <si>
    <t>4164643:eng</t>
  </si>
  <si>
    <t>11398513</t>
  </si>
  <si>
    <t>991005233059702656</t>
  </si>
  <si>
    <t>2270370180002656</t>
  </si>
  <si>
    <t>9780195035728</t>
  </si>
  <si>
    <t>32285005444202</t>
  </si>
  <si>
    <t>893902336</t>
  </si>
  <si>
    <t>BL1245.V36 B48</t>
  </si>
  <si>
    <t>0                      BL 1245000V  36                 B  48</t>
  </si>
  <si>
    <t>Teachings of Lord Chaitanya; a treatise on factual spiritual life / by A. C. Bhaktivedanta Swami.</t>
  </si>
  <si>
    <t>A. C. Bhaktivedanta Swami Prabhupāda, 1896-1977.</t>
  </si>
  <si>
    <t>New York, International Society for Krishna Consciousness [c1968]</t>
  </si>
  <si>
    <t>1968</t>
  </si>
  <si>
    <t>[1st ed.]</t>
  </si>
  <si>
    <t>1995-04-17</t>
  </si>
  <si>
    <t>5608784128:eng</t>
  </si>
  <si>
    <t>10729</t>
  </si>
  <si>
    <t>991000001819702656</t>
  </si>
  <si>
    <t>2268080230002656</t>
  </si>
  <si>
    <t>32285000350016</t>
  </si>
  <si>
    <t>893714207</t>
  </si>
  <si>
    <t>BL1255.D3 J67</t>
  </si>
  <si>
    <t>0                      BL 1255000D  3                  J  67</t>
  </si>
  <si>
    <t>Dayānanda Sarasvatī, his life and ideas / J. T. F. Jordens.</t>
  </si>
  <si>
    <t>Jordens, J. T. F.</t>
  </si>
  <si>
    <t>Delhi : Oxford University Press, 1978.</t>
  </si>
  <si>
    <t xml:space="preserve">ii </t>
  </si>
  <si>
    <t>1999-11-07</t>
  </si>
  <si>
    <t>17333185:eng</t>
  </si>
  <si>
    <t>5312403</t>
  </si>
  <si>
    <t>991004818119702656</t>
  </si>
  <si>
    <t>2264879300002656</t>
  </si>
  <si>
    <t>9780195609950</t>
  </si>
  <si>
    <t>32285000350024</t>
  </si>
  <si>
    <t>893241874</t>
  </si>
  <si>
    <t>BL1270 .M379 1989</t>
  </si>
  <si>
    <t>0                      BL 1270000M  379         1989</t>
  </si>
  <si>
    <t>Listen, humanity / by Meher Baba ; narrated and edited by D. E. Stevens.</t>
  </si>
  <si>
    <t>Meher Baba, 1894-1969.</t>
  </si>
  <si>
    <t>Jersey, Channel Islands : Companion Books, 1989.</t>
  </si>
  <si>
    <t>1989</t>
  </si>
  <si>
    <t>4th ed.</t>
  </si>
  <si>
    <t>enk</t>
  </si>
  <si>
    <t>2000-04-02</t>
  </si>
  <si>
    <t>1997-08-29</t>
  </si>
  <si>
    <t>628203:eng</t>
  </si>
  <si>
    <t>29840306</t>
  </si>
  <si>
    <t>991002298489702656</t>
  </si>
  <si>
    <t>2266691490002656</t>
  </si>
  <si>
    <t>9782950114969</t>
  </si>
  <si>
    <t>32285003002739</t>
  </si>
  <si>
    <t>893347333</t>
  </si>
  <si>
    <t>BL1270.G4 Z3 1971</t>
  </si>
  <si>
    <t>0                      BL 1270000G  4                  Z  3           1971</t>
  </si>
  <si>
    <t>Evolution in religion : a study in Sri Aurobindo and Pierre Teilhard de Chardin / by R. C. Zaehner.</t>
  </si>
  <si>
    <t>Zaehner, R. C. (Robert Charles), 1913-1974.</t>
  </si>
  <si>
    <t>Oxford : Clarendon Press, 1971.</t>
  </si>
  <si>
    <t>1971</t>
  </si>
  <si>
    <t>2002-03-18</t>
  </si>
  <si>
    <t>1991-01-03</t>
  </si>
  <si>
    <t>1263523:eng</t>
  </si>
  <si>
    <t>160137</t>
  </si>
  <si>
    <t>991000913609702656</t>
  </si>
  <si>
    <t>2267355390002656</t>
  </si>
  <si>
    <t>9780198266280</t>
  </si>
  <si>
    <t>32285000297704</t>
  </si>
  <si>
    <t>893249796</t>
  </si>
  <si>
    <t>BL1270.V5 S25</t>
  </si>
  <si>
    <t>0                      BL 1270000V  5                  S  25</t>
  </si>
  <si>
    <t>Swami Vivekananda's contribution to the present age / by Swami Satprakashananda.</t>
  </si>
  <si>
    <t>Satprakashananda, Swami.</t>
  </si>
  <si>
    <t>St. Louis : Vedanta Society of St. Louis, c1978.</t>
  </si>
  <si>
    <t>mou</t>
  </si>
  <si>
    <t>14283075:eng</t>
  </si>
  <si>
    <t>4037283</t>
  </si>
  <si>
    <t>991004575339702656</t>
  </si>
  <si>
    <t>2269085200002656</t>
  </si>
  <si>
    <t>9780916356583</t>
  </si>
  <si>
    <t>32285000350057</t>
  </si>
  <si>
    <t>893776167</t>
  </si>
  <si>
    <t>BL1432.Z4 H842</t>
  </si>
  <si>
    <t>0                      BL 1432000Z  4                  H  842</t>
  </si>
  <si>
    <t>The Platform Scripture.</t>
  </si>
  <si>
    <t>Huineng, 638-713.</t>
  </si>
  <si>
    <t>New York, St. John's University Press, 1963.</t>
  </si>
  <si>
    <t>1963</t>
  </si>
  <si>
    <t>Asian institute translations ; no. 3</t>
  </si>
  <si>
    <t>2005-05-04</t>
  </si>
  <si>
    <t>1990-11-16</t>
  </si>
  <si>
    <t>10227214110:eng</t>
  </si>
  <si>
    <t>1661742</t>
  </si>
  <si>
    <t>991002625539702656</t>
  </si>
  <si>
    <t>2259873260002656</t>
  </si>
  <si>
    <t>32285000399393</t>
  </si>
  <si>
    <t>893227084</t>
  </si>
  <si>
    <t>BL1432.Z4 T8</t>
  </si>
  <si>
    <t>0                      BL 1432000Z  4                  T  8</t>
  </si>
  <si>
    <t>The platform sutra of the sixth patriarch; the text of the Tun-huang manuscript with translation, introduction, and notes / by Philip B. Yampolsky.</t>
  </si>
  <si>
    <t>Dunhuang manuscripts. English.</t>
  </si>
  <si>
    <t>New York : Columbia University Press, 1967.</t>
  </si>
  <si>
    <t>1967</t>
  </si>
  <si>
    <t>Records of civilization, sources and studies ; no. 76</t>
  </si>
  <si>
    <t>2006-09-06</t>
  </si>
  <si>
    <t>9566273145:eng</t>
  </si>
  <si>
    <t>173316</t>
  </si>
  <si>
    <t>991001009679702656</t>
  </si>
  <si>
    <t>2268433900002656</t>
  </si>
  <si>
    <t>32285000399435</t>
  </si>
  <si>
    <t>893231620</t>
  </si>
  <si>
    <t>BL1442.Z4 H77 1971</t>
  </si>
  <si>
    <t>0                      BL 1442000Z  4                  H  77          1971</t>
  </si>
  <si>
    <t>The way of action; a working philosophy for Western life.</t>
  </si>
  <si>
    <t>Humphreys, Christmas, 1901-1983.</t>
  </si>
  <si>
    <t>Baltimore, Pemguin Books [1971, c1960]</t>
  </si>
  <si>
    <t>mdu</t>
  </si>
  <si>
    <t>A Pelican book</t>
  </si>
  <si>
    <t>2002-05-07</t>
  </si>
  <si>
    <t>431867331:eng</t>
  </si>
  <si>
    <t>3094328</t>
  </si>
  <si>
    <t>991004344029702656</t>
  </si>
  <si>
    <t>2262163940002656</t>
  </si>
  <si>
    <t>32285000399401</t>
  </si>
  <si>
    <t>893343721</t>
  </si>
  <si>
    <t>BL1600 .A7</t>
  </si>
  <si>
    <t>0                      BL 1600000A  7</t>
  </si>
  <si>
    <t>Religion in the Middle East: three religions in concord and conflict; general editor A. J. Arberry.</t>
  </si>
  <si>
    <t>Arberry, A. J. (Arthur John), 1905-1969.</t>
  </si>
  <si>
    <t>London, Cambridge U.P., 1969.</t>
  </si>
  <si>
    <t>1969</t>
  </si>
  <si>
    <t>1999-04-21</t>
  </si>
  <si>
    <t>1990-04-06</t>
  </si>
  <si>
    <t>1990-10-18</t>
  </si>
  <si>
    <t>5218110449:eng</t>
  </si>
  <si>
    <t>10413</t>
  </si>
  <si>
    <t>991000001489702656</t>
  </si>
  <si>
    <t>2268051730002656</t>
  </si>
  <si>
    <t>9780521074001</t>
  </si>
  <si>
    <t>32285000112242</t>
  </si>
  <si>
    <t>893261320</t>
  </si>
  <si>
    <t>BL1600 .A7 V.2</t>
  </si>
  <si>
    <t>0                      BL 1600000A  7                                                       V.2</t>
  </si>
  <si>
    <t>V.2*</t>
  </si>
  <si>
    <t>32285000350172</t>
  </si>
  <si>
    <t>893255093</t>
  </si>
  <si>
    <t>BL1600 .S6 1972</t>
  </si>
  <si>
    <t>0                      BL 1600000S  6           1972</t>
  </si>
  <si>
    <t>The religion of the Semites; the fundamental institutions.</t>
  </si>
  <si>
    <t>Smith, W. Robertson (William Robertson), 1846-1894.</t>
  </si>
  <si>
    <t>New York, Schocken Books [1972]</t>
  </si>
  <si>
    <t>1972</t>
  </si>
  <si>
    <t>[1st Schocken paperback ed.]</t>
  </si>
  <si>
    <t>1993-02-17</t>
  </si>
  <si>
    <t>1991-07-12</t>
  </si>
  <si>
    <t>3901020029:eng</t>
  </si>
  <si>
    <t>315333</t>
  </si>
  <si>
    <t>991002295729702656</t>
  </si>
  <si>
    <t>2268868890002656</t>
  </si>
  <si>
    <t>9780805203462</t>
  </si>
  <si>
    <t>32285000639194</t>
  </si>
  <si>
    <t>893433722</t>
  </si>
  <si>
    <t>BL1660 .P4813</t>
  </si>
  <si>
    <t>0                      BL 1660000P  4813</t>
  </si>
  <si>
    <t>The Phoenician history / Philo of Byblos ; introd., critical text, translation, notes, by Harold W. Attridge and Robert A. Oden, Jr.</t>
  </si>
  <si>
    <t>Philo, of Byblos.</t>
  </si>
  <si>
    <t>Washington, D.C. : Catholic Biblical Association of America, 1981.</t>
  </si>
  <si>
    <t>dcu</t>
  </si>
  <si>
    <t>Catholic Biblical quarterly. Monograph series ; 9</t>
  </si>
  <si>
    <t>1992-05-04</t>
  </si>
  <si>
    <t>5617132503:eng</t>
  </si>
  <si>
    <t>6915862</t>
  </si>
  <si>
    <t>991005058809702656</t>
  </si>
  <si>
    <t>2265701290002656</t>
  </si>
  <si>
    <t>9780915170081</t>
  </si>
  <si>
    <t>32285000350248</t>
  </si>
  <si>
    <t>893332335</t>
  </si>
  <si>
    <t>BL1670 .M84</t>
  </si>
  <si>
    <t>0                      BL 1670000M  84</t>
  </si>
  <si>
    <t>The divine council in Canaanite &amp; Hebrew literature / E. Theodore Mullen, Jr.</t>
  </si>
  <si>
    <t>Mullen, E. Theodore.</t>
  </si>
  <si>
    <t>Missoula, Mont. : Scholars Press, c1980.</t>
  </si>
  <si>
    <t>mtu</t>
  </si>
  <si>
    <t>Harvard Semitic monographs, 0073-0637 ; no. 24</t>
  </si>
  <si>
    <t>1993-02-21</t>
  </si>
  <si>
    <t>548076:eng</t>
  </si>
  <si>
    <t>5992344</t>
  </si>
  <si>
    <t>991004911359702656</t>
  </si>
  <si>
    <t>2261686960002656</t>
  </si>
  <si>
    <t>9780891303800</t>
  </si>
  <si>
    <t>32285000350271</t>
  </si>
  <si>
    <t>893319765</t>
  </si>
  <si>
    <t>BL180 .R36 1981</t>
  </si>
  <si>
    <t>0                      BL 0180000R  36          1981</t>
  </si>
  <si>
    <t>Thomas Reid's Lectures on natural theology (1780) / transcribed from student notes, edited, and with an introduction by Elmer H. Duncan ; with a new essay "Reid, first principles and reason in the Lectures on natural theology" by William R. Eakin.</t>
  </si>
  <si>
    <t>Reid, Thomas, 1710-1796.</t>
  </si>
  <si>
    <t>Washington, D.C. : University Press of America, c1981.</t>
  </si>
  <si>
    <t>2004-05-10</t>
  </si>
  <si>
    <t>1990-10-03</t>
  </si>
  <si>
    <t>427350487:eng</t>
  </si>
  <si>
    <t>6943197</t>
  </si>
  <si>
    <t>991000025829702656</t>
  </si>
  <si>
    <t>2255101340002656</t>
  </si>
  <si>
    <t>9780819113559</t>
  </si>
  <si>
    <t>32285000331073</t>
  </si>
  <si>
    <t>893419127</t>
  </si>
  <si>
    <t>BL1802 .A33</t>
  </si>
  <si>
    <t>0                      BL 1802000A  33</t>
  </si>
  <si>
    <t>Chinese ritual and politics / Emily Martin Ahern.</t>
  </si>
  <si>
    <t>Martin, Emily.</t>
  </si>
  <si>
    <t>Cambridge ; New York : Cambridge University Press, 1981.</t>
  </si>
  <si>
    <t>Cambridge studies in social anthropology ; 34</t>
  </si>
  <si>
    <t>1998-09-08</t>
  </si>
  <si>
    <t>504865:eng</t>
  </si>
  <si>
    <t>8280429</t>
  </si>
  <si>
    <t>991005225019702656</t>
  </si>
  <si>
    <t>2257288380002656</t>
  </si>
  <si>
    <t>9780521236904</t>
  </si>
  <si>
    <t>32285000350289</t>
  </si>
  <si>
    <t>893350936</t>
  </si>
  <si>
    <t>BL1802 .C45 1981</t>
  </si>
  <si>
    <t>0                      BL 1802000C  45          1981</t>
  </si>
  <si>
    <t>Chinese humanism : a religion beyond religion / Andrew Chih.</t>
  </si>
  <si>
    <t>Chih, Andrew.</t>
  </si>
  <si>
    <t>Taipei, Taiwan : Fu Jen Catholic University Press, c1981.</t>
  </si>
  <si>
    <t xml:space="preserve">ch </t>
  </si>
  <si>
    <t>2004-09-19</t>
  </si>
  <si>
    <t>1991-01-09</t>
  </si>
  <si>
    <t>308961591:eng</t>
  </si>
  <si>
    <t>11727874</t>
  </si>
  <si>
    <t>991000103989702656</t>
  </si>
  <si>
    <t>2272792990002656</t>
  </si>
  <si>
    <t>32285000427608</t>
  </si>
  <si>
    <t>893249088</t>
  </si>
  <si>
    <t>BL1802 .M3</t>
  </si>
  <si>
    <t>0                      BL 1802000M  3</t>
  </si>
  <si>
    <t>Religious policy and practice in Communist China; a documentary history [compiled] by Donald E. MacInnis.</t>
  </si>
  <si>
    <t>MacInnis, Donald E., compiler.</t>
  </si>
  <si>
    <t>New York, Macmillan [1972]</t>
  </si>
  <si>
    <t>2007-07-12</t>
  </si>
  <si>
    <t>797241199:eng</t>
  </si>
  <si>
    <t>420322</t>
  </si>
  <si>
    <t>991002738899702656</t>
  </si>
  <si>
    <t>2270674670002656</t>
  </si>
  <si>
    <t>32285000350305</t>
  </si>
  <si>
    <t>893867617</t>
  </si>
  <si>
    <t>BL182 .C55</t>
  </si>
  <si>
    <t>0                      BL 0182000C  55</t>
  </si>
  <si>
    <t>A return to natural theology, by F. H. Cleobury.</t>
  </si>
  <si>
    <t>Cleobury, F. H. (Frank Harold)</t>
  </si>
  <si>
    <t>London, Clarke, 1967.</t>
  </si>
  <si>
    <t>1996-09-28</t>
  </si>
  <si>
    <t>2050613:eng</t>
  </si>
  <si>
    <t>1134133</t>
  </si>
  <si>
    <t>991003562729702656</t>
  </si>
  <si>
    <t>2267939370002656</t>
  </si>
  <si>
    <t>32285000331123</t>
  </si>
  <si>
    <t>893512097</t>
  </si>
  <si>
    <t>BL182 .F55 1966</t>
  </si>
  <si>
    <t>0                      BL 0182000F  55          1966</t>
  </si>
  <si>
    <t>God &amp; philosophy [by] Antony Flew.</t>
  </si>
  <si>
    <t>Flew, Antony, 1923-2010.</t>
  </si>
  <si>
    <t>New York, Harcourt, Brace &amp; World [1966]</t>
  </si>
  <si>
    <t>1966</t>
  </si>
  <si>
    <t>[1st American ed.]</t>
  </si>
  <si>
    <t>1995-02-26</t>
  </si>
  <si>
    <t>3901183809:eng</t>
  </si>
  <si>
    <t>350515</t>
  </si>
  <si>
    <t>991002442529702656</t>
  </si>
  <si>
    <t>2268664490002656</t>
  </si>
  <si>
    <t>32285000331149</t>
  </si>
  <si>
    <t>893329077</t>
  </si>
  <si>
    <t>BL182 .F55 1984</t>
  </si>
  <si>
    <t>0                      BL 0182000F  55          1984</t>
  </si>
  <si>
    <t>God : a critical enquiry / Antony Flew.</t>
  </si>
  <si>
    <t>LaSalle, Ill. : Open Court Pub. Co., c1984.</t>
  </si>
  <si>
    <t>1984</t>
  </si>
  <si>
    <t>2nd ed.</t>
  </si>
  <si>
    <t>ilu</t>
  </si>
  <si>
    <t>Open Court paperbacks</t>
  </si>
  <si>
    <t>1998-04-29</t>
  </si>
  <si>
    <t>1151212393:eng</t>
  </si>
  <si>
    <t>10207339</t>
  </si>
  <si>
    <t>991000331469702656</t>
  </si>
  <si>
    <t>2264965090002656</t>
  </si>
  <si>
    <t>9780875483719</t>
  </si>
  <si>
    <t>32285000331156</t>
  </si>
  <si>
    <t>893714498</t>
  </si>
  <si>
    <t>BL182 .H6</t>
  </si>
  <si>
    <t>0                      BL 0182000H  6</t>
  </si>
  <si>
    <t>An introduction to natural theology.</t>
  </si>
  <si>
    <t>Holloway, Maurice R.</t>
  </si>
  <si>
    <t>New York : Appleton-Century-Crofts, [1959]</t>
  </si>
  <si>
    <t>1959</t>
  </si>
  <si>
    <t>|||</t>
  </si>
  <si>
    <t>2001-07-17</t>
  </si>
  <si>
    <t>2000-06-14</t>
  </si>
  <si>
    <t>2307939:eng</t>
  </si>
  <si>
    <t>1456734</t>
  </si>
  <si>
    <t>991003059609702656</t>
  </si>
  <si>
    <t>2256246660002656</t>
  </si>
  <si>
    <t>32285000331180</t>
  </si>
  <si>
    <t>893880786</t>
  </si>
  <si>
    <t>BL182 .J33 1986</t>
  </si>
  <si>
    <t>0                      BL 0182000J  33          1986</t>
  </si>
  <si>
    <t>Lord Gifford and his lectures : a centenary retrospect / Stanley L. Jaki.</t>
  </si>
  <si>
    <t>Jaki, Stanley L.</t>
  </si>
  <si>
    <t>Edinburgh : Scottish Academic Press ; Macon, Ga. : Mercer University Press, 1986.</t>
  </si>
  <si>
    <t>1986</t>
  </si>
  <si>
    <t>stk</t>
  </si>
  <si>
    <t>1996-11-05</t>
  </si>
  <si>
    <t>13194998:eng</t>
  </si>
  <si>
    <t>16755968</t>
  </si>
  <si>
    <t>991001143659702656</t>
  </si>
  <si>
    <t>2263134290002656</t>
  </si>
  <si>
    <t>9780707304656</t>
  </si>
  <si>
    <t>32285000331198</t>
  </si>
  <si>
    <t>893351790</t>
  </si>
  <si>
    <t>BL1875.L56 B47</t>
  </si>
  <si>
    <t>0                      BL 1875000L  56                 B  47</t>
  </si>
  <si>
    <t>The syncretic religion of Lin Chao-en / Judith A. Berling.</t>
  </si>
  <si>
    <t>Berling, Judith A.</t>
  </si>
  <si>
    <t>New York : Columbia University Press, 1980.</t>
  </si>
  <si>
    <t>Buddhist studies and translations</t>
  </si>
  <si>
    <t>1995-03-09</t>
  </si>
  <si>
    <t>420276:eng</t>
  </si>
  <si>
    <t>5830536</t>
  </si>
  <si>
    <t>991004883849702656</t>
  </si>
  <si>
    <t>2260675980002656</t>
  </si>
  <si>
    <t>9780231048705</t>
  </si>
  <si>
    <t>32285000350396</t>
  </si>
  <si>
    <t>893350467</t>
  </si>
  <si>
    <t>BL1900.L3 C35 1964</t>
  </si>
  <si>
    <t>0                      BL 1900000L  3                  C  35          1964</t>
  </si>
  <si>
    <t>The canon of reason and virtue ... being Lao-tze's Tao teh king; Chinese and English by Paul Carus.</t>
  </si>
  <si>
    <t>Laozi.</t>
  </si>
  <si>
    <t>La Salle, Ill., Open Court Pub. Co., 1964 [c1927]</t>
  </si>
  <si>
    <t>1964</t>
  </si>
  <si>
    <t>1995-10-05</t>
  </si>
  <si>
    <t>5218813817:eng</t>
  </si>
  <si>
    <t>7815528</t>
  </si>
  <si>
    <t>991003450069702656</t>
  </si>
  <si>
    <t>2270323620002656</t>
  </si>
  <si>
    <t>32285000350461</t>
  </si>
  <si>
    <t>893793610</t>
  </si>
  <si>
    <t>BL200 .A94</t>
  </si>
  <si>
    <t>0                      BL 0200000A  94</t>
  </si>
  <si>
    <t>The God of philosophy / by Francis Aveling.</t>
  </si>
  <si>
    <t>Aveling, Francis, 1875-1941.</t>
  </si>
  <si>
    <t>London : Sands ; St.Louis, Mo. : Herder, 1906.</t>
  </si>
  <si>
    <t>1906</t>
  </si>
  <si>
    <t>Expository essays in Christian philosophy</t>
  </si>
  <si>
    <t>1996-12-03</t>
  </si>
  <si>
    <t>5751297:eng</t>
  </si>
  <si>
    <t>3584700</t>
  </si>
  <si>
    <t>991004468669702656</t>
  </si>
  <si>
    <t>2265171770002656</t>
  </si>
  <si>
    <t>32285000331214</t>
  </si>
  <si>
    <t>893888747</t>
  </si>
  <si>
    <t>BL200 .B45</t>
  </si>
  <si>
    <t>0                      BL 0200000B  45</t>
  </si>
  <si>
    <t>Fundamentals in the philosophy of God.</t>
  </si>
  <si>
    <t>Benedetto, Arnold J. (Arnold Joseph), 1916-1966.</t>
  </si>
  <si>
    <t>New York, Macmillan [1963]</t>
  </si>
  <si>
    <t>1995-11-16</t>
  </si>
  <si>
    <t>2359103:eng</t>
  </si>
  <si>
    <t>1474146</t>
  </si>
  <si>
    <t>991003772229702656</t>
  </si>
  <si>
    <t>2255099160002656</t>
  </si>
  <si>
    <t>32285000331230</t>
  </si>
  <si>
    <t>893518856</t>
  </si>
  <si>
    <t>BL200 .H32</t>
  </si>
  <si>
    <t>0                      BL 0200000H  32</t>
  </si>
  <si>
    <t>Aquinas to Whitehead : seven centuries of metaphysics of religion / by Charles E. Hartshorne.</t>
  </si>
  <si>
    <t>Hartshorne, Charles, 1897-2000.</t>
  </si>
  <si>
    <t>Milwaukee : Marquette University Publications, 1976.</t>
  </si>
  <si>
    <t>1976</t>
  </si>
  <si>
    <t>wiu</t>
  </si>
  <si>
    <t>The Aquinas lecture ; 1976</t>
  </si>
  <si>
    <t>2004-02-10</t>
  </si>
  <si>
    <t>797064837:eng</t>
  </si>
  <si>
    <t>2238150</t>
  </si>
  <si>
    <t>991004059989702656</t>
  </si>
  <si>
    <t>2257608390002656</t>
  </si>
  <si>
    <t>9780874621419</t>
  </si>
  <si>
    <t>32285000331305</t>
  </si>
  <si>
    <t>893423338</t>
  </si>
  <si>
    <t>BL200 .L3 1969</t>
  </si>
  <si>
    <t>0                      BL 0200000L  3           1969</t>
  </si>
  <si>
    <t>Theism and cosmology, being the first series of a course of Gifford lectures on the general subject of metaphysics and theism given in the University of Glasgow in 1939.</t>
  </si>
  <si>
    <t>Laird, John, 1887-1946.</t>
  </si>
  <si>
    <t>Freeport, N.Y., Books for Libraries Press [1969]</t>
  </si>
  <si>
    <t>Essay index reprint series</t>
  </si>
  <si>
    <t>1995-12-07</t>
  </si>
  <si>
    <t>1175139:eng</t>
  </si>
  <si>
    <t>29356</t>
  </si>
  <si>
    <t>991000074049702656</t>
  </si>
  <si>
    <t>2266317460002656</t>
  </si>
  <si>
    <t>9780836911473</t>
  </si>
  <si>
    <t>32285000331370</t>
  </si>
  <si>
    <t>893601426</t>
  </si>
  <si>
    <t>BL200 .M318 1967</t>
  </si>
  <si>
    <t>0                      BL 0200000M  318         1967</t>
  </si>
  <si>
    <t>Existence and analogy; a sequel to "He who is," by E. L. Mascall.</t>
  </si>
  <si>
    <t>Mascall, E. L. (Eric Lionel), 1905-1993.</t>
  </si>
  <si>
    <t>[Hamden, Conn.] Archon Books, 1967.</t>
  </si>
  <si>
    <t>2000-02-24</t>
  </si>
  <si>
    <t>433792572:eng</t>
  </si>
  <si>
    <t>862153</t>
  </si>
  <si>
    <t>991003331159702656</t>
  </si>
  <si>
    <t>2262381710002656</t>
  </si>
  <si>
    <t>32285000331396</t>
  </si>
  <si>
    <t>893342467</t>
  </si>
  <si>
    <t>BL200 .O9</t>
  </si>
  <si>
    <t>0                      BL 0200000O  9</t>
  </si>
  <si>
    <t>Concepts of deity [by] H. P. Owen.</t>
  </si>
  <si>
    <t>Owen, Huw Parri.</t>
  </si>
  <si>
    <t>[New York] Herder and Herder [1971]</t>
  </si>
  <si>
    <t>Philosophy of religion series</t>
  </si>
  <si>
    <t>1993-09-13</t>
  </si>
  <si>
    <t>1169894:eng</t>
  </si>
  <si>
    <t>156716</t>
  </si>
  <si>
    <t>991000905139702656</t>
  </si>
  <si>
    <t>2255578910002656</t>
  </si>
  <si>
    <t>32285000331438</t>
  </si>
  <si>
    <t>893407640</t>
  </si>
  <si>
    <t>BL200 .R4</t>
  </si>
  <si>
    <t>0                      BL 0200000R  4</t>
  </si>
  <si>
    <t>The philosophy of God.</t>
  </si>
  <si>
    <t>Renard, Henri, 1894-</t>
  </si>
  <si>
    <t>Milwaukee, Bruce [1951]</t>
  </si>
  <si>
    <t>1951</t>
  </si>
  <si>
    <t>Science and culture texts</t>
  </si>
  <si>
    <t>2008-10-14</t>
  </si>
  <si>
    <t>1484914:eng</t>
  </si>
  <si>
    <t>396103</t>
  </si>
  <si>
    <t>991002673279702656</t>
  </si>
  <si>
    <t>2261010760002656</t>
  </si>
  <si>
    <t>32285000331453</t>
  </si>
  <si>
    <t>893899056</t>
  </si>
  <si>
    <t>BL200 .S345</t>
  </si>
  <si>
    <t>0                      BL 0200000S  345</t>
  </si>
  <si>
    <t>Religion and scientific method / George Schlesinger. --</t>
  </si>
  <si>
    <t>Schlesinger, G.</t>
  </si>
  <si>
    <t>Dordrecht, Holland ; Boston : D. Reidel Pub. Co., c1977.</t>
  </si>
  <si>
    <t xml:space="preserve">ne </t>
  </si>
  <si>
    <t>Philosophical studies series in philosophy ; v. 10</t>
  </si>
  <si>
    <t>2007-10-06</t>
  </si>
  <si>
    <t>111034925:eng</t>
  </si>
  <si>
    <t>3167467</t>
  </si>
  <si>
    <t>991004361199702656</t>
  </si>
  <si>
    <t>2262237040002656</t>
  </si>
  <si>
    <t>9789027708151</t>
  </si>
  <si>
    <t>32285000331487</t>
  </si>
  <si>
    <t>893612253</t>
  </si>
  <si>
    <t>BL200 .W38</t>
  </si>
  <si>
    <t>0                      BL 0200000W  38</t>
  </si>
  <si>
    <t>The infinite God and the Summa fratris Alexandri, by Meldon C. Wass.</t>
  </si>
  <si>
    <t>Wass, Meldon Clarence, 1926-</t>
  </si>
  <si>
    <t>Chicago, Franciscan Herald Press [1964]</t>
  </si>
  <si>
    <t>Quincy College publications</t>
  </si>
  <si>
    <t>2001-07-31</t>
  </si>
  <si>
    <t>367447202:eng</t>
  </si>
  <si>
    <t>1020577</t>
  </si>
  <si>
    <t>991003475969702656</t>
  </si>
  <si>
    <t>2267285890002656</t>
  </si>
  <si>
    <t>32285000331545</t>
  </si>
  <si>
    <t>893258454</t>
  </si>
  <si>
    <t>BL200.B76 G62</t>
  </si>
  <si>
    <t>0                      BL 0200000B  76                 G  62</t>
  </si>
  <si>
    <t>God infinite and reason, concerning the attributes of God, by William J. Brosnan.</t>
  </si>
  <si>
    <t>Brosnan, William Joseph, 1864-</t>
  </si>
  <si>
    <t>New York, The American press, 1928.</t>
  </si>
  <si>
    <t>1928</t>
  </si>
  <si>
    <t>1996-04-09</t>
  </si>
  <si>
    <t>13177727:eng</t>
  </si>
  <si>
    <t>3962024</t>
  </si>
  <si>
    <t>991004554509702656</t>
  </si>
  <si>
    <t>2262807370002656</t>
  </si>
  <si>
    <t>32285000331255</t>
  </si>
  <si>
    <t>893888869</t>
  </si>
  <si>
    <t>BL200.N69 U5</t>
  </si>
  <si>
    <t>0                      BL 0200000N  69                 U  5</t>
  </si>
  <si>
    <t>The unknown God, by Alfred Noyes.</t>
  </si>
  <si>
    <t>Noyes, Alfred, 1880-1958.</t>
  </si>
  <si>
    <t>New York, Sheed and Ward, 1934.</t>
  </si>
  <si>
    <t>1934</t>
  </si>
  <si>
    <t>1996-11-19</t>
  </si>
  <si>
    <t>1511420:eng</t>
  </si>
  <si>
    <t>593160</t>
  </si>
  <si>
    <t>991003029889702656</t>
  </si>
  <si>
    <t>2264705340002656</t>
  </si>
  <si>
    <t>32285000331420</t>
  </si>
  <si>
    <t>893698600</t>
  </si>
  <si>
    <t>BL2001.2 .O36</t>
  </si>
  <si>
    <t>0                      BL 2001200O  36</t>
  </si>
  <si>
    <t>Women, androgynes, and other mythical beasts / Wendy Doniger O'Flaherty.</t>
  </si>
  <si>
    <t>Doniger, Wendy.</t>
  </si>
  <si>
    <t>Chicago : University of Chicago Press, c1980.</t>
  </si>
  <si>
    <t>2001-04-05</t>
  </si>
  <si>
    <t>418986:eng</t>
  </si>
  <si>
    <t>5126272</t>
  </si>
  <si>
    <t>991004783459702656</t>
  </si>
  <si>
    <t>2267898990002656</t>
  </si>
  <si>
    <t>9780226618494</t>
  </si>
  <si>
    <t>32285000350610</t>
  </si>
  <si>
    <t>893870112</t>
  </si>
  <si>
    <t>BL2003 .C8 1968</t>
  </si>
  <si>
    <t>0                      BL 2003000C  8           1968</t>
  </si>
  <si>
    <t>The popular religion and folk-lore of northern India.</t>
  </si>
  <si>
    <t>Crooke, William, 1848-1923.</t>
  </si>
  <si>
    <t>Delhi, Munshiram Manoharlal [1968]</t>
  </si>
  <si>
    <t>A new [2d] ed., rev. and illustrated.</t>
  </si>
  <si>
    <t>1995-10-02</t>
  </si>
  <si>
    <t>1990-02-28</t>
  </si>
  <si>
    <t>1474116:eng</t>
  </si>
  <si>
    <t>377644</t>
  </si>
  <si>
    <t>991002610309702656</t>
  </si>
  <si>
    <t>2260835540002656</t>
  </si>
  <si>
    <t>32285000070135</t>
  </si>
  <si>
    <t>893347698</t>
  </si>
  <si>
    <t>BL2003 .I6</t>
  </si>
  <si>
    <t>0                      BL 2003000I  6</t>
  </si>
  <si>
    <t>Indian mythology / Veronica Ions.</t>
  </si>
  <si>
    <t>Ions, Veronica.</t>
  </si>
  <si>
    <t>London, Hamlyn [1967]</t>
  </si>
  <si>
    <t>1999-04-24</t>
  </si>
  <si>
    <t>162053:eng</t>
  </si>
  <si>
    <t>387304</t>
  </si>
  <si>
    <t>991002651819702656</t>
  </si>
  <si>
    <t>2258172270002656</t>
  </si>
  <si>
    <t>32285000350669</t>
  </si>
  <si>
    <t>893685613</t>
  </si>
  <si>
    <t>BL2003 .Z5</t>
  </si>
  <si>
    <t>0                      BL 2003000Z  5</t>
  </si>
  <si>
    <t>Myths and symbols in Indian art and civilization / edited by Joseph Campbell.</t>
  </si>
  <si>
    <t>Zimmer, Heinrich Robert, 1890-1943.</t>
  </si>
  <si>
    <t>[New York] Pantheon Books [1946]</t>
  </si>
  <si>
    <t>1946</t>
  </si>
  <si>
    <t>The Bollingen series, VI</t>
  </si>
  <si>
    <t>2002-09-11</t>
  </si>
  <si>
    <t>577601:eng</t>
  </si>
  <si>
    <t>377871</t>
  </si>
  <si>
    <t>991002611019702656</t>
  </si>
  <si>
    <t>2263088880002656</t>
  </si>
  <si>
    <t>32285000350685</t>
  </si>
  <si>
    <t>893616327</t>
  </si>
  <si>
    <t>BL21 .M63 1987</t>
  </si>
  <si>
    <t>0                      BL 0021000M  63          1987</t>
  </si>
  <si>
    <t>Modernity and religion / edited by William Nicholls.</t>
  </si>
  <si>
    <t>Waterloo, Ont : Published for the Canadian Corporation for Studies in Religion/Corporation canadienne des sciences religeuses by Wilfrid Laurier University Press, 1987.</t>
  </si>
  <si>
    <t>1987</t>
  </si>
  <si>
    <t>onc</t>
  </si>
  <si>
    <t>SR supplements ; 19</t>
  </si>
  <si>
    <t>1994-03-02</t>
  </si>
  <si>
    <t>1990-09-21</t>
  </si>
  <si>
    <t>431329395:eng</t>
  </si>
  <si>
    <t>17584290</t>
  </si>
  <si>
    <t>991001238509702656</t>
  </si>
  <si>
    <t>2261128710002656</t>
  </si>
  <si>
    <t>9780889201545</t>
  </si>
  <si>
    <t>32285000307248</t>
  </si>
  <si>
    <t>893516022</t>
  </si>
  <si>
    <t>BL21 .R45</t>
  </si>
  <si>
    <t>0                      BL 0021000R  45</t>
  </si>
  <si>
    <t>Religious syncretism in antiquity : essays in conversation with Geo Widengren / edited by Birger A. Pearson.</t>
  </si>
  <si>
    <t>Missoula, Mont. : Published by Scholars Press for the American Academy of Religion and the Institute of Religious Studies, University of California, Santa Barbara, c1975.</t>
  </si>
  <si>
    <t>1975</t>
  </si>
  <si>
    <t>Series on formative contemporary thinkers ; no. 1</t>
  </si>
  <si>
    <t>1996-10-08</t>
  </si>
  <si>
    <t>891010683:eng</t>
  </si>
  <si>
    <t>1693981</t>
  </si>
  <si>
    <t>991003871749702656</t>
  </si>
  <si>
    <t>2255506370002656</t>
  </si>
  <si>
    <t>9780891300373</t>
  </si>
  <si>
    <t>32285000307263</t>
  </si>
  <si>
    <t>893611569</t>
  </si>
  <si>
    <t>BL21 .S63</t>
  </si>
  <si>
    <t>0                      BL 0021000S  63</t>
  </si>
  <si>
    <t>The Social impact of new religious movements / Bryan Wilson, editor ; [contributors, David Martin ... et al.].</t>
  </si>
  <si>
    <t>Barrytown, N.Y. : Unification Theological Seminary ; New York, N.Y. : Distributed by Rose of Sharon Press, c1981.</t>
  </si>
  <si>
    <t>1st ed.</t>
  </si>
  <si>
    <t>Conference series (Unification Theological Seminary) ; no. 9</t>
  </si>
  <si>
    <t>1994-04-18</t>
  </si>
  <si>
    <t>427355726:eng</t>
  </si>
  <si>
    <t>7669119</t>
  </si>
  <si>
    <t>991005145879702656</t>
  </si>
  <si>
    <t>2261131640002656</t>
  </si>
  <si>
    <t>9780932894090</t>
  </si>
  <si>
    <t>32285000307271</t>
  </si>
  <si>
    <t>893606905</t>
  </si>
  <si>
    <t>BL210 .M6 1963</t>
  </si>
  <si>
    <t>0                      BL 0210000M  6           1963</t>
  </si>
  <si>
    <t>The principle of analogy in Protestant and Catholic theology.</t>
  </si>
  <si>
    <t>Mondin, Battista.</t>
  </si>
  <si>
    <t>The Hague, M. Nijhoff, 1963.</t>
  </si>
  <si>
    <t>1298424:eng</t>
  </si>
  <si>
    <t>1124340</t>
  </si>
  <si>
    <t>991003556109702656</t>
  </si>
  <si>
    <t>2269431930002656</t>
  </si>
  <si>
    <t>32285000331602</t>
  </si>
  <si>
    <t>893781128</t>
  </si>
  <si>
    <t>BL218 .B5</t>
  </si>
  <si>
    <t>0                      BL 0218000B  5</t>
  </si>
  <si>
    <t>Selected essays on gnosticism, dualism and mysteriosophy / by Ugo Bianchi.</t>
  </si>
  <si>
    <t>Bianchi, Ugo.</t>
  </si>
  <si>
    <t>Leiden : Brill, 1978.</t>
  </si>
  <si>
    <t>fre</t>
  </si>
  <si>
    <t>Studies in the history of religions : Supplements to Numen ; v. 38</t>
  </si>
  <si>
    <t>2002-11-26</t>
  </si>
  <si>
    <t>633408:fre</t>
  </si>
  <si>
    <t>4592228</t>
  </si>
  <si>
    <t>991004685649702656</t>
  </si>
  <si>
    <t>2272726250002656</t>
  </si>
  <si>
    <t>9789004054325</t>
  </si>
  <si>
    <t>32285000331594</t>
  </si>
  <si>
    <t>893350277</t>
  </si>
  <si>
    <t>BL2202 .T5</t>
  </si>
  <si>
    <t>0                      BL 2202000T  5</t>
  </si>
  <si>
    <t>The new religions of Japan / Harry Thomsen.</t>
  </si>
  <si>
    <t>Thomsen, Harry.</t>
  </si>
  <si>
    <t>Rutland, Vt., C.E. Tuttle Co. [1963]</t>
  </si>
  <si>
    <t>vtu</t>
  </si>
  <si>
    <t>2004-12-01</t>
  </si>
  <si>
    <t>502289:eng</t>
  </si>
  <si>
    <t>168039</t>
  </si>
  <si>
    <t>991000956329702656</t>
  </si>
  <si>
    <t>2262103050002656</t>
  </si>
  <si>
    <t>32285000351758</t>
  </si>
  <si>
    <t>893243746</t>
  </si>
  <si>
    <t>BL221 .C48</t>
  </si>
  <si>
    <t>0                      BL 0221000C  48</t>
  </si>
  <si>
    <t>Monotheism and Moses, edited with an introd. by Robert J. Christen and Harold E. Hazelton.</t>
  </si>
  <si>
    <t>Christen, Robert J., compiler.</t>
  </si>
  <si>
    <t>Lexington, Mass., Heath [1969]</t>
  </si>
  <si>
    <t>mau</t>
  </si>
  <si>
    <t>Problems in European civilization</t>
  </si>
  <si>
    <t>1994-06-17</t>
  </si>
  <si>
    <t>1123730:eng</t>
  </si>
  <si>
    <t>512</t>
  </si>
  <si>
    <t>991005431309702656</t>
  </si>
  <si>
    <t>2272525550002656</t>
  </si>
  <si>
    <t>32285000331651</t>
  </si>
  <si>
    <t>893230694</t>
  </si>
  <si>
    <t>BL2210 .B4 1957b</t>
  </si>
  <si>
    <t>0                      BL 2210000B  4           1957b</t>
  </si>
  <si>
    <t>Tokugawa religion : the values of pre-industrial Japan / by Robert N. Bellah.</t>
  </si>
  <si>
    <t>Bellah, Robert N. (Robert Neelly), 1927-2013.</t>
  </si>
  <si>
    <t>New York (N.Y.) : The Free Press ; London (Eng.) : Collier-Macmillan, 1957</t>
  </si>
  <si>
    <t>1957</t>
  </si>
  <si>
    <t>2001-04-10</t>
  </si>
  <si>
    <t>794240366:eng</t>
  </si>
  <si>
    <t>374866</t>
  </si>
  <si>
    <t>991005129779702656</t>
  </si>
  <si>
    <t>2268524860002656</t>
  </si>
  <si>
    <t>32285000351774</t>
  </si>
  <si>
    <t>893443445</t>
  </si>
  <si>
    <t>BL2211.S38 B55</t>
  </si>
  <si>
    <t>0                      BL 2211000S  38                 B  55</t>
  </si>
  <si>
    <t>The catalpa bow : a study of shamanistic practices in Japan / Carmen Blacker.</t>
  </si>
  <si>
    <t>Blacker, Carmen.</t>
  </si>
  <si>
    <t>London : Allen &amp; Unwin, 1975.</t>
  </si>
  <si>
    <t>2004-09-17</t>
  </si>
  <si>
    <t>3952682:eng</t>
  </si>
  <si>
    <t>2073229</t>
  </si>
  <si>
    <t>991004000949702656</t>
  </si>
  <si>
    <t>2256892900002656</t>
  </si>
  <si>
    <t>9780043980040</t>
  </si>
  <si>
    <t>32285000351790</t>
  </si>
  <si>
    <t>893253123</t>
  </si>
  <si>
    <t>BL2220 .S38 1986</t>
  </si>
  <si>
    <t>0                      BL 2220000S  38          1986</t>
  </si>
  <si>
    <t>Shintō-bibliography in western languages : bibliography on Shintō and religious sects, intellectual schools and movements influenced by Shintōism / by Arcadio Schwade.</t>
  </si>
  <si>
    <t>Schwade, Arcadio.</t>
  </si>
  <si>
    <t>Leiden : E.J. Brill, 1986.</t>
  </si>
  <si>
    <t>2002-11-19</t>
  </si>
  <si>
    <t>254438691:eng</t>
  </si>
  <si>
    <t>17441703</t>
  </si>
  <si>
    <t>991003946859702656</t>
  </si>
  <si>
    <t>2260787380002656</t>
  </si>
  <si>
    <t>9789004081734</t>
  </si>
  <si>
    <t>32285004664768</t>
  </si>
  <si>
    <t>893788102</t>
  </si>
  <si>
    <t>BL2222.T4 T36 1993</t>
  </si>
  <si>
    <t>0                      BL 2222000T  4                  T  36          1993</t>
  </si>
  <si>
    <t>The doctrine of Tenrikyo.</t>
  </si>
  <si>
    <t>Tenri, Nara, Japan : Tenrikyo Church Headquarters, c1993, 1995 printing.</t>
  </si>
  <si>
    <t>1993</t>
  </si>
  <si>
    <t>10th ed.</t>
  </si>
  <si>
    <t xml:space="preserve">ja </t>
  </si>
  <si>
    <t>2004-04-10</t>
  </si>
  <si>
    <t>1998-07-13</t>
  </si>
  <si>
    <t>1847957702:eng</t>
  </si>
  <si>
    <t>39117578</t>
  </si>
  <si>
    <t>991002939859702656</t>
  </si>
  <si>
    <t>2260386720002656</t>
  </si>
  <si>
    <t>32285003431839</t>
  </si>
  <si>
    <t>893498744</t>
  </si>
  <si>
    <t>BL2222.T4692 N34613 1993</t>
  </si>
  <si>
    <t>0                      BL 2222000T  4692               N  34613       1993</t>
  </si>
  <si>
    <t>Ofudesaki : the tip of the writing brush.</t>
  </si>
  <si>
    <t>Nakayama, Miki, 1798-1887.</t>
  </si>
  <si>
    <t>Tenri, Nara, Japan : Tenrikyo Church Headquarters, 1993.</t>
  </si>
  <si>
    <t>6th ed.</t>
  </si>
  <si>
    <t>1998-10-14</t>
  </si>
  <si>
    <t>1998-05-06</t>
  </si>
  <si>
    <t>2021163:eng</t>
  </si>
  <si>
    <t>40334068</t>
  </si>
  <si>
    <t>991002430439702656</t>
  </si>
  <si>
    <t>2258685240002656</t>
  </si>
  <si>
    <t>32285003406526</t>
  </si>
  <si>
    <t>893903889</t>
  </si>
  <si>
    <t>BL2224.3 .E5413 1990</t>
  </si>
  <si>
    <t>0                      BL 2224300E  5413        1990</t>
  </si>
  <si>
    <t>Norito : a translation of the ancient Japanese ritual prayers / by Donald L. Philippi ; with a new preface by Joseph M. Kitagawa.</t>
  </si>
  <si>
    <t>Engishiki norito. English.</t>
  </si>
  <si>
    <t>Princeton, N.J. : Princeton University Press, c1990.</t>
  </si>
  <si>
    <t>1990</t>
  </si>
  <si>
    <t>2005-06-23</t>
  </si>
  <si>
    <t>1999-10-28</t>
  </si>
  <si>
    <t>367587413:eng</t>
  </si>
  <si>
    <t>21229205</t>
  </si>
  <si>
    <t>991001668049702656</t>
  </si>
  <si>
    <t>2270508440002656</t>
  </si>
  <si>
    <t>9780691068596</t>
  </si>
  <si>
    <t>32285003615555</t>
  </si>
  <si>
    <t>893615286</t>
  </si>
  <si>
    <t>BL226 .A5 1990</t>
  </si>
  <si>
    <t>0                      BL 0226000A  5           1990</t>
  </si>
  <si>
    <t>The mirror of creation / E.J. Ambrose.</t>
  </si>
  <si>
    <t>Ambrose, Edmund Jack.</t>
  </si>
  <si>
    <t>Edinburgh : Scottish Academic Press, 1990, c1989.</t>
  </si>
  <si>
    <t>Theology and science at the frontiers of knowledge ; no. 11</t>
  </si>
  <si>
    <t>1996-02-13</t>
  </si>
  <si>
    <t>1992-10-14</t>
  </si>
  <si>
    <t>45527225:eng</t>
  </si>
  <si>
    <t>37132704</t>
  </si>
  <si>
    <t>991001584559702656</t>
  </si>
  <si>
    <t>2271724140002656</t>
  </si>
  <si>
    <t>9780707305752</t>
  </si>
  <si>
    <t>32285001317774</t>
  </si>
  <si>
    <t>893866323</t>
  </si>
  <si>
    <t>BL226 .O74</t>
  </si>
  <si>
    <t>0                      BL 0226000O  74</t>
  </si>
  <si>
    <t>Origins : Creation texts from the ancient Mediterranean : a chrestomathy / co-edited and translated, with an introd. and notes, by Harris Lenowitz &amp; Charles Doria ; with/and a pref. by Jerome Rothenberg.</t>
  </si>
  <si>
    <t>Garden City, N.Y. : Anchor Press, 1976.</t>
  </si>
  <si>
    <t>2008-04-14</t>
  </si>
  <si>
    <t>889564548:eng</t>
  </si>
  <si>
    <t>1990727</t>
  </si>
  <si>
    <t>991003967959702656</t>
  </si>
  <si>
    <t>2261913110002656</t>
  </si>
  <si>
    <t>9780385019224</t>
  </si>
  <si>
    <t>32285000331719</t>
  </si>
  <si>
    <t>893423221</t>
  </si>
  <si>
    <t>BL2340 .W4</t>
  </si>
  <si>
    <t>0                      BL 2340000W  4</t>
  </si>
  <si>
    <t>The wild goats of Ein Gedi; a journal of religious encounters in the Holy Land / Herbert Weiner.</t>
  </si>
  <si>
    <t>Weiner, Herbert, 1919-2013.</t>
  </si>
  <si>
    <t>Garden City, N. Y., Doubleday, 1961.</t>
  </si>
  <si>
    <t>1961</t>
  </si>
  <si>
    <t>1998-03-22</t>
  </si>
  <si>
    <t>2288853:eng</t>
  </si>
  <si>
    <t>1422140</t>
  </si>
  <si>
    <t>991003748719702656</t>
  </si>
  <si>
    <t>2269362870002656</t>
  </si>
  <si>
    <t>32285000351857</t>
  </si>
  <si>
    <t>893868799</t>
  </si>
  <si>
    <t>BL2370.A35 M9 1963</t>
  </si>
  <si>
    <t>0                      BL 2370000A  35                 M  9           1963</t>
  </si>
  <si>
    <t>Ainu creed and cult / edited with a pref. and an additional chapter by B.Z. Seligman. Introd. by H. Watanabe.</t>
  </si>
  <si>
    <t>Munro, N.</t>
  </si>
  <si>
    <t>New York, Columbia University Press, 1963 [c1962]</t>
  </si>
  <si>
    <t>2010-02-08</t>
  </si>
  <si>
    <t>1990-04-26</t>
  </si>
  <si>
    <t>1461778:eng</t>
  </si>
  <si>
    <t>374887</t>
  </si>
  <si>
    <t>991002576739702656</t>
  </si>
  <si>
    <t>2262257780002656</t>
  </si>
  <si>
    <t>32285000133750</t>
  </si>
  <si>
    <t>893341593</t>
  </si>
  <si>
    <t>BL240 .H64</t>
  </si>
  <si>
    <t>0                      BL 0240000H  64</t>
  </si>
  <si>
    <t>Bacon and Newman; bar God from science.</t>
  </si>
  <si>
    <t>Hogan, Michael.</t>
  </si>
  <si>
    <t>Jersey City, N.J. : St. Peter's College Press, 1939.</t>
  </si>
  <si>
    <t>1939</t>
  </si>
  <si>
    <t>1994-03-24</t>
  </si>
  <si>
    <t>1990-10-04</t>
  </si>
  <si>
    <t>3055844938:eng</t>
  </si>
  <si>
    <t>2762747</t>
  </si>
  <si>
    <t>991004235039702656</t>
  </si>
  <si>
    <t>2272678010002656</t>
  </si>
  <si>
    <t>32285000332477</t>
  </si>
  <si>
    <t>893325106</t>
  </si>
  <si>
    <t>BL240 .K55</t>
  </si>
  <si>
    <t>0                      BL 0240000K  55</t>
  </si>
  <si>
    <t>Christianity and the leaders of modern science; a contribution to the history of culture in the nineteenth century. Translated from the second German ed. by T. M. Kettle. With an introduction by Rev. T. A. Finlay.</t>
  </si>
  <si>
    <t>Kneller, Karl Alois, 1857-</t>
  </si>
  <si>
    <t>London, St. Louis : B. Herder, 1911.</t>
  </si>
  <si>
    <t>1911</t>
  </si>
  <si>
    <t>2010-04-12</t>
  </si>
  <si>
    <t>6589841:eng</t>
  </si>
  <si>
    <t>2917315</t>
  </si>
  <si>
    <t>991004283789702656</t>
  </si>
  <si>
    <t>2267309960002656</t>
  </si>
  <si>
    <t>32285000332493</t>
  </si>
  <si>
    <t>893693752</t>
  </si>
  <si>
    <t>BL240 .L3</t>
  </si>
  <si>
    <t>0                      BL 0240000L  3</t>
  </si>
  <si>
    <t>Religion and science; papers read at the summer school of Catholic studies, held at Cambridge, July 29th to August 7th, 1939. Edited by Rev. C. Lattey.</t>
  </si>
  <si>
    <t>Lattey, C. (Cuthbert), 1877-1954, editor.</t>
  </si>
  <si>
    <t>London, Burns, Oates, &amp; Washbourne, ltd. [1940]</t>
  </si>
  <si>
    <t>1940</t>
  </si>
  <si>
    <t>1994-06-22</t>
  </si>
  <si>
    <t>13433841:eng</t>
  </si>
  <si>
    <t>3923607</t>
  </si>
  <si>
    <t>991004548379702656</t>
  </si>
  <si>
    <t>2268118230002656</t>
  </si>
  <si>
    <t>32285000332501</t>
  </si>
  <si>
    <t>893882587</t>
  </si>
  <si>
    <t>BL240.2 .A813</t>
  </si>
  <si>
    <t>0                      BL 0240200A  813</t>
  </si>
  <si>
    <t>A God for science? Translated by Paul Barrett.</t>
  </si>
  <si>
    <t>Aubert, Jean Marie, 1916-</t>
  </si>
  <si>
    <t>Westminster, Md., Newman Press [1967]</t>
  </si>
  <si>
    <t>1990-10-05</t>
  </si>
  <si>
    <t>2719696:eng</t>
  </si>
  <si>
    <t>1973700</t>
  </si>
  <si>
    <t>991003958529702656</t>
  </si>
  <si>
    <t>2266021350002656</t>
  </si>
  <si>
    <t>32285000333269</t>
  </si>
  <si>
    <t>893353133</t>
  </si>
  <si>
    <t>BL240.2 .A87 1976b</t>
  </si>
  <si>
    <t>0                      BL 0240200A  87          1976b</t>
  </si>
  <si>
    <t>The relevance of natural science to theology / William H. Austin.</t>
  </si>
  <si>
    <t>Austin, William H.</t>
  </si>
  <si>
    <t>New York : Barnes &amp; Noble Books, 1976.</t>
  </si>
  <si>
    <t>Library of philosophy and religion</t>
  </si>
  <si>
    <t>1994-11-19</t>
  </si>
  <si>
    <t>5057338:eng</t>
  </si>
  <si>
    <t>2481519</t>
  </si>
  <si>
    <t>991004134549702656</t>
  </si>
  <si>
    <t>2263580180002656</t>
  </si>
  <si>
    <t>9780064902403</t>
  </si>
  <si>
    <t>32285000333277</t>
  </si>
  <si>
    <t>893512853</t>
  </si>
  <si>
    <t>BL240.2 .B37 1968</t>
  </si>
  <si>
    <t>0                      BL 0240200B  37          1968</t>
  </si>
  <si>
    <t>Science and religion : new perspectives on the dialogue / edited by Ian G. Barbour.</t>
  </si>
  <si>
    <t>Barbour, Ian G. compiler.</t>
  </si>
  <si>
    <t>New York : Harper &amp; Row, [1968]</t>
  </si>
  <si>
    <t>Harper forum books</t>
  </si>
  <si>
    <t>1996-03-18</t>
  </si>
  <si>
    <t>3901189571:eng</t>
  </si>
  <si>
    <t>168521</t>
  </si>
  <si>
    <t>991000958319702656</t>
  </si>
  <si>
    <t>2261917510002656</t>
  </si>
  <si>
    <t>32285000333285</t>
  </si>
  <si>
    <t>893426206</t>
  </si>
  <si>
    <t>BL240.2 .G47 1984</t>
  </si>
  <si>
    <t>0                      BL 0240200G  47          1984</t>
  </si>
  <si>
    <t>Metaphoric process : the creation of scientific and religious understanding / by Mary Gerhart and Allan Melvin Russell ; with a foreword by Paul Ricoeur.</t>
  </si>
  <si>
    <t>Gerhart, Mary.</t>
  </si>
  <si>
    <t>Fort Worth : Texas Christian University Press, c1984.</t>
  </si>
  <si>
    <t>txu</t>
  </si>
  <si>
    <t>1997-03-17</t>
  </si>
  <si>
    <t>1991-09-03</t>
  </si>
  <si>
    <t>35005816:eng</t>
  </si>
  <si>
    <t>9893505</t>
  </si>
  <si>
    <t>991000273899702656</t>
  </si>
  <si>
    <t>2265840860002656</t>
  </si>
  <si>
    <t>9780912646824</t>
  </si>
  <si>
    <t>32285000734318</t>
  </si>
  <si>
    <t>893689590</t>
  </si>
  <si>
    <t>BL240.2 .G54 1970</t>
  </si>
  <si>
    <t>0                      BL 0240200G  54          1970</t>
  </si>
  <si>
    <t>Religion and the scientific future; reflections on myth, science, and theology, by Langdon Gilkey.</t>
  </si>
  <si>
    <t>Gilkey, Langdon, 1919-2004.</t>
  </si>
  <si>
    <t>New York, Harper &amp; Row [1970]</t>
  </si>
  <si>
    <t>The Deems lectures, 1967</t>
  </si>
  <si>
    <t>905954206:eng</t>
  </si>
  <si>
    <t>77193</t>
  </si>
  <si>
    <t>991000453599702656</t>
  </si>
  <si>
    <t>2256769550002656</t>
  </si>
  <si>
    <t>32285000333301</t>
  </si>
  <si>
    <t>893890691</t>
  </si>
  <si>
    <t>BL240.2 .H45 1986</t>
  </si>
  <si>
    <t>0                      BL 0240200H  45          1986</t>
  </si>
  <si>
    <t>God and science : the death and rebirth of theism / Charles P. Henderson, Jr.</t>
  </si>
  <si>
    <t>Henderson, Charles P.</t>
  </si>
  <si>
    <t>Atlanta : J. Knox Press, c1986.</t>
  </si>
  <si>
    <t>gau</t>
  </si>
  <si>
    <t>2004-10-21</t>
  </si>
  <si>
    <t>365679408:eng</t>
  </si>
  <si>
    <t>12668138</t>
  </si>
  <si>
    <t>991004399879702656</t>
  </si>
  <si>
    <t>2266488780002656</t>
  </si>
  <si>
    <t>9780804206686</t>
  </si>
  <si>
    <t>32285005005896</t>
  </si>
  <si>
    <t>893624682</t>
  </si>
  <si>
    <t>BL240.2 .J55</t>
  </si>
  <si>
    <t>0                      BL 0240200J  55</t>
  </si>
  <si>
    <t>Critical issues in modern religion [by] Roger A. Johnson and Ernest Wallwork, with Clifford Green, H. Paul Santmire [and] Harold Y. Vanderpool.</t>
  </si>
  <si>
    <t>Johnson, Roger A., 1930-</t>
  </si>
  <si>
    <t>Englewood Cliffs, N.J., Prentice-Hall [1973]</t>
  </si>
  <si>
    <t>1973</t>
  </si>
  <si>
    <t>1997-10-09</t>
  </si>
  <si>
    <t>1589126:eng</t>
  </si>
  <si>
    <t>495219</t>
  </si>
  <si>
    <t>991002864879702656</t>
  </si>
  <si>
    <t>2255539330002656</t>
  </si>
  <si>
    <t>9780131939875</t>
  </si>
  <si>
    <t>32285000333327</t>
  </si>
  <si>
    <t>893786659</t>
  </si>
  <si>
    <t>BL240.2 .M5</t>
  </si>
  <si>
    <t>0                      BL 0240200M  5</t>
  </si>
  <si>
    <t>Religion and the scientific outlook.</t>
  </si>
  <si>
    <t>Miles, T. R. (Thomas Richard)</t>
  </si>
  <si>
    <t>London, Allen &amp; Unwin [1959]</t>
  </si>
  <si>
    <t>2001-10-23</t>
  </si>
  <si>
    <t>1611007:eng</t>
  </si>
  <si>
    <t>653532</t>
  </si>
  <si>
    <t>991003104929702656</t>
  </si>
  <si>
    <t>2264148320002656</t>
  </si>
  <si>
    <t>32285000333335</t>
  </si>
  <si>
    <t>893809832</t>
  </si>
  <si>
    <t>BL240.2 .M645 1989</t>
  </si>
  <si>
    <t>0                      BL 0240200M  645         1989</t>
  </si>
  <si>
    <t>Christianity and the nature of science / J.P. Moreland.</t>
  </si>
  <si>
    <t>Moreland, James Porter, 1948-</t>
  </si>
  <si>
    <t>Grand Rapids, Mich. : Baker Book House, c1989.</t>
  </si>
  <si>
    <t>miu</t>
  </si>
  <si>
    <t>2008-12-11</t>
  </si>
  <si>
    <t>12882562:eng</t>
  </si>
  <si>
    <t>19556070</t>
  </si>
  <si>
    <t>991005283159702656</t>
  </si>
  <si>
    <t>2271087250002656</t>
  </si>
  <si>
    <t>9780801062490</t>
  </si>
  <si>
    <t>32285005472930</t>
  </si>
  <si>
    <t>893248652</t>
  </si>
  <si>
    <t>BL240.2 .N42 1985</t>
  </si>
  <si>
    <t>0                      BL 0240200N  42          1985</t>
  </si>
  <si>
    <t>Circles of God : theology and science from the Greeks to Copernicus / Harold P. Nebelsick.</t>
  </si>
  <si>
    <t>Nebelsick, Harold P., 1925-</t>
  </si>
  <si>
    <t>Edinburgh : Scottish Academic Press, 1985.</t>
  </si>
  <si>
    <t>Theology and science at the frontiers of knowledge ; no. 2</t>
  </si>
  <si>
    <t>2006-02-19</t>
  </si>
  <si>
    <t>1993-11-09</t>
  </si>
  <si>
    <t>807543889:eng</t>
  </si>
  <si>
    <t>13701181</t>
  </si>
  <si>
    <t>991000862989702656</t>
  </si>
  <si>
    <t>2262469990002656</t>
  </si>
  <si>
    <t>9780707304489</t>
  </si>
  <si>
    <t>32285001810661</t>
  </si>
  <si>
    <t>893790925</t>
  </si>
  <si>
    <t>BL240.2 .N44 1980</t>
  </si>
  <si>
    <t>0                      BL 0240200N  44          1980</t>
  </si>
  <si>
    <t>Science and our troubled conscience / J. Robert Nelson.</t>
  </si>
  <si>
    <t>Nelson, J. Robert (John Robert), 1920-</t>
  </si>
  <si>
    <t>Philadelphia : Fortress Press, c1980.</t>
  </si>
  <si>
    <t>22636492:eng</t>
  </si>
  <si>
    <t>6448359</t>
  </si>
  <si>
    <t>991004986039702656</t>
  </si>
  <si>
    <t>2269768780002656</t>
  </si>
  <si>
    <t>9780800613983</t>
  </si>
  <si>
    <t>32285000333350</t>
  </si>
  <si>
    <t>893776656</t>
  </si>
  <si>
    <t>BL240.2 .S32 1985</t>
  </si>
  <si>
    <t>0                      BL 0240200S  32          1985</t>
  </si>
  <si>
    <t>Religious explanations : a model from the sciences / Edward L. Schoen.</t>
  </si>
  <si>
    <t>Schoen, Edward L., 1949-</t>
  </si>
  <si>
    <t>Durham [N.C.] : Duke University Press, c1985.</t>
  </si>
  <si>
    <t>ncu</t>
  </si>
  <si>
    <t>4207718:eng</t>
  </si>
  <si>
    <t>11346332</t>
  </si>
  <si>
    <t>991000523169702656</t>
  </si>
  <si>
    <t>2262864310002656</t>
  </si>
  <si>
    <t>9780822306160</t>
  </si>
  <si>
    <t>32285000333434</t>
  </si>
  <si>
    <t>893589517</t>
  </si>
  <si>
    <t>BL240.2 .S56</t>
  </si>
  <si>
    <t>0                      BL 0240200S  56</t>
  </si>
  <si>
    <t>Believing and knowing: the meaning of truth in Biblical religion and in science [by] Emerson W. Shideler.</t>
  </si>
  <si>
    <t>Shideler, Emerson W. (Emerson Wayne), 1913-</t>
  </si>
  <si>
    <t>Ames, Iowa State University Press, 1966.</t>
  </si>
  <si>
    <t>iau</t>
  </si>
  <si>
    <t>1998-10-06</t>
  </si>
  <si>
    <t>1455807:eng</t>
  </si>
  <si>
    <t>373307</t>
  </si>
  <si>
    <t>991002569379702656</t>
  </si>
  <si>
    <t>2261175940002656</t>
  </si>
  <si>
    <t>32285000333442</t>
  </si>
  <si>
    <t>893603747</t>
  </si>
  <si>
    <t>BL240.2 .S75 1988</t>
  </si>
  <si>
    <t>0                      BL 0240200S  75          1988</t>
  </si>
  <si>
    <t>Science, reason &amp; religion / Derek Stanesby.</t>
  </si>
  <si>
    <t>Stanesby, Derek.</t>
  </si>
  <si>
    <t>London ; New York : Routledge, 1988, c1985.</t>
  </si>
  <si>
    <t>1988</t>
  </si>
  <si>
    <t>2005-12-02</t>
  </si>
  <si>
    <t>1990-01-23</t>
  </si>
  <si>
    <t>112582088:eng</t>
  </si>
  <si>
    <t>18292171</t>
  </si>
  <si>
    <t>991001328619702656</t>
  </si>
  <si>
    <t>2264406860002656</t>
  </si>
  <si>
    <t>9780415026574</t>
  </si>
  <si>
    <t>32285000029800</t>
  </si>
  <si>
    <t>893878803</t>
  </si>
  <si>
    <t>BL240.2 .T43 1989</t>
  </si>
  <si>
    <t>0                      BL 0240200T  43          1989</t>
  </si>
  <si>
    <t>The God who would be known : revelations of the divine in contemporary science / John M. Templeton and Robert L. Herrmann.</t>
  </si>
  <si>
    <t>Templeton, John, 1912-2008.</t>
  </si>
  <si>
    <t>San Francisco : Harper &amp; Row, c1989.</t>
  </si>
  <si>
    <t>1994-05-06</t>
  </si>
  <si>
    <t>1990-05-17</t>
  </si>
  <si>
    <t>364126381:eng</t>
  </si>
  <si>
    <t>18907464</t>
  </si>
  <si>
    <t>991001411089702656</t>
  </si>
  <si>
    <t>2256723850002656</t>
  </si>
  <si>
    <t>9780062508676</t>
  </si>
  <si>
    <t>32285000137744</t>
  </si>
  <si>
    <t>893534545</t>
  </si>
  <si>
    <t>BL240.2 .W67 1980</t>
  </si>
  <si>
    <t>0                      BL 0240200W  67          1980</t>
  </si>
  <si>
    <t>Faith and science in an unjust world : Report of the World Council of Churches' Conference on faith, science and the future, Massachusetts Institute of Technology, Cambridge, USA, 12-24 July 1979.</t>
  </si>
  <si>
    <t>2006-10-04</t>
  </si>
  <si>
    <t>365289234:eng</t>
  </si>
  <si>
    <t>6510515</t>
  </si>
  <si>
    <t>991004995289702656</t>
  </si>
  <si>
    <t>2258667330002656</t>
  </si>
  <si>
    <t>32285000333475</t>
  </si>
  <si>
    <t>893625319</t>
  </si>
  <si>
    <t>2004-11-21</t>
  </si>
  <si>
    <t>32285000333467</t>
  </si>
  <si>
    <t>893625320</t>
  </si>
  <si>
    <t>BL240.H69 O9</t>
  </si>
  <si>
    <t>0                      BL 0240000H  69                 O  9</t>
  </si>
  <si>
    <t>Our palace wonderful ; or, Man's place in visible creation / by the Rev. Frederick A. Houck.</t>
  </si>
  <si>
    <t>Houck, Frederick A. (Frederick Alfons), 1866-1954.</t>
  </si>
  <si>
    <t>Chicago, Ill. : D.B. Hansen &amp; sons, 1915.</t>
  </si>
  <si>
    <t>1915</t>
  </si>
  <si>
    <t>1995-02-15</t>
  </si>
  <si>
    <t>2395596:eng</t>
  </si>
  <si>
    <t>3626375</t>
  </si>
  <si>
    <t>991003067509702656</t>
  </si>
  <si>
    <t>2269670520002656</t>
  </si>
  <si>
    <t>32285000332485</t>
  </si>
  <si>
    <t>893899589</t>
  </si>
  <si>
    <t>BL241 .E4 1929a</t>
  </si>
  <si>
    <t>0                      BL 0241000E  4           1929a</t>
  </si>
  <si>
    <t>Science and the unseen world.</t>
  </si>
  <si>
    <t>Eddington, Arthur Stanley, Sir, 1882-1944.</t>
  </si>
  <si>
    <t>New York, Macmillan, 1929.</t>
  </si>
  <si>
    <t>1929</t>
  </si>
  <si>
    <t>Swarthmore lecture ; 1929</t>
  </si>
  <si>
    <t>1992-03-09</t>
  </si>
  <si>
    <t>1342395:eng</t>
  </si>
  <si>
    <t>687997</t>
  </si>
  <si>
    <t>991003147809702656</t>
  </si>
  <si>
    <t>2269868860002656</t>
  </si>
  <si>
    <t>32285000333483</t>
  </si>
  <si>
    <t>893592231</t>
  </si>
  <si>
    <t>BL241 .M19</t>
  </si>
  <si>
    <t>0                      BL 0241000M  19</t>
  </si>
  <si>
    <t>Science, chance, and providence : the Riddell memorial lectures, forty-sixth series delivered at the University of Newcastle upon Tyne on 15, 16, and 17 March 1977 / by Donald M. Mackay.</t>
  </si>
  <si>
    <t>MacKay, Donald MacCrimmon, 1922-1987.</t>
  </si>
  <si>
    <t>Oxford [Eng.] ; New York : Oxford University Press, 1978.</t>
  </si>
  <si>
    <t>Riddell memorial lectures ; 46th ser.</t>
  </si>
  <si>
    <t>1993-06-10</t>
  </si>
  <si>
    <t>378228131:eng</t>
  </si>
  <si>
    <t>3608286</t>
  </si>
  <si>
    <t>991004473609702656</t>
  </si>
  <si>
    <t>2271660540002656</t>
  </si>
  <si>
    <t>9780197139158</t>
  </si>
  <si>
    <t>32285000333772</t>
  </si>
  <si>
    <t>893319264</t>
  </si>
  <si>
    <t>BL241 .S324 1994</t>
  </si>
  <si>
    <t>0                      BL 0241000S  324         1994</t>
  </si>
  <si>
    <t>Science, technology, and religious ideas / edited by Mark H. Shale, George W. Shields.</t>
  </si>
  <si>
    <t>Lanham : University Press of America ; [Frankfort, Ken.] : Institute for Liberal Studies, c1994.</t>
  </si>
  <si>
    <t>1994</t>
  </si>
  <si>
    <t>1996-07-08</t>
  </si>
  <si>
    <t>1996-03-01</t>
  </si>
  <si>
    <t>435387438:eng</t>
  </si>
  <si>
    <t>29028322</t>
  </si>
  <si>
    <t>991002249169702656</t>
  </si>
  <si>
    <t>2258666130002656</t>
  </si>
  <si>
    <t>9780819193469</t>
  </si>
  <si>
    <t>32285002139045</t>
  </si>
  <si>
    <t>893352216</t>
  </si>
  <si>
    <t>BL241 .T66 1989</t>
  </si>
  <si>
    <t>0                      BL 0241000T  66          1989</t>
  </si>
  <si>
    <t>The Christian frame of mind : reason, order, and openness in theology and natural science / Thomas F. Torrance ; introduction by W. Jim Neidhardt.</t>
  </si>
  <si>
    <t>Torrance, Thomas F. (Thomas Forsyth), 1913-2007.</t>
  </si>
  <si>
    <t>Colorado Springs : Helmers &amp; Howard, c1989.</t>
  </si>
  <si>
    <t>[New ed.]</t>
  </si>
  <si>
    <t>cou</t>
  </si>
  <si>
    <t>2006-04-27</t>
  </si>
  <si>
    <t>1992-01-28</t>
  </si>
  <si>
    <t>813295234:eng</t>
  </si>
  <si>
    <t>19391393</t>
  </si>
  <si>
    <t>991001457799702656</t>
  </si>
  <si>
    <t>2256860840002656</t>
  </si>
  <si>
    <t>9780939443093</t>
  </si>
  <si>
    <t>32285000867159</t>
  </si>
  <si>
    <t>893878893</t>
  </si>
  <si>
    <t>BL241 .T67 1981</t>
  </si>
  <si>
    <t>0                      BL 0241000T  67          1981</t>
  </si>
  <si>
    <t>Christian theology and scientific culture / by Thomas F. Torrance.</t>
  </si>
  <si>
    <t>New York : Oxford University Press, 1981.</t>
  </si>
  <si>
    <t>2005-03-14</t>
  </si>
  <si>
    <t>4095576839:eng</t>
  </si>
  <si>
    <t>7837844</t>
  </si>
  <si>
    <t>991005169109702656</t>
  </si>
  <si>
    <t>2256755020002656</t>
  </si>
  <si>
    <t>9780195202724</t>
  </si>
  <si>
    <t>32285000333798</t>
  </si>
  <si>
    <t>893807926</t>
  </si>
  <si>
    <t>BL241 .T74</t>
  </si>
  <si>
    <t>0                      BL 0241000T  74</t>
  </si>
  <si>
    <t>The God of science; personal interviews with 38 leading American and European scientists on the nature of truth, the existence of God, and the role of the church [by] Frederick E. Trinklein.</t>
  </si>
  <si>
    <t>Trinklein, Frederick E.</t>
  </si>
  <si>
    <t>Grand Rapids, Eerdmans [1971]</t>
  </si>
  <si>
    <t>1996-02-11</t>
  </si>
  <si>
    <t>287421335:eng</t>
  </si>
  <si>
    <t>240379</t>
  </si>
  <si>
    <t>991001905869702656</t>
  </si>
  <si>
    <t>2272206580002656</t>
  </si>
  <si>
    <t>32285000333814</t>
  </si>
  <si>
    <t>893244516</t>
  </si>
  <si>
    <t>BL2441.B7 D48 1972</t>
  </si>
  <si>
    <t>0                      BL 2441000B  7                  D  48          1972</t>
  </si>
  <si>
    <t>Development of religion and thought in ancient Egypt / James Henry Breasted ; foreword by John A. Wilson.</t>
  </si>
  <si>
    <t>Breasted, James Henry, 1865-1935.</t>
  </si>
  <si>
    <t>Philadelphia : University of Pennsylvania Press, 1972, c1940.</t>
  </si>
  <si>
    <t>1st University of Pennsylvania Press pbk. ed.</t>
  </si>
  <si>
    <t>2004-11-11</t>
  </si>
  <si>
    <t>2004-09-15</t>
  </si>
  <si>
    <t>1312107:eng</t>
  </si>
  <si>
    <t>645503</t>
  </si>
  <si>
    <t>991004375039702656</t>
  </si>
  <si>
    <t>2257519870002656</t>
  </si>
  <si>
    <t>9780812210453</t>
  </si>
  <si>
    <t>32285004987961</t>
  </si>
  <si>
    <t>893700159</t>
  </si>
  <si>
    <t>BL245 .C67 1988</t>
  </si>
  <si>
    <t>0                      BL 0245000C  67          1988</t>
  </si>
  <si>
    <t>Science and religion : Baden Powell and the Anglican debate, 1800-1860 / Pietro Corsi.</t>
  </si>
  <si>
    <t>Corsi, Pietro.</t>
  </si>
  <si>
    <t>Cambridge [England] ; New York : Cambridge University Press, 1988.</t>
  </si>
  <si>
    <t>1992-07-16</t>
  </si>
  <si>
    <t>1990-10-13</t>
  </si>
  <si>
    <t>836627101:eng</t>
  </si>
  <si>
    <t>15791932</t>
  </si>
  <si>
    <t>991001063549702656</t>
  </si>
  <si>
    <t>2259865680002656</t>
  </si>
  <si>
    <t>9780521242455</t>
  </si>
  <si>
    <t>32285000310531</t>
  </si>
  <si>
    <t>893444561</t>
  </si>
  <si>
    <t>BL245 .G47 1907</t>
  </si>
  <si>
    <t>0                      BL 0245000G  47          1907</t>
  </si>
  <si>
    <t>The Church versus science / Rev. J. Gerard.</t>
  </si>
  <si>
    <t>Gerard, John, 1840-1912.</t>
  </si>
  <si>
    <t>London : Sands and co. ; St. Louis : B. Herder, 1907.</t>
  </si>
  <si>
    <t>1907</t>
  </si>
  <si>
    <t>Westminster lectures, 3d series</t>
  </si>
  <si>
    <t>1010935205:eng</t>
  </si>
  <si>
    <t>2906376</t>
  </si>
  <si>
    <t>991004279819702656</t>
  </si>
  <si>
    <t>2269607980002656</t>
  </si>
  <si>
    <t>32285000333848</t>
  </si>
  <si>
    <t>893693741</t>
  </si>
  <si>
    <t>BL245 .H63 1972</t>
  </si>
  <si>
    <t>0                      BL 0245000H  63          1972</t>
  </si>
  <si>
    <t>Religion and the rise of modern science, by R. Hooykaas.</t>
  </si>
  <si>
    <t>Hooykaas, R. (Reijer), 1906-</t>
  </si>
  <si>
    <t>Grand Rapids, Mich., Eerdmans Pub. Co. [1972]</t>
  </si>
  <si>
    <t>2006-12-10</t>
  </si>
  <si>
    <t>1551064:eng</t>
  </si>
  <si>
    <t>575335</t>
  </si>
  <si>
    <t>991003008239702656</t>
  </si>
  <si>
    <t>2258110710002656</t>
  </si>
  <si>
    <t>9780802814746</t>
  </si>
  <si>
    <t>32285000333863</t>
  </si>
  <si>
    <t>893616890</t>
  </si>
  <si>
    <t>BL245 .J3 1976</t>
  </si>
  <si>
    <t>0                      BL 0245000J  3           1976</t>
  </si>
  <si>
    <t>The Newtonians and the English Revolution, 1689-1720 / Margaret C. Jacob.</t>
  </si>
  <si>
    <t>Jacob, Margaret C., 1943-</t>
  </si>
  <si>
    <t>Ithaca, N.Y. : Cornell University Press, 1976.</t>
  </si>
  <si>
    <t>2004-04-23</t>
  </si>
  <si>
    <t>3139747:eng</t>
  </si>
  <si>
    <t>2073982</t>
  </si>
  <si>
    <t>991004001399702656</t>
  </si>
  <si>
    <t>2255289710002656</t>
  </si>
  <si>
    <t>9780801409813</t>
  </si>
  <si>
    <t>32285000333889</t>
  </si>
  <si>
    <t>893349497</t>
  </si>
  <si>
    <t>BL245 .J66 1984</t>
  </si>
  <si>
    <t>0                      BL 0245000J  66          1984</t>
  </si>
  <si>
    <t>The redemption of matter : towards the rapprochement of science and religion / James W. Jones.</t>
  </si>
  <si>
    <t>Jones, James William, 1943-</t>
  </si>
  <si>
    <t>Lanham, MD : University Press of America, c1984.</t>
  </si>
  <si>
    <t>1995-11-09</t>
  </si>
  <si>
    <t>478667630:eng</t>
  </si>
  <si>
    <t>10100800</t>
  </si>
  <si>
    <t>991000313019702656</t>
  </si>
  <si>
    <t>2256171440002656</t>
  </si>
  <si>
    <t>9780819136763</t>
  </si>
  <si>
    <t>32285000333897</t>
  </si>
  <si>
    <t>893515174</t>
  </si>
  <si>
    <t>BL245 .K52</t>
  </si>
  <si>
    <t>0                      BL 0245000K  52</t>
  </si>
  <si>
    <t>Religious origins of modern science : belief in creation in seventeenth-century thought / by Eugene M. Klaaren.</t>
  </si>
  <si>
    <t>Klaaren, Eugene M. (Eugene Marion), 1937-</t>
  </si>
  <si>
    <t>Grand Rapids : Eerdmans, c1977.</t>
  </si>
  <si>
    <t>2005-11-20</t>
  </si>
  <si>
    <t>1060482962:eng</t>
  </si>
  <si>
    <t>2614227</t>
  </si>
  <si>
    <t>991005253949702656</t>
  </si>
  <si>
    <t>2266045850002656</t>
  </si>
  <si>
    <t>9780802816832</t>
  </si>
  <si>
    <t>32285000333905</t>
  </si>
  <si>
    <t>893533454</t>
  </si>
  <si>
    <t>BL245 .K6</t>
  </si>
  <si>
    <t>0                      BL 0245000K  6</t>
  </si>
  <si>
    <t>Science and religion in Elizabethan England, by Paul H. Kocher.</t>
  </si>
  <si>
    <t>Kocher, Paul H. (Paul Harold), 1907-1998.</t>
  </si>
  <si>
    <t>San Marino, Calif., Huntington Library, 1953.</t>
  </si>
  <si>
    <t>1953</t>
  </si>
  <si>
    <t>Huntington Library publications</t>
  </si>
  <si>
    <t>2006-10-01</t>
  </si>
  <si>
    <t>1182433:eng</t>
  </si>
  <si>
    <t>1131847</t>
  </si>
  <si>
    <t>991003561189702656</t>
  </si>
  <si>
    <t>2265071760002656</t>
  </si>
  <si>
    <t>32285000333913</t>
  </si>
  <si>
    <t>893686648</t>
  </si>
  <si>
    <t>BL245 .K63 1968b</t>
  </si>
  <si>
    <t>0                      BL 0245000K  63          1968b</t>
  </si>
  <si>
    <t>The sleepwalkers. With an introd. by Herbert Butterfield and with a new pref. by the author.</t>
  </si>
  <si>
    <t>Koestler, Arthur, 1905-1983.</t>
  </si>
  <si>
    <t>New York, Macmillan [1968]</t>
  </si>
  <si>
    <t>Danube edition</t>
  </si>
  <si>
    <t>2006-06-30</t>
  </si>
  <si>
    <t>3901047254:eng</t>
  </si>
  <si>
    <t>448617</t>
  </si>
  <si>
    <t>991002803439702656</t>
  </si>
  <si>
    <t>2266630990002656</t>
  </si>
  <si>
    <t>32285000333921</t>
  </si>
  <si>
    <t>893893019</t>
  </si>
  <si>
    <t>BL245 .N43 1981</t>
  </si>
  <si>
    <t>0                      BL 0245000N  43          1981</t>
  </si>
  <si>
    <t>Theology and science in mutual modification / by Harold P. Nebelsick.</t>
  </si>
  <si>
    <t>Theology and scientific culture ; 2</t>
  </si>
  <si>
    <t>1999-10-27</t>
  </si>
  <si>
    <t>415452:eng</t>
  </si>
  <si>
    <t>7923415</t>
  </si>
  <si>
    <t>991005176359702656</t>
  </si>
  <si>
    <t>2269234400002656</t>
  </si>
  <si>
    <t>9780195202731</t>
  </si>
  <si>
    <t>32285000333947</t>
  </si>
  <si>
    <t>893514175</t>
  </si>
  <si>
    <t>BL245 .R83 1985</t>
  </si>
  <si>
    <t>0                      BL 0245000R  83          1985</t>
  </si>
  <si>
    <t>Cross-currents : interactions between science and faith / by Colin A. Russell.</t>
  </si>
  <si>
    <t>Russell, Colin Archibald.</t>
  </si>
  <si>
    <t>Grand Rapids, Mich. : W.B. Eerdmans Pub. Co., 1985.</t>
  </si>
  <si>
    <t>4345326:eng</t>
  </si>
  <si>
    <t>12050202</t>
  </si>
  <si>
    <t>991000627949702656</t>
  </si>
  <si>
    <t>2266906760002656</t>
  </si>
  <si>
    <t>9780802801630</t>
  </si>
  <si>
    <t>32285000334010</t>
  </si>
  <si>
    <t>893231271</t>
  </si>
  <si>
    <t>BL245 .T87</t>
  </si>
  <si>
    <t>0                      BL 0245000T  87</t>
  </si>
  <si>
    <t>Between science and religion; the reaction to scientific naturalism in late Victorian England.</t>
  </si>
  <si>
    <t>Turner, Frank M. (Frank Miller), 1944-2010.</t>
  </si>
  <si>
    <t>New Haven, Yale University Press, 1974.</t>
  </si>
  <si>
    <t>1974</t>
  </si>
  <si>
    <t>Yale historical publications. Miscellany ; 100</t>
  </si>
  <si>
    <t>1997-11-16</t>
  </si>
  <si>
    <t>807217487:eng</t>
  </si>
  <si>
    <t>814699</t>
  </si>
  <si>
    <t>991003293079702656</t>
  </si>
  <si>
    <t>2270167620002656</t>
  </si>
  <si>
    <t>9780300016789</t>
  </si>
  <si>
    <t>32285000333988</t>
  </si>
  <si>
    <t>893598449</t>
  </si>
  <si>
    <t>BL2480.I2 O35 1987</t>
  </si>
  <si>
    <t>0                      BL 2480000I  2                  O  35          1987</t>
  </si>
  <si>
    <t>The meaning of religious conversion in Africa : the case of the Igbo of Nigeria / Cyril C. Okorọcha.</t>
  </si>
  <si>
    <t>Okorọcha, Cyril C. (Cyril Chukwunonyerem), 1948-</t>
  </si>
  <si>
    <t>Aldershot [England] ; Brookfield, USA : Avebury, c1987.</t>
  </si>
  <si>
    <t>2001-04-14</t>
  </si>
  <si>
    <t>1993-11-04</t>
  </si>
  <si>
    <t>10153078:eng</t>
  </si>
  <si>
    <t>15518928</t>
  </si>
  <si>
    <t>991001031759702656</t>
  </si>
  <si>
    <t>2264749130002656</t>
  </si>
  <si>
    <t>9780566050305</t>
  </si>
  <si>
    <t>32285001810232</t>
  </si>
  <si>
    <t>893528610</t>
  </si>
  <si>
    <t>BL2480.N46 L56</t>
  </si>
  <si>
    <t>0                      BL 2480000N  46                 L  56</t>
  </si>
  <si>
    <t>Priests, warriors, and cattle : a study in the ecology of religions / Bruce Lincoln.</t>
  </si>
  <si>
    <t>Lincoln, Bruce.</t>
  </si>
  <si>
    <t>Berkeley : University of California Press, c1981.</t>
  </si>
  <si>
    <t>Hermeneutics, studies in the history of religions ; v. 10</t>
  </si>
  <si>
    <t>2006-04-03</t>
  </si>
  <si>
    <t>221922117:eng</t>
  </si>
  <si>
    <t>6086687</t>
  </si>
  <si>
    <t>991004927049702656</t>
  </si>
  <si>
    <t>2257816110002656</t>
  </si>
  <si>
    <t>32285000352038</t>
  </si>
  <si>
    <t>893412086</t>
  </si>
  <si>
    <t>BL2480.Z4 F79 1976</t>
  </si>
  <si>
    <t>0                      BL 2480000Z  4                  F  79          1976</t>
  </si>
  <si>
    <t>Spirits of protest : spirit-mediums and the articulation of consensus among the Zezuru of Southern Rhodesia (Zimbabwe) / Peter Fry.</t>
  </si>
  <si>
    <t>Fry, Peter.</t>
  </si>
  <si>
    <t>Cambridge, Eng. ; New York : Cambridge University Press, c1976.</t>
  </si>
  <si>
    <t>Cambridge studies in social anthropology ; 14</t>
  </si>
  <si>
    <t>1999-02-05</t>
  </si>
  <si>
    <t>346768086:eng</t>
  </si>
  <si>
    <t>1818190</t>
  </si>
  <si>
    <t>991003898689702656</t>
  </si>
  <si>
    <t>2267547710002656</t>
  </si>
  <si>
    <t>9780521210522</t>
  </si>
  <si>
    <t>32285000352053</t>
  </si>
  <si>
    <t>893441927</t>
  </si>
  <si>
    <t>BL25 .C3 1972</t>
  </si>
  <si>
    <t>0                      BL 0025000C  3           1972</t>
  </si>
  <si>
    <t>Ways of understanding religion [by] Walter H. Capps. --</t>
  </si>
  <si>
    <t>Capps, Walter H. compiler.</t>
  </si>
  <si>
    <t>New York, Macmillan [1971, c1972]</t>
  </si>
  <si>
    <t>2001-04-07</t>
  </si>
  <si>
    <t>1327608:eng</t>
  </si>
  <si>
    <t>222164</t>
  </si>
  <si>
    <t>991001363469702656</t>
  </si>
  <si>
    <t>2262164630002656</t>
  </si>
  <si>
    <t>32285000307321</t>
  </si>
  <si>
    <t>893497022</t>
  </si>
  <si>
    <t>BL25 .K35 1964</t>
  </si>
  <si>
    <t>0                      BL 0025000K  35          1964</t>
  </si>
  <si>
    <t>Religion from Tolstoy to Camus / selected, with an introd. and prefaces, by Walter Kaufmann.</t>
  </si>
  <si>
    <t>Kaufmann, Walter, 1921-1980 editor.</t>
  </si>
  <si>
    <t>New York : Harper &amp; Row, 1964.</t>
  </si>
  <si>
    <t>Enl. ed.</t>
  </si>
  <si>
    <t>Harper torchbook ; TB123</t>
  </si>
  <si>
    <t>1995-06-25</t>
  </si>
  <si>
    <t>7193258:eng</t>
  </si>
  <si>
    <t>3018845</t>
  </si>
  <si>
    <t>991004321829702656</t>
  </si>
  <si>
    <t>2272148800002656</t>
  </si>
  <si>
    <t>32285000307354</t>
  </si>
  <si>
    <t>893869589</t>
  </si>
  <si>
    <t>BL25 .M85</t>
  </si>
  <si>
    <t>0                      BL 0025000M  85</t>
  </si>
  <si>
    <t>Myths and symbols; studies in honor of Mircea Eliade / edited by Joseph M. Kitagawa and Charles H. Long. With the collaboration of Gerald C. Brauer and Marshall G. S. Hodgson.</t>
  </si>
  <si>
    <t>Chicago, University of Chicago Press [1969]</t>
  </si>
  <si>
    <t>1998-11-29</t>
  </si>
  <si>
    <t>1091031194:eng</t>
  </si>
  <si>
    <t>67544</t>
  </si>
  <si>
    <t>991000219299702656</t>
  </si>
  <si>
    <t>2258113700002656</t>
  </si>
  <si>
    <t>32285000307362</t>
  </si>
  <si>
    <t>893601593</t>
  </si>
  <si>
    <t>BL25 .S65</t>
  </si>
  <si>
    <t>0                      BL 0025000S  65</t>
  </si>
  <si>
    <t>Ways of being religious; readings for a new approach to religion [compiled by] Frederick J. Streng, Charles L. Lloyd, Jr. [and] Jay T. Allen.</t>
  </si>
  <si>
    <t>Streng, Frederick J. compiler.</t>
  </si>
  <si>
    <t>2001-03-12</t>
  </si>
  <si>
    <t>422790457:eng</t>
  </si>
  <si>
    <t>415394</t>
  </si>
  <si>
    <t>991002729579702656</t>
  </si>
  <si>
    <t>2266908400002656</t>
  </si>
  <si>
    <t>9780139462771</t>
  </si>
  <si>
    <t>32285000307388</t>
  </si>
  <si>
    <t>893523975</t>
  </si>
  <si>
    <t>BL2525 .A45 1983</t>
  </si>
  <si>
    <t>0                      BL 2525000A  45          1983</t>
  </si>
  <si>
    <t>Alternatives to American mainline churches / Joseph H. Fichter, editor ; [contributors, William Sims Bainbridge ... et al.].</t>
  </si>
  <si>
    <t>Barrytown, N.Y. : Unification Theological Seminary ; New York, N.Y. : Distributed by the Rose of Sharon Press, c1983.</t>
  </si>
  <si>
    <t>1983</t>
  </si>
  <si>
    <t>Conference series (Unification Theological Seminary) ; no. 14</t>
  </si>
  <si>
    <t>1997-04-22</t>
  </si>
  <si>
    <t>1997-04-16</t>
  </si>
  <si>
    <t>54616352:eng</t>
  </si>
  <si>
    <t>10242479</t>
  </si>
  <si>
    <t>991000338789702656</t>
  </si>
  <si>
    <t>2270370490002656</t>
  </si>
  <si>
    <t>9780932894144</t>
  </si>
  <si>
    <t>32285002537792</t>
  </si>
  <si>
    <t>893231041</t>
  </si>
  <si>
    <t>BL2525 .B44 1989</t>
  </si>
  <si>
    <t>0                      BL 2525000B  44          1989</t>
  </si>
  <si>
    <t>New religions and the theological imagination in America / Mary Farrell Bednarowski.</t>
  </si>
  <si>
    <t>Bednarowski, Mary Farrell.</t>
  </si>
  <si>
    <t>Bloomington : Indiana University Press, c1989.</t>
  </si>
  <si>
    <t>inu</t>
  </si>
  <si>
    <t>Religion in North America</t>
  </si>
  <si>
    <t>1998-02-03</t>
  </si>
  <si>
    <t>1990-11-20</t>
  </si>
  <si>
    <t>19126276:eng</t>
  </si>
  <si>
    <t>19130900</t>
  </si>
  <si>
    <t>991001437279702656</t>
  </si>
  <si>
    <t>2261527320002656</t>
  </si>
  <si>
    <t>9780253311375</t>
  </si>
  <si>
    <t>32285000356187</t>
  </si>
  <si>
    <t>893534551</t>
  </si>
  <si>
    <t>BL2525 .B66 1986</t>
  </si>
  <si>
    <t>0                      BL 2525000B  66          1986</t>
  </si>
  <si>
    <t>Under the cope of heaven : religion, society, and politics in Colonial America / Patricia U. Bonomi.</t>
  </si>
  <si>
    <t>Bonomi, Patricia U.</t>
  </si>
  <si>
    <t>New York : Oxford University Press, 1986.</t>
  </si>
  <si>
    <t>2007-12-16</t>
  </si>
  <si>
    <t>793969999:eng</t>
  </si>
  <si>
    <t>13425993</t>
  </si>
  <si>
    <t>991000828569702656</t>
  </si>
  <si>
    <t>2265121800002656</t>
  </si>
  <si>
    <t>9780195041187</t>
  </si>
  <si>
    <t>32285000352095</t>
  </si>
  <si>
    <t>893884798</t>
  </si>
  <si>
    <t>BL2525 .C44 1992</t>
  </si>
  <si>
    <t>0                      BL 2525000C  44          1992</t>
  </si>
  <si>
    <t>Racing toward 2001 : the forces shaping America's religious future / Russell Chandler.</t>
  </si>
  <si>
    <t>Chandler, Russell.</t>
  </si>
  <si>
    <t>Grand Rapids, Mich. : Zondervan Pub. House ; San Francisco, Calif. : HarperSanFrancisco, c1992.</t>
  </si>
  <si>
    <t>1992</t>
  </si>
  <si>
    <t>1997-02-03</t>
  </si>
  <si>
    <t>1996-09-06</t>
  </si>
  <si>
    <t>1373520068:eng</t>
  </si>
  <si>
    <t>24065145</t>
  </si>
  <si>
    <t>991001903289702656</t>
  </si>
  <si>
    <t>2263912010002656</t>
  </si>
  <si>
    <t>9780310541301</t>
  </si>
  <si>
    <t>32285002294980</t>
  </si>
  <si>
    <t>893803985</t>
  </si>
  <si>
    <t>BL2525 .C6413 1984</t>
  </si>
  <si>
    <t>0                      BL 2525000C  6413        1984</t>
  </si>
  <si>
    <t>God in America : religion and politics in the United States / Furio Colombo ; translated by Kristin Jarratt.</t>
  </si>
  <si>
    <t>Colombo, Furio.</t>
  </si>
  <si>
    <t>New York : Columbia University Press, 1984.</t>
  </si>
  <si>
    <t>1992-11-13</t>
  </si>
  <si>
    <t>1151239063:eng</t>
  </si>
  <si>
    <t>10483577</t>
  </si>
  <si>
    <t>991000378799702656</t>
  </si>
  <si>
    <t>2263429380002656</t>
  </si>
  <si>
    <t>9780231059725</t>
  </si>
  <si>
    <t>32285000352103</t>
  </si>
  <si>
    <t>893877979</t>
  </si>
  <si>
    <t>BL2525 .F56 1984</t>
  </si>
  <si>
    <t>0                      BL 2525000F  56          1984</t>
  </si>
  <si>
    <t>Religion in strange times : the 1960s and 1970s / by Ronald B. Flowers.</t>
  </si>
  <si>
    <t>Flowers, Ronald B. (Ronald Bruce), 1935-</t>
  </si>
  <si>
    <t>Macon, GA : Mercer University Press, c1984.</t>
  </si>
  <si>
    <t>2002-10-09</t>
  </si>
  <si>
    <t>1032017705:eng</t>
  </si>
  <si>
    <t>10913699</t>
  </si>
  <si>
    <t>991000455479702656</t>
  </si>
  <si>
    <t>2258630400002656</t>
  </si>
  <si>
    <t>9780865541276</t>
  </si>
  <si>
    <t>32285000352111</t>
  </si>
  <si>
    <t>893771640</t>
  </si>
  <si>
    <t>BL2525 .H39 1990</t>
  </si>
  <si>
    <t>0                      BL 2525000H  39          1990</t>
  </si>
  <si>
    <t>Religion in American history : what to teach and how / by Charles C. Haynes.</t>
  </si>
  <si>
    <t>Haynes, Charles C.</t>
  </si>
  <si>
    <t>Alexandria, Va. : Association for Supervision and Curriculum Development, c1990.</t>
  </si>
  <si>
    <t>vau</t>
  </si>
  <si>
    <t>1999-01-25</t>
  </si>
  <si>
    <t>1991-12-02</t>
  </si>
  <si>
    <t>22810235:eng</t>
  </si>
  <si>
    <t>21301715</t>
  </si>
  <si>
    <t>991001673039702656</t>
  </si>
  <si>
    <t>2261884250002656</t>
  </si>
  <si>
    <t>9780871201669</t>
  </si>
  <si>
    <t>32285000834969</t>
  </si>
  <si>
    <t>893885466</t>
  </si>
  <si>
    <t>BL2525 .R44 1985</t>
  </si>
  <si>
    <t>0                      BL 2525000R  44          1985</t>
  </si>
  <si>
    <t>Religion in American public life / A. James Reichley.</t>
  </si>
  <si>
    <t>Reichley, James.</t>
  </si>
  <si>
    <t>Washington, D.C. : Brookings Institution, c1985.</t>
  </si>
  <si>
    <t>2000-04-24</t>
  </si>
  <si>
    <t>4940871:eng</t>
  </si>
  <si>
    <t>12557957</t>
  </si>
  <si>
    <t>991005405749702656</t>
  </si>
  <si>
    <t>2256509320002656</t>
  </si>
  <si>
    <t>9780815773771</t>
  </si>
  <si>
    <t>32285000352152</t>
  </si>
  <si>
    <t>893230649</t>
  </si>
  <si>
    <t>BL2525 .R4625 1991</t>
  </si>
  <si>
    <t>0                      BL 2525000R  4625        1991</t>
  </si>
  <si>
    <t>Religion and twentieth-century American intellectual life / edited by Michael J. Lacey.</t>
  </si>
  <si>
    <t>[Washington, D.C.] : Woodrow Wilson International Center for Scholars ; Cambridge [England] ; New York : Cambridge University Press, 1991, c1989.</t>
  </si>
  <si>
    <t>1991</t>
  </si>
  <si>
    <t>1st Pbk. ed.</t>
  </si>
  <si>
    <t>Woodrow Wilson Center series</t>
  </si>
  <si>
    <t>1997-01-24</t>
  </si>
  <si>
    <t>1992-05-15</t>
  </si>
  <si>
    <t>55214285:eng</t>
  </si>
  <si>
    <t>19455752</t>
  </si>
  <si>
    <t>991001461839702656</t>
  </si>
  <si>
    <t>2270574440002656</t>
  </si>
  <si>
    <t>9780521375603</t>
  </si>
  <si>
    <t>32285001116010</t>
  </si>
  <si>
    <t>893608882</t>
  </si>
  <si>
    <t>BL2530.U6 B76 1981</t>
  </si>
  <si>
    <t>0                      BL 2530000U  6                  B  76          1981</t>
  </si>
  <si>
    <t>Strange gods : the great American cult scare / David G. Bromley and Anson D. Shupe, Jr.</t>
  </si>
  <si>
    <t>Bromley, David G.</t>
  </si>
  <si>
    <t>Boston : Beacon Press, c1981.</t>
  </si>
  <si>
    <t>1999-11-19</t>
  </si>
  <si>
    <t>197041420:eng</t>
  </si>
  <si>
    <t>7947410</t>
  </si>
  <si>
    <t>991005182759702656</t>
  </si>
  <si>
    <t>2270080630002656</t>
  </si>
  <si>
    <t>9780807032565</t>
  </si>
  <si>
    <t>32285000352202</t>
  </si>
  <si>
    <t>893332553</t>
  </si>
  <si>
    <t>BL2530.U6 C47</t>
  </si>
  <si>
    <t>0                      BL 2530000U  6                  C  47</t>
  </si>
  <si>
    <t>Religion in contemporary society / H. Paul Chalfant, Robert E. Beckley, C. Eddie Palmer.</t>
  </si>
  <si>
    <t>Chalfant, H. Paul, 1929-</t>
  </si>
  <si>
    <t>Sherman Oaks, Calif. : Alfred Pub. Co., c1981.</t>
  </si>
  <si>
    <t>1996-09-22</t>
  </si>
  <si>
    <t>4345831:eng</t>
  </si>
  <si>
    <t>7171883</t>
  </si>
  <si>
    <t>991005080989702656</t>
  </si>
  <si>
    <t>2255118020002656</t>
  </si>
  <si>
    <t>9780882841267</t>
  </si>
  <si>
    <t>32285000352228</t>
  </si>
  <si>
    <t>893533129</t>
  </si>
  <si>
    <t>BL2530.U6 C69</t>
  </si>
  <si>
    <t>0                      BL 2530000U  6                  C  69</t>
  </si>
  <si>
    <t>Turning east : the promise and peril of the new orientalism / Harvey Cox.</t>
  </si>
  <si>
    <t>Cox, Harvey, 1929-</t>
  </si>
  <si>
    <t>New York : Simon and Schuster, c1977.</t>
  </si>
  <si>
    <t>1993-12-01</t>
  </si>
  <si>
    <t>364697808:eng</t>
  </si>
  <si>
    <t>3002751</t>
  </si>
  <si>
    <t>991004314069702656</t>
  </si>
  <si>
    <t>2272160980002656</t>
  </si>
  <si>
    <t>9780671228514</t>
  </si>
  <si>
    <t>32285000352244</t>
  </si>
  <si>
    <t>893687594</t>
  </si>
  <si>
    <t>BL2530.U6 C84 1982</t>
  </si>
  <si>
    <t>0                      BL 2530000U  6                  C  84          1982</t>
  </si>
  <si>
    <t>Cults and the family / Florence Kaslow and Marvin B. Sussman.</t>
  </si>
  <si>
    <t>New York : Haworth Press, c1982.</t>
  </si>
  <si>
    <t>1982</t>
  </si>
  <si>
    <t>Marriage &amp; family review ; v. 4, no. 3/4</t>
  </si>
  <si>
    <t>1998-11-23</t>
  </si>
  <si>
    <t>351743956:eng</t>
  </si>
  <si>
    <t>8051560</t>
  </si>
  <si>
    <t>991005197159702656</t>
  </si>
  <si>
    <t>2258834900002656</t>
  </si>
  <si>
    <t>9780917724558</t>
  </si>
  <si>
    <t>32285000352251</t>
  </si>
  <si>
    <t>893719961</t>
  </si>
  <si>
    <t>BL2530.U6 E44</t>
  </si>
  <si>
    <t>0                      BL 2530000U  6                  E  44</t>
  </si>
  <si>
    <t>Alternative altars : unconventional and Eastern spirituality in America / Robert S. Ellwood, Jr.</t>
  </si>
  <si>
    <t>Ellwood, Robert S., 1933-</t>
  </si>
  <si>
    <t>Chicago : University of Chicago Press, 1979.</t>
  </si>
  <si>
    <t>1979</t>
  </si>
  <si>
    <t>Chicago history of American religion</t>
  </si>
  <si>
    <t>1992-04-16</t>
  </si>
  <si>
    <t>14587478:eng</t>
  </si>
  <si>
    <t>4135328</t>
  </si>
  <si>
    <t>991004592609702656</t>
  </si>
  <si>
    <t>2254937840002656</t>
  </si>
  <si>
    <t>9780226206189</t>
  </si>
  <si>
    <t>32285000352277</t>
  </si>
  <si>
    <t>893618845</t>
  </si>
  <si>
    <t>BL2530.U6 G38 1982</t>
  </si>
  <si>
    <t>0                      BL 2530000U  6                  G  38          1982</t>
  </si>
  <si>
    <t>A documentary history of religion in America / edited by Edwin S. Gaustad.</t>
  </si>
  <si>
    <t>Gaustad, Edwin S. (Edwin Scott)</t>
  </si>
  <si>
    <t>Grand Rapids : Eerdmans, c1982-</t>
  </si>
  <si>
    <t>2004-04-14</t>
  </si>
  <si>
    <t>353813978:eng</t>
  </si>
  <si>
    <t>8410921</t>
  </si>
  <si>
    <t>991005240559702656</t>
  </si>
  <si>
    <t>2259496570002656</t>
  </si>
  <si>
    <t>9780802818713</t>
  </si>
  <si>
    <t>32285000352301</t>
  </si>
  <si>
    <t>893520690</t>
  </si>
  <si>
    <t>32285000352293</t>
  </si>
  <si>
    <t>893514313</t>
  </si>
  <si>
    <t>BL2530.U6 I47</t>
  </si>
  <si>
    <t>0                      BL 2530000U  6                  I  47</t>
  </si>
  <si>
    <t>Immigrants and religion in urban America / edited by Randall M. Miller and Thomas D. Marzik.</t>
  </si>
  <si>
    <t>Philadelphia : Temple University Press, c1977.</t>
  </si>
  <si>
    <t>2007-11-07</t>
  </si>
  <si>
    <t>346253304:eng</t>
  </si>
  <si>
    <t>3191671</t>
  </si>
  <si>
    <t>991004371289702656</t>
  </si>
  <si>
    <t>2254827490002656</t>
  </si>
  <si>
    <t>9780877220930</t>
  </si>
  <si>
    <t>32285000352335</t>
  </si>
  <si>
    <t>893259647</t>
  </si>
  <si>
    <t>BL2530.U6 M46</t>
  </si>
  <si>
    <t>0                      BL 2530000U  6                  M  46</t>
  </si>
  <si>
    <t>Religion at the polls / by Albert J. Menendez.</t>
  </si>
  <si>
    <t>Menendez, Albert J.</t>
  </si>
  <si>
    <t>Philadelphia : Westminster Press, c1977.</t>
  </si>
  <si>
    <t>2001-04-09</t>
  </si>
  <si>
    <t>5906167:eng</t>
  </si>
  <si>
    <t>2645417</t>
  </si>
  <si>
    <t>991004197559702656</t>
  </si>
  <si>
    <t>2256460260002656</t>
  </si>
  <si>
    <t>9780664241179</t>
  </si>
  <si>
    <t>32285000352343</t>
  </si>
  <si>
    <t>893781954</t>
  </si>
  <si>
    <t>BL2530.U6 M67</t>
  </si>
  <si>
    <t>0                      BL 2530000U  6                  M  67</t>
  </si>
  <si>
    <t>A cultural history of religion in America / James G. Moseley.</t>
  </si>
  <si>
    <t>Moseley, James G.</t>
  </si>
  <si>
    <t>446389:eng</t>
  </si>
  <si>
    <t>6709065</t>
  </si>
  <si>
    <t>991005029859702656</t>
  </si>
  <si>
    <t>2256541930002656</t>
  </si>
  <si>
    <t>9780313224799</t>
  </si>
  <si>
    <t>32285000352350</t>
  </si>
  <si>
    <t>893776720</t>
  </si>
  <si>
    <t>BL2530.U6 R43</t>
  </si>
  <si>
    <t>0                      BL 2530000U  6                  R  43</t>
  </si>
  <si>
    <t>Religions in America / edited by Herbert L. Marx, Jr.</t>
  </si>
  <si>
    <t>New York : H. W. Wilson Co., 1977.</t>
  </si>
  <si>
    <t>The Reference shelf ; v. 49, no.6</t>
  </si>
  <si>
    <t>1996-03-25</t>
  </si>
  <si>
    <t>490708:eng</t>
  </si>
  <si>
    <t>3397234</t>
  </si>
  <si>
    <t>991004425659702656</t>
  </si>
  <si>
    <t>2267146460002656</t>
  </si>
  <si>
    <t>9780824206086</t>
  </si>
  <si>
    <t>32285000070192</t>
  </si>
  <si>
    <t>893888682</t>
  </si>
  <si>
    <t>BL2530.U6 S66 1977</t>
  </si>
  <si>
    <t>0                      BL 2530000U  6                  S  66          1977</t>
  </si>
  <si>
    <t>God and America's future / Frederick Sontag &amp; John K. Roth.</t>
  </si>
  <si>
    <t>Sontag, Frederick.</t>
  </si>
  <si>
    <t>Wilmington, N.C. : McGrath Pub. Co., c1977.</t>
  </si>
  <si>
    <t>2000-08-23</t>
  </si>
  <si>
    <t>2000-08-21</t>
  </si>
  <si>
    <t>8318110:eng</t>
  </si>
  <si>
    <t>3202876</t>
  </si>
  <si>
    <t>991003269279702656</t>
  </si>
  <si>
    <t>2270496860002656</t>
  </si>
  <si>
    <t>9780843406412</t>
  </si>
  <si>
    <t>32285003757910</t>
  </si>
  <si>
    <t>893805591</t>
  </si>
  <si>
    <t>BL256 .R49 1983</t>
  </si>
  <si>
    <t>0                      BL 0256000R  49          1983</t>
  </si>
  <si>
    <t>The biology of religion / V. Reynolds, R.E.S. Tanner ; with illustrations by Penelope Dell.</t>
  </si>
  <si>
    <t>Reynolds, Vernon.</t>
  </si>
  <si>
    <t>London ; New York : Longman, 1983.</t>
  </si>
  <si>
    <t>2001-03-25</t>
  </si>
  <si>
    <t>20354159:eng</t>
  </si>
  <si>
    <t>8346177</t>
  </si>
  <si>
    <t>991005233169702656</t>
  </si>
  <si>
    <t>2263409060002656</t>
  </si>
  <si>
    <t>9780582300217</t>
  </si>
  <si>
    <t>32285000334002</t>
  </si>
  <si>
    <t>893332640</t>
  </si>
  <si>
    <t>BL256 .T36 1986</t>
  </si>
  <si>
    <t>0                      BL 0256000T  36          1986</t>
  </si>
  <si>
    <t>Beyond explanation : religious dimensions in cultural anthropology / Mark Kline Taylor.</t>
  </si>
  <si>
    <t>Taylor, Mark L. (Mark Lewis), 1951-</t>
  </si>
  <si>
    <t>Macon, GA : Mercer, c1986.</t>
  </si>
  <si>
    <t>2006-04-17</t>
  </si>
  <si>
    <t>364162651:eng</t>
  </si>
  <si>
    <t>12188771</t>
  </si>
  <si>
    <t>991000652979702656</t>
  </si>
  <si>
    <t>2254725860002656</t>
  </si>
  <si>
    <t>9780865541658</t>
  </si>
  <si>
    <t>32285000334028</t>
  </si>
  <si>
    <t>893321227</t>
  </si>
  <si>
    <t>BL256 .T5</t>
  </si>
  <si>
    <t>0                      BL 0256000T  5</t>
  </si>
  <si>
    <t>Christian anthropology / with an introduction by Chas. G. Herbermann.</t>
  </si>
  <si>
    <t>Thein, John, -1912.</t>
  </si>
  <si>
    <t>New York : Benziger, 1892.</t>
  </si>
  <si>
    <t>1892</t>
  </si>
  <si>
    <t>42992091:eng</t>
  </si>
  <si>
    <t>2564991</t>
  </si>
  <si>
    <t>991004165199702656</t>
  </si>
  <si>
    <t>2254827310002656</t>
  </si>
  <si>
    <t>32285000334036</t>
  </si>
  <si>
    <t>893894647</t>
  </si>
  <si>
    <t>BL2592.C35 W33 1991</t>
  </si>
  <si>
    <t>0                      BL 2592000C  35                 W  33          1991</t>
  </si>
  <si>
    <t>The taste of blood : spirit possession in Brazilian Candomblé / Jim Wafer.</t>
  </si>
  <si>
    <t>Wafer, James William, 1948-</t>
  </si>
  <si>
    <t>Philadelphia : University of Pennsylvania Press, c1991.</t>
  </si>
  <si>
    <t>Contemporary ethnography series</t>
  </si>
  <si>
    <t>2010-05-03</t>
  </si>
  <si>
    <t>2008-03-25</t>
  </si>
  <si>
    <t>1010321:eng</t>
  </si>
  <si>
    <t>22956368</t>
  </si>
  <si>
    <t>991005196559702656</t>
  </si>
  <si>
    <t>2260525370002656</t>
  </si>
  <si>
    <t>9780812213416</t>
  </si>
  <si>
    <t>32285005397939</t>
  </si>
  <si>
    <t>893795770</t>
  </si>
  <si>
    <t>BL2600 .P6</t>
  </si>
  <si>
    <t>0                      BL 2600000P  6</t>
  </si>
  <si>
    <t>Oceanic mythology: the myths of Polynesia, Micronesia, Melanesia, Australia / Roslyn Poignant.</t>
  </si>
  <si>
    <t>Poignant, Roslyn.</t>
  </si>
  <si>
    <t>1992-06-29</t>
  </si>
  <si>
    <t>1990-08-16</t>
  </si>
  <si>
    <t>196073364:eng</t>
  </si>
  <si>
    <t>387374</t>
  </si>
  <si>
    <t>991002651929702656</t>
  </si>
  <si>
    <t>2258189390002656</t>
  </si>
  <si>
    <t>32285000290295</t>
  </si>
  <si>
    <t>893904002</t>
  </si>
  <si>
    <t>BL262 .K7</t>
  </si>
  <si>
    <t>0                      BL 0262000K  7</t>
  </si>
  <si>
    <t>Notes of a Catholic biologist, by George A. Kreidel.</t>
  </si>
  <si>
    <t>Kreidel, George A.</t>
  </si>
  <si>
    <t>St. Louis, Mo. : B. Herder book co., 1922.</t>
  </si>
  <si>
    <t>1922</t>
  </si>
  <si>
    <t>2217914236:eng</t>
  </si>
  <si>
    <t>3875074</t>
  </si>
  <si>
    <t>991004537589702656</t>
  </si>
  <si>
    <t>2269262090002656</t>
  </si>
  <si>
    <t>32285000334044</t>
  </si>
  <si>
    <t>893519776</t>
  </si>
  <si>
    <t>BL263 .A5</t>
  </si>
  <si>
    <t>0                      BL 0263000A  5</t>
  </si>
  <si>
    <t>Bryan and Darrow at Dayton; the record and documents of the "Bible-evolution trial", edited and compiled by Leslie H. Allen.</t>
  </si>
  <si>
    <t>Allen, Leslie H. (Leslie Henri), 1887-, editor.</t>
  </si>
  <si>
    <t>New York, A. Lee &amp; company [c1925]</t>
  </si>
  <si>
    <t>1925</t>
  </si>
  <si>
    <t>1999-04-12</t>
  </si>
  <si>
    <t>1990-05-07</t>
  </si>
  <si>
    <t>803050860:eng</t>
  </si>
  <si>
    <t>697839</t>
  </si>
  <si>
    <t>991003158599702656</t>
  </si>
  <si>
    <t>2264306660002656</t>
  </si>
  <si>
    <t>32285000150150</t>
  </si>
  <si>
    <t>893592243</t>
  </si>
  <si>
    <t>BL263 .C72513</t>
  </si>
  <si>
    <t>0                      BL 0263000C  72513</t>
  </si>
  <si>
    <t>God tomorrow. Translated by Matthew J. O'Connell.</t>
  </si>
  <si>
    <t>Combaluzier, Charles, 1903-</t>
  </si>
  <si>
    <t>New York, Paulist Press [1974]</t>
  </si>
  <si>
    <t>1997-04-02</t>
  </si>
  <si>
    <t>1930100:eng</t>
  </si>
  <si>
    <t>1009837</t>
  </si>
  <si>
    <t>991003468669702656</t>
  </si>
  <si>
    <t>2263855560002656</t>
  </si>
  <si>
    <t>9780809118359</t>
  </si>
  <si>
    <t>32285000334051</t>
  </si>
  <si>
    <t>893318000</t>
  </si>
  <si>
    <t>BL263 .D76</t>
  </si>
  <si>
    <t>0                      BL 0263000D  76</t>
  </si>
  <si>
    <t>Darwinism and Catholic thought / by Canon Dorlodot ; translated by Ernest Messenger.</t>
  </si>
  <si>
    <t>Dorlodot, Henry de, 1855-1929.</t>
  </si>
  <si>
    <t>New York : Benziger Brothers, 1923-</t>
  </si>
  <si>
    <t>1923</t>
  </si>
  <si>
    <t>2002-04-18</t>
  </si>
  <si>
    <t>3901142607:eng</t>
  </si>
  <si>
    <t>5955576</t>
  </si>
  <si>
    <t>991004906919702656</t>
  </si>
  <si>
    <t>2269249170002656</t>
  </si>
  <si>
    <t>32285000334069</t>
  </si>
  <si>
    <t>893905117</t>
  </si>
  <si>
    <t>BL263 .G66</t>
  </si>
  <si>
    <t>0                      BL 0263000G  66</t>
  </si>
  <si>
    <t>Darwin and the modern world view.</t>
  </si>
  <si>
    <t>Greene, John C.</t>
  </si>
  <si>
    <t>Baton Rouge, Louisiana State University Press [1961]</t>
  </si>
  <si>
    <t>Rockwell lectures, Rice University</t>
  </si>
  <si>
    <t>2001-11-08</t>
  </si>
  <si>
    <t>463494:eng</t>
  </si>
  <si>
    <t>338408</t>
  </si>
  <si>
    <t>991002404269702656</t>
  </si>
  <si>
    <t>2257096620002656</t>
  </si>
  <si>
    <t>32285000334085</t>
  </si>
  <si>
    <t>893609827</t>
  </si>
  <si>
    <t>BL263 .H8313 1966</t>
  </si>
  <si>
    <t>0                      BL 0263000H  8313        1966</t>
  </si>
  <si>
    <t>God in creation and evolution [by] A. Hulsbosch. Translated by Martin Versfeld.</t>
  </si>
  <si>
    <t>Hulsbosch, A. (Ansfridus), 1912-1973.</t>
  </si>
  <si>
    <t>New York, Sheed and Ward [1966, c1965]</t>
  </si>
  <si>
    <t>3768576957:eng</t>
  </si>
  <si>
    <t>674489</t>
  </si>
  <si>
    <t>991003131329702656</t>
  </si>
  <si>
    <t>2269457390002656</t>
  </si>
  <si>
    <t>32285000334119</t>
  </si>
  <si>
    <t>893711088</t>
  </si>
  <si>
    <t>BL263 .K4</t>
  </si>
  <si>
    <t>0                      BL 0263000K  4</t>
  </si>
  <si>
    <t>I believe in God and in evolution / by William W. Keen.</t>
  </si>
  <si>
    <t>Keen, William W. (William Williams), 1837-1932.</t>
  </si>
  <si>
    <t>Philadelphia : J.B. Lippincott, c1923.</t>
  </si>
  <si>
    <t>2d ed.</t>
  </si>
  <si>
    <t>2004-04-24</t>
  </si>
  <si>
    <t>2086413:eng</t>
  </si>
  <si>
    <t>2680048</t>
  </si>
  <si>
    <t>991000039789702656</t>
  </si>
  <si>
    <t>2268017210002656</t>
  </si>
  <si>
    <t>32285000334127</t>
  </si>
  <si>
    <t>893406871</t>
  </si>
  <si>
    <t>BL263 .L34 1931</t>
  </si>
  <si>
    <t>0                      BL 0263000L  34          1931</t>
  </si>
  <si>
    <t>Human evolution and science / by Francis P. Le Buffe.</t>
  </si>
  <si>
    <t>LeBuffe, Francis P. (Francis Peter), 1885-1954.</t>
  </si>
  <si>
    <t>New York, N.Y. : The America Press, [c1931]</t>
  </si>
  <si>
    <t>1931</t>
  </si>
  <si>
    <t>7th ed., completely rev.</t>
  </si>
  <si>
    <t>1994-02-23</t>
  </si>
  <si>
    <t>1991-01-15</t>
  </si>
  <si>
    <t>3884146:eng</t>
  </si>
  <si>
    <t>19503075</t>
  </si>
  <si>
    <t>991001465099702656</t>
  </si>
  <si>
    <t>2254804030002656</t>
  </si>
  <si>
    <t>32285000428754</t>
  </si>
  <si>
    <t>893590391</t>
  </si>
  <si>
    <t>BL263 .M5 1876</t>
  </si>
  <si>
    <t>0                      BL 0263000M  5           1876</t>
  </si>
  <si>
    <t>Contemporary evolution : an essay on some recent social changes / by St. George Mivart.</t>
  </si>
  <si>
    <t>Mivart, St. George Jackson, 1827-1900.</t>
  </si>
  <si>
    <t>New York : D. Appleton and company, 1876.</t>
  </si>
  <si>
    <t>1876</t>
  </si>
  <si>
    <t>5037143:eng</t>
  </si>
  <si>
    <t>3684047</t>
  </si>
  <si>
    <t>991004494239702656</t>
  </si>
  <si>
    <t>2261358920002656</t>
  </si>
  <si>
    <t>32285000334176</t>
  </si>
  <si>
    <t>893794916</t>
  </si>
  <si>
    <t>BL265.I54 D38 1998</t>
  </si>
  <si>
    <t>0                      BL 0265000I  54                 D  38          1998</t>
  </si>
  <si>
    <t>Techgnosis : myth, magic + mysticism in the age of information / Erik Davis.</t>
  </si>
  <si>
    <t>Davis, Erik.</t>
  </si>
  <si>
    <t>New York : Harmony Books, c1998.</t>
  </si>
  <si>
    <t>1998</t>
  </si>
  <si>
    <t>2005-03-01</t>
  </si>
  <si>
    <t>1999-08-10</t>
  </si>
  <si>
    <t>4495070036:eng</t>
  </si>
  <si>
    <t>39024658</t>
  </si>
  <si>
    <t>991002934019702656</t>
  </si>
  <si>
    <t>2265456140002656</t>
  </si>
  <si>
    <t>9780517704158</t>
  </si>
  <si>
    <t>32285003581021</t>
  </si>
  <si>
    <t>893904159</t>
  </si>
  <si>
    <t>BL265.P4 O95 1983</t>
  </si>
  <si>
    <t>0                      BL 0265000P  4                  O  95          1983</t>
  </si>
  <si>
    <t>And the trees clap their hands : faith, perception, and the new physics / Virginia Stem Owens.</t>
  </si>
  <si>
    <t>Owens, Virginia Stem.</t>
  </si>
  <si>
    <t>Grand Rapids, Mich. : W.B. Eerdmans Pub. Co., c1983.</t>
  </si>
  <si>
    <t>2006-04-12</t>
  </si>
  <si>
    <t>6796299:eng</t>
  </si>
  <si>
    <t>9080984</t>
  </si>
  <si>
    <t>991000122849702656</t>
  </si>
  <si>
    <t>2255476950002656</t>
  </si>
  <si>
    <t>9780802819499</t>
  </si>
  <si>
    <t>32285000334184</t>
  </si>
  <si>
    <t>893333231</t>
  </si>
  <si>
    <t>BL265.T4 C6 1978</t>
  </si>
  <si>
    <t>0                      BL 0265000T  4                  C  6           1978</t>
  </si>
  <si>
    <t>Science, technology, and the Christian / by C. A. Coulson. --</t>
  </si>
  <si>
    <t>Coulson, C. A. (Charles Alfred), 1910-1974.</t>
  </si>
  <si>
    <t>Westport, Conn. : Greenwood Press, [1978] c1960.</t>
  </si>
  <si>
    <t>1379664:eng</t>
  </si>
  <si>
    <t>4036791</t>
  </si>
  <si>
    <t>991004573449702656</t>
  </si>
  <si>
    <t>2269098960002656</t>
  </si>
  <si>
    <t>9780837190419</t>
  </si>
  <si>
    <t>32285000334192</t>
  </si>
  <si>
    <t>893331787</t>
  </si>
  <si>
    <t>BL27 .W26</t>
  </si>
  <si>
    <t>0                      BL 0027000W  26</t>
  </si>
  <si>
    <t>Understanding and believing : essays / by Joachim Wach ; edited with an introduction by Joseph M. Kitagawa.</t>
  </si>
  <si>
    <t>Wach, Joachim, 1898-1955.</t>
  </si>
  <si>
    <t>Harper torchbooks ; TB1399</t>
  </si>
  <si>
    <t>1990-05-24</t>
  </si>
  <si>
    <t>2726418:eng</t>
  </si>
  <si>
    <t>449551</t>
  </si>
  <si>
    <t>991002805979702656</t>
  </si>
  <si>
    <t>2265476920002656</t>
  </si>
  <si>
    <t>32285000166073</t>
  </si>
  <si>
    <t>893341875</t>
  </si>
  <si>
    <t>BL2747 .C3 1972</t>
  </si>
  <si>
    <t>0                      BL 2747000C  3           1972</t>
  </si>
  <si>
    <t>Toward a sociology of irreligion / Colin Campbell.</t>
  </si>
  <si>
    <t>Campbell, Colin, 1940-</t>
  </si>
  <si>
    <t>[New York] Herder &amp; Herder [1972]</t>
  </si>
  <si>
    <t>New perspectives in sociology</t>
  </si>
  <si>
    <t>1998-12-08</t>
  </si>
  <si>
    <t>1990-10-23</t>
  </si>
  <si>
    <t>180407113:eng</t>
  </si>
  <si>
    <t>674940</t>
  </si>
  <si>
    <t>991003131879702656</t>
  </si>
  <si>
    <t>2269535550002656</t>
  </si>
  <si>
    <t>32285000352855</t>
  </si>
  <si>
    <t>893258090</t>
  </si>
  <si>
    <t>BL2747 .H33 1980</t>
  </si>
  <si>
    <t>0                      BL 2747000H  33          1980</t>
  </si>
  <si>
    <t>The unchurched : who they are and why they stay away / J. Russell Hale.</t>
  </si>
  <si>
    <t>Hale, J. Russell (James Russell)</t>
  </si>
  <si>
    <t>San Francisco : Harper &amp; Row, c1980.</t>
  </si>
  <si>
    <t>1997-04-09</t>
  </si>
  <si>
    <t>285312977:eng</t>
  </si>
  <si>
    <t>6264978</t>
  </si>
  <si>
    <t>991004953809702656</t>
  </si>
  <si>
    <t>2266129030002656</t>
  </si>
  <si>
    <t>9780060635602</t>
  </si>
  <si>
    <t>32285000352863</t>
  </si>
  <si>
    <t>893332213</t>
  </si>
  <si>
    <t>BL2747 .M3</t>
  </si>
  <si>
    <t>0                      BL 2747000M  3</t>
  </si>
  <si>
    <t>Varieties of unbelief.</t>
  </si>
  <si>
    <t>Marty, Martin E., 1928-</t>
  </si>
  <si>
    <t>New York, Holt, Rinehart and Winston [1964]</t>
  </si>
  <si>
    <t>2008-02-03</t>
  </si>
  <si>
    <t>1393996:eng</t>
  </si>
  <si>
    <t>374907</t>
  </si>
  <si>
    <t>991002577149702656</t>
  </si>
  <si>
    <t>2262230080002656</t>
  </si>
  <si>
    <t>32285000352871</t>
  </si>
  <si>
    <t>893421551</t>
  </si>
  <si>
    <t>BL2747.3 .L46</t>
  </si>
  <si>
    <t>0                      BL 2747300L  46</t>
  </si>
  <si>
    <t>Atheism in our time / Translated by Bernard Murchland.</t>
  </si>
  <si>
    <t>Lepp, Ignace, 1909-1966.</t>
  </si>
  <si>
    <t>New York, Macmillan [c1963]</t>
  </si>
  <si>
    <t>2006-12-08</t>
  </si>
  <si>
    <t>1630208:eng</t>
  </si>
  <si>
    <t>559621</t>
  </si>
  <si>
    <t>991002989279702656</t>
  </si>
  <si>
    <t>2262158280002656</t>
  </si>
  <si>
    <t>32285000352905</t>
  </si>
  <si>
    <t>893329814</t>
  </si>
  <si>
    <t>BL2747.3 .L66</t>
  </si>
  <si>
    <t>0                      BL 2747300L  66</t>
  </si>
  <si>
    <t>The menace of atheism / by William I. Lonergan.</t>
  </si>
  <si>
    <t>Lonergan, William I.</t>
  </si>
  <si>
    <t>New York, N.Y. : America Press, [c1930]</t>
  </si>
  <si>
    <t>1930</t>
  </si>
  <si>
    <t>1993-03-21</t>
  </si>
  <si>
    <t>24962648:eng</t>
  </si>
  <si>
    <t>7079694</t>
  </si>
  <si>
    <t>991005073969702656</t>
  </si>
  <si>
    <t>2262743260002656</t>
  </si>
  <si>
    <t>32285000352913</t>
  </si>
  <si>
    <t>893443358</t>
  </si>
  <si>
    <t>BL2747.3 .L753</t>
  </si>
  <si>
    <t>0                      BL 2747300L  753</t>
  </si>
  <si>
    <t>Phenomenology and atheism, by William A. Luijpen. [Translated from the Dutch by Walter van de Putte]</t>
  </si>
  <si>
    <t>Luijpen, W. (Wilhelmus), 1922-</t>
  </si>
  <si>
    <t>Pittsburgh, Duquesne University Press, 1964.</t>
  </si>
  <si>
    <t>Duquesne studies. Philosophical series ; 17</t>
  </si>
  <si>
    <t>1993-04-10</t>
  </si>
  <si>
    <t>1990-03-02</t>
  </si>
  <si>
    <t>2090631:eng</t>
  </si>
  <si>
    <t>1157493</t>
  </si>
  <si>
    <t>991003577759702656</t>
  </si>
  <si>
    <t>2264035890002656</t>
  </si>
  <si>
    <t>32285000076165</t>
  </si>
  <si>
    <t>893336646</t>
  </si>
  <si>
    <t>BL2747.3 .L765</t>
  </si>
  <si>
    <t>0                      BL 2747300L  765</t>
  </si>
  <si>
    <t>Religion and atheism, by William A. Luijpen and Henry J. Koren.</t>
  </si>
  <si>
    <t>Pittsburgh, Duquesne University Press [1971]</t>
  </si>
  <si>
    <t>1999-02-24</t>
  </si>
  <si>
    <t>1287923:eng</t>
  </si>
  <si>
    <t>136809</t>
  </si>
  <si>
    <t>991000795559702656</t>
  </si>
  <si>
    <t>2264011680002656</t>
  </si>
  <si>
    <t>9780820701332</t>
  </si>
  <si>
    <t>32285000352921</t>
  </si>
  <si>
    <t>893438604</t>
  </si>
  <si>
    <t>BL2747.3 .M332</t>
  </si>
  <si>
    <t>0                      BL 2747300M  332</t>
  </si>
  <si>
    <t>Atheism and alienation; a study of the philosophical sources of contemporary atheism.</t>
  </si>
  <si>
    <t>Masterson, Patrick.</t>
  </si>
  <si>
    <t>[Notre Dame, Ind.] University of Notre Dame Press [1971]</t>
  </si>
  <si>
    <t>2009-06-02</t>
  </si>
  <si>
    <t>430456:eng</t>
  </si>
  <si>
    <t>211728</t>
  </si>
  <si>
    <t>991001270089702656</t>
  </si>
  <si>
    <t>2263959850002656</t>
  </si>
  <si>
    <t>9780268004521</t>
  </si>
  <si>
    <t>32285000352947</t>
  </si>
  <si>
    <t>893496962</t>
  </si>
  <si>
    <t>BL2747.3 .R4 1971</t>
  </si>
  <si>
    <t>0                      BL 2747300R  4           1971</t>
  </si>
  <si>
    <t>Man without God; an introduction to unbelief / John Reid.</t>
  </si>
  <si>
    <t>Reid, John, 1927-</t>
  </si>
  <si>
    <t>New York, Corpus [1971]</t>
  </si>
  <si>
    <t>Theological resources</t>
  </si>
  <si>
    <t>1997-12-12</t>
  </si>
  <si>
    <t>297058815:eng</t>
  </si>
  <si>
    <t>154346</t>
  </si>
  <si>
    <t>991000891599702656</t>
  </si>
  <si>
    <t>2255165730002656</t>
  </si>
  <si>
    <t>9780664209100</t>
  </si>
  <si>
    <t>32285000352954</t>
  </si>
  <si>
    <t>893891118</t>
  </si>
  <si>
    <t>BL2747.3 .S37</t>
  </si>
  <si>
    <t>0                      BL 2747300S  37</t>
  </si>
  <si>
    <t>God in an age of atheism [by] S. Paul Schilling.</t>
  </si>
  <si>
    <t>Schilling, S. Paul (Sylvester Paul), 1904-1994.</t>
  </si>
  <si>
    <t>Nashville, Abingdon Press [1969]</t>
  </si>
  <si>
    <t>tnu</t>
  </si>
  <si>
    <t>1999-02-19</t>
  </si>
  <si>
    <t>9462963871:eng</t>
  </si>
  <si>
    <t>27304</t>
  </si>
  <si>
    <t>991000067259702656</t>
  </si>
  <si>
    <t>2262579360002656</t>
  </si>
  <si>
    <t>9780687150755</t>
  </si>
  <si>
    <t>32285000352962</t>
  </si>
  <si>
    <t>893790207</t>
  </si>
  <si>
    <t>BL2747.3 .V66</t>
  </si>
  <si>
    <t>0                      BL 2747300V  66</t>
  </si>
  <si>
    <t>The new Tower of Babel, essays / by Dietrich Von Hildebrand.</t>
  </si>
  <si>
    <t>Von Hildebrand, Dietrich, 1889-1977.</t>
  </si>
  <si>
    <t>New York, P. J. Kenedy [1953]</t>
  </si>
  <si>
    <t>1994-03-07</t>
  </si>
  <si>
    <t>223890409:eng</t>
  </si>
  <si>
    <t>975570</t>
  </si>
  <si>
    <t>991003439529702656</t>
  </si>
  <si>
    <t>2257143030002656</t>
  </si>
  <si>
    <t>32285000352988</t>
  </si>
  <si>
    <t>893868406</t>
  </si>
  <si>
    <t>BL2747.4 .W33 1992</t>
  </si>
  <si>
    <t>0                      BL 2747400W  33          1992</t>
  </si>
  <si>
    <t>The American deists : voices of reason and dissent in the early republic / Kerry S. Walters.</t>
  </si>
  <si>
    <t>Walters, Kerry S.</t>
  </si>
  <si>
    <t>Lawrence, Kan. : University Press of Kansas, c1992.</t>
  </si>
  <si>
    <t>ksu</t>
  </si>
  <si>
    <t>2005-04-25</t>
  </si>
  <si>
    <t>20933563:eng</t>
  </si>
  <si>
    <t>25283016</t>
  </si>
  <si>
    <t>991001991179702656</t>
  </si>
  <si>
    <t>2272445020002656</t>
  </si>
  <si>
    <t>9780700605408</t>
  </si>
  <si>
    <t>32285001843183</t>
  </si>
  <si>
    <t>893256736</t>
  </si>
  <si>
    <t>BL2747.8 .B35</t>
  </si>
  <si>
    <t>0                      BL 2747800B  35</t>
  </si>
  <si>
    <t>Religion and the rise of scepticism / by Franklin L. Baumer.</t>
  </si>
  <si>
    <t>Baumer, Franklin L. (Franklin Le Van), 1913-1990.</t>
  </si>
  <si>
    <t>New York : Harcourt, Brace &amp; World, 1960.</t>
  </si>
  <si>
    <t>1960</t>
  </si>
  <si>
    <t>A Harbinger book</t>
  </si>
  <si>
    <t>17808372:eng</t>
  </si>
  <si>
    <t>5434547</t>
  </si>
  <si>
    <t>991004834409702656</t>
  </si>
  <si>
    <t>2260354910002656</t>
  </si>
  <si>
    <t>32285000353010</t>
  </si>
  <si>
    <t>893782710</t>
  </si>
  <si>
    <t>BL2747.8 .H33</t>
  </si>
  <si>
    <t>0                      BL 2747800H  33</t>
  </si>
  <si>
    <t>Faith and morality in the secular age / by Bernard Hearing.</t>
  </si>
  <si>
    <t>Häring, Bernhard, 1912-1998.</t>
  </si>
  <si>
    <t>Garden City, NY : Doubleday, 1973.</t>
  </si>
  <si>
    <t>2002-10-01</t>
  </si>
  <si>
    <t>2000-06-15</t>
  </si>
  <si>
    <t>1603585:eng</t>
  </si>
  <si>
    <t>701715</t>
  </si>
  <si>
    <t>991003090919702656</t>
  </si>
  <si>
    <t>2254931670002656</t>
  </si>
  <si>
    <t>9780385038379</t>
  </si>
  <si>
    <t>32285003560819</t>
  </si>
  <si>
    <t>893692393</t>
  </si>
  <si>
    <t>BL2747.8 .M39 1980</t>
  </si>
  <si>
    <t>0                      BL 2747800M  39          1980</t>
  </si>
  <si>
    <t>Religious ministry in a transcendentless culture / Ronald B. Mayers.</t>
  </si>
  <si>
    <t>Mayers, Ronald B.</t>
  </si>
  <si>
    <t>Washington, D.C. : University Press of America, c1980.</t>
  </si>
  <si>
    <t>2000-11-20</t>
  </si>
  <si>
    <t>483002:eng</t>
  </si>
  <si>
    <t>6552436</t>
  </si>
  <si>
    <t>991005001639702656</t>
  </si>
  <si>
    <t>2255930930002656</t>
  </si>
  <si>
    <t>9780819108890</t>
  </si>
  <si>
    <t>32285000353051</t>
  </si>
  <si>
    <t>893536301</t>
  </si>
  <si>
    <t>BL2747.8 .O3</t>
  </si>
  <si>
    <t>0                      BL 2747800O  3</t>
  </si>
  <si>
    <t>The theology of secularity / Gerald O'Collins</t>
  </si>
  <si>
    <t>O'Collins, Gerald.</t>
  </si>
  <si>
    <t>Notre Dame, Ind., Fides Publishers [c1974]</t>
  </si>
  <si>
    <t>Theology today series ; no. 23</t>
  </si>
  <si>
    <t>1993-05-05</t>
  </si>
  <si>
    <t>2066191:eng</t>
  </si>
  <si>
    <t>1143540</t>
  </si>
  <si>
    <t>991003568909702656</t>
  </si>
  <si>
    <t>2260871550002656</t>
  </si>
  <si>
    <t>32285000353069</t>
  </si>
  <si>
    <t>893623630</t>
  </si>
  <si>
    <t>BL2757 .F213</t>
  </si>
  <si>
    <t>0                      BL 2757000F  213</t>
  </si>
  <si>
    <t>God in exile: modern atheism; a study of the internal dynamic of modern atheism, from its roots in the Cartesian cogito to the present day / Translated and edited by Arthur Gibson.</t>
  </si>
  <si>
    <t>Fabro, Cornelio.</t>
  </si>
  <si>
    <t>Westminster, Md., Newman Press [1968]</t>
  </si>
  <si>
    <t>2002-04-26</t>
  </si>
  <si>
    <t>579472:eng</t>
  </si>
  <si>
    <t>441689</t>
  </si>
  <si>
    <t>991002786099702656</t>
  </si>
  <si>
    <t>2255810610002656</t>
  </si>
  <si>
    <t>32285000353135</t>
  </si>
  <si>
    <t>893227279</t>
  </si>
  <si>
    <t>BL2757 .T87 1985</t>
  </si>
  <si>
    <t>0                      BL 2757000T  87          1985</t>
  </si>
  <si>
    <t>Without God, without creed : the origins of unbelief in America / James Turner.</t>
  </si>
  <si>
    <t>Turner, James, 1946-</t>
  </si>
  <si>
    <t>Baltimore : Johns Hopkins University Press, c1985.</t>
  </si>
  <si>
    <t>3716223:eng</t>
  </si>
  <si>
    <t>10948348</t>
  </si>
  <si>
    <t>991000462049702656</t>
  </si>
  <si>
    <t>2272668190002656</t>
  </si>
  <si>
    <t>9780801824944</t>
  </si>
  <si>
    <t>32285000353143</t>
  </si>
  <si>
    <t>893496249</t>
  </si>
  <si>
    <t>BL2765.E85 C48</t>
  </si>
  <si>
    <t>0                      BL 2765000E  85                 C  48</t>
  </si>
  <si>
    <t>The secularization of the European mind in the nineteenth century : the Gifford lectures in the University of Edinburgh for 1973-4 / Owen Chadwick.</t>
  </si>
  <si>
    <t>Chadwick, Owen.</t>
  </si>
  <si>
    <t>Cambridge [Eng.] ; New York : Cambridge University Press, 1975.</t>
  </si>
  <si>
    <t>Gifford lectures ; 1973-74</t>
  </si>
  <si>
    <t>2002-05-29</t>
  </si>
  <si>
    <t>10677932771:eng</t>
  </si>
  <si>
    <t>2024832</t>
  </si>
  <si>
    <t>991003984309702656</t>
  </si>
  <si>
    <t>2264665390002656</t>
  </si>
  <si>
    <t>9780521208925</t>
  </si>
  <si>
    <t>32285000353184</t>
  </si>
  <si>
    <t>893904653</t>
  </si>
  <si>
    <t>BL2765.G7 B47 1988</t>
  </si>
  <si>
    <t>0                      BL 2765000G  7                  B  47          1988</t>
  </si>
  <si>
    <t>A history of atheism in Britain : from Hobbes to Russell / David Berman.</t>
  </si>
  <si>
    <t>Berman, David, 1942-</t>
  </si>
  <si>
    <t>London ; New York : Croom Helm, c1988.</t>
  </si>
  <si>
    <t>1995-05-25</t>
  </si>
  <si>
    <t>363915655:eng</t>
  </si>
  <si>
    <t>16578098</t>
  </si>
  <si>
    <t>991001119039702656</t>
  </si>
  <si>
    <t>2272033330002656</t>
  </si>
  <si>
    <t>9780709932710</t>
  </si>
  <si>
    <t>32285000353200</t>
  </si>
  <si>
    <t>893885055</t>
  </si>
  <si>
    <t>BL2765.G7 O7</t>
  </si>
  <si>
    <t>0                      BL 2765000G  7                  O  7</t>
  </si>
  <si>
    <t>English deism, its roots and its fruits.</t>
  </si>
  <si>
    <t>Orr, John, 1884-</t>
  </si>
  <si>
    <t>Grand Rapids, Mich., Eerdmans, 1934.</t>
  </si>
  <si>
    <t>2008-10-17</t>
  </si>
  <si>
    <t>1788183:eng</t>
  </si>
  <si>
    <t>691855</t>
  </si>
  <si>
    <t>991003152679702656</t>
  </si>
  <si>
    <t>2260208790002656</t>
  </si>
  <si>
    <t>32285000353218</t>
  </si>
  <si>
    <t>893793367</t>
  </si>
  <si>
    <t>BL2765.S65 P67 1987, v.1</t>
  </si>
  <si>
    <t>0                      BL 2765000S  65                 P  67          1987                  v.1</t>
  </si>
  <si>
    <t>A history of Marxist-Leninist atheism and Soviet antireligious policies / Dimitry V. Pospielovsky.</t>
  </si>
  <si>
    <t>Pospielovsky, Dimitry, 1935-2014.</t>
  </si>
  <si>
    <t>New York : St Martin's Press, 1987.</t>
  </si>
  <si>
    <t>A History of Soviet atheism in theory and practice, and the believer ; v. 1</t>
  </si>
  <si>
    <t>2003-11-03</t>
  </si>
  <si>
    <t>1990-04-20</t>
  </si>
  <si>
    <t>5609065804:eng</t>
  </si>
  <si>
    <t>14214662</t>
  </si>
  <si>
    <t>991000923089702656</t>
  </si>
  <si>
    <t>2267466630002656</t>
  </si>
  <si>
    <t>9780312381332</t>
  </si>
  <si>
    <t>32285000104165</t>
  </si>
  <si>
    <t>893878464</t>
  </si>
  <si>
    <t>BL2773 .H42</t>
  </si>
  <si>
    <t>0                      BL 2773000H  42</t>
  </si>
  <si>
    <t>Lord Herbert of Cherbury's De religione laici, edited and translated with a critical discussion of his life and philosophy and a comprehensive bibliography of his works, by Harold R. Hutcheson.</t>
  </si>
  <si>
    <t>Herbert of Cherbury, Edward Herbert, Baron, 1583-1648.</t>
  </si>
  <si>
    <t>New Haven, Yale University Press; London, H. Milford, Oxford University Press, 1944.</t>
  </si>
  <si>
    <t>1944</t>
  </si>
  <si>
    <t>Yale studies in English ; v.98</t>
  </si>
  <si>
    <t>1997-08-18</t>
  </si>
  <si>
    <t>1769365:eng</t>
  </si>
  <si>
    <t>686380</t>
  </si>
  <si>
    <t>991003146069702656</t>
  </si>
  <si>
    <t>2265049420002656</t>
  </si>
  <si>
    <t>32285000353242</t>
  </si>
  <si>
    <t>893893422</t>
  </si>
  <si>
    <t>BL2773 .R413</t>
  </si>
  <si>
    <t>0                      BL 2773000R  413</t>
  </si>
  <si>
    <t>The goal of Jesus and his disciples. Introd. and translation by George Wesley Buchanan.</t>
  </si>
  <si>
    <t>Reimarus, Hermann Samuel, 1694-1768.</t>
  </si>
  <si>
    <t>Leiden, E. J. Brill, 1970.</t>
  </si>
  <si>
    <t>2000-09-14</t>
  </si>
  <si>
    <t>10677795405:eng</t>
  </si>
  <si>
    <t>143823</t>
  </si>
  <si>
    <t>991000818889702656</t>
  </si>
  <si>
    <t>2256714130002656</t>
  </si>
  <si>
    <t>32285000353259</t>
  </si>
  <si>
    <t>893444475</t>
  </si>
  <si>
    <t>BL2773 .S4 1966</t>
  </si>
  <si>
    <t>0                      BL 2773000S  4           1966</t>
  </si>
  <si>
    <t>Christianismi restitvtio. Totius ecclesiæ apostolicæ est ad sua limina vocatio, in integrum restituta cognitione Dei, fidei Christi, iustificationis nostræ, regenerationis baptismi, et cœnæ domini manducationis / Restituto denique nobis regno cœlesti, Babylonis impiæ captiuitate soluta, et Antichristo cum suis penitus destructo. [Vienne, B. Arnollat] 1553. [Unveränderter Nachdruck.</t>
  </si>
  <si>
    <t>Servetus, Michael, 1511?-1553.</t>
  </si>
  <si>
    <t>Frankfurt a. M., Minerva, 1966]</t>
  </si>
  <si>
    <t>lat</t>
  </si>
  <si>
    <t>1994-05-18</t>
  </si>
  <si>
    <t>10076076180:lat</t>
  </si>
  <si>
    <t>716534</t>
  </si>
  <si>
    <t>991003191319702656</t>
  </si>
  <si>
    <t>2259477430002656</t>
  </si>
  <si>
    <t>32285000353267</t>
  </si>
  <si>
    <t>893252128</t>
  </si>
  <si>
    <t>BL2775 .M3983 1964</t>
  </si>
  <si>
    <t>0                      BL 2775000M  3983        1964</t>
  </si>
  <si>
    <t>On religion [by] Karl Marx and Friedrich Engels. Introd. by Reinhold Niebuhr.</t>
  </si>
  <si>
    <t>Marx, Karl, 1818-1883.</t>
  </si>
  <si>
    <t>New York, Schocken Books [1964]</t>
  </si>
  <si>
    <t>Schocken paperbacks</t>
  </si>
  <si>
    <t>2007-11-20</t>
  </si>
  <si>
    <t>1990-04-25</t>
  </si>
  <si>
    <t>232635271:eng</t>
  </si>
  <si>
    <t>254928</t>
  </si>
  <si>
    <t>991001989389702656</t>
  </si>
  <si>
    <t>2269379250002656</t>
  </si>
  <si>
    <t>32285000131721</t>
  </si>
  <si>
    <t>893316239</t>
  </si>
  <si>
    <t>BL303 .T75 1970</t>
  </si>
  <si>
    <t>0                      BL 0303000T  75          1970</t>
  </si>
  <si>
    <t>Crowell's handbook of classical mythology.</t>
  </si>
  <si>
    <t>Tripp, Edward.</t>
  </si>
  <si>
    <t>New York, Crowell [1970]</t>
  </si>
  <si>
    <t>A Crowell reference book</t>
  </si>
  <si>
    <t>2002-04-25</t>
  </si>
  <si>
    <t>1998-04-27</t>
  </si>
  <si>
    <t>3901254981:eng</t>
  </si>
  <si>
    <t>98926</t>
  </si>
  <si>
    <t>991001064319702656</t>
  </si>
  <si>
    <t>2272007890002656</t>
  </si>
  <si>
    <t>9780690226089</t>
  </si>
  <si>
    <t>32285003393179</t>
  </si>
  <si>
    <t>893225583</t>
  </si>
  <si>
    <t>BL304 .D37 1984</t>
  </si>
  <si>
    <t>0                      BL 0304000D  37          1984</t>
  </si>
  <si>
    <t>The many meanings of myth / Martin S. Day.</t>
  </si>
  <si>
    <t>Day, Martin S. (Martin Steele), 1917-</t>
  </si>
  <si>
    <t>2004-01-28</t>
  </si>
  <si>
    <t>3420765:eng</t>
  </si>
  <si>
    <t>10324961</t>
  </si>
  <si>
    <t>991000355629702656</t>
  </si>
  <si>
    <t>2268097490002656</t>
  </si>
  <si>
    <t>9780819138224</t>
  </si>
  <si>
    <t>32285000133693</t>
  </si>
  <si>
    <t>893796574</t>
  </si>
  <si>
    <t>BL304 .D43</t>
  </si>
  <si>
    <t>0                      BL 0304000D  43</t>
  </si>
  <si>
    <t>Hamlet's mill; an essay on myth and the frame of time [by] Giorgio de Santillana and Hertha von Dechend.</t>
  </si>
  <si>
    <t>De Santillana, Giorgio, 1902-1974.</t>
  </si>
  <si>
    <t>Boston, Gambit, 1969.</t>
  </si>
  <si>
    <t>2007-03-30</t>
  </si>
  <si>
    <t>1990-10-08</t>
  </si>
  <si>
    <t>1215846:eng</t>
  </si>
  <si>
    <t>46381</t>
  </si>
  <si>
    <t>991000105689702656</t>
  </si>
  <si>
    <t>2264254950002656</t>
  </si>
  <si>
    <t>32285000334812</t>
  </si>
  <si>
    <t>893419205</t>
  </si>
  <si>
    <t>BL304 .F6</t>
  </si>
  <si>
    <t>0                      BL 0304000F  6</t>
  </si>
  <si>
    <t>The ritual theory of myth / [by] Joseph Fontenrose.</t>
  </si>
  <si>
    <t>Fontenrose, Joseph Eddy, 1903-1988.</t>
  </si>
  <si>
    <t>Berkeley : University of California Press, 1971 [c1966]</t>
  </si>
  <si>
    <t>University of California publications. Folklore studies ; 18</t>
  </si>
  <si>
    <t>2003-04-08</t>
  </si>
  <si>
    <t>149069647:eng</t>
  </si>
  <si>
    <t>242877</t>
  </si>
  <si>
    <t>991001913609702656</t>
  </si>
  <si>
    <t>2269502730002656</t>
  </si>
  <si>
    <t>32285000334853</t>
  </si>
  <si>
    <t>893226225</t>
  </si>
  <si>
    <t>BL304 .K38</t>
  </si>
  <si>
    <t>0                      BL 0304000K  38</t>
  </si>
  <si>
    <t>Myth, history, and faith : the remythologizing of Christianity / by Morton T. Kelsey.</t>
  </si>
  <si>
    <t>Kelsey, Morton T.</t>
  </si>
  <si>
    <t>New York : Paulist Press, [1974]</t>
  </si>
  <si>
    <t>1994-09-10</t>
  </si>
  <si>
    <t>198435613:eng</t>
  </si>
  <si>
    <t>1111247</t>
  </si>
  <si>
    <t>991003545139702656</t>
  </si>
  <si>
    <t>2269711810002656</t>
  </si>
  <si>
    <t>9780809118274</t>
  </si>
  <si>
    <t>32285000334861</t>
  </si>
  <si>
    <t>893324176</t>
  </si>
  <si>
    <t>BL304 .N6</t>
  </si>
  <si>
    <t>0                      BL 0304000N  6</t>
  </si>
  <si>
    <t>The hero: myth, image, symbol.</t>
  </si>
  <si>
    <t>Norman, Dorothy, 1905-1997.</t>
  </si>
  <si>
    <t>New York, World Pub. Co. [1969]</t>
  </si>
  <si>
    <t>1997-05-03</t>
  </si>
  <si>
    <t>1990-02-24</t>
  </si>
  <si>
    <t>1218968:eng</t>
  </si>
  <si>
    <t>49407</t>
  </si>
  <si>
    <t>991000118019702656</t>
  </si>
  <si>
    <t>2263507450002656</t>
  </si>
  <si>
    <t>32285000062397</t>
  </si>
  <si>
    <t>893708135</t>
  </si>
  <si>
    <t>BL304 .P32</t>
  </si>
  <si>
    <t>0                      BL 0304000P  32</t>
  </si>
  <si>
    <t>Myth, faith, and hermeneutics : cross-cultural studies / R. Panikkar.</t>
  </si>
  <si>
    <t>Panikkar, Raimon, 1918-2010.</t>
  </si>
  <si>
    <t>New York : Paulist Press, c1979.</t>
  </si>
  <si>
    <t>1998-04-07</t>
  </si>
  <si>
    <t>796568763:eng</t>
  </si>
  <si>
    <t>5959352</t>
  </si>
  <si>
    <t>991004907339702656</t>
  </si>
  <si>
    <t>2259396160002656</t>
  </si>
  <si>
    <t>9780809102327</t>
  </si>
  <si>
    <t>32285000334887</t>
  </si>
  <si>
    <t>893870232</t>
  </si>
  <si>
    <t>BL31 .K42 1984</t>
  </si>
  <si>
    <t>0                      BL 0031000K  42          1984</t>
  </si>
  <si>
    <t>The international dictionary of religion : a profusely illustrated guide to the beliefs of the world / Richard Kennedy.</t>
  </si>
  <si>
    <t>Kennedy, Richard S.</t>
  </si>
  <si>
    <t>New York : Crossroad, 1984.</t>
  </si>
  <si>
    <t>2009-02-16</t>
  </si>
  <si>
    <t>2008-05-22</t>
  </si>
  <si>
    <t>324556261:eng</t>
  </si>
  <si>
    <t>10324924</t>
  </si>
  <si>
    <t>991005225469702656</t>
  </si>
  <si>
    <t>2268093350002656</t>
  </si>
  <si>
    <t>9780824506322</t>
  </si>
  <si>
    <t>32285005440457</t>
  </si>
  <si>
    <t>893254675</t>
  </si>
  <si>
    <t>BL31 .S47 1971</t>
  </si>
  <si>
    <t>0                      BL 0031000S  47          1971</t>
  </si>
  <si>
    <t>50 key words: comparative religion, by Eric J. Sharpe.</t>
  </si>
  <si>
    <t>Sharpe, Eric J. (Eric John), 1933-2000.</t>
  </si>
  <si>
    <t>Richmond, John Knox Press [1971]</t>
  </si>
  <si>
    <t>2002-04-01</t>
  </si>
  <si>
    <t>1996-12-30</t>
  </si>
  <si>
    <t>1415142:eng</t>
  </si>
  <si>
    <t>277233</t>
  </si>
  <si>
    <t>991002172729702656</t>
  </si>
  <si>
    <t>2260220150002656</t>
  </si>
  <si>
    <t>9780804238977</t>
  </si>
  <si>
    <t>32285002402625</t>
  </si>
  <si>
    <t>893892232</t>
  </si>
  <si>
    <t>BL310 .B82 1970</t>
  </si>
  <si>
    <t>0                      BL 0310000B  82          1970</t>
  </si>
  <si>
    <t>Mythology : The age of fable, The age of chivalry, Legends of Charlemagne.</t>
  </si>
  <si>
    <t>Bulfinch, Thomas, 1796-1867.</t>
  </si>
  <si>
    <t>2002-09-20</t>
  </si>
  <si>
    <t>4710720716:eng</t>
  </si>
  <si>
    <t>91343</t>
  </si>
  <si>
    <t>991000545709702656</t>
  </si>
  <si>
    <t>2264529780002656</t>
  </si>
  <si>
    <t>32285000334937</t>
  </si>
  <si>
    <t>893595647</t>
  </si>
  <si>
    <t>BL310 .F715 1976</t>
  </si>
  <si>
    <t>0                      BL 0310000F  715         1976</t>
  </si>
  <si>
    <t>Aftermath : a supplement to The golden bough / by Sir James George Frazer.</t>
  </si>
  <si>
    <t>Frazer, James George, 1854-1941.</t>
  </si>
  <si>
    <t>New York : AMS Press, [1976]</t>
  </si>
  <si>
    <t>3768439201:eng</t>
  </si>
  <si>
    <t>2834199</t>
  </si>
  <si>
    <t>991004258459702656</t>
  </si>
  <si>
    <t>2263701410002656</t>
  </si>
  <si>
    <t>9780404145439</t>
  </si>
  <si>
    <t>32285000334978</t>
  </si>
  <si>
    <t>893612136</t>
  </si>
  <si>
    <t>BL310 .F715 1976a</t>
  </si>
  <si>
    <t>0                      BL 0310000F  715         1976a</t>
  </si>
  <si>
    <t>New York : St. Martin's Press, 1976.</t>
  </si>
  <si>
    <t>1993-02-18</t>
  </si>
  <si>
    <t>4380484</t>
  </si>
  <si>
    <t>991004632279702656</t>
  </si>
  <si>
    <t>2258795370002656</t>
  </si>
  <si>
    <t>32285000334986</t>
  </si>
  <si>
    <t>893259951</t>
  </si>
  <si>
    <t>BL310 .H45 1966</t>
  </si>
  <si>
    <t>0                      BL 0310000H  45          1966</t>
  </si>
  <si>
    <t>Myths and their meaning.</t>
  </si>
  <si>
    <t>Herzberg, Max J. (Max John), 1886-1958.</t>
  </si>
  <si>
    <t>Boston, Allyn and Bacon, 1966.</t>
  </si>
  <si>
    <t>The Academy classics</t>
  </si>
  <si>
    <t>2007-10-30</t>
  </si>
  <si>
    <t>1617570:eng</t>
  </si>
  <si>
    <t>5811727</t>
  </si>
  <si>
    <t>991004879829702656</t>
  </si>
  <si>
    <t>2266930900002656</t>
  </si>
  <si>
    <t>32285000335009</t>
  </si>
  <si>
    <t>893895593</t>
  </si>
  <si>
    <t>BL310.F73 W5713 1979</t>
  </si>
  <si>
    <t>0                      BL 0310000F  73                 W  5713        1979</t>
  </si>
  <si>
    <t>Remarks on Frazer's Golden bough / Ludwig Wittgenstein ; edited by Rush Rhees ; English translation by A. C. Miles ; revised by Rush Rhees.</t>
  </si>
  <si>
    <t>Wittgenstein, Ludwig, 1889-1951.</t>
  </si>
  <si>
    <t>Atlantic Highlands, N.J. : Humanities Press, 1979.</t>
  </si>
  <si>
    <t>2000-06-28</t>
  </si>
  <si>
    <t>5503151:eng</t>
  </si>
  <si>
    <t>4776737</t>
  </si>
  <si>
    <t>991004717129702656</t>
  </si>
  <si>
    <t>2254990500002656</t>
  </si>
  <si>
    <t>9780391009844</t>
  </si>
  <si>
    <t>32285000334994</t>
  </si>
  <si>
    <t>893625007</t>
  </si>
  <si>
    <t>BL311 .E413 1967</t>
  </si>
  <si>
    <t>0                      BL 0311000E  413         1967</t>
  </si>
  <si>
    <t>Myths, dreams, and mysteries : the encounter between contemporary faiths and archaic realities / Mircea Eliade ; Translated by Philip Mairet.</t>
  </si>
  <si>
    <t>Eliade, Mircea, 1907-1986.</t>
  </si>
  <si>
    <t>New York : Harper &amp; Row, 1967, c1960.</t>
  </si>
  <si>
    <t>Harper torchbooks ; TB1320</t>
  </si>
  <si>
    <t>1997-11-02</t>
  </si>
  <si>
    <t>2890701976:eng</t>
  </si>
  <si>
    <t>6306099</t>
  </si>
  <si>
    <t>991004961649702656</t>
  </si>
  <si>
    <t>2258496720002656</t>
  </si>
  <si>
    <t>32285000132521</t>
  </si>
  <si>
    <t>893883155</t>
  </si>
  <si>
    <t>BL311 .F43</t>
  </si>
  <si>
    <t>0                      BL 0311000F  43</t>
  </si>
  <si>
    <t>The rise of modern mythology, 1680-1860 [compiled by] Burton Feldman and Robert D. Richardson.</t>
  </si>
  <si>
    <t>Feldman, Burton, compiler.</t>
  </si>
  <si>
    <t>Bloomington, Indiana University Press [1972]</t>
  </si>
  <si>
    <t>2000-06-07</t>
  </si>
  <si>
    <t>352262300:eng</t>
  </si>
  <si>
    <t>356627</t>
  </si>
  <si>
    <t>991002462859702656</t>
  </si>
  <si>
    <t>2262611780002656</t>
  </si>
  <si>
    <t>9780253350121</t>
  </si>
  <si>
    <t>32285000345164</t>
  </si>
  <si>
    <t>893510770</t>
  </si>
  <si>
    <t>BL311 .G65</t>
  </si>
  <si>
    <t>0                      BL 0311000G  65</t>
  </si>
  <si>
    <t>The ancient myths.</t>
  </si>
  <si>
    <t>Goodrich, Norma Lorre.</t>
  </si>
  <si>
    <t>[New York] New American Library [1960]</t>
  </si>
  <si>
    <t>A Mentor book, MD313</t>
  </si>
  <si>
    <t>2009-11-05</t>
  </si>
  <si>
    <t>1797071:eng</t>
  </si>
  <si>
    <t>594792</t>
  </si>
  <si>
    <t>991003031789702656</t>
  </si>
  <si>
    <t>2269908040002656</t>
  </si>
  <si>
    <t>32285000345172</t>
  </si>
  <si>
    <t>893809794</t>
  </si>
  <si>
    <t>BL311 .H6</t>
  </si>
  <si>
    <t>0                      BL 0311000H  6</t>
  </si>
  <si>
    <t>Middle Eastern mythology.</t>
  </si>
  <si>
    <t>Hooke, S. H. (Samuel Henry), 1874-1968.</t>
  </si>
  <si>
    <t>Baltimore, Penguin Books [1963]</t>
  </si>
  <si>
    <t>Pelican books</t>
  </si>
  <si>
    <t>1997-09-03</t>
  </si>
  <si>
    <t>1990-03-16</t>
  </si>
  <si>
    <t>594444:eng</t>
  </si>
  <si>
    <t>7315109</t>
  </si>
  <si>
    <t>991002436719702656</t>
  </si>
  <si>
    <t>2267466070002656</t>
  </si>
  <si>
    <t>32285000090406</t>
  </si>
  <si>
    <t>893433888</t>
  </si>
  <si>
    <t>BL311 .K64 1985</t>
  </si>
  <si>
    <t>0                      BL 0311000K  64          1985</t>
  </si>
  <si>
    <t>Mythology for young people : a reference guide / Rita Kohn.</t>
  </si>
  <si>
    <t>Kohn, Rita T.</t>
  </si>
  <si>
    <t>New York : Garland Pub., 1985.</t>
  </si>
  <si>
    <t>Garland reference library of the humanities ; vol. 605</t>
  </si>
  <si>
    <t>914484:eng</t>
  </si>
  <si>
    <t>12344227</t>
  </si>
  <si>
    <t>991000675109702656</t>
  </si>
  <si>
    <t>2265256050002656</t>
  </si>
  <si>
    <t>9780824087142</t>
  </si>
  <si>
    <t>32285000345206</t>
  </si>
  <si>
    <t>893407421</t>
  </si>
  <si>
    <t>BL311 .L32</t>
  </si>
  <si>
    <t>0                      BL 0311000L  32</t>
  </si>
  <si>
    <t>Ancient myth and modern man [by] Gerald A. Larue.</t>
  </si>
  <si>
    <t>Larue, Gerald A.</t>
  </si>
  <si>
    <t>Englewood Cliffs, N.J., Prentice-Hall [1975]</t>
  </si>
  <si>
    <t>2001-07-23</t>
  </si>
  <si>
    <t>1855594:eng</t>
  </si>
  <si>
    <t>914937</t>
  </si>
  <si>
    <t>991003378819702656</t>
  </si>
  <si>
    <t>2262623200002656</t>
  </si>
  <si>
    <t>9780130354938</t>
  </si>
  <si>
    <t>32285000132539</t>
  </si>
  <si>
    <t>893524761</t>
  </si>
  <si>
    <t>BL311 .M85 1968b</t>
  </si>
  <si>
    <t>0                      BL 0311000M  85          1968b</t>
  </si>
  <si>
    <t>Myth and mythmaking / edited, and with an introd., by Henry A. Murray.</t>
  </si>
  <si>
    <t>Murray, Henry A. (Henry Alexander), 1893-1988.</t>
  </si>
  <si>
    <t>Boston, Beacon Press [1968]</t>
  </si>
  <si>
    <t>Beacon paperback, 307</t>
  </si>
  <si>
    <t>1992-01-31</t>
  </si>
  <si>
    <t>57534497:eng</t>
  </si>
  <si>
    <t>345559</t>
  </si>
  <si>
    <t>991002427859702656</t>
  </si>
  <si>
    <t>2269839380002656</t>
  </si>
  <si>
    <t>32285000345214</t>
  </si>
  <si>
    <t>893239022</t>
  </si>
  <si>
    <t>BL311 .P84 1987</t>
  </si>
  <si>
    <t>0                      BL 0311000P  84          1987</t>
  </si>
  <si>
    <t>Comparative mythology / Jaan Puhvel.</t>
  </si>
  <si>
    <t>Puhvel, Jaan.</t>
  </si>
  <si>
    <t>Baltimore : Johns Hopkins University Press, c1987.</t>
  </si>
  <si>
    <t>2008-02-08</t>
  </si>
  <si>
    <t>1990-05-18</t>
  </si>
  <si>
    <t>7239607:eng</t>
  </si>
  <si>
    <t>14167890</t>
  </si>
  <si>
    <t>991000915539702656</t>
  </si>
  <si>
    <t>2271014200002656</t>
  </si>
  <si>
    <t>9780801834134</t>
  </si>
  <si>
    <t>32285000153675</t>
  </si>
  <si>
    <t>893333890</t>
  </si>
  <si>
    <t>BL311 .S77 1987</t>
  </si>
  <si>
    <t>0                      BL 0311000S  77          1987</t>
  </si>
  <si>
    <t>Four theories of myth in twentieth-century history : Cassirer, Eliade, Lévi-Strauss, and Malinowski / Ivan Strenski.</t>
  </si>
  <si>
    <t>Strenski, Ivan.</t>
  </si>
  <si>
    <t>Iowa City : University of Iowa Press, 1987.</t>
  </si>
  <si>
    <t>2007-09-15</t>
  </si>
  <si>
    <t>15806088:eng</t>
  </si>
  <si>
    <t>17425297</t>
  </si>
  <si>
    <t>991001216089702656</t>
  </si>
  <si>
    <t>2266895150002656</t>
  </si>
  <si>
    <t>9780877451815</t>
  </si>
  <si>
    <t>32285000345222</t>
  </si>
  <si>
    <t>893528762</t>
  </si>
  <si>
    <t>BL313 .J83 1973</t>
  </si>
  <si>
    <t>0                      BL 0313000J  83          1973</t>
  </si>
  <si>
    <t>Essays on a science of mythology; the myth of the divine child and the mysteries of Eleusis, by C. G. Jung and C. Kerényi. Translated by R. F. C. Hull.</t>
  </si>
  <si>
    <t>Jung, C. G. (Carl Gustav), 1875-1961.</t>
  </si>
  <si>
    <t>Princeton, N.J.] Princeton University Press [1969, c1963]</t>
  </si>
  <si>
    <t>[Rev. ed.</t>
  </si>
  <si>
    <t>Bollingen series ; 22</t>
  </si>
  <si>
    <t>2004-10-26</t>
  </si>
  <si>
    <t>10628166713:eng</t>
  </si>
  <si>
    <t>264584</t>
  </si>
  <si>
    <t>991002080749702656</t>
  </si>
  <si>
    <t>2268202180002656</t>
  </si>
  <si>
    <t>9780691098517</t>
  </si>
  <si>
    <t>32285000345263</t>
  </si>
  <si>
    <t>893597006</t>
  </si>
  <si>
    <t>BL313 .M48</t>
  </si>
  <si>
    <t>0                      BL 0313000M  48</t>
  </si>
  <si>
    <t>Myth and cosmos; readings in mythology and symbolism.</t>
  </si>
  <si>
    <t>Middleton, John, 1921-2009, compiler.</t>
  </si>
  <si>
    <t>Garden City, N.Y., Published for the American Museum of Natural History [by] the Natural History Press, 1967.</t>
  </si>
  <si>
    <t>American Museum sourcebooks in anthropology</t>
  </si>
  <si>
    <t>1992-10-08</t>
  </si>
  <si>
    <t>806491503:eng</t>
  </si>
  <si>
    <t>377873</t>
  </si>
  <si>
    <t>991002611049702656</t>
  </si>
  <si>
    <t>2263087980002656</t>
  </si>
  <si>
    <t>32285000345271</t>
  </si>
  <si>
    <t>893591556</t>
  </si>
  <si>
    <t>BL313 .R263 1964</t>
  </si>
  <si>
    <t>0                      BL 0313000R  263         1964</t>
  </si>
  <si>
    <t>The myth of the birth of the hero ; and other writings / Edited by Philip Freund.</t>
  </si>
  <si>
    <t>Rank, Otto, 1884-1939.</t>
  </si>
  <si>
    <t>New York : Vintage Books, 1964, c1959.</t>
  </si>
  <si>
    <t>4160233859:eng</t>
  </si>
  <si>
    <t>3041420</t>
  </si>
  <si>
    <t>991004326759702656</t>
  </si>
  <si>
    <t>2265618300002656</t>
  </si>
  <si>
    <t>32285000345289</t>
  </si>
  <si>
    <t>893241276</t>
  </si>
  <si>
    <t>BL315 .M95</t>
  </si>
  <si>
    <t>0                      BL 0315000M  95</t>
  </si>
  <si>
    <t>Myths / Alexander Eliot ... [et al.]</t>
  </si>
  <si>
    <t>New York : McGraw-Hill, c1976.</t>
  </si>
  <si>
    <t>2007-03-24</t>
  </si>
  <si>
    <t>1990-05-04</t>
  </si>
  <si>
    <t>346791495:eng</t>
  </si>
  <si>
    <t>2564936</t>
  </si>
  <si>
    <t>991004165169702656</t>
  </si>
  <si>
    <t>2254818590002656</t>
  </si>
  <si>
    <t>9780070191938</t>
  </si>
  <si>
    <t>32285000149111</t>
  </si>
  <si>
    <t>893869376</t>
  </si>
  <si>
    <t>BL325.A6 C35 1989</t>
  </si>
  <si>
    <t>0                      BL 0325000A  6                  C  35          1989</t>
  </si>
  <si>
    <t>Renewal myths and rites of the primitive hunters and planters / Joseph Campbell.</t>
  </si>
  <si>
    <t>Campbell, Joseph, 1904-1987.</t>
  </si>
  <si>
    <t>Dallas, Tex. : Spring Publications, 1989, c1960.</t>
  </si>
  <si>
    <t>Eranos lectures, 0743-586X ; 9</t>
  </si>
  <si>
    <t>1996-05-21</t>
  </si>
  <si>
    <t>1993-02-22</t>
  </si>
  <si>
    <t>51585735:eng</t>
  </si>
  <si>
    <t>18960007</t>
  </si>
  <si>
    <t>991001418169702656</t>
  </si>
  <si>
    <t>2262448150002656</t>
  </si>
  <si>
    <t>9780882144092</t>
  </si>
  <si>
    <t>32285001496206</t>
  </si>
  <si>
    <t>893238115</t>
  </si>
  <si>
    <t>BL325.C7 B7</t>
  </si>
  <si>
    <t>0                      BL 0325000C  7                  B  7</t>
  </si>
  <si>
    <t>Creation legends of the ancient Near East / by S. G. F. Brandon.</t>
  </si>
  <si>
    <t>Brandon, S. G. F. (Samuel George Frederick), 1907-1971.</t>
  </si>
  <si>
    <t>[London] Hodder and Stoughton [1963]</t>
  </si>
  <si>
    <t>2010-09-19</t>
  </si>
  <si>
    <t>1990-07-02</t>
  </si>
  <si>
    <t>1426419:eng</t>
  </si>
  <si>
    <t>329716</t>
  </si>
  <si>
    <t>991002385289702656</t>
  </si>
  <si>
    <t>2267482070002656</t>
  </si>
  <si>
    <t>32285000218502</t>
  </si>
  <si>
    <t>893421283</t>
  </si>
  <si>
    <t>BL325.I5 M413</t>
  </si>
  <si>
    <t>0                      BL 0325000I  5                  M  413</t>
  </si>
  <si>
    <t>Ancient incubation and modern psychotherapy [by] C. A. Meier. Translated by Monica Curtis.</t>
  </si>
  <si>
    <t>Meier, C. A. (Carl Alfred), 1905-1995.</t>
  </si>
  <si>
    <t>Evanston, Northwestern University Press, 1967.</t>
  </si>
  <si>
    <t>Studies in Jungian thought</t>
  </si>
  <si>
    <t>2008-12-18</t>
  </si>
  <si>
    <t>1482441:eng</t>
  </si>
  <si>
    <t>893323</t>
  </si>
  <si>
    <t>991003358449702656</t>
  </si>
  <si>
    <t>2259828410002656</t>
  </si>
  <si>
    <t>32285000345362</t>
  </si>
  <si>
    <t>893317920</t>
  </si>
  <si>
    <t>BL325.K5 F7 1978</t>
  </si>
  <si>
    <t>0                      BL 0325000K  5                  F  7           1978</t>
  </si>
  <si>
    <t>Kingship and the gods : a study of ancient Near Eastern religion as the integration of society &amp; nature / Henri Frankfort ; with a new preface by Samuel Noah Kramer.</t>
  </si>
  <si>
    <t>Frankfort, Henri, 1897-1954.</t>
  </si>
  <si>
    <t>Chicago : University of Chicago Press, c1948, 1978.</t>
  </si>
  <si>
    <t>Oriental Institute essay</t>
  </si>
  <si>
    <t>1995-12-19</t>
  </si>
  <si>
    <t>1991-10-29</t>
  </si>
  <si>
    <t>418312:eng</t>
  </si>
  <si>
    <t>223504</t>
  </si>
  <si>
    <t>991004576089702656</t>
  </si>
  <si>
    <t>2271805010002656</t>
  </si>
  <si>
    <t>9780226260112</t>
  </si>
  <si>
    <t>32285000803337</t>
  </si>
  <si>
    <t>893229514</t>
  </si>
  <si>
    <t>BL35 .C873 1960</t>
  </si>
  <si>
    <t>0                      BL 0035000C  873         1960</t>
  </si>
  <si>
    <t>The encounter of religions; a dialogue between the West and the Orient, with an essay on the prayer of Jesus. Translated by Pierre de Fontnouvelle with Evis McGrew. Foreword by Dietrich von Hildebrand.</t>
  </si>
  <si>
    <t>Cuttat, Jacques Albert.</t>
  </si>
  <si>
    <t>New York, Desclée [1960]</t>
  </si>
  <si>
    <t>2002-01-24</t>
  </si>
  <si>
    <t>2031104:eng</t>
  </si>
  <si>
    <t>908478</t>
  </si>
  <si>
    <t>991003372579702656</t>
  </si>
  <si>
    <t>2261445510002656</t>
  </si>
  <si>
    <t>32285000307438</t>
  </si>
  <si>
    <t>893793571</t>
  </si>
  <si>
    <t>BL41 .B49 1990</t>
  </si>
  <si>
    <t>0                      BL 0041000B  49          1990</t>
  </si>
  <si>
    <t>Beyond the classics? : essays in religious studies and liberal education / edited by Frank E. Reynolds, Sheryl L. Burkhalter.</t>
  </si>
  <si>
    <t>Atlanta, Ga. : Scholars Press, c1990.</t>
  </si>
  <si>
    <t>Scholars Press studies in the humanities</t>
  </si>
  <si>
    <t>2002-09-13</t>
  </si>
  <si>
    <t>1991-08-20</t>
  </si>
  <si>
    <t>890481027:eng</t>
  </si>
  <si>
    <t>22387635</t>
  </si>
  <si>
    <t>991001773249702656</t>
  </si>
  <si>
    <t>2262620740002656</t>
  </si>
  <si>
    <t>9781555405182</t>
  </si>
  <si>
    <t>32285000701275</t>
  </si>
  <si>
    <t>893346765</t>
  </si>
  <si>
    <t>BL41 .E5</t>
  </si>
  <si>
    <t>0                      BL 0041000E  5</t>
  </si>
  <si>
    <t>The history of religions; essays in methodology. Edited by Mircea Eliade and Joseph M. Kitagawa. With a pref. by Jerald C. Brauer.</t>
  </si>
  <si>
    <t>Eliade, Mircea, 1907-1986 editor.</t>
  </si>
  <si>
    <t>[Chicago] University of Chicago Press [1959]</t>
  </si>
  <si>
    <t>1999-04-26</t>
  </si>
  <si>
    <t>4074048:eng</t>
  </si>
  <si>
    <t>710691</t>
  </si>
  <si>
    <t>991003175689702656</t>
  </si>
  <si>
    <t>2262491160002656</t>
  </si>
  <si>
    <t>32285000307487</t>
  </si>
  <si>
    <t>893893450</t>
  </si>
  <si>
    <t>BL41 .H5</t>
  </si>
  <si>
    <t>0                      BL 0041000H  5</t>
  </si>
  <si>
    <t>The History of religions; essays on the problem of understanding, by Joachim Wach [and others] Edited by Joseph M. Kitagawa with the collaboration of Mircea Eliade and Charles H. Long.</t>
  </si>
  <si>
    <t>Chicago, University of Chicago Press [1967]</t>
  </si>
  <si>
    <t>Essays in divinity ; v. 1</t>
  </si>
  <si>
    <t>1999-12-11</t>
  </si>
  <si>
    <t>4160035151:eng</t>
  </si>
  <si>
    <t>321148</t>
  </si>
  <si>
    <t>991003474999702656</t>
  </si>
  <si>
    <t>2258157200002656</t>
  </si>
  <si>
    <t>32285000307503</t>
  </si>
  <si>
    <t>893893746</t>
  </si>
  <si>
    <t>BL41 .T44 1991</t>
  </si>
  <si>
    <t>0                      BL 0041000T  44          1991</t>
  </si>
  <si>
    <t>Teaching the introductory course in religious studies : a sourcebook / edited by Mark Juergensmeyer.</t>
  </si>
  <si>
    <t>Atlanta, Ga. : Scholars Press, c1991.</t>
  </si>
  <si>
    <t>Scholars Press studies in the humanities series ; no. 15</t>
  </si>
  <si>
    <t>1996-09-09</t>
  </si>
  <si>
    <t>889837434:eng</t>
  </si>
  <si>
    <t>22767592</t>
  </si>
  <si>
    <t>991001814309702656</t>
  </si>
  <si>
    <t>2261500740002656</t>
  </si>
  <si>
    <t>9781555405984</t>
  </si>
  <si>
    <t>32285000701267</t>
  </si>
  <si>
    <t>893433160</t>
  </si>
  <si>
    <t>BL41 .T73 1991</t>
  </si>
  <si>
    <t>0                      BL 0041000T  73          1991</t>
  </si>
  <si>
    <t>Tracing common themes : comparative courses in the study of religion / edited by John B. Carman, Steven P. Hopkins.</t>
  </si>
  <si>
    <t>Scholars Press studies in the humanities ; 16</t>
  </si>
  <si>
    <t>2008-03-06</t>
  </si>
  <si>
    <t>1994-01-07</t>
  </si>
  <si>
    <t>25167053:eng</t>
  </si>
  <si>
    <t>24429859</t>
  </si>
  <si>
    <t>991001933839702656</t>
  </si>
  <si>
    <t>2258420020002656</t>
  </si>
  <si>
    <t>9781555405632</t>
  </si>
  <si>
    <t>32285001830198</t>
  </si>
  <si>
    <t>893791856</t>
  </si>
  <si>
    <t>BL41 .V713</t>
  </si>
  <si>
    <t>0                      BL 0041000V  713</t>
  </si>
  <si>
    <t>The study of religion; a historical approach. Translated with an introd. by Kees W. Bolle.</t>
  </si>
  <si>
    <t>Vries, Jan de, 1890-1964.</t>
  </si>
  <si>
    <t>New York, Harcourt, Brace &amp; World [1967]</t>
  </si>
  <si>
    <t>5090984293:eng</t>
  </si>
  <si>
    <t>413702</t>
  </si>
  <si>
    <t>991002723679702656</t>
  </si>
  <si>
    <t>2268035410002656</t>
  </si>
  <si>
    <t>32285000307636</t>
  </si>
  <si>
    <t>893517663</t>
  </si>
  <si>
    <t>BL41 .W335 1988</t>
  </si>
  <si>
    <t>0                      BL 0041000W  335         1988</t>
  </si>
  <si>
    <t>Introduction to the history of religions / Joachim Wach ; edited by Joseph M. Kitagawa and Gregory D. Alles, with the collaboration of Karl W. Luckert.</t>
  </si>
  <si>
    <t>New York : Macmillan ; London : Collier Macmillan, c1988.</t>
  </si>
  <si>
    <t>1990-01-15</t>
  </si>
  <si>
    <t>11874266:eng</t>
  </si>
  <si>
    <t>16353125</t>
  </si>
  <si>
    <t>991001101059702656</t>
  </si>
  <si>
    <t>2256519700002656</t>
  </si>
  <si>
    <t>9780029335307</t>
  </si>
  <si>
    <t>32285000028323</t>
  </si>
  <si>
    <t>893784813</t>
  </si>
  <si>
    <t>BL41 .W5 1982</t>
  </si>
  <si>
    <t>0                      BL 0041000W  5           1982</t>
  </si>
  <si>
    <t>Research guide to religious studies / John F. Wilson and Thomas P. Slavens.</t>
  </si>
  <si>
    <t>Wilson, John F. (John Frederick)</t>
  </si>
  <si>
    <t>Chicago : American Library Association, 1982.</t>
  </si>
  <si>
    <t>Sources of information in the humanities ; no. 1</t>
  </si>
  <si>
    <t>1997-07-01</t>
  </si>
  <si>
    <t>503900:eng</t>
  </si>
  <si>
    <t>8133395</t>
  </si>
  <si>
    <t>991005208419702656</t>
  </si>
  <si>
    <t>2265362440002656</t>
  </si>
  <si>
    <t>9780838903308</t>
  </si>
  <si>
    <t>32285002402641</t>
  </si>
  <si>
    <t>893533366</t>
  </si>
  <si>
    <t>BL410 .C68 1985</t>
  </si>
  <si>
    <t>0                      BL 0410000C  68          1985</t>
  </si>
  <si>
    <t>Pluralism : challenge to world religions / Harold Coward.</t>
  </si>
  <si>
    <t>Coward, Harold G.</t>
  </si>
  <si>
    <t>Maryknoll, N.Y. : Orbis Books, c1985.</t>
  </si>
  <si>
    <t>2001-11-17</t>
  </si>
  <si>
    <t>1990-05-03</t>
  </si>
  <si>
    <t>3348996:eng</t>
  </si>
  <si>
    <t>10923567</t>
  </si>
  <si>
    <t>991000458339702656</t>
  </si>
  <si>
    <t>2270095540002656</t>
  </si>
  <si>
    <t>9780883447109</t>
  </si>
  <si>
    <t>32285000147313</t>
  </si>
  <si>
    <t>893808689</t>
  </si>
  <si>
    <t>BL410 .D42 1990</t>
  </si>
  <si>
    <t>0                      BL 0410000D  42          1990</t>
  </si>
  <si>
    <t>Death or dialogue? : from the age of monologue to the age of dialogue / Leonard Swidler ... [et al.].</t>
  </si>
  <si>
    <t>Philadelphia : Trinity Press International ; London : SCM Press, 1990.</t>
  </si>
  <si>
    <t>2003-06-12</t>
  </si>
  <si>
    <t>1992-05-28</t>
  </si>
  <si>
    <t>836851263:eng</t>
  </si>
  <si>
    <t>21118784</t>
  </si>
  <si>
    <t>991001655039702656</t>
  </si>
  <si>
    <t>2261549050002656</t>
  </si>
  <si>
    <t>9780334024453</t>
  </si>
  <si>
    <t>32285001119253</t>
  </si>
  <si>
    <t>893785285</t>
  </si>
  <si>
    <t>BL42 .E39 1982</t>
  </si>
  <si>
    <t>0                      BL 0042000E  39          1982</t>
  </si>
  <si>
    <t>The foundations and practice of adult religious education / by John L. Elias.</t>
  </si>
  <si>
    <t>Elias, John L., 1933-</t>
  </si>
  <si>
    <t>Malabar, Fla. : R.E. Krieger Pub. Co., 1982.</t>
  </si>
  <si>
    <t>flu</t>
  </si>
  <si>
    <t>1995-11-03</t>
  </si>
  <si>
    <t>18265879:eng</t>
  </si>
  <si>
    <t>8280947</t>
  </si>
  <si>
    <t>991005225229702656</t>
  </si>
  <si>
    <t>2257605530002656</t>
  </si>
  <si>
    <t>9780898743395</t>
  </si>
  <si>
    <t>32285000307685</t>
  </si>
  <si>
    <t>893260763</t>
  </si>
  <si>
    <t>BL42 .H64</t>
  </si>
  <si>
    <t>0                      BL 0042000H  64</t>
  </si>
  <si>
    <t>Religious education and religious understanding : an introduction to the philosophy of religious education / Raymond Holley.</t>
  </si>
  <si>
    <t>Holley, Raymond.</t>
  </si>
  <si>
    <t>London ; Boston : Routledge &amp; K. Paul, 1978.</t>
  </si>
  <si>
    <t>1992-04-14</t>
  </si>
  <si>
    <t>905910151:eng</t>
  </si>
  <si>
    <t>4642123</t>
  </si>
  <si>
    <t>991004696769702656</t>
  </si>
  <si>
    <t>2258004810002656</t>
  </si>
  <si>
    <t>9780710089953</t>
  </si>
  <si>
    <t>32285000307693</t>
  </si>
  <si>
    <t>893260060</t>
  </si>
  <si>
    <t>BL42 .L56 1992</t>
  </si>
  <si>
    <t>0                      BL 0042000L  56          1992</t>
  </si>
  <si>
    <t>Functional images of the religious educator / Timothy Arthur Lines.</t>
  </si>
  <si>
    <t>Lines, Timothy Arthur.</t>
  </si>
  <si>
    <t>Birmingham, Ala. : Religious Education Press, 1992.</t>
  </si>
  <si>
    <t>1996-05-30</t>
  </si>
  <si>
    <t>1992-12-11</t>
  </si>
  <si>
    <t>28607643:eng</t>
  </si>
  <si>
    <t>26401971</t>
  </si>
  <si>
    <t>991002065149702656</t>
  </si>
  <si>
    <t>2265326540002656</t>
  </si>
  <si>
    <t>32285001464287</t>
  </si>
  <si>
    <t>893529491</t>
  </si>
  <si>
    <t>BL42 .M67 1981</t>
  </si>
  <si>
    <t>0                      BL 0042000M  67          1981</t>
  </si>
  <si>
    <t>Interplay : a theory of religion and education / Gabriel Moran.</t>
  </si>
  <si>
    <t>Moran, Gabriel.</t>
  </si>
  <si>
    <t>Winona, Minn. : Saint Mary's Press, Christian Brothers Publications, c1981.</t>
  </si>
  <si>
    <t>mnu</t>
  </si>
  <si>
    <t>1996-09-12</t>
  </si>
  <si>
    <t>545375:eng</t>
  </si>
  <si>
    <t>7871496</t>
  </si>
  <si>
    <t>991005171019702656</t>
  </si>
  <si>
    <t>2265580260002656</t>
  </si>
  <si>
    <t>9780884891253</t>
  </si>
  <si>
    <t>32285000307701</t>
  </si>
  <si>
    <t>893902240</t>
  </si>
  <si>
    <t>BL42 .W53 1991</t>
  </si>
  <si>
    <t>0                      BL 0042000W  53          1991</t>
  </si>
  <si>
    <t>Models of adult religious education practice / R.E.Y. Wickett.</t>
  </si>
  <si>
    <t>Wickett, R. E. Y.</t>
  </si>
  <si>
    <t>Birmingham, Ala. : Religious Education Press, 1991.</t>
  </si>
  <si>
    <t>alu</t>
  </si>
  <si>
    <t>1992-05-12</t>
  </si>
  <si>
    <t>1992-03-17</t>
  </si>
  <si>
    <t>24973609:eng</t>
  </si>
  <si>
    <t>24629118</t>
  </si>
  <si>
    <t>991001948709702656</t>
  </si>
  <si>
    <t>2258319700002656</t>
  </si>
  <si>
    <t>9780891350835</t>
  </si>
  <si>
    <t>32285001000453</t>
  </si>
  <si>
    <t>893785546</t>
  </si>
  <si>
    <t>BL425 .S6 1966</t>
  </si>
  <si>
    <t>0                      BL 0425000S  6           1966</t>
  </si>
  <si>
    <t>World religions : a dialogue / Ninian Smart.</t>
  </si>
  <si>
    <t>Smart, Ninian, 1927-2001.</t>
  </si>
  <si>
    <t>Harmondsworth : Penguin, c1960, 1966 printing.</t>
  </si>
  <si>
    <t>Pelican books ; A786</t>
  </si>
  <si>
    <t>2002-07-07</t>
  </si>
  <si>
    <t>5584359641:eng</t>
  </si>
  <si>
    <t>263996</t>
  </si>
  <si>
    <t>991002078299702656</t>
  </si>
  <si>
    <t>2268671510002656</t>
  </si>
  <si>
    <t>32285000345446</t>
  </si>
  <si>
    <t>893238614</t>
  </si>
  <si>
    <t>BL43.E4 A315 v.1</t>
  </si>
  <si>
    <t>0                      BL 0043000E  4                  A  315                               v.1</t>
  </si>
  <si>
    <t>Journey east, journey west, 1907-1937 / Mircea Eliade ; translated from the Romanian by Mac Linscott Ricketts.</t>
  </si>
  <si>
    <t>San Francisco : Harper &amp; Row, c1981.</t>
  </si>
  <si>
    <t>Autobiography / Mircea Eliade ; v. 1</t>
  </si>
  <si>
    <t>1992-02-16</t>
  </si>
  <si>
    <t>49112419:eng</t>
  </si>
  <si>
    <t>7553748</t>
  </si>
  <si>
    <t>991005126249702656</t>
  </si>
  <si>
    <t>2265118790002656</t>
  </si>
  <si>
    <t>9780060621421</t>
  </si>
  <si>
    <t>32285000307750</t>
  </si>
  <si>
    <t>893260594</t>
  </si>
  <si>
    <t>BL43.E4 A315 v.2</t>
  </si>
  <si>
    <t>0                      BL 0043000E  4                  A  315                               v.2</t>
  </si>
  <si>
    <t>Exile's odyssey : 1937-1960 / Mircea Eliade ; translated from the Romanian by Mac Linscott Ricketts.</t>
  </si>
  <si>
    <t>Chicago : University of Chicago Press, 1988.</t>
  </si>
  <si>
    <t>Autobiography / Mircea Eliade ; v. 2</t>
  </si>
  <si>
    <t>1992-01-23</t>
  </si>
  <si>
    <t>1989-12-07</t>
  </si>
  <si>
    <t>1806868636:eng</t>
  </si>
  <si>
    <t>17550213</t>
  </si>
  <si>
    <t>991001235679702656</t>
  </si>
  <si>
    <t>2262079710002656</t>
  </si>
  <si>
    <t>9780226204116</t>
  </si>
  <si>
    <t>32285000017631</t>
  </si>
  <si>
    <t>893803467</t>
  </si>
  <si>
    <t>BL43.E4 A3213 1982</t>
  </si>
  <si>
    <t>0                      BL 0043000E  4                  A  3213        1982</t>
  </si>
  <si>
    <t>Ordeal by labyrinth : conversations with Claude-Henri Rocquet : with the essay on Brancusi and mythology / Mircea Eliade ; translated by Derek Coltman.</t>
  </si>
  <si>
    <t>Chicago : University of Chicago Press, 1982.</t>
  </si>
  <si>
    <t>49112431:eng</t>
  </si>
  <si>
    <t>8034806</t>
  </si>
  <si>
    <t>991005195399702656</t>
  </si>
  <si>
    <t>2269903230002656</t>
  </si>
  <si>
    <t>9780226203874</t>
  </si>
  <si>
    <t>32285000307768</t>
  </si>
  <si>
    <t>893628609</t>
  </si>
  <si>
    <t>BL43.E4 A34 1977</t>
  </si>
  <si>
    <t>0                      BL 0043000E  4                  A  34          1977</t>
  </si>
  <si>
    <t>No souvenirs : journal, 1957-1969 / Mircea Eliade ; translated from the French by Fred H. Johnson, Jr.</t>
  </si>
  <si>
    <t>New York : Harper &amp; Row, c1977.</t>
  </si>
  <si>
    <t>1992-02-06</t>
  </si>
  <si>
    <t>2908673884:eng</t>
  </si>
  <si>
    <t>2597489</t>
  </si>
  <si>
    <t>991004177559702656</t>
  </si>
  <si>
    <t>2268663660002656</t>
  </si>
  <si>
    <t>9780060621414</t>
  </si>
  <si>
    <t>32285000307776</t>
  </si>
  <si>
    <t>893331286</t>
  </si>
  <si>
    <t>BL430 .M83</t>
  </si>
  <si>
    <t>0                      BL 0430000M  83</t>
  </si>
  <si>
    <t>Physical religion : the Gifford lectures - delivered before the university of Glasgow in 1890 / by F. Max Müller.</t>
  </si>
  <si>
    <t>Müller, F. Max (Friedrich Max), 1823-1900.</t>
  </si>
  <si>
    <t>London ; New York : Longmans, Green 1891.</t>
  </si>
  <si>
    <t>1891</t>
  </si>
  <si>
    <t>Collected works of F. Max Ml̈ler</t>
  </si>
  <si>
    <t>1997-02-25</t>
  </si>
  <si>
    <t>3855363352:eng</t>
  </si>
  <si>
    <t>1410781</t>
  </si>
  <si>
    <t>991003743269702656</t>
  </si>
  <si>
    <t>2255595070002656</t>
  </si>
  <si>
    <t>32285000345453</t>
  </si>
  <si>
    <t>893775099</t>
  </si>
  <si>
    <t>BL430 .S43</t>
  </si>
  <si>
    <t>0                      BL 0430000S  43</t>
  </si>
  <si>
    <t>The origin and growth of religion : facts and theories / by W. Schmidt ; translated from the original German by H.J. Rose.</t>
  </si>
  <si>
    <t>Schmidt, Wilhelm, 1868-1954.</t>
  </si>
  <si>
    <t>New York : MacVeagh, 1931.</t>
  </si>
  <si>
    <t>1992-11-16</t>
  </si>
  <si>
    <t>9021243306:eng</t>
  </si>
  <si>
    <t>5363282</t>
  </si>
  <si>
    <t>991004827129702656</t>
  </si>
  <si>
    <t>2272294800002656</t>
  </si>
  <si>
    <t>32285000345461</t>
  </si>
  <si>
    <t>893694385</t>
  </si>
  <si>
    <t>BL438 .J6</t>
  </si>
  <si>
    <t>0                      BL 0438000J  6</t>
  </si>
  <si>
    <t>Outer space: myths, name meanings, calendars from the emergence of history to the present day, by Gertrude and James Jobes.</t>
  </si>
  <si>
    <t>Jobes, Gertrude.</t>
  </si>
  <si>
    <t>New York, Scarecrow Press, 1964.</t>
  </si>
  <si>
    <t>2009-10-28</t>
  </si>
  <si>
    <t>196547177:eng</t>
  </si>
  <si>
    <t>882705</t>
  </si>
  <si>
    <t>991003349809702656</t>
  </si>
  <si>
    <t>2260351070002656</t>
  </si>
  <si>
    <t>32285000345479</t>
  </si>
  <si>
    <t>893428712</t>
  </si>
  <si>
    <t>BL443.B8 C6 1973</t>
  </si>
  <si>
    <t>0                      BL 0443000B  8                  C  6           1973</t>
  </si>
  <si>
    <t>The horn and the sword; the history of the bull as symbol of power and fertility. With photographic illus. and drawings by James MacDonald.</t>
  </si>
  <si>
    <t>Conrad, Jack Randolph.</t>
  </si>
  <si>
    <t>Westport, Conn., Greenwood Press [1973, c1957]</t>
  </si>
  <si>
    <t>4921365730:eng</t>
  </si>
  <si>
    <t>508008</t>
  </si>
  <si>
    <t>991002885189702656</t>
  </si>
  <si>
    <t>2261099260002656</t>
  </si>
  <si>
    <t>9780837166049</t>
  </si>
  <si>
    <t>32285000345495</t>
  </si>
  <si>
    <t>893616713</t>
  </si>
  <si>
    <t>BL457.M4 E43 1978</t>
  </si>
  <si>
    <t>0                      BL 0457000M  4                  E  43          1978</t>
  </si>
  <si>
    <t>The forge and the crucible : the origins and structures of alchemy / Mircea Eliade ; translated from the French by Stephen Corrin.</t>
  </si>
  <si>
    <t>Chicago : University of Chicago Press, 1978.</t>
  </si>
  <si>
    <t>2000-04-19</t>
  </si>
  <si>
    <t>14427182:eng</t>
  </si>
  <si>
    <t>4873250</t>
  </si>
  <si>
    <t>991004739119702656</t>
  </si>
  <si>
    <t>2262068540002656</t>
  </si>
  <si>
    <t>9780226203904</t>
  </si>
  <si>
    <t>32285000345537</t>
  </si>
  <si>
    <t>893694259</t>
  </si>
  <si>
    <t>BL458 .B37 1986</t>
  </si>
  <si>
    <t>0                      BL 0458000B  37          1986</t>
  </si>
  <si>
    <t>Women in American religious history : an annotated bibliography and guide to sources / Dorothy C. Bass, Sandra Hughes Boyd.</t>
  </si>
  <si>
    <t>Bass, Dorothy C.</t>
  </si>
  <si>
    <t>Boston, Mass. : G.K. Hall, c1986.</t>
  </si>
  <si>
    <t>G.K. Hall women's studies publications</t>
  </si>
  <si>
    <t>2001-04-03</t>
  </si>
  <si>
    <t>199038178:eng</t>
  </si>
  <si>
    <t>14167987</t>
  </si>
  <si>
    <t>991002077299702656</t>
  </si>
  <si>
    <t>2271040780002656</t>
  </si>
  <si>
    <t>9780816181513</t>
  </si>
  <si>
    <t>32285003393211</t>
  </si>
  <si>
    <t>893609438</t>
  </si>
  <si>
    <t>BL458 .B49</t>
  </si>
  <si>
    <t>0                      BL 0458000B  49</t>
  </si>
  <si>
    <t>Beyond androcentrism : new essays on women and religion / edited by Rita M. Gross.</t>
  </si>
  <si>
    <t>Missoula, Mont. : Scholars Press for the American Academy of Religion, c1977.</t>
  </si>
  <si>
    <t>Aids for the study of religion ; no. 6</t>
  </si>
  <si>
    <t>2008-10-18</t>
  </si>
  <si>
    <t>806818894:eng</t>
  </si>
  <si>
    <t>3311698</t>
  </si>
  <si>
    <t>991004403559702656</t>
  </si>
  <si>
    <t>2271502660002656</t>
  </si>
  <si>
    <t>9780891301967</t>
  </si>
  <si>
    <t>32285000345545</t>
  </si>
  <si>
    <t>893869675</t>
  </si>
  <si>
    <t>BL458 .B78</t>
  </si>
  <si>
    <t>0                      BL 0458000B  78</t>
  </si>
  <si>
    <t>God as woman, woman as God [by] J. Edgar Bruns.</t>
  </si>
  <si>
    <t>Bruns, J. Edgar, 1923-</t>
  </si>
  <si>
    <t>New York, Paulist Press [1973]</t>
  </si>
  <si>
    <t>Paulist Press/Deus books</t>
  </si>
  <si>
    <t>1598458:eng</t>
  </si>
  <si>
    <t>700984</t>
  </si>
  <si>
    <t>991003162359702656</t>
  </si>
  <si>
    <t>2255426180002656</t>
  </si>
  <si>
    <t>9780809117710</t>
  </si>
  <si>
    <t>32285000345552</t>
  </si>
  <si>
    <t>893893437</t>
  </si>
  <si>
    <t>BL458 .C39 1986</t>
  </si>
  <si>
    <t>0                      BL 0458000C  39          1986</t>
  </si>
  <si>
    <t>Feminist spirituality and the feminine divine : an annotated bibliography / Anne Carson.</t>
  </si>
  <si>
    <t>Carson, Anne, 1950 December 16-</t>
  </si>
  <si>
    <t>Trumansburg, N.Y. : Crossing Press, c1986.</t>
  </si>
  <si>
    <t>The Crossing Press feminist series</t>
  </si>
  <si>
    <t>2010-04-03</t>
  </si>
  <si>
    <t>891669731:eng</t>
  </si>
  <si>
    <t>13270368</t>
  </si>
  <si>
    <t>991002057879702656</t>
  </si>
  <si>
    <t>2271888330002656</t>
  </si>
  <si>
    <t>9780895942005</t>
  </si>
  <si>
    <t>32285003393229</t>
  </si>
  <si>
    <t>893892077</t>
  </si>
  <si>
    <t>BL458 .G64 1979</t>
  </si>
  <si>
    <t>0                      BL 0458000G  64          1979</t>
  </si>
  <si>
    <t>Changing of the gods : feminism and the end of traditional religions / Naomi R. Goldenberg.</t>
  </si>
  <si>
    <t>Goldenberg, Naomi R.</t>
  </si>
  <si>
    <t>Boston : Beacon Press, c1979.</t>
  </si>
  <si>
    <t>1992-03-03</t>
  </si>
  <si>
    <t>463306:eng</t>
  </si>
  <si>
    <t>4495692</t>
  </si>
  <si>
    <t>991004657499702656</t>
  </si>
  <si>
    <t>2268102070002656</t>
  </si>
  <si>
    <t>9780807011102</t>
  </si>
  <si>
    <t>32285000345560</t>
  </si>
  <si>
    <t>893331868</t>
  </si>
  <si>
    <t>BL458 .O26</t>
  </si>
  <si>
    <t>0                      BL 0458000O  26</t>
  </si>
  <si>
    <t>The female experience and the nature of the divine / Judith Ochshorn.</t>
  </si>
  <si>
    <t>Ochshorn, Judith, 1928-</t>
  </si>
  <si>
    <t>Bloomington : Indiana University Press, c1981.</t>
  </si>
  <si>
    <t>25771574:eng</t>
  </si>
  <si>
    <t>7460225</t>
  </si>
  <si>
    <t>991005113629702656</t>
  </si>
  <si>
    <t>2264328530002656</t>
  </si>
  <si>
    <t>9780253318985</t>
  </si>
  <si>
    <t>32285000345594</t>
  </si>
  <si>
    <t>893443419</t>
  </si>
  <si>
    <t>BL470 .F72</t>
  </si>
  <si>
    <t>0                      BL 0470000F  72</t>
  </si>
  <si>
    <t>The fear of the dead in primitive religion.</t>
  </si>
  <si>
    <t>New York, Biblo and Tannen, 1966.</t>
  </si>
  <si>
    <t>Lectures delivered on the Wiliam Wyse Foundation at Trinity College, Cambridge, 1932-33.</t>
  </si>
  <si>
    <t>1990-10-09</t>
  </si>
  <si>
    <t>1316078:eng</t>
  </si>
  <si>
    <t>178191</t>
  </si>
  <si>
    <t>991001063789702656</t>
  </si>
  <si>
    <t>2264581240002656</t>
  </si>
  <si>
    <t>32285000345669</t>
  </si>
  <si>
    <t>893708958</t>
  </si>
  <si>
    <t>BL473 .B35 1983</t>
  </si>
  <si>
    <t>0                      BL 0473000B  35          1983</t>
  </si>
  <si>
    <t>The God-list in the treaty between Hannibal and Philip V of Macedonia : a study in light of the ancient near eastern treaty tradition / Michael L. Barré.</t>
  </si>
  <si>
    <t>Barré, Michael L.</t>
  </si>
  <si>
    <t>Baltimore : Johns Hopkins University Press, c1983.</t>
  </si>
  <si>
    <t>Johns Hopkins Near Eastern studies</t>
  </si>
  <si>
    <t>1996-10-27</t>
  </si>
  <si>
    <t>807375414:eng</t>
  </si>
  <si>
    <t>8667928</t>
  </si>
  <si>
    <t>991000044989702656</t>
  </si>
  <si>
    <t>2270225390002656</t>
  </si>
  <si>
    <t>9780801827877</t>
  </si>
  <si>
    <t>32285000345677</t>
  </si>
  <si>
    <t>893237026</t>
  </si>
  <si>
    <t>BL475.5 .M38 1988</t>
  </si>
  <si>
    <t>0                      BL 0475500M  38          1988</t>
  </si>
  <si>
    <t>Revelation in religious belief / George I. Mavrodes.</t>
  </si>
  <si>
    <t>Mavrodes, George I.</t>
  </si>
  <si>
    <t>Philadelphia : Temple University Press, 1988.</t>
  </si>
  <si>
    <t>1999-05-03</t>
  </si>
  <si>
    <t>1992-03-06</t>
  </si>
  <si>
    <t>13568704:eng</t>
  </si>
  <si>
    <t>16922516</t>
  </si>
  <si>
    <t>991001164879702656</t>
  </si>
  <si>
    <t>2271785830002656</t>
  </si>
  <si>
    <t>9780877225454</t>
  </si>
  <si>
    <t>32285000937556</t>
  </si>
  <si>
    <t>893334118</t>
  </si>
  <si>
    <t>BL477 .M52 1975</t>
  </si>
  <si>
    <t>0                      BL 0477000M  52          1975</t>
  </si>
  <si>
    <t>The earth spirit : its ways, shrines, and mysteries / John Michell.</t>
  </si>
  <si>
    <t>Michell, John, 1933-2009.</t>
  </si>
  <si>
    <t>New York : Crossroad, c1975.</t>
  </si>
  <si>
    <t>The Illustrated library of sacred imagination</t>
  </si>
  <si>
    <t>1996-08-30</t>
  </si>
  <si>
    <t>907995154:eng</t>
  </si>
  <si>
    <t>8012218</t>
  </si>
  <si>
    <t>991005192009702656</t>
  </si>
  <si>
    <t>2261355320002656</t>
  </si>
  <si>
    <t>32285000345719</t>
  </si>
  <si>
    <t>893501473</t>
  </si>
  <si>
    <t>BL48 .B3713 1989</t>
  </si>
  <si>
    <t>0                      BL 0048000B  3713        1989</t>
  </si>
  <si>
    <t>Theory of religion / Georges Bataille ; translated by Robert Hurley.</t>
  </si>
  <si>
    <t>Bataille, Georges, 1897-1962.</t>
  </si>
  <si>
    <t>New York : Zone Books, 1989.</t>
  </si>
  <si>
    <t>2008-01-31</t>
  </si>
  <si>
    <t>5090548466:eng</t>
  </si>
  <si>
    <t>18221741</t>
  </si>
  <si>
    <t>991001319899702656</t>
  </si>
  <si>
    <t>2260197300002656</t>
  </si>
  <si>
    <t>9780942299090</t>
  </si>
  <si>
    <t>32285000638998</t>
  </si>
  <si>
    <t>893803546</t>
  </si>
  <si>
    <t>BL48 .B56 1972</t>
  </si>
  <si>
    <t>0                      BL 0048000B  56          1972</t>
  </si>
  <si>
    <t>The future of religion.</t>
  </si>
  <si>
    <t>Bliss, Kathleen.</t>
  </si>
  <si>
    <t>[Harmondsworth, Middlesex] Penguin Books [1972, 1969]</t>
  </si>
  <si>
    <t>1996-04-23</t>
  </si>
  <si>
    <t>1990-09-24</t>
  </si>
  <si>
    <t>1245362:eng</t>
  </si>
  <si>
    <t>881050</t>
  </si>
  <si>
    <t>991003348849702656</t>
  </si>
  <si>
    <t>2261799740002656</t>
  </si>
  <si>
    <t>9780296348369</t>
  </si>
  <si>
    <t>32285000308683</t>
  </si>
  <si>
    <t>893698939</t>
  </si>
  <si>
    <t>BL48 .C325 1990</t>
  </si>
  <si>
    <t>0                      BL 0048000C  325         1990</t>
  </si>
  <si>
    <t>An open life / Joseph Campbell in conversation with Michael Toms ; foreword by Jean Erdman Campbell ; selected and edited by John M. Maher and Dennie Briggs.</t>
  </si>
  <si>
    <t>New York : Perennial Library, 1990.</t>
  </si>
  <si>
    <t>1st Perennial Library ed.</t>
  </si>
  <si>
    <t>1997-12-08</t>
  </si>
  <si>
    <t>1991-11-18</t>
  </si>
  <si>
    <t>950247256:eng</t>
  </si>
  <si>
    <t>19920594</t>
  </si>
  <si>
    <t>991001513479702656</t>
  </si>
  <si>
    <t>2269090280002656</t>
  </si>
  <si>
    <t>9780060972950</t>
  </si>
  <si>
    <t>32285000816529</t>
  </si>
  <si>
    <t>893509666</t>
  </si>
  <si>
    <t>BL48 .C5535 1993</t>
  </si>
  <si>
    <t>0                      BL 0048000C  5535        1993</t>
  </si>
  <si>
    <t>Religion defined and explained / Peter B. Clarke and Peter Byrne.</t>
  </si>
  <si>
    <t>Clarke, Peter B. (Peter Bernard)</t>
  </si>
  <si>
    <t>New York, N.Y. : St. Martin's Press, 1993.</t>
  </si>
  <si>
    <t>2006-03-28</t>
  </si>
  <si>
    <t>1994-01-14</t>
  </si>
  <si>
    <t>180799:eng</t>
  </si>
  <si>
    <t>27066321</t>
  </si>
  <si>
    <t>991002111229702656</t>
  </si>
  <si>
    <t>2256896860002656</t>
  </si>
  <si>
    <t>9780312094720</t>
  </si>
  <si>
    <t>32285001832160</t>
  </si>
  <si>
    <t>893792045</t>
  </si>
  <si>
    <t>BL48 .C554 1991</t>
  </si>
  <si>
    <t>0                      BL 0048000C  554         1991</t>
  </si>
  <si>
    <t>The myth of religious neutrality : an essay on the hidden role of religious belief in theories / Roy A. Clouser.</t>
  </si>
  <si>
    <t>Clouser, Roy A., 1937-</t>
  </si>
  <si>
    <t>Notre Dame, Ind. : University of Notre Dame Press, c1991.</t>
  </si>
  <si>
    <t>1993-09-08</t>
  </si>
  <si>
    <t>3059349:eng</t>
  </si>
  <si>
    <t>24375107</t>
  </si>
  <si>
    <t>991001929609702656</t>
  </si>
  <si>
    <t>2266694640002656</t>
  </si>
  <si>
    <t>9780268013905</t>
  </si>
  <si>
    <t>32285001119329</t>
  </si>
  <si>
    <t>893232389</t>
  </si>
  <si>
    <t>BL48 .C556</t>
  </si>
  <si>
    <t>0                      BL 0048000C  556</t>
  </si>
  <si>
    <t>Religion in a secular age; the search for final meaning. Pref. by Arnold Toynbee.</t>
  </si>
  <si>
    <t>Cogley, John.</t>
  </si>
  <si>
    <t>New York, Praeger [1968]</t>
  </si>
  <si>
    <t>Britannica perspective</t>
  </si>
  <si>
    <t>1994-09-20</t>
  </si>
  <si>
    <t>1241799:eng</t>
  </si>
  <si>
    <t>448821</t>
  </si>
  <si>
    <t>991002803879702656</t>
  </si>
  <si>
    <t>2266685120002656</t>
  </si>
  <si>
    <t>32285000308717</t>
  </si>
  <si>
    <t>893530492</t>
  </si>
  <si>
    <t>BL48 .C565 1978</t>
  </si>
  <si>
    <t>0                      BL 0048000C  565         1978</t>
  </si>
  <si>
    <t>Primitive religion / John J. Collins.</t>
  </si>
  <si>
    <t>Collins, John J. (John James), 1938-</t>
  </si>
  <si>
    <t>Totowa, N.J. : Littlefield, Adams, c1978.</t>
  </si>
  <si>
    <t>A Littlefield, Adams quality paperback ; 342</t>
  </si>
  <si>
    <t>2004-04-15</t>
  </si>
  <si>
    <t>12218543:eng</t>
  </si>
  <si>
    <t>3770759</t>
  </si>
  <si>
    <t>991004512109702656</t>
  </si>
  <si>
    <t>2260744570002656</t>
  </si>
  <si>
    <t>9780822603429</t>
  </si>
  <si>
    <t>32285000308725</t>
  </si>
  <si>
    <t>893700337</t>
  </si>
  <si>
    <t>BL48 .D3725 1974</t>
  </si>
  <si>
    <t>0                      BL 0048000D  3725        1974</t>
  </si>
  <si>
    <t>Temptations of religion.</t>
  </si>
  <si>
    <t>Davis, Charles, 1923-1999.</t>
  </si>
  <si>
    <t>New York, Harper &amp; Row [1974, c1973]</t>
  </si>
  <si>
    <t>[1st U.S. ed.]</t>
  </si>
  <si>
    <t>1993-10-25</t>
  </si>
  <si>
    <t>1636812:eng</t>
  </si>
  <si>
    <t>707230</t>
  </si>
  <si>
    <t>991003171439702656</t>
  </si>
  <si>
    <t>2269136760002656</t>
  </si>
  <si>
    <t>9780060617011</t>
  </si>
  <si>
    <t>32285000308733</t>
  </si>
  <si>
    <t>893698717</t>
  </si>
  <si>
    <t>BL48 .D78</t>
  </si>
  <si>
    <t>0                      BL 0048000D  78</t>
  </si>
  <si>
    <t>A philosophical scrutiny of religion.</t>
  </si>
  <si>
    <t>Ducasse, Curt John, 1881-1969.</t>
  </si>
  <si>
    <t>New York, Ronald Press Co. [1953]</t>
  </si>
  <si>
    <t>1995-11-29</t>
  </si>
  <si>
    <t>366893291:eng</t>
  </si>
  <si>
    <t>378521</t>
  </si>
  <si>
    <t>991002612819702656</t>
  </si>
  <si>
    <t>2264603310002656</t>
  </si>
  <si>
    <t>32285000308774</t>
  </si>
  <si>
    <t>893239277</t>
  </si>
  <si>
    <t>BL48 .D8</t>
  </si>
  <si>
    <t>0                      BL 0048000D  8</t>
  </si>
  <si>
    <t>Religion, its functions in human life; a study of religion from the point of view of psychology by Knight Dunlap.</t>
  </si>
  <si>
    <t>Dunlap, Knight, 1875-1949.</t>
  </si>
  <si>
    <t>New York, London, McGraw Hill, 1946.</t>
  </si>
  <si>
    <t>McGraw-Hill publications in psychology</t>
  </si>
  <si>
    <t>1993-09-10</t>
  </si>
  <si>
    <t>1235640:eng</t>
  </si>
  <si>
    <t>1149663</t>
  </si>
  <si>
    <t>991003573649702656</t>
  </si>
  <si>
    <t>2261770440002656</t>
  </si>
  <si>
    <t>32285000308782</t>
  </si>
  <si>
    <t>893623636</t>
  </si>
  <si>
    <t>BL48 .D84</t>
  </si>
  <si>
    <t>0                      BL 0048000D  84</t>
  </si>
  <si>
    <t>The other dimension; a search for the meaning of religious attitudes [by] Louis Dupré.</t>
  </si>
  <si>
    <t>Dupré, Louis K., 1925-</t>
  </si>
  <si>
    <t>Garden City, N.Y., Doubleday, 1972.</t>
  </si>
  <si>
    <t>2007-09-06</t>
  </si>
  <si>
    <t>2452539175:eng</t>
  </si>
  <si>
    <t>252061</t>
  </si>
  <si>
    <t>991001950639702656</t>
  </si>
  <si>
    <t>2270183530002656</t>
  </si>
  <si>
    <t>32285000308790</t>
  </si>
  <si>
    <t>893427036</t>
  </si>
  <si>
    <t>BL48 .E428 1988</t>
  </si>
  <si>
    <t>0                      BL 0048000E  428         1988</t>
  </si>
  <si>
    <t>The history and future of faith : religion past, present, and to come / Robert Ellwood.</t>
  </si>
  <si>
    <t>New York : Crossroad, 1988.</t>
  </si>
  <si>
    <t>2002-03-04</t>
  </si>
  <si>
    <t>1989-12-18</t>
  </si>
  <si>
    <t>15702141:eng</t>
  </si>
  <si>
    <t>17618848</t>
  </si>
  <si>
    <t>991001240539702656</t>
  </si>
  <si>
    <t>2258500800002656</t>
  </si>
  <si>
    <t>9780824508791</t>
  </si>
  <si>
    <t>32285000018787</t>
  </si>
  <si>
    <t>893340274</t>
  </si>
  <si>
    <t>BL48 .F75 1972</t>
  </si>
  <si>
    <t>0                      BL 0048000F  75          1972</t>
  </si>
  <si>
    <t>Touchstones of reality; existential trust and the community of peace [by] Maurice Friedman.</t>
  </si>
  <si>
    <t>Friedman, Maurice S.</t>
  </si>
  <si>
    <t>New York, Dutton, 1972.</t>
  </si>
  <si>
    <t>1993-04-03</t>
  </si>
  <si>
    <t>1383913:eng</t>
  </si>
  <si>
    <t>240712</t>
  </si>
  <si>
    <t>991001906559702656</t>
  </si>
  <si>
    <t>2272236610002656</t>
  </si>
  <si>
    <t>9780525221609</t>
  </si>
  <si>
    <t>32285000308840</t>
  </si>
  <si>
    <t>893872876</t>
  </si>
  <si>
    <t>BL48 .G635 1988</t>
  </si>
  <si>
    <t>0                      BL 0048000G  635         1988</t>
  </si>
  <si>
    <t>Ecstasy, ritual and alternate reality : religion in a pluralistic world / Felicitas D. Goodman.</t>
  </si>
  <si>
    <t>Goodman, Felicitas D.</t>
  </si>
  <si>
    <t>Bloomington : Indiana University Press, c1988.</t>
  </si>
  <si>
    <t>1990-04-11</t>
  </si>
  <si>
    <t>889755736:eng</t>
  </si>
  <si>
    <t>17479928</t>
  </si>
  <si>
    <t>991001222289702656</t>
  </si>
  <si>
    <t>2270928640002656</t>
  </si>
  <si>
    <t>9780253318992</t>
  </si>
  <si>
    <t>32285000094812</t>
  </si>
  <si>
    <t>893872384</t>
  </si>
  <si>
    <t>BL48 .I56 1978</t>
  </si>
  <si>
    <t>0                      BL 0048000I  56          1978</t>
  </si>
  <si>
    <t>Introduction to the study of religion / T. William Hall, general editor, with Ronald R. Cavanagh ; contributors, Alan L. Berger ... [et al.]. --</t>
  </si>
  <si>
    <t>New York : Harper &amp; Row, c1978.</t>
  </si>
  <si>
    <t>2001-12-01</t>
  </si>
  <si>
    <t>355482770:eng</t>
  </si>
  <si>
    <t>3893838</t>
  </si>
  <si>
    <t>991004541239702656</t>
  </si>
  <si>
    <t>2271906460002656</t>
  </si>
  <si>
    <t>9780060635725</t>
  </si>
  <si>
    <t>32285000308873</t>
  </si>
  <si>
    <t>893712744</t>
  </si>
  <si>
    <t>BL48 .I8 1970</t>
  </si>
  <si>
    <t>0                      BL 0048000I  8           1970</t>
  </si>
  <si>
    <t>The root of the matter; a study in the connections between religion, psychology, and education. With a foreword by Gerald Heard.</t>
  </si>
  <si>
    <t>Isherwood, Margaret.</t>
  </si>
  <si>
    <t>Westport, Conn., Greenwood Press [1970, c1954]</t>
  </si>
  <si>
    <t>1339956:eng</t>
  </si>
  <si>
    <t>251468</t>
  </si>
  <si>
    <t>991001949569702656</t>
  </si>
  <si>
    <t>2268731670002656</t>
  </si>
  <si>
    <t>9780837139623</t>
  </si>
  <si>
    <t>32285000308881</t>
  </si>
  <si>
    <t>893703490</t>
  </si>
  <si>
    <t>BL48 .L25 1972</t>
  </si>
  <si>
    <t>0                      BL 0048000L  25          1972</t>
  </si>
  <si>
    <t>The ghost dance: origins of religion.</t>
  </si>
  <si>
    <t>La Barre, Weston, 1911-1996.</t>
  </si>
  <si>
    <t>[New York, Dell Pub. Co., 1972]</t>
  </si>
  <si>
    <t>A Delta book</t>
  </si>
  <si>
    <t>2003-04-17</t>
  </si>
  <si>
    <t>918049916:eng</t>
  </si>
  <si>
    <t>978906</t>
  </si>
  <si>
    <t>991003442559702656</t>
  </si>
  <si>
    <t>2260504740002656</t>
  </si>
  <si>
    <t>9780440528425</t>
  </si>
  <si>
    <t>32285000308907</t>
  </si>
  <si>
    <t>893416376</t>
  </si>
  <si>
    <t>BL48 .L58 1986</t>
  </si>
  <si>
    <t>0                      BL 0048000L  58          1986</t>
  </si>
  <si>
    <t>Significations : signs, symbols, and images in the interpretation of religion / Charles H. Long.</t>
  </si>
  <si>
    <t>Long, Charles H.</t>
  </si>
  <si>
    <t>Philadelphia : Fortress Press, c1986.</t>
  </si>
  <si>
    <t>1998-10-05</t>
  </si>
  <si>
    <t>793898685:eng</t>
  </si>
  <si>
    <t>12974533</t>
  </si>
  <si>
    <t>991000762199702656</t>
  </si>
  <si>
    <t>2262515060002656</t>
  </si>
  <si>
    <t>9780800618926</t>
  </si>
  <si>
    <t>32285000308915</t>
  </si>
  <si>
    <t>893878332</t>
  </si>
  <si>
    <t>BL48 .N68 1978</t>
  </si>
  <si>
    <t>0                      BL 0048000N  68          1978</t>
  </si>
  <si>
    <t>Ascent of the mountain, flight of the dove : an invitation to religious studies / by Michael Novak.</t>
  </si>
  <si>
    <t>Novak, Michael.</t>
  </si>
  <si>
    <t>San Francisco : Harper &amp; Row, c1978.</t>
  </si>
  <si>
    <t>Rev. ed.</t>
  </si>
  <si>
    <t>2004-03-08</t>
  </si>
  <si>
    <t>1990-03-28</t>
  </si>
  <si>
    <t>1175239:eng</t>
  </si>
  <si>
    <t>4499359</t>
  </si>
  <si>
    <t>991004663789702656</t>
  </si>
  <si>
    <t>2262796090002656</t>
  </si>
  <si>
    <t>9780060663223</t>
  </si>
  <si>
    <t>32285000105089</t>
  </si>
  <si>
    <t>893507099</t>
  </si>
  <si>
    <t>BL48 .R23 1968</t>
  </si>
  <si>
    <t>0                      BL 0048000R  23          1968</t>
  </si>
  <si>
    <t>Recovery of faith.</t>
  </si>
  <si>
    <t>Radhakrishnan, S. (Sarvepalli), 1888-1975.</t>
  </si>
  <si>
    <t>New York, Greenwood Press, 1968 [c1955]</t>
  </si>
  <si>
    <t>World perspectives ; v. 4</t>
  </si>
  <si>
    <t>1997-03-05</t>
  </si>
  <si>
    <t>1990-09-25</t>
  </si>
  <si>
    <t>1476823:eng</t>
  </si>
  <si>
    <t>441923</t>
  </si>
  <si>
    <t>991002786759702656</t>
  </si>
  <si>
    <t>2255865280002656</t>
  </si>
  <si>
    <t>32285000308956</t>
  </si>
  <si>
    <t>893685777</t>
  </si>
  <si>
    <t>BL48 .S48 1992</t>
  </si>
  <si>
    <t>0                      BL 0048000S  48          1992</t>
  </si>
  <si>
    <t>Ordinarily sacred / Lynda Sexson.</t>
  </si>
  <si>
    <t>Sexson, Lynda.</t>
  </si>
  <si>
    <t>Charlottesville : University Press of Virginia, 1992.</t>
  </si>
  <si>
    <t>1st pbk. ed.</t>
  </si>
  <si>
    <t>Studies in religion and culture</t>
  </si>
  <si>
    <t>2007-05-22</t>
  </si>
  <si>
    <t>491170:eng</t>
  </si>
  <si>
    <t>25676072</t>
  </si>
  <si>
    <t>991005080999702656</t>
  </si>
  <si>
    <t>2269390590002656</t>
  </si>
  <si>
    <t>9780813914169</t>
  </si>
  <si>
    <t>32285005313654</t>
  </si>
  <si>
    <t>893260514</t>
  </si>
  <si>
    <t>BL48 .S592 1973b</t>
  </si>
  <si>
    <t>0                      BL 0048000S  592         1973b</t>
  </si>
  <si>
    <t>The phenomenon of religion [by] Ninian Smart.</t>
  </si>
  <si>
    <t>[New York] Herder and Herder [1973]</t>
  </si>
  <si>
    <t>1995-01-13</t>
  </si>
  <si>
    <t>141497542:eng</t>
  </si>
  <si>
    <t>600279</t>
  </si>
  <si>
    <t>991003038109702656</t>
  </si>
  <si>
    <t>2261099290002656</t>
  </si>
  <si>
    <t>9780070737938</t>
  </si>
  <si>
    <t>32285000309020</t>
  </si>
  <si>
    <t>893336069</t>
  </si>
  <si>
    <t>BL48 .S594</t>
  </si>
  <si>
    <t>0                      BL 0048000S  594</t>
  </si>
  <si>
    <t>Map is not territory : studies in the history of religions / by Jonathan Z. Smith.</t>
  </si>
  <si>
    <t>Smith, Jonathan Z.</t>
  </si>
  <si>
    <t>Studies in Judaism in late antiquity ; v. 23</t>
  </si>
  <si>
    <t>2005-02-13</t>
  </si>
  <si>
    <t>807292169:eng</t>
  </si>
  <si>
    <t>4277574</t>
  </si>
  <si>
    <t>991004695769702656</t>
  </si>
  <si>
    <t>2257213010002656</t>
  </si>
  <si>
    <t>9789004054929</t>
  </si>
  <si>
    <t>32285000309046</t>
  </si>
  <si>
    <t>893411846</t>
  </si>
  <si>
    <t>BL48 .T68</t>
  </si>
  <si>
    <t>0                      BL 0048000T  68</t>
  </si>
  <si>
    <t>An historian's approach to religion; based on Gifford lectures delivered in the University of Edinburgh in the years 1952 and 1953.</t>
  </si>
  <si>
    <t>Toynbee, Arnold, 1889-1975.</t>
  </si>
  <si>
    <t>New York, Oxford University Press, 1956.</t>
  </si>
  <si>
    <t>1956</t>
  </si>
  <si>
    <t>2007-03-14</t>
  </si>
  <si>
    <t>355182976:eng</t>
  </si>
  <si>
    <t>272766</t>
  </si>
  <si>
    <t>991002155579702656</t>
  </si>
  <si>
    <t>2262332070002656</t>
  </si>
  <si>
    <t>32285000309079</t>
  </si>
  <si>
    <t>893785783</t>
  </si>
  <si>
    <t>BL48 .W185</t>
  </si>
  <si>
    <t>0                      BL 0048000W  185</t>
  </si>
  <si>
    <t>Religion; an anthropological view, by Anthony F. C. Wallace.</t>
  </si>
  <si>
    <t>Wallace, Anthony F. C., 1923-</t>
  </si>
  <si>
    <t>New York, Random House [1966]</t>
  </si>
  <si>
    <t>2006-04-02</t>
  </si>
  <si>
    <t>287921350:eng</t>
  </si>
  <si>
    <t>1175604</t>
  </si>
  <si>
    <t>991003595379702656</t>
  </si>
  <si>
    <t>2271921670002656</t>
  </si>
  <si>
    <t>32285000309087</t>
  </si>
  <si>
    <t>893887648</t>
  </si>
  <si>
    <t>BL50 .B725</t>
  </si>
  <si>
    <t>0                      BL 0050000B  725</t>
  </si>
  <si>
    <t>The sense of God; sociological, anthropological, and psychological approaches to the origin of the sense of God.</t>
  </si>
  <si>
    <t>Bowker, John, 1935-</t>
  </si>
  <si>
    <t>Oxford, Clarendon P., 1973.</t>
  </si>
  <si>
    <t>1994-04-05</t>
  </si>
  <si>
    <t>231412961:eng</t>
  </si>
  <si>
    <t>801248</t>
  </si>
  <si>
    <t>991003277839702656</t>
  </si>
  <si>
    <t>2267500030002656</t>
  </si>
  <si>
    <t>9780198266327</t>
  </si>
  <si>
    <t>32285000309137</t>
  </si>
  <si>
    <t>893317829</t>
  </si>
  <si>
    <t>BL50 .E46</t>
  </si>
  <si>
    <t>0                      BL 0050000E  46</t>
  </si>
  <si>
    <t>The quest; history and meaning in religion.</t>
  </si>
  <si>
    <t>2003-05-27</t>
  </si>
  <si>
    <t>3943345539:eng</t>
  </si>
  <si>
    <t>23570</t>
  </si>
  <si>
    <t>991000056249702656</t>
  </si>
  <si>
    <t>2265532270002656</t>
  </si>
  <si>
    <t>32285000309152</t>
  </si>
  <si>
    <t>893790199</t>
  </si>
  <si>
    <t>BL50 .E96</t>
  </si>
  <si>
    <t>0                      BL 0050000E  96</t>
  </si>
  <si>
    <t>Ex orbe religionum. Studia Geo Widengren, XXIV mense apr. MCMLXXII quo die lustra tredecim feliciter explevit oblata ab collegis, discipulis, amicis, collegae magistro amico congratulantibus.</t>
  </si>
  <si>
    <t>Leiden, Brill, 1972.</t>
  </si>
  <si>
    <t>Studies in the history of religions; supplements to Numen, 21-22</t>
  </si>
  <si>
    <t>3373221957:lat</t>
  </si>
  <si>
    <t>576564</t>
  </si>
  <si>
    <t>991003009249702656</t>
  </si>
  <si>
    <t>2257570650002656</t>
  </si>
  <si>
    <t>32285000309160</t>
  </si>
  <si>
    <t>893233721</t>
  </si>
  <si>
    <t>32285000309178</t>
  </si>
  <si>
    <t>893262593</t>
  </si>
  <si>
    <t>BL50 .G83 1972</t>
  </si>
  <si>
    <t>0                      BL 0050000G  83          1972</t>
  </si>
  <si>
    <t>Dios, el ser, el misterio : ensayo / J. R. Guillent Pérez.</t>
  </si>
  <si>
    <t>Guillent Pérez, J. R.</t>
  </si>
  <si>
    <t>Caracas : Monte Avila, c1972, 1974.</t>
  </si>
  <si>
    <t>spa</t>
  </si>
  <si>
    <t xml:space="preserve">ve </t>
  </si>
  <si>
    <t>Colección Estudios</t>
  </si>
  <si>
    <t>2002-06-20</t>
  </si>
  <si>
    <t>3943543463:spa</t>
  </si>
  <si>
    <t>1918393</t>
  </si>
  <si>
    <t>991003829979702656</t>
  </si>
  <si>
    <t>2258849100002656</t>
  </si>
  <si>
    <t>32285004494281</t>
  </si>
  <si>
    <t>893234644</t>
  </si>
  <si>
    <t>BL50 .N39 1973</t>
  </si>
  <si>
    <t>0                      BL 0050000N  39          1973</t>
  </si>
  <si>
    <t>Religion for a new generation. [Edited by] Jacob Needleman, A. K. Bierman [and] James A. Gould.</t>
  </si>
  <si>
    <t>Needleman, Jacob compiler.</t>
  </si>
  <si>
    <t>New York, Macmillan [1973]</t>
  </si>
  <si>
    <t>1996-11-20</t>
  </si>
  <si>
    <t>1764315:eng</t>
  </si>
  <si>
    <t>588990</t>
  </si>
  <si>
    <t>991003024499702656</t>
  </si>
  <si>
    <t>2270038620002656</t>
  </si>
  <si>
    <t>32285000309244</t>
  </si>
  <si>
    <t>893262599</t>
  </si>
  <si>
    <t>BL50 .S578</t>
  </si>
  <si>
    <t>0                      BL 0050000S  578</t>
  </si>
  <si>
    <t>Imagining religion : from Babylonia to Jonestown / Jonathan Z. Smith.</t>
  </si>
  <si>
    <t>Chicago studies in the history of Judaism</t>
  </si>
  <si>
    <t>2005-11-14</t>
  </si>
  <si>
    <t>1990-03-20</t>
  </si>
  <si>
    <t>889684761:eng</t>
  </si>
  <si>
    <t>8282276</t>
  </si>
  <si>
    <t>991005225939702656</t>
  </si>
  <si>
    <t>2266612280002656</t>
  </si>
  <si>
    <t>9780226763583</t>
  </si>
  <si>
    <t>32285000086891</t>
  </si>
  <si>
    <t>893625660</t>
  </si>
  <si>
    <t>BL50 .S58 1976</t>
  </si>
  <si>
    <t>0                      BL 0050000S  58          1976</t>
  </si>
  <si>
    <t>Religious diversity : essays / by Wilfred Cantwell Smith ; edited by Willard G. Oxtoby.</t>
  </si>
  <si>
    <t>Smith, Wilfred Cantwell, 1916-2000.</t>
  </si>
  <si>
    <t>New York : Harper &amp; Row, c1976.</t>
  </si>
  <si>
    <t>A Harper forum book</t>
  </si>
  <si>
    <t>889945915:eng</t>
  </si>
  <si>
    <t>2346038</t>
  </si>
  <si>
    <t>991004091769702656</t>
  </si>
  <si>
    <t>2260855840002656</t>
  </si>
  <si>
    <t>9780060674632</t>
  </si>
  <si>
    <t>32285000309277</t>
  </si>
  <si>
    <t>893247144</t>
  </si>
  <si>
    <t>BL50 .W324</t>
  </si>
  <si>
    <t>0                      BL 0050000W  324</t>
  </si>
  <si>
    <t>Types of religious experience, Christian and non-Christian, by Joachim Wach.</t>
  </si>
  <si>
    <t>Chicago, University of Chicago Press [1951]</t>
  </si>
  <si>
    <t>1412743:eng</t>
  </si>
  <si>
    <t>374395</t>
  </si>
  <si>
    <t>991002573779702656</t>
  </si>
  <si>
    <t>2262311750002656</t>
  </si>
  <si>
    <t>32285000309285</t>
  </si>
  <si>
    <t>893710444</t>
  </si>
  <si>
    <t>BL501 .M45 1992</t>
  </si>
  <si>
    <t>0                      BL 0501000M  45          1992</t>
  </si>
  <si>
    <t>Vision and violence / Arthur P. Mendel.</t>
  </si>
  <si>
    <t>Mendel, Arthur P.</t>
  </si>
  <si>
    <t>Ann Arbor : University of Michigan Press, c1992.</t>
  </si>
  <si>
    <t>1996-04-17</t>
  </si>
  <si>
    <t>1995-12-27</t>
  </si>
  <si>
    <t>27647744:eng</t>
  </si>
  <si>
    <t>25552714</t>
  </si>
  <si>
    <t>991002010919702656</t>
  </si>
  <si>
    <t>2272518270002656</t>
  </si>
  <si>
    <t>9780472102754</t>
  </si>
  <si>
    <t>32285002112760</t>
  </si>
  <si>
    <t>893322469</t>
  </si>
  <si>
    <t>BL51 .B54</t>
  </si>
  <si>
    <t>0                      BL 0051000B  54</t>
  </si>
  <si>
    <t>Introduction to the philosophy of religion.</t>
  </si>
  <si>
    <t>Bertocci, Peter Anthony.</t>
  </si>
  <si>
    <t>New York, Prentice-Hall, 1951.</t>
  </si>
  <si>
    <t>Prentice-Hall philosophy series</t>
  </si>
  <si>
    <t>1997-08-05</t>
  </si>
  <si>
    <t>1401472:eng</t>
  </si>
  <si>
    <t>321221</t>
  </si>
  <si>
    <t>991002327519702656</t>
  </si>
  <si>
    <t>2256116060002656</t>
  </si>
  <si>
    <t>32285000309301</t>
  </si>
  <si>
    <t>893873375</t>
  </si>
  <si>
    <t>BL51 .B543</t>
  </si>
  <si>
    <t>0                      BL 0051000B  543</t>
  </si>
  <si>
    <t>Religion as creative insecurity.</t>
  </si>
  <si>
    <t>New York, Association Press [1958]</t>
  </si>
  <si>
    <t>1958</t>
  </si>
  <si>
    <t>1998-01-20</t>
  </si>
  <si>
    <t>500713:eng</t>
  </si>
  <si>
    <t>710655</t>
  </si>
  <si>
    <t>991003175479702656</t>
  </si>
  <si>
    <t>2262494610002656</t>
  </si>
  <si>
    <t>32285000309327</t>
  </si>
  <si>
    <t>893524504</t>
  </si>
  <si>
    <t>BL51 .B584</t>
  </si>
  <si>
    <t>0                      BL 0051000B  584</t>
  </si>
  <si>
    <t>The problem of religious knowledge; the impact of philosophical analysis on the question of religious knowledge.</t>
  </si>
  <si>
    <t>Blackstone, William T.</t>
  </si>
  <si>
    <t>Englewood Cliffs, N. J., Prentice-Hall [1963]</t>
  </si>
  <si>
    <t>A Spectrum book.</t>
  </si>
  <si>
    <t>2000-09-13</t>
  </si>
  <si>
    <t>198832086:eng</t>
  </si>
  <si>
    <t>222545</t>
  </si>
  <si>
    <t>991001365969702656</t>
  </si>
  <si>
    <t>2262205310002656</t>
  </si>
  <si>
    <t>32285000309350</t>
  </si>
  <si>
    <t>893414190</t>
  </si>
  <si>
    <t>BL51 .B683</t>
  </si>
  <si>
    <t>0                      BL 0051000B  683</t>
  </si>
  <si>
    <t>The seeing eye : hermeneutical phenomenology in the study of religion / Walter L. Brenneman, Jr., Stanley O. Yarian ; in association with Alan M. Olson.</t>
  </si>
  <si>
    <t>Brenneman, Walter L.</t>
  </si>
  <si>
    <t>University Park : Pennsylvania State University Press, c1982.</t>
  </si>
  <si>
    <t>2002-04-03</t>
  </si>
  <si>
    <t>836685966:eng</t>
  </si>
  <si>
    <t>8205032</t>
  </si>
  <si>
    <t>991005218309702656</t>
  </si>
  <si>
    <t>2259322640002656</t>
  </si>
  <si>
    <t>9780271002910</t>
  </si>
  <si>
    <t>32285000153634</t>
  </si>
  <si>
    <t>893533381</t>
  </si>
  <si>
    <t>BL51 .B689</t>
  </si>
  <si>
    <t>0                      BL 0051000B  689</t>
  </si>
  <si>
    <t>A philosophy of religion, by Edgar Sheffield Brightman...</t>
  </si>
  <si>
    <t>Brightman, Edgar Sheffield, 1884-1953.</t>
  </si>
  <si>
    <t>New York, Prentice-Hall, inc., c1940</t>
  </si>
  <si>
    <t>Prentice-Hall philosophy series; A. E. Murphy, PH.D., editor</t>
  </si>
  <si>
    <t>499678:eng</t>
  </si>
  <si>
    <t>303323</t>
  </si>
  <si>
    <t>991002258989702656</t>
  </si>
  <si>
    <t>2272625310002656</t>
  </si>
  <si>
    <t>32285000309384</t>
  </si>
  <si>
    <t>893609653</t>
  </si>
  <si>
    <t>BL51 .B76 1969</t>
  </si>
  <si>
    <t>0                      BL 0051000B  76          1969</t>
  </si>
  <si>
    <t>Approaches to the philosophy of religion; a book of readings, edited by Daniel Jay Bronstein and Harold M. Schulweis.</t>
  </si>
  <si>
    <t>Bronstein, Daniel J., 1908-, editor.</t>
  </si>
  <si>
    <t>Freeport, N.Y., Books for Libraries Press [1969, c1954]</t>
  </si>
  <si>
    <t>1996-03-05</t>
  </si>
  <si>
    <t>498286:eng</t>
  </si>
  <si>
    <t>51675</t>
  </si>
  <si>
    <t>991000125149702656</t>
  </si>
  <si>
    <t>2258552460002656</t>
  </si>
  <si>
    <t>9780836913446</t>
  </si>
  <si>
    <t>32285000309418</t>
  </si>
  <si>
    <t>893884137</t>
  </si>
  <si>
    <t>BL51 .B786</t>
  </si>
  <si>
    <t>0                      BL 0051000B  786</t>
  </si>
  <si>
    <t>The philosophy of religion from the standpoint of Protestant theology.</t>
  </si>
  <si>
    <t>Brunner, Emil, 1889-1966.</t>
  </si>
  <si>
    <t>London, James Clarke [1958]</t>
  </si>
  <si>
    <t>The International library of Christian knowledge</t>
  </si>
  <si>
    <t>2002-04-09</t>
  </si>
  <si>
    <t>1511312:eng</t>
  </si>
  <si>
    <t>386386</t>
  </si>
  <si>
    <t>991002648319702656</t>
  </si>
  <si>
    <t>2259420670002656</t>
  </si>
  <si>
    <t>32285000309426</t>
  </si>
  <si>
    <t>893804850</t>
  </si>
  <si>
    <t>BL51 .B84</t>
  </si>
  <si>
    <t>0                      BL 0051000B  84</t>
  </si>
  <si>
    <t>Alternative goals in religion; love, freedom, truth. With a foreword by W. Norris Clarke.</t>
  </si>
  <si>
    <t>Burch, George Bosworth, 1902-</t>
  </si>
  <si>
    <t>Montreal, McGill-Queen's University Press, 1972.</t>
  </si>
  <si>
    <t>quc</t>
  </si>
  <si>
    <t>891188075:eng</t>
  </si>
  <si>
    <t>631972</t>
  </si>
  <si>
    <t>991003079419702656</t>
  </si>
  <si>
    <t>2263175510002656</t>
  </si>
  <si>
    <t>9780773501225</t>
  </si>
  <si>
    <t>32285000309442</t>
  </si>
  <si>
    <t>893342224</t>
  </si>
  <si>
    <t>BL51 .B858</t>
  </si>
  <si>
    <t>0                      BL 0051000B  858</t>
  </si>
  <si>
    <t>Exercises in religious understanding [by] David B. Burrell.</t>
  </si>
  <si>
    <t>Burrell, David B.</t>
  </si>
  <si>
    <t>Notre Dame, University of Notre Dame Press [1974]</t>
  </si>
  <si>
    <t>1998-10-08</t>
  </si>
  <si>
    <t>1971669:eng</t>
  </si>
  <si>
    <t>1054148</t>
  </si>
  <si>
    <t>991003501569702656</t>
  </si>
  <si>
    <t>2269439840002656</t>
  </si>
  <si>
    <t>9780268005481</t>
  </si>
  <si>
    <t>32285000309459</t>
  </si>
  <si>
    <t>893234229</t>
  </si>
  <si>
    <t>BL51 .C23</t>
  </si>
  <si>
    <t>0                      BL 0051000C  23</t>
  </si>
  <si>
    <t>Philosophy of religion, edited by Steven M. Cahn.</t>
  </si>
  <si>
    <t>Cahn, Steven M. compiler.</t>
  </si>
  <si>
    <t>Sources in contemporary philosophy</t>
  </si>
  <si>
    <t>3857353874:eng</t>
  </si>
  <si>
    <t>80922</t>
  </si>
  <si>
    <t>991000498979702656</t>
  </si>
  <si>
    <t>2271697080002656</t>
  </si>
  <si>
    <t>32285000309541</t>
  </si>
  <si>
    <t>893865405</t>
  </si>
  <si>
    <t>BL51 .C49 1972b</t>
  </si>
  <si>
    <t>0                      BL 0051000C  49          1972b</t>
  </si>
  <si>
    <t>Philosophy of religion: the historic approaches [by] M. J. Charlesworth.</t>
  </si>
  <si>
    <t>Charlesworth, M. J. (Maxwell John), 1925-2014.</t>
  </si>
  <si>
    <t>[New York] Herder and Herder [1972]</t>
  </si>
  <si>
    <t>2004-11-22</t>
  </si>
  <si>
    <t>1447892:eng</t>
  </si>
  <si>
    <t>334315</t>
  </si>
  <si>
    <t>991002394989702656</t>
  </si>
  <si>
    <t>2257341450002656</t>
  </si>
  <si>
    <t>32285000309574</t>
  </si>
  <si>
    <t>893529924</t>
  </si>
  <si>
    <t>BL51 .C62</t>
  </si>
  <si>
    <t>0                      BL 0051000C  62</t>
  </si>
  <si>
    <t>The emergence of philosophy of religion, by James Collins.</t>
  </si>
  <si>
    <t>Collins, James, 1917-1985.</t>
  </si>
  <si>
    <t>New Haven, Yale University Press, 1967.</t>
  </si>
  <si>
    <t>St. Thomas More lectures ; 1963</t>
  </si>
  <si>
    <t>2000-04-18</t>
  </si>
  <si>
    <t>1375220:eng</t>
  </si>
  <si>
    <t>312381</t>
  </si>
  <si>
    <t>991002288709702656</t>
  </si>
  <si>
    <t>2271076900002656</t>
  </si>
  <si>
    <t>32285000309590</t>
  </si>
  <si>
    <t>893627055</t>
  </si>
  <si>
    <t>BL51 .C635 1970</t>
  </si>
  <si>
    <t>0                      BL 0051000C  635         1970</t>
  </si>
  <si>
    <t>Truth and dialogue in world religions: conflicting truth-claims. Edited by John Hick.</t>
  </si>
  <si>
    <t>Conference on the Philosophy of Religion (1970 : University of Birmingham)</t>
  </si>
  <si>
    <t>Philadelphia, The Westminster Press [1974]</t>
  </si>
  <si>
    <t>1999-11-16</t>
  </si>
  <si>
    <t>1885322:eng</t>
  </si>
  <si>
    <t>897908</t>
  </si>
  <si>
    <t>991003362009702656</t>
  </si>
  <si>
    <t>2257315720002656</t>
  </si>
  <si>
    <t>9780664207137</t>
  </si>
  <si>
    <t>32285000147263</t>
  </si>
  <si>
    <t>893598524</t>
  </si>
  <si>
    <t>BL51 .C66</t>
  </si>
  <si>
    <t>0                      BL 0051000C  66</t>
  </si>
  <si>
    <t>Religion and philosophy / Frederick C. Copleston.</t>
  </si>
  <si>
    <t>Copleston, Frederick C. (Frederick Charles), 1907-1994.</t>
  </si>
  <si>
    <t>New York : Barnes &amp; Noble, 1974.</t>
  </si>
  <si>
    <t>764611382:eng</t>
  </si>
  <si>
    <t>1093171</t>
  </si>
  <si>
    <t>991003529599702656</t>
  </si>
  <si>
    <t>2264754280002656</t>
  </si>
  <si>
    <t>9780064912822</t>
  </si>
  <si>
    <t>32285000309608</t>
  </si>
  <si>
    <t>893881260</t>
  </si>
  <si>
    <t>BL51 .D417</t>
  </si>
  <si>
    <t>0                      BL 0051000D  417</t>
  </si>
  <si>
    <t>The foundations of belief.</t>
  </si>
  <si>
    <t>Dewart, Leslie.</t>
  </si>
  <si>
    <t>[New York] Herder and Herder [1969]</t>
  </si>
  <si>
    <t>1997-08-12</t>
  </si>
  <si>
    <t>2999343784:eng</t>
  </si>
  <si>
    <t>5940</t>
  </si>
  <si>
    <t>991005438309702656</t>
  </si>
  <si>
    <t>2264697170002656</t>
  </si>
  <si>
    <t>32285000309632</t>
  </si>
  <si>
    <t>893263851</t>
  </si>
  <si>
    <t>BL51 .D49 1968</t>
  </si>
  <si>
    <t>0                      BL 0051000D  49          1968</t>
  </si>
  <si>
    <t>The religious revolt against reason, by L. Harold DeWolf.</t>
  </si>
  <si>
    <t>DeWolf, L. Harold (Lotan Harold), 1905-1986.</t>
  </si>
  <si>
    <t>New York, Greenwood Press, 1968 [c1949]</t>
  </si>
  <si>
    <t>1994-11-13</t>
  </si>
  <si>
    <t>1573128:eng</t>
  </si>
  <si>
    <t>442896</t>
  </si>
  <si>
    <t>991002789509702656</t>
  </si>
  <si>
    <t>2266360710002656</t>
  </si>
  <si>
    <t>32285000309640</t>
  </si>
  <si>
    <t>893685780</t>
  </si>
  <si>
    <t>BL51 .D491</t>
  </si>
  <si>
    <t>0                      BL 0051000D  491</t>
  </si>
  <si>
    <t>The logic of God; theology and verification, edited by Malcolm L. Diamond and Thomas V. Litzenburg, Jr. Introd., The challenge of contemporary empiricism, by Malcolm L. Diamond.</t>
  </si>
  <si>
    <t>Diamond, Malcolm L. (Malcolm Luria), 1924-1997, compiler.</t>
  </si>
  <si>
    <t>Indianapolis, Bobbs-Merrill [1975]</t>
  </si>
  <si>
    <t>2057244:eng</t>
  </si>
  <si>
    <t>1138004</t>
  </si>
  <si>
    <t>991003565539702656</t>
  </si>
  <si>
    <t>2270100960002656</t>
  </si>
  <si>
    <t>9780672607929</t>
  </si>
  <si>
    <t>32285000309657</t>
  </si>
  <si>
    <t>893524955</t>
  </si>
  <si>
    <t>BL51 .F39</t>
  </si>
  <si>
    <t>0                      BL 0051000F  39</t>
  </si>
  <si>
    <t>Religion in philosophical and cultural perspective; a new approach to the philosophy of religion through cross-disciplinary studies, ed. by J. Clayton Feaver and William Horosz.</t>
  </si>
  <si>
    <t>Feaver, J. Clayton (John Clayton), editor.</t>
  </si>
  <si>
    <t>Princeton, N.J., D. Van Nostrand [1967]</t>
  </si>
  <si>
    <t>2005-04-27</t>
  </si>
  <si>
    <t>22916316:eng</t>
  </si>
  <si>
    <t>6567091</t>
  </si>
  <si>
    <t>991003268659702656</t>
  </si>
  <si>
    <t>2263793200002656</t>
  </si>
  <si>
    <t>32285000309707</t>
  </si>
  <si>
    <t>893240039</t>
  </si>
  <si>
    <t>BL51 .F48</t>
  </si>
  <si>
    <t>0                      BL 0051000F  48</t>
  </si>
  <si>
    <t>Basic modern philosophy of religion.</t>
  </si>
  <si>
    <t>Ferré, Frederick.</t>
  </si>
  <si>
    <t>New York, Scribner [1967]</t>
  </si>
  <si>
    <t>2004-11-29</t>
  </si>
  <si>
    <t>1400691:eng</t>
  </si>
  <si>
    <t>320918</t>
  </si>
  <si>
    <t>991002326129702656</t>
  </si>
  <si>
    <t>2255898130002656</t>
  </si>
  <si>
    <t>32285000309715</t>
  </si>
  <si>
    <t>893510599</t>
  </si>
  <si>
    <t>BL51 .F68 1966</t>
  </si>
  <si>
    <t>0                      BL 0051000F  68          1966</t>
  </si>
  <si>
    <t>Philosophical understanding and religious truth / Erich Frank.</t>
  </si>
  <si>
    <t>Frank, Erich, 1883-1949.</t>
  </si>
  <si>
    <t>New York : Oxford University Press, 1966, c1945.</t>
  </si>
  <si>
    <t>A Galaxy book</t>
  </si>
  <si>
    <t>483626:eng</t>
  </si>
  <si>
    <t>4773421</t>
  </si>
  <si>
    <t>991004711939702656</t>
  </si>
  <si>
    <t>2255685250002656</t>
  </si>
  <si>
    <t>32285000309723</t>
  </si>
  <si>
    <t>893513573</t>
  </si>
  <si>
    <t>BL51 .G57 1970b</t>
  </si>
  <si>
    <t>0                      BL 0051000G  57          1970b</t>
  </si>
  <si>
    <t>Theism and empiricism, by A. Boyce Gibson.</t>
  </si>
  <si>
    <t>Gibson, A. Boyce (Alexander Boyce), 1900-1972.</t>
  </si>
  <si>
    <t>New York, Schocken Books [1970]</t>
  </si>
  <si>
    <t>2009-10-14</t>
  </si>
  <si>
    <t>1325003:eng</t>
  </si>
  <si>
    <t>97329</t>
  </si>
  <si>
    <t>991000597019702656</t>
  </si>
  <si>
    <t>2269859200002656</t>
  </si>
  <si>
    <t>9780805233575</t>
  </si>
  <si>
    <t>32285000309731</t>
  </si>
  <si>
    <t>893237437</t>
  </si>
  <si>
    <t>BL51 .G684 1996</t>
  </si>
  <si>
    <t>0                      BL 0051000G  684         1996</t>
  </si>
  <si>
    <t>God, philosophy, and academic culture : a discussion between scholars in the AAR and the APA / edited by William J. Wainwright.</t>
  </si>
  <si>
    <t>Atlanta, Ga. : Scholars Press, c1996.</t>
  </si>
  <si>
    <t>1996</t>
  </si>
  <si>
    <t>AAR reflection and theory in the study of religion ; no. 11</t>
  </si>
  <si>
    <t>2005-04-28</t>
  </si>
  <si>
    <t>1997-02-07</t>
  </si>
  <si>
    <t>1052094:eng</t>
  </si>
  <si>
    <t>35049591</t>
  </si>
  <si>
    <t>991002682689702656</t>
  </si>
  <si>
    <t>2271107350002656</t>
  </si>
  <si>
    <t>9780788503016</t>
  </si>
  <si>
    <t>32285002398773</t>
  </si>
  <si>
    <t>893798874</t>
  </si>
  <si>
    <t>BL51 .G69 1989</t>
  </si>
  <si>
    <t>0                      BL 0051000G  69          1989</t>
  </si>
  <si>
    <t>Religion, interpretation, and diversity of belief : the framework model from Kant to Durkheim to Davidson / Terry F. Godlove, Jr.</t>
  </si>
  <si>
    <t>Godlove, Terry F.</t>
  </si>
  <si>
    <t>Cambridge [England] ; New York : Cambridge University Press, 1989.</t>
  </si>
  <si>
    <t>1993-05-07</t>
  </si>
  <si>
    <t>836761494:eng</t>
  </si>
  <si>
    <t>18947562</t>
  </si>
  <si>
    <t>991001414689702656</t>
  </si>
  <si>
    <t>2269616430002656</t>
  </si>
  <si>
    <t>9780521361798</t>
  </si>
  <si>
    <t>32285000937655</t>
  </si>
  <si>
    <t>893244122</t>
  </si>
  <si>
    <t>BL51 .G712</t>
  </si>
  <si>
    <t>0                      BL 0051000G  712</t>
  </si>
  <si>
    <t>An introduction to the philosophy of religion [by] J. L. Goodall.</t>
  </si>
  <si>
    <t>Goodall, J. L.</t>
  </si>
  <si>
    <t>London, Longmans, 1966.</t>
  </si>
  <si>
    <t>Education today</t>
  </si>
  <si>
    <t>1644514:eng</t>
  </si>
  <si>
    <t>610832</t>
  </si>
  <si>
    <t>991003051139702656</t>
  </si>
  <si>
    <t>2265495540002656</t>
  </si>
  <si>
    <t>32285000309756</t>
  </si>
  <si>
    <t>893535323</t>
  </si>
  <si>
    <t>BL51 .G743</t>
  </si>
  <si>
    <t>0                      BL 0051000G  743</t>
  </si>
  <si>
    <t>Beyond the new theism : a philosophy of religion / Germain Grisez.</t>
  </si>
  <si>
    <t>Grisez, Germain Gabriel, 1929-2018.</t>
  </si>
  <si>
    <t>Notre Dame [Ind.] : University of Notre Dame Press, [1975]</t>
  </si>
  <si>
    <t>430478:eng</t>
  </si>
  <si>
    <t>1217484</t>
  </si>
  <si>
    <t>991003626749702656</t>
  </si>
  <si>
    <t>2272308950002656</t>
  </si>
  <si>
    <t>9780268005672</t>
  </si>
  <si>
    <t>32285000309772</t>
  </si>
  <si>
    <t>893342778</t>
  </si>
  <si>
    <t>BL51 .H469 1975</t>
  </si>
  <si>
    <t>0                      BL 0051000H  469         1975</t>
  </si>
  <si>
    <t>Four existentialist theologians : a reader from the works of Jacques Maritain, Nicolas Berdyaev, Martin Buber, and Paul Tillich / selected and with an introd. and biographical notes by Will Herberg.</t>
  </si>
  <si>
    <t>Herberg, Will editor.</t>
  </si>
  <si>
    <t>Westport, Conn. : Greenwood Press, 1975, c1958.</t>
  </si>
  <si>
    <t>892459948:eng</t>
  </si>
  <si>
    <t>1530670</t>
  </si>
  <si>
    <t>991003805979702656</t>
  </si>
  <si>
    <t>2269695630002656</t>
  </si>
  <si>
    <t>9780837183039</t>
  </si>
  <si>
    <t>32285000309822</t>
  </si>
  <si>
    <t>893711823</t>
  </si>
  <si>
    <t>BL51 .H593</t>
  </si>
  <si>
    <t>0                      BL 0051000H  593</t>
  </si>
  <si>
    <t>Philosophy of religion.</t>
  </si>
  <si>
    <t>Hick, John, 1922-2012.</t>
  </si>
  <si>
    <t>Englewood Cliffs, N.J., Prentice-Hall [1963]</t>
  </si>
  <si>
    <t>Prentice-Hall foundations of philosophy series</t>
  </si>
  <si>
    <t>2006-11-20</t>
  </si>
  <si>
    <t>138395765:eng</t>
  </si>
  <si>
    <t>381236</t>
  </si>
  <si>
    <t>991002623249702656</t>
  </si>
  <si>
    <t>2261525380002656</t>
  </si>
  <si>
    <t>32285000309871</t>
  </si>
  <si>
    <t>893329324</t>
  </si>
  <si>
    <t>BL51 .H6</t>
  </si>
  <si>
    <t>0                      BL 0051000H  6</t>
  </si>
  <si>
    <t>The meaning of God in human experience; a philosophic study of religion, by William Ernest Hocking...</t>
  </si>
  <si>
    <t>Hocking, William Ernest, 1873-1966.</t>
  </si>
  <si>
    <t>New Haven, Yale university press; [etc., etc.] 1912.</t>
  </si>
  <si>
    <t>1912</t>
  </si>
  <si>
    <t>1996-11-25</t>
  </si>
  <si>
    <t>1343706:eng</t>
  </si>
  <si>
    <t>188923</t>
  </si>
  <si>
    <t>991002259039702656</t>
  </si>
  <si>
    <t>2272650500002656</t>
  </si>
  <si>
    <t>32285000309897</t>
  </si>
  <si>
    <t>893879672</t>
  </si>
  <si>
    <t>BL51 .H89 1974a</t>
  </si>
  <si>
    <t>0                      BL 0051000H  89          1974a</t>
  </si>
  <si>
    <t>A philosophical approach to religion [by] W. Donald Hudson.</t>
  </si>
  <si>
    <t>Hudson, W. D. (William Donald)</t>
  </si>
  <si>
    <t>New York, Barnes &amp; Noble [1974]</t>
  </si>
  <si>
    <t>375640000:eng</t>
  </si>
  <si>
    <t>1053426</t>
  </si>
  <si>
    <t>991003500649702656</t>
  </si>
  <si>
    <t>2270756440002656</t>
  </si>
  <si>
    <t>32285000309913</t>
  </si>
  <si>
    <t>893240273</t>
  </si>
  <si>
    <t>BL51 .J853 1960</t>
  </si>
  <si>
    <t>0                      BL 0051000J  853         1960</t>
  </si>
  <si>
    <t>Answer to Job / C.G. Jung. Translated by R.F.C. Hull.</t>
  </si>
  <si>
    <t>New York : Meridian Books, 1960, c1954, 1967 printing.</t>
  </si>
  <si>
    <t>Meridian books ; M86</t>
  </si>
  <si>
    <t>2010-03-30</t>
  </si>
  <si>
    <t>1134193815:eng</t>
  </si>
  <si>
    <t>2376772</t>
  </si>
  <si>
    <t>991004104099702656</t>
  </si>
  <si>
    <t>2259162230002656</t>
  </si>
  <si>
    <t>32285000309947</t>
  </si>
  <si>
    <t>893693521</t>
  </si>
  <si>
    <t>BL51 .K416</t>
  </si>
  <si>
    <t>0                      BL 0051000K  416</t>
  </si>
  <si>
    <t>Religious discovery, faith, and knowledge.</t>
  </si>
  <si>
    <t>Kellenberger, James.</t>
  </si>
  <si>
    <t>Englewood Cliffs, N.J., Prentice-Hall [1972]</t>
  </si>
  <si>
    <t>1992-09-20</t>
  </si>
  <si>
    <t>1456857:eng</t>
  </si>
  <si>
    <t>286886</t>
  </si>
  <si>
    <t>991002208029702656</t>
  </si>
  <si>
    <t>2260885470002656</t>
  </si>
  <si>
    <t>9780137732197</t>
  </si>
  <si>
    <t>32285000309954</t>
  </si>
  <si>
    <t>893238770</t>
  </si>
  <si>
    <t>BL51 .K487 1962</t>
  </si>
  <si>
    <t>0                      BL 0051000K  487         1962</t>
  </si>
  <si>
    <t>Philosophical fragments; or, A fragment of philosophy, by Johannes Climacus [pseud.] ... Responsible for publication: S. Kierkegaard. Originally translated and introduced by David F. Swenson. New introd. and commentary by Niels Thulstrup. Translation rev. and commentary translated by Howard V. Hong.</t>
  </si>
  <si>
    <t>Kierkegaard, Søren, 1813-1855.</t>
  </si>
  <si>
    <t>Princeton, N.J., Princeton University Press, 1962, 1966 printing.</t>
  </si>
  <si>
    <t>[2d ed.]</t>
  </si>
  <si>
    <t>2009-04-26</t>
  </si>
  <si>
    <t>2044546893:eng</t>
  </si>
  <si>
    <t>382821</t>
  </si>
  <si>
    <t>991002637179702656</t>
  </si>
  <si>
    <t>2260323270002656</t>
  </si>
  <si>
    <t>32285000309962</t>
  </si>
  <si>
    <t>893317063</t>
  </si>
  <si>
    <t>BL51 .K498</t>
  </si>
  <si>
    <t>0                      BL 0051000K  498</t>
  </si>
  <si>
    <t>Faith and the life of reason. By John King-Farlow and William Niels Christensen.</t>
  </si>
  <si>
    <t>King-Farlow, John.</t>
  </si>
  <si>
    <t>Dordrecht, Reidel, [1973]</t>
  </si>
  <si>
    <t>1993-04-06</t>
  </si>
  <si>
    <t>567530:eng</t>
  </si>
  <si>
    <t>613633</t>
  </si>
  <si>
    <t>991003054839702656</t>
  </si>
  <si>
    <t>2268311470002656</t>
  </si>
  <si>
    <t>9789027702753</t>
  </si>
  <si>
    <t>32285000309996</t>
  </si>
  <si>
    <t>893348293</t>
  </si>
  <si>
    <t>BL51 .K64</t>
  </si>
  <si>
    <t>0                      BL 0051000K  64</t>
  </si>
  <si>
    <t>Religion : if there is no God-- on God, the Devil, sin, and other worries of the so-called philosophy of religion / Leszek Kolakowski.</t>
  </si>
  <si>
    <t>Kołakowski, Leszek.</t>
  </si>
  <si>
    <t>New York : Oxford University Press, 1982.</t>
  </si>
  <si>
    <t>2008-04-30</t>
  </si>
  <si>
    <t>5623548784:eng</t>
  </si>
  <si>
    <t>9194110</t>
  </si>
  <si>
    <t>991005238539702656</t>
  </si>
  <si>
    <t>2263610700002656</t>
  </si>
  <si>
    <t>32285000320092</t>
  </si>
  <si>
    <t>893707507</t>
  </si>
  <si>
    <t>BL51 .K683</t>
  </si>
  <si>
    <t>0                      BL 0051000K  683</t>
  </si>
  <si>
    <t>The meaning of religion, by the late W. Brede Kristensen. With an introduction by Hendrik Kraemer. Translated by John B. Carman.</t>
  </si>
  <si>
    <t>Kristensen, W. Brede (William Brede), 1867-1953.</t>
  </si>
  <si>
    <t>The Hague, M. Nijhoff, 1960.</t>
  </si>
  <si>
    <t>1996-02-27</t>
  </si>
  <si>
    <t>1400736:eng</t>
  </si>
  <si>
    <t>246323</t>
  </si>
  <si>
    <t>991001925439702656</t>
  </si>
  <si>
    <t>2257289650002656</t>
  </si>
  <si>
    <t>32285000320027</t>
  </si>
  <si>
    <t>893684767</t>
  </si>
  <si>
    <t>BL51 .L39</t>
  </si>
  <si>
    <t>0                      BL 0051000L  39</t>
  </si>
  <si>
    <t>Raid on the inarticulate : an invitation to adult religion / Michael G. Lawler.</t>
  </si>
  <si>
    <t>Lawler, Michael G.</t>
  </si>
  <si>
    <t>Lanham, Md. : University Press of America, 1980.</t>
  </si>
  <si>
    <t>2005-01-21</t>
  </si>
  <si>
    <t>26358363:eng</t>
  </si>
  <si>
    <t>7134786</t>
  </si>
  <si>
    <t>991005077049702656</t>
  </si>
  <si>
    <t>2267970910002656</t>
  </si>
  <si>
    <t>9780819111869</t>
  </si>
  <si>
    <t>32285000320035</t>
  </si>
  <si>
    <t>893700997</t>
  </si>
  <si>
    <t>BL51 .L468</t>
  </si>
  <si>
    <t>0                      BL 0051000L  468</t>
  </si>
  <si>
    <t>Philosophy of religion, by H. D. Lewis.</t>
  </si>
  <si>
    <t>Lewis, Hywel D., 1910-1992.</t>
  </si>
  <si>
    <t>London, English Universities Press [1965] 1972 prnting.</t>
  </si>
  <si>
    <t>The Teach yourself books</t>
  </si>
  <si>
    <t>2008-12-08</t>
  </si>
  <si>
    <t>1401997:eng</t>
  </si>
  <si>
    <t>321424</t>
  </si>
  <si>
    <t>991002328079702656</t>
  </si>
  <si>
    <t>2255920010002656</t>
  </si>
  <si>
    <t>32285000320084</t>
  </si>
  <si>
    <t>893615990</t>
  </si>
  <si>
    <t>BL51 .M2148</t>
  </si>
  <si>
    <t>0                      BL 0051000M  2148</t>
  </si>
  <si>
    <t>Philosophical issues in religious thought.</t>
  </si>
  <si>
    <t>MacGregor, Geddes.</t>
  </si>
  <si>
    <t>Boston, Houghton Mifflin [1972, c1973]</t>
  </si>
  <si>
    <t>1999-03-25</t>
  </si>
  <si>
    <t>1711760:eng</t>
  </si>
  <si>
    <t>577968</t>
  </si>
  <si>
    <t>991003011039702656</t>
  </si>
  <si>
    <t>2259509830002656</t>
  </si>
  <si>
    <t>9780395140451</t>
  </si>
  <si>
    <t>32285000320126</t>
  </si>
  <si>
    <t>893887035</t>
  </si>
  <si>
    <t>BL51 .M236</t>
  </si>
  <si>
    <t>0                      BL 0051000M  236</t>
  </si>
  <si>
    <t>Religion in contemporary thought [by] George F. McLean.</t>
  </si>
  <si>
    <t>McLean, George F.</t>
  </si>
  <si>
    <t>Staten Island, N.Y., Alba House [1973]</t>
  </si>
  <si>
    <t>1999-04-28</t>
  </si>
  <si>
    <t>1517994:eng</t>
  </si>
  <si>
    <t>388727</t>
  </si>
  <si>
    <t>991005253919702656</t>
  </si>
  <si>
    <t>2254911910002656</t>
  </si>
  <si>
    <t>9780818902567</t>
  </si>
  <si>
    <t>32285000320142</t>
  </si>
  <si>
    <t>893607081</t>
  </si>
  <si>
    <t>BL51 .M3</t>
  </si>
  <si>
    <t>0                      BL 0051000M  3</t>
  </si>
  <si>
    <t>The borderlands of theology.</t>
  </si>
  <si>
    <t>MacKinnon, Donald M. (Donald MacKenzie), 1913-1994.</t>
  </si>
  <si>
    <t>Cambridge [Eng.] University Press, 1961.</t>
  </si>
  <si>
    <t>1996-03-26</t>
  </si>
  <si>
    <t>375312844:eng</t>
  </si>
  <si>
    <t>377885</t>
  </si>
  <si>
    <t>991002611129702656</t>
  </si>
  <si>
    <t>2263086860002656</t>
  </si>
  <si>
    <t>32285000320159</t>
  </si>
  <si>
    <t>893329312</t>
  </si>
  <si>
    <t>BL51 .M343 1982</t>
  </si>
  <si>
    <t>0                      BL 0051000M  343         1982</t>
  </si>
  <si>
    <t>Creative fidelity / Gabriel Marcel ; translated and introd. by Robert Rosthal.</t>
  </si>
  <si>
    <t>Marcel, Gabriel, 1889-1973.</t>
  </si>
  <si>
    <t>New York : Crossroad Pr., 1982 ,c1964.</t>
  </si>
  <si>
    <t>1993-11-03</t>
  </si>
  <si>
    <t>1990-09-27</t>
  </si>
  <si>
    <t>1020590:eng</t>
  </si>
  <si>
    <t>8695375</t>
  </si>
  <si>
    <t>991000053539702656</t>
  </si>
  <si>
    <t>2264936790002656</t>
  </si>
  <si>
    <t>32285000322320</t>
  </si>
  <si>
    <t>893595220</t>
  </si>
  <si>
    <t>BL51 .M476</t>
  </si>
  <si>
    <t>0                      BL 0051000M  476</t>
  </si>
  <si>
    <t>Problems and perspectives in the philosophy of religion, edited by George I. Mavrodes [and] Stuart C. Hackett.</t>
  </si>
  <si>
    <t>Mavrodes, George I., compiler.</t>
  </si>
  <si>
    <t>Boston, Allyn and Bacon [1967]</t>
  </si>
  <si>
    <t>2002-04-14</t>
  </si>
  <si>
    <t>364447486:eng</t>
  </si>
  <si>
    <t>320963</t>
  </si>
  <si>
    <t>991002326289702656</t>
  </si>
  <si>
    <t>2255889670002656</t>
  </si>
  <si>
    <t>32285000320217</t>
  </si>
  <si>
    <t>893316687</t>
  </si>
  <si>
    <t>BL51 .M483 1982</t>
  </si>
  <si>
    <t>0                      BL 0051000M  483         1982</t>
  </si>
  <si>
    <t>Meaning, truth, and God / edited by Leroy S. Rouner.</t>
  </si>
  <si>
    <t>Notre Dame : University of Notre Dame Press, c1982.</t>
  </si>
  <si>
    <t>Boston University studies in philosophy and religion ; v. 3</t>
  </si>
  <si>
    <t>2006-11-22</t>
  </si>
  <si>
    <t>5219016239:eng</t>
  </si>
  <si>
    <t>8430301</t>
  </si>
  <si>
    <t>991005242029702656</t>
  </si>
  <si>
    <t>2261347020002656</t>
  </si>
  <si>
    <t>9780268013554</t>
  </si>
  <si>
    <t>32285000320225</t>
  </si>
  <si>
    <t>893533429</t>
  </si>
  <si>
    <t>BL51 .M654 1974</t>
  </si>
  <si>
    <t>0                      BL 0051000M  654         1974</t>
  </si>
  <si>
    <t>The justification of religious belief.</t>
  </si>
  <si>
    <t>Mitchell, Basil, 1917-2011.</t>
  </si>
  <si>
    <t>New York : Seabury Press, [1974]</t>
  </si>
  <si>
    <t>1990-09-26</t>
  </si>
  <si>
    <t>1678751:eng</t>
  </si>
  <si>
    <t>790269</t>
  </si>
  <si>
    <t>991003264419702656</t>
  </si>
  <si>
    <t>2264058240002656</t>
  </si>
  <si>
    <t>9780816411528</t>
  </si>
  <si>
    <t>32285000322189</t>
  </si>
  <si>
    <t>893793466</t>
  </si>
  <si>
    <t>BL51 .M87</t>
  </si>
  <si>
    <t>0                      BL 0051000M  87</t>
  </si>
  <si>
    <t>Reflective theology; philosophical orientations in religion, by Thomas N. Munson.</t>
  </si>
  <si>
    <t>Munson, Thomas N.</t>
  </si>
  <si>
    <t>New Haven, Yale University Press, 1968.</t>
  </si>
  <si>
    <t>2004-12-07</t>
  </si>
  <si>
    <t>147144733:eng</t>
  </si>
  <si>
    <t>320973</t>
  </si>
  <si>
    <t>991002326369702656</t>
  </si>
  <si>
    <t>2255874870002656</t>
  </si>
  <si>
    <t>32285000320274</t>
  </si>
  <si>
    <t>893415077</t>
  </si>
  <si>
    <t>BL51 .M93</t>
  </si>
  <si>
    <t>0                      BL 0051000M  93</t>
  </si>
  <si>
    <t>The sufficiency of hope : conceptual foundations of religion / James L. Muyskens.</t>
  </si>
  <si>
    <t>Muyskens, James L., 1942-</t>
  </si>
  <si>
    <t>Philadelphia : Temple University Press, [1979]</t>
  </si>
  <si>
    <t>Philosophical monographs</t>
  </si>
  <si>
    <t>2009-03-29</t>
  </si>
  <si>
    <t>366465466:eng</t>
  </si>
  <si>
    <t>5264393</t>
  </si>
  <si>
    <t>991004808289702656</t>
  </si>
  <si>
    <t>2258744860002656</t>
  </si>
  <si>
    <t>9780877221623</t>
  </si>
  <si>
    <t>32285000320282</t>
  </si>
  <si>
    <t>893260201</t>
  </si>
  <si>
    <t>BL51 .N316</t>
  </si>
  <si>
    <t>0                      BL 0051000N  316</t>
  </si>
  <si>
    <t>Knowledge and the sacred / Seyyed Hossein Nasr.</t>
  </si>
  <si>
    <t>Nasr, Seyyed Hossein.</t>
  </si>
  <si>
    <t>New York : Crossroad Pub. Co., 1981.</t>
  </si>
  <si>
    <t>Gifford lectures ; 1981</t>
  </si>
  <si>
    <t>12747:eng</t>
  </si>
  <si>
    <t>7672032</t>
  </si>
  <si>
    <t>991005147019702656</t>
  </si>
  <si>
    <t>2272517990002656</t>
  </si>
  <si>
    <t>9780824500955</t>
  </si>
  <si>
    <t>32285000320290</t>
  </si>
  <si>
    <t>893795682</t>
  </si>
  <si>
    <t>BL51 .N47 1960</t>
  </si>
  <si>
    <t>0                      BL 0051000N  47          1960</t>
  </si>
  <si>
    <t>Religious experience and truth; a symposium, edited by Sidney Hook.</t>
  </si>
  <si>
    <t>New York University Institute of Philosophy (4th : 1960)</t>
  </si>
  <si>
    <t>[New York] New York University Press, 1961.</t>
  </si>
  <si>
    <t>1993-10-18</t>
  </si>
  <si>
    <t>891746843:eng</t>
  </si>
  <si>
    <t>176488</t>
  </si>
  <si>
    <t>991001047489702656</t>
  </si>
  <si>
    <t>2267895980002656</t>
  </si>
  <si>
    <t>32285000320316</t>
  </si>
  <si>
    <t>893690277</t>
  </si>
  <si>
    <t>BL51 .N88 1972</t>
  </si>
  <si>
    <t>0                      BL 0051000N  88          1972</t>
  </si>
  <si>
    <t>Meaning and method; prolegomena to a scientific philosophy of religion and a scientific theology. Authorized translation by Philip S. Watson.</t>
  </si>
  <si>
    <t>Nygren, Anders, 1890-1978.</t>
  </si>
  <si>
    <t>Philadelphia, Fortress Press [1972]</t>
  </si>
  <si>
    <t>1995-09-15</t>
  </si>
  <si>
    <t>48289469:eng</t>
  </si>
  <si>
    <t>482778</t>
  </si>
  <si>
    <t>991002842329702656</t>
  </si>
  <si>
    <t>2258906060002656</t>
  </si>
  <si>
    <t>9780800600389</t>
  </si>
  <si>
    <t>32285000320357</t>
  </si>
  <si>
    <t>893591849</t>
  </si>
  <si>
    <t>BL51 .P316 1962</t>
  </si>
  <si>
    <t>0                      BL 0051000P  316         1962</t>
  </si>
  <si>
    <t>The modern predicament : a study in the philosophy of religion / H. J. Paton.</t>
  </si>
  <si>
    <t>Paton, H. J. (Herbert James), 1887-1969.</t>
  </si>
  <si>
    <t>New York : Collier Books, 1962, c1955.</t>
  </si>
  <si>
    <t>2009-04-27</t>
  </si>
  <si>
    <t>5571213356:eng</t>
  </si>
  <si>
    <t>2312263</t>
  </si>
  <si>
    <t>991004073699702656</t>
  </si>
  <si>
    <t>2260320090002656</t>
  </si>
  <si>
    <t>32285000321173</t>
  </si>
  <si>
    <t>893794441</t>
  </si>
  <si>
    <t>BL51 .P73</t>
  </si>
  <si>
    <t>0                      BL 0051000P  73</t>
  </si>
  <si>
    <t>Essays in the philosophy of religion : based on the Sarum lectures, 1971 / H. H. Price.</t>
  </si>
  <si>
    <t>Price, H. H. (Henry Habberley), 1899-1984.</t>
  </si>
  <si>
    <t>Oxford : Clarendon Press, 1972.</t>
  </si>
  <si>
    <t>The Sarum lectures, 1971</t>
  </si>
  <si>
    <t>1990-03-13</t>
  </si>
  <si>
    <t>341075147:eng</t>
  </si>
  <si>
    <t>556554</t>
  </si>
  <si>
    <t>991002984209702656</t>
  </si>
  <si>
    <t>2259820990002656</t>
  </si>
  <si>
    <t>9780198243762</t>
  </si>
  <si>
    <t>32285000079532</t>
  </si>
  <si>
    <t>893257942</t>
  </si>
  <si>
    <t>BL51 .R2413</t>
  </si>
  <si>
    <t>0                      BL 0051000R  2413</t>
  </si>
  <si>
    <t>Hearers of the word / Translated by Michael Richards.</t>
  </si>
  <si>
    <t>Rahner, Karl, 1904-1984.</t>
  </si>
  <si>
    <t>[New York] : Herder and Herder, [1969]</t>
  </si>
  <si>
    <t>1999-11-28</t>
  </si>
  <si>
    <t>1150988729:eng</t>
  </si>
  <si>
    <t>5037</t>
  </si>
  <si>
    <t>991005437149702656</t>
  </si>
  <si>
    <t>2264491650002656</t>
  </si>
  <si>
    <t>32285000321256</t>
  </si>
  <si>
    <t>893620010</t>
  </si>
  <si>
    <t>BL51 .R29</t>
  </si>
  <si>
    <t>0                      BL 0051000R  29</t>
  </si>
  <si>
    <t>Rationality and religious belief / C. F. Delaney, editor.</t>
  </si>
  <si>
    <t>Notre Dame, Ind. : University of Notre Dame Press, c1979.</t>
  </si>
  <si>
    <t>Notre Dame studies in the philosophy of religion ; no. 1</t>
  </si>
  <si>
    <t>1995-12-01</t>
  </si>
  <si>
    <t>54294319:eng</t>
  </si>
  <si>
    <t>4932802</t>
  </si>
  <si>
    <t>991004749259702656</t>
  </si>
  <si>
    <t>2270673770002656</t>
  </si>
  <si>
    <t>9780268016029</t>
  </si>
  <si>
    <t>32285000321264</t>
  </si>
  <si>
    <t>893526457</t>
  </si>
  <si>
    <t>BL51 .R598</t>
  </si>
  <si>
    <t>0                      BL 0051000R  598</t>
  </si>
  <si>
    <t>American religious philosophy [by] Robert J. Roth.</t>
  </si>
  <si>
    <t>Roth, Robert J.</t>
  </si>
  <si>
    <t>1400957:eng</t>
  </si>
  <si>
    <t>321011</t>
  </si>
  <si>
    <t>991002326469702656</t>
  </si>
  <si>
    <t>2256188540002656</t>
  </si>
  <si>
    <t>32285000321322</t>
  </si>
  <si>
    <t>893615987</t>
  </si>
  <si>
    <t>BL51 .S4643 1975</t>
  </si>
  <si>
    <t>0                      BL 0051000S  4643        1975</t>
  </si>
  <si>
    <t>The transcendent unity of religions / Frithjof Schuon ; translated by Peter Townsend ; introd. by Huston Smith.</t>
  </si>
  <si>
    <t>Schuon, Frithjof, 1907-1998.</t>
  </si>
  <si>
    <t>New York : Harper &amp; Row, 1975.</t>
  </si>
  <si>
    <t>Harper torchbooks ; TB1818</t>
  </si>
  <si>
    <t>1992-02-13</t>
  </si>
  <si>
    <t>50847465:eng</t>
  </si>
  <si>
    <t>1292845</t>
  </si>
  <si>
    <t>991003673849702656</t>
  </si>
  <si>
    <t>2255783740002656</t>
  </si>
  <si>
    <t>9780061394157</t>
  </si>
  <si>
    <t>32285000321363</t>
  </si>
  <si>
    <t>893512231</t>
  </si>
  <si>
    <t>BL51 .S5</t>
  </si>
  <si>
    <t>0                      BL 0051000S  5</t>
  </si>
  <si>
    <t>God and intelligence in modern philosophy; a critical study in the light of the philosophy of Saint Thomas, by Fulton J. Sheen ... With an introduction by G. K. Chesterton.</t>
  </si>
  <si>
    <t>Sheen, Fulton J. (Fulton John), 1895-1979.</t>
  </si>
  <si>
    <t>London, New York [etc.] Longmans, Green and Co., 1925.</t>
  </si>
  <si>
    <t>2007-07-18</t>
  </si>
  <si>
    <t>376731268:eng</t>
  </si>
  <si>
    <t>377351</t>
  </si>
  <si>
    <t>991002605089702656</t>
  </si>
  <si>
    <t>2263040650002656</t>
  </si>
  <si>
    <t>32285000321371</t>
  </si>
  <si>
    <t>893691784</t>
  </si>
  <si>
    <t>BL51 .S53</t>
  </si>
  <si>
    <t>0                      BL 0051000S  53</t>
  </si>
  <si>
    <t>From critical theory of society to theology of communicative praxis / Rudolf J. Siebert.</t>
  </si>
  <si>
    <t>Siebert, Rudolf J., 1927-</t>
  </si>
  <si>
    <t>Washington, D.C. : University Press of America, 1979.</t>
  </si>
  <si>
    <t>2003-11-02</t>
  </si>
  <si>
    <t>21086931:eng</t>
  </si>
  <si>
    <t>5857219</t>
  </si>
  <si>
    <t>991004889449702656</t>
  </si>
  <si>
    <t>2261743210002656</t>
  </si>
  <si>
    <t>9780819107831</t>
  </si>
  <si>
    <t>32285000321397</t>
  </si>
  <si>
    <t>893424302</t>
  </si>
  <si>
    <t>BL51 .S567 1986</t>
  </si>
  <si>
    <t>0                      BL 0051000S  567         1986</t>
  </si>
  <si>
    <t>Concept and empathy : essays in the study of religion / Ninian Smart ; edited by Donald Wiebe.</t>
  </si>
  <si>
    <t>New York : New York University Press, 1986.</t>
  </si>
  <si>
    <t>2003-04-03</t>
  </si>
  <si>
    <t>222548603:eng</t>
  </si>
  <si>
    <t>12553907</t>
  </si>
  <si>
    <t>991000703519702656</t>
  </si>
  <si>
    <t>2257275370002656</t>
  </si>
  <si>
    <t>9780814778517</t>
  </si>
  <si>
    <t>32285000321447</t>
  </si>
  <si>
    <t>893339805</t>
  </si>
  <si>
    <t>BL51 .S569 1970</t>
  </si>
  <si>
    <t>0                      BL 0051000S  569         1970</t>
  </si>
  <si>
    <t>Philosophers and religious truth.</t>
  </si>
  <si>
    <t>New York] Macmillan [1970, c1969]</t>
  </si>
  <si>
    <t>[2d ed. 1st American ed.</t>
  </si>
  <si>
    <t>2005-04-11</t>
  </si>
  <si>
    <t>141497549:eng</t>
  </si>
  <si>
    <t>80825</t>
  </si>
  <si>
    <t>991000497529702656</t>
  </si>
  <si>
    <t>2271677020002656</t>
  </si>
  <si>
    <t>32285000321454</t>
  </si>
  <si>
    <t>893614224</t>
  </si>
  <si>
    <t>BL51 .S572 1976</t>
  </si>
  <si>
    <t>0                      BL 0051000S  572         1976</t>
  </si>
  <si>
    <t>Forgotten truth : the primordial tradition / Huston Smith.</t>
  </si>
  <si>
    <t>Smith, Huston.</t>
  </si>
  <si>
    <t>2001-09-13</t>
  </si>
  <si>
    <t>402511:eng</t>
  </si>
  <si>
    <t>2316893</t>
  </si>
  <si>
    <t>991004074889702656</t>
  </si>
  <si>
    <t>2262337000002656</t>
  </si>
  <si>
    <t>9780060139025</t>
  </si>
  <si>
    <t>32285000321488</t>
  </si>
  <si>
    <t>893894535</t>
  </si>
  <si>
    <t>BL51 .S572 1992</t>
  </si>
  <si>
    <t>0                      BL 0051000S  572         1992</t>
  </si>
  <si>
    <t>Forgotten truth : the common vision of the world's religions / Huston Smith.</t>
  </si>
  <si>
    <t>[San Francisco] : HarperSanFrancisco, 1992.</t>
  </si>
  <si>
    <t>1st HarperCollins paperback ed.</t>
  </si>
  <si>
    <t>1999-07-02</t>
  </si>
  <si>
    <t>3901595825:eng</t>
  </si>
  <si>
    <t>26262440</t>
  </si>
  <si>
    <t>991002055789702656</t>
  </si>
  <si>
    <t>2266937200002656</t>
  </si>
  <si>
    <t>9780062507877</t>
  </si>
  <si>
    <t>32285002179538</t>
  </si>
  <si>
    <t>893709807</t>
  </si>
  <si>
    <t>BL51 .S573</t>
  </si>
  <si>
    <t>0                      BL 0051000S  573</t>
  </si>
  <si>
    <t>Experience and God [by] John E. Smith.</t>
  </si>
  <si>
    <t>Smith, John E. (John Edwin), 1921-2009.</t>
  </si>
  <si>
    <t>New York, Oxford University Press, 1968.</t>
  </si>
  <si>
    <t>2007-11-29</t>
  </si>
  <si>
    <t>368333770:eng</t>
  </si>
  <si>
    <t>440509</t>
  </si>
  <si>
    <t>991002781919702656</t>
  </si>
  <si>
    <t>2256772760002656</t>
  </si>
  <si>
    <t>32285000321496</t>
  </si>
  <si>
    <t>893347924</t>
  </si>
  <si>
    <t>BL51 .S575</t>
  </si>
  <si>
    <t>0                      BL 0051000S  575</t>
  </si>
  <si>
    <t>Philosophy of religion / John E. Smith.</t>
  </si>
  <si>
    <t>Smith, John E. (John Edwin), 1921-2009 editor.</t>
  </si>
  <si>
    <t>New York : Macmillan, c1965, 1970 printing.</t>
  </si>
  <si>
    <t>Sources in philosophy</t>
  </si>
  <si>
    <t>368332138:eng</t>
  </si>
  <si>
    <t>374653</t>
  </si>
  <si>
    <t>991002574989702656</t>
  </si>
  <si>
    <t>2262274340002656</t>
  </si>
  <si>
    <t>32285000321504</t>
  </si>
  <si>
    <t>893716626</t>
  </si>
  <si>
    <t>BL51 .S577</t>
  </si>
  <si>
    <t>0                      BL 0051000S  577</t>
  </si>
  <si>
    <t>Reason and God.</t>
  </si>
  <si>
    <t>New Haven, Yale University Press, 1961.</t>
  </si>
  <si>
    <t>2008-12-10</t>
  </si>
  <si>
    <t>319565935:eng</t>
  </si>
  <si>
    <t>374489</t>
  </si>
  <si>
    <t>991002574079702656</t>
  </si>
  <si>
    <t>2262406690002656</t>
  </si>
  <si>
    <t>32285000321512</t>
  </si>
  <si>
    <t>893257463</t>
  </si>
  <si>
    <t>BL51 .S587 1978</t>
  </si>
  <si>
    <t>0                      BL 0051000S  587         1978</t>
  </si>
  <si>
    <t>The meaning and end of religion / Wilfred Cantwell Smith; foreword by John Hick.</t>
  </si>
  <si>
    <t>San Francisco : Harper &amp; Row, 1978.</t>
  </si>
  <si>
    <t>1999-12-02</t>
  </si>
  <si>
    <t>10178130651:eng</t>
  </si>
  <si>
    <t>6638377</t>
  </si>
  <si>
    <t>991004987579702656</t>
  </si>
  <si>
    <t>2258485410002656</t>
  </si>
  <si>
    <t>32285000321538</t>
  </si>
  <si>
    <t>893430678</t>
  </si>
  <si>
    <t>BL51 .S588</t>
  </si>
  <si>
    <t>0                      BL 0051000S  588</t>
  </si>
  <si>
    <t>Towards a world theology : faith and the comparative history of religion / by Wilfred Cantwell Smith.</t>
  </si>
  <si>
    <t>Philadelphia, Pa. : Westminster Press, 1981.</t>
  </si>
  <si>
    <t>1997-12-10</t>
  </si>
  <si>
    <t>225583895:eng</t>
  </si>
  <si>
    <t>7236104</t>
  </si>
  <si>
    <t>991005092089702656</t>
  </si>
  <si>
    <t>2262614560002656</t>
  </si>
  <si>
    <t>9780664213800</t>
  </si>
  <si>
    <t>32285000321546</t>
  </si>
  <si>
    <t>893606814</t>
  </si>
  <si>
    <t>BL51 .S617 1948</t>
  </si>
  <si>
    <t>0                      BL 0051000S  617         1948</t>
  </si>
  <si>
    <t>Lectures on Godmanhood. With an introduction by Peter Peter Zouboff.</t>
  </si>
  <si>
    <t>Solovyov, Vladimir Sergeyevich, 1853-1900.</t>
  </si>
  <si>
    <t>London, Dennis Dobson [1948]</t>
  </si>
  <si>
    <t>1948</t>
  </si>
  <si>
    <t>2001-12-07</t>
  </si>
  <si>
    <t>2824990907:eng</t>
  </si>
  <si>
    <t>260364</t>
  </si>
  <si>
    <t>991004216909702656</t>
  </si>
  <si>
    <t>2266762100002656</t>
  </si>
  <si>
    <t>32285000321553</t>
  </si>
  <si>
    <t>893775777</t>
  </si>
  <si>
    <t>BL51 .T4</t>
  </si>
  <si>
    <t>0                      BL 0051000T  4</t>
  </si>
  <si>
    <t>Philosophical theology, by F. R. Tennant.</t>
  </si>
  <si>
    <t>Tennant, Frederick Robert, 1866-1957.</t>
  </si>
  <si>
    <t>Cambridge [Eng.] The University Press, 1928-30, 1968 printing.</t>
  </si>
  <si>
    <t>5481429035:eng</t>
  </si>
  <si>
    <t>1372828</t>
  </si>
  <si>
    <t>991003725739702656</t>
  </si>
  <si>
    <t>2260778180002656</t>
  </si>
  <si>
    <t>32285000321603</t>
  </si>
  <si>
    <t>893429129</t>
  </si>
  <si>
    <t>32285000321595</t>
  </si>
  <si>
    <t>893410601</t>
  </si>
  <si>
    <t>BL51 .T438</t>
  </si>
  <si>
    <t>0                      BL 0051000T  438</t>
  </si>
  <si>
    <t>Philosophy and religious belief [by] George F. Thomas.</t>
  </si>
  <si>
    <t>Thomas, George F. (George Finger), 1899-1977.</t>
  </si>
  <si>
    <t>New York, Scribner [1970]</t>
  </si>
  <si>
    <t>1259375:eng</t>
  </si>
  <si>
    <t>79975</t>
  </si>
  <si>
    <t>991000489729702656</t>
  </si>
  <si>
    <t>2258047740002656</t>
  </si>
  <si>
    <t>32285000321611</t>
  </si>
  <si>
    <t>893884433</t>
  </si>
  <si>
    <t>BL51 .T44</t>
  </si>
  <si>
    <t>0                      BL 0051000T  44</t>
  </si>
  <si>
    <t>Religious philosophies of the West [by] George F. Thomas.</t>
  </si>
  <si>
    <t>New York, Scribner [1965]</t>
  </si>
  <si>
    <t>1347080:eng</t>
  </si>
  <si>
    <t>302466</t>
  </si>
  <si>
    <t>991002257769702656</t>
  </si>
  <si>
    <t>2271917920002656</t>
  </si>
  <si>
    <t>32285000321629</t>
  </si>
  <si>
    <t>893244951</t>
  </si>
  <si>
    <t>BL51 .T58</t>
  </si>
  <si>
    <t>0                      BL 0051000T  58</t>
  </si>
  <si>
    <t>What is religion? Edited and with an introd. by James Luther Adams.</t>
  </si>
  <si>
    <t>Tillich, Paul, 1886-1965.</t>
  </si>
  <si>
    <t>New York, Harper &amp; Row [1969]</t>
  </si>
  <si>
    <t>1993-06-30</t>
  </si>
  <si>
    <t>404107:eng</t>
  </si>
  <si>
    <t>12665</t>
  </si>
  <si>
    <t>991000004449702656</t>
  </si>
  <si>
    <t>2264973650002656</t>
  </si>
  <si>
    <t>32285000321637</t>
  </si>
  <si>
    <t>893333112</t>
  </si>
  <si>
    <t>BL51 .T62</t>
  </si>
  <si>
    <t>0                      BL 0051000T  62</t>
  </si>
  <si>
    <t>Transcendence and the sacred / edited by Alan M. Olson and Leroy S. Rouner.</t>
  </si>
  <si>
    <t>Notre Dame, Ind. : University of Notre Dame Press, c1981.</t>
  </si>
  <si>
    <t>Boston studies in philosophy and religion ; v. 2</t>
  </si>
  <si>
    <t>2004-03-28</t>
  </si>
  <si>
    <t>5218969305:eng</t>
  </si>
  <si>
    <t>7775648</t>
  </si>
  <si>
    <t>991005160349702656</t>
  </si>
  <si>
    <t>2270128500002656</t>
  </si>
  <si>
    <t>9780268018412</t>
  </si>
  <si>
    <t>32285000321645</t>
  </si>
  <si>
    <t>893350835</t>
  </si>
  <si>
    <t>BL51 .T79</t>
  </si>
  <si>
    <t>0                      BL 0051000T  79</t>
  </si>
  <si>
    <t>Trueblood, Elton, 1900-1994.</t>
  </si>
  <si>
    <t>New York, Harper [1957]</t>
  </si>
  <si>
    <t>501503:eng</t>
  </si>
  <si>
    <t>321835</t>
  </si>
  <si>
    <t>991002328819702656</t>
  </si>
  <si>
    <t>2257052400002656</t>
  </si>
  <si>
    <t>32285000321652</t>
  </si>
  <si>
    <t>893703944</t>
  </si>
  <si>
    <t>BL51 .W53</t>
  </si>
  <si>
    <t>0                      BL 0051000W  53</t>
  </si>
  <si>
    <t>Matters of faith and matters of principle : religious truth claims and their logic / John H. Whittaker.</t>
  </si>
  <si>
    <t>Whittaker, John H., 1945-</t>
  </si>
  <si>
    <t>San Antonio : Trinity University Press, c1981.</t>
  </si>
  <si>
    <t>Trinity University monograph series in religion ; v. 6</t>
  </si>
  <si>
    <t>2002-10-21</t>
  </si>
  <si>
    <t>889979056:eng</t>
  </si>
  <si>
    <t>7567293</t>
  </si>
  <si>
    <t>991005130019702656</t>
  </si>
  <si>
    <t>2266276360002656</t>
  </si>
  <si>
    <t>9780911536874</t>
  </si>
  <si>
    <t>32285000321702</t>
  </si>
  <si>
    <t>893807866</t>
  </si>
  <si>
    <t>BL51 .W54 1981</t>
  </si>
  <si>
    <t>0                      BL 0051000W  54          1981</t>
  </si>
  <si>
    <t>Religion and truth : towards an alternative paradigm for the study of religion / Donald Wiebe.</t>
  </si>
  <si>
    <t>Wiebe, Donald, 1943-</t>
  </si>
  <si>
    <t>The Hague ; New York : Mouton, c1981.</t>
  </si>
  <si>
    <t>Religion and reason ; 23</t>
  </si>
  <si>
    <t>807217513:eng</t>
  </si>
  <si>
    <t>8151502</t>
  </si>
  <si>
    <t>991005209549702656</t>
  </si>
  <si>
    <t>2268897240002656</t>
  </si>
  <si>
    <t>9789027931498</t>
  </si>
  <si>
    <t>32285000321710</t>
  </si>
  <si>
    <t>893870699</t>
  </si>
  <si>
    <t>BL51 .W58 1971</t>
  </si>
  <si>
    <t>0                      BL 0051000W  58          1971</t>
  </si>
  <si>
    <t>Religious experience and scientific method.</t>
  </si>
  <si>
    <t>Wieman, Henry Nelson, 1884-1975.</t>
  </si>
  <si>
    <t>Carbondale, Southern Illinois University Press [1971, c1954]</t>
  </si>
  <si>
    <t>1997-03-03</t>
  </si>
  <si>
    <t>1324791:eng</t>
  </si>
  <si>
    <t>8663878</t>
  </si>
  <si>
    <t>991003137879702656</t>
  </si>
  <si>
    <t>2269844870002656</t>
  </si>
  <si>
    <t>9780837143682</t>
  </si>
  <si>
    <t>32285000321728</t>
  </si>
  <si>
    <t>893524451</t>
  </si>
  <si>
    <t>BL51 .Z8</t>
  </si>
  <si>
    <t>0                      BL 0051000Z  8</t>
  </si>
  <si>
    <t>An analytical philosophy of religion.</t>
  </si>
  <si>
    <t>Zuurdeeg, Willem Frederick.</t>
  </si>
  <si>
    <t>New York, Abingdon Press [1958]</t>
  </si>
  <si>
    <t>1460951:eng</t>
  </si>
  <si>
    <t>374694</t>
  </si>
  <si>
    <t>991002575219702656</t>
  </si>
  <si>
    <t>2262288100002656</t>
  </si>
  <si>
    <t>32285000321751</t>
  </si>
  <si>
    <t>893523789</t>
  </si>
  <si>
    <t>BL51.H83 E8</t>
  </si>
  <si>
    <t>0                      BL 0051000H  83                 E  8</t>
  </si>
  <si>
    <t>Essays &amp; addresses on the philosophy of religion.</t>
  </si>
  <si>
    <t>Hügel, Friedrich, Freiherr von, 1852-1925.</t>
  </si>
  <si>
    <t>London &amp; Toronto, J. M. Dent &amp; sons limited; New York, E. P. Dutton &amp; co., 1921.</t>
  </si>
  <si>
    <t>1921</t>
  </si>
  <si>
    <t>1997-12-09</t>
  </si>
  <si>
    <t>4714336135:eng</t>
  </si>
  <si>
    <t>4260116</t>
  </si>
  <si>
    <t>991004616379702656</t>
  </si>
  <si>
    <t>2255805410002656</t>
  </si>
  <si>
    <t>32285000309905</t>
  </si>
  <si>
    <t>893888954</t>
  </si>
  <si>
    <t>BL510 .P3 1982</t>
  </si>
  <si>
    <t>0                      BL 0510000P  3           1982</t>
  </si>
  <si>
    <t>Avatar and incarnation : a comparison of Indian and Christian beliefs / by Geoffrey Parrinder.</t>
  </si>
  <si>
    <t>Parrinder, Geoffrey.</t>
  </si>
  <si>
    <t>2000-11-04</t>
  </si>
  <si>
    <t>415457:eng</t>
  </si>
  <si>
    <t>7999053</t>
  </si>
  <si>
    <t>991005191069702656</t>
  </si>
  <si>
    <t>2258021600002656</t>
  </si>
  <si>
    <t>9780195203615</t>
  </si>
  <si>
    <t>32285000345826</t>
  </si>
  <si>
    <t>893350873</t>
  </si>
  <si>
    <t>BL515 .C49</t>
  </si>
  <si>
    <t>0                      BL 0515000C  49</t>
  </si>
  <si>
    <t>Reincarnation : ancient beliefs and modern evidence / David Christie-Murray.</t>
  </si>
  <si>
    <t>Christie-Murray, David.</t>
  </si>
  <si>
    <t>Newton Abbot : David and Charles, c1981.</t>
  </si>
  <si>
    <t>2002-12-23</t>
  </si>
  <si>
    <t>198271065:eng</t>
  </si>
  <si>
    <t>7719749</t>
  </si>
  <si>
    <t>991005149859702656</t>
  </si>
  <si>
    <t>2271100080002656</t>
  </si>
  <si>
    <t>9780715378618</t>
  </si>
  <si>
    <t>32285000085034</t>
  </si>
  <si>
    <t>893437251</t>
  </si>
  <si>
    <t>BL515 .R427 1984</t>
  </si>
  <si>
    <t>0                      BL 0515000R  427         1984</t>
  </si>
  <si>
    <t>Reincarnation : a new horizon in science, religion and society / [compiled] by Sylvia Cranston and Carey Williams.</t>
  </si>
  <si>
    <t>New York : Julian Press, 1984.</t>
  </si>
  <si>
    <t>2000-11-28</t>
  </si>
  <si>
    <t>3132357242:eng</t>
  </si>
  <si>
    <t>10483061</t>
  </si>
  <si>
    <t>991000377879702656</t>
  </si>
  <si>
    <t>2263451660002656</t>
  </si>
  <si>
    <t>9780517554968</t>
  </si>
  <si>
    <t>32285000085042</t>
  </si>
  <si>
    <t>893320991</t>
  </si>
  <si>
    <t>BL515 .R43 1977</t>
  </si>
  <si>
    <t>0                      BL 0515000R  43          1977</t>
  </si>
  <si>
    <t>Reincarnation : the phoenix fire mystery : an East-West dialogue on death and rebirth from the worlds of religion, science, psychology, philosophy, art, and literature, and from great thinkers of the past and present / compiled and edited by Joseph Head and S. L. Cranston.</t>
  </si>
  <si>
    <t>New York : Julian Press, c1977.</t>
  </si>
  <si>
    <t>1990-05-01</t>
  </si>
  <si>
    <t>796440514:eng</t>
  </si>
  <si>
    <t>2985874</t>
  </si>
  <si>
    <t>991004309039702656</t>
  </si>
  <si>
    <t>2262218110002656</t>
  </si>
  <si>
    <t>9780517528938</t>
  </si>
  <si>
    <t>32285000146216</t>
  </si>
  <si>
    <t>893331431</t>
  </si>
  <si>
    <t>BL53 .A7 1975</t>
  </si>
  <si>
    <t>0                      BL 0053000A  7           1975</t>
  </si>
  <si>
    <t>The social psychology of religion / Michael Argyle and Benjamin Beit-Hallahmi.</t>
  </si>
  <si>
    <t>Argyle, Michael.</t>
  </si>
  <si>
    <t>London ; Boston : Routledge &amp; K. Paul, 1975.</t>
  </si>
  <si>
    <t>International library of sociology</t>
  </si>
  <si>
    <t>2946074769:eng</t>
  </si>
  <si>
    <t>1694575</t>
  </si>
  <si>
    <t>991003872379702656</t>
  </si>
  <si>
    <t>2256608520002656</t>
  </si>
  <si>
    <t>9780710079978</t>
  </si>
  <si>
    <t>32285000321785</t>
  </si>
  <si>
    <t>893900478</t>
  </si>
  <si>
    <t>BL53 .B44</t>
  </si>
  <si>
    <t>0                      BL 0053000B  44</t>
  </si>
  <si>
    <t>Religion and personality in the spiral of life / David Belgum.</t>
  </si>
  <si>
    <t>Belgum, David Rudolph, 1922-2007.</t>
  </si>
  <si>
    <t>Washington, D.C. : University Press of America, c1979.</t>
  </si>
  <si>
    <t>1997-12-02</t>
  </si>
  <si>
    <t>312823581:eng</t>
  </si>
  <si>
    <t>5793283</t>
  </si>
  <si>
    <t>991004876289702656</t>
  </si>
  <si>
    <t>2269660830002656</t>
  </si>
  <si>
    <t>9780819108326</t>
  </si>
  <si>
    <t>32285000321801</t>
  </si>
  <si>
    <t>893789190</t>
  </si>
  <si>
    <t>BL53 .B64 1976</t>
  </si>
  <si>
    <t>0                      BL 0053000B  64          1976</t>
  </si>
  <si>
    <t>Religious experience : its nature, types, and validity / by A. C. Bouquet.</t>
  </si>
  <si>
    <t>Bouquet, A. C. (Alan Coates), 1884-1976.</t>
  </si>
  <si>
    <t>Westport, Conn. : Greenwood Press, 1976, c1968.</t>
  </si>
  <si>
    <t>2d ed., completely rev.</t>
  </si>
  <si>
    <t>927351136:eng</t>
  </si>
  <si>
    <t>1976732</t>
  </si>
  <si>
    <t>991003963679702656</t>
  </si>
  <si>
    <t>2268634390002656</t>
  </si>
  <si>
    <t>9780837187143</t>
  </si>
  <si>
    <t>32285000321843</t>
  </si>
  <si>
    <t>893699641</t>
  </si>
  <si>
    <t>BL53 .B643</t>
  </si>
  <si>
    <t>0                      BL 0053000B  643</t>
  </si>
  <si>
    <t>Religion, altered states of consciousness, and social change. Edited by Erika Bourguignon.</t>
  </si>
  <si>
    <t>Bourguignon, Erika, 1924-2015.</t>
  </si>
  <si>
    <t>Columbus, Ohio State University Press, 1973.</t>
  </si>
  <si>
    <t>ohu</t>
  </si>
  <si>
    <t>2006-10-17</t>
  </si>
  <si>
    <t>1484421:eng</t>
  </si>
  <si>
    <t>416940</t>
  </si>
  <si>
    <t>991002731849702656</t>
  </si>
  <si>
    <t>2268783380002656</t>
  </si>
  <si>
    <t>9780814201671</t>
  </si>
  <si>
    <t>32285000321850</t>
  </si>
  <si>
    <t>893227205</t>
  </si>
  <si>
    <t>BL53 .B692 1987</t>
  </si>
  <si>
    <t>0                      BL 0053000B  692         1987</t>
  </si>
  <si>
    <t>The psychology of religious belief / L.B. Brown.</t>
  </si>
  <si>
    <t>Brown, L. B. (Laurence Binet), 1927-2011.</t>
  </si>
  <si>
    <t>London ; Orlando : Academic Press, 1987.</t>
  </si>
  <si>
    <t>2007-10-11</t>
  </si>
  <si>
    <t>4020137354:eng</t>
  </si>
  <si>
    <t>23941743</t>
  </si>
  <si>
    <t>991005129439702656</t>
  </si>
  <si>
    <t>2270535560002656</t>
  </si>
  <si>
    <t>9780121363550</t>
  </si>
  <si>
    <t>32285005329676</t>
  </si>
  <si>
    <t>893619494</t>
  </si>
  <si>
    <t>BL53 .C27</t>
  </si>
  <si>
    <t>0                      BL 0053000C  27</t>
  </si>
  <si>
    <t>The religious personality, edited by Donald Capps and Walter H. Capps.</t>
  </si>
  <si>
    <t>Capps, Donald compiler.</t>
  </si>
  <si>
    <t>Belmont, Calif., Wadsworth Pub. Co. [1970].</t>
  </si>
  <si>
    <t>1994-07-27</t>
  </si>
  <si>
    <t>1306111:eng</t>
  </si>
  <si>
    <t>92489</t>
  </si>
  <si>
    <t>991000550369702656</t>
  </si>
  <si>
    <t>2262585870002656</t>
  </si>
  <si>
    <t>32285000321876</t>
  </si>
  <si>
    <t>893790630</t>
  </si>
  <si>
    <t>BL53 .C58</t>
  </si>
  <si>
    <t>0                      BL 0053000C  58</t>
  </si>
  <si>
    <t>Jung and Christianity : the challenge of reconciliation / Wallace B. Clift.</t>
  </si>
  <si>
    <t>Clift, Wallace B.</t>
  </si>
  <si>
    <t>New York : Crossroad, 1982.</t>
  </si>
  <si>
    <t>1998-04-01</t>
  </si>
  <si>
    <t>3526222:eng</t>
  </si>
  <si>
    <t>7947484</t>
  </si>
  <si>
    <t>991005182909702656</t>
  </si>
  <si>
    <t>2270206330002656</t>
  </si>
  <si>
    <t>9780824504090</t>
  </si>
  <si>
    <t>32285000321892</t>
  </si>
  <si>
    <t>893242336</t>
  </si>
  <si>
    <t>BL53 .C78</t>
  </si>
  <si>
    <t>0                      BL 0053000C  78</t>
  </si>
  <si>
    <t>Psychological dynamics in religious living [by] Charles A. Curran.</t>
  </si>
  <si>
    <t>Curran, Charles A. (Charles Arthur), 1913-1978.</t>
  </si>
  <si>
    <t>1996-01-04</t>
  </si>
  <si>
    <t>1293761:eng</t>
  </si>
  <si>
    <t>213128</t>
  </si>
  <si>
    <t>991001273559702656</t>
  </si>
  <si>
    <t>2255294120002656</t>
  </si>
  <si>
    <t>32285000321934</t>
  </si>
  <si>
    <t>893346380</t>
  </si>
  <si>
    <t>BL53 .D47</t>
  </si>
  <si>
    <t>0                      BL 0053000D  47</t>
  </si>
  <si>
    <t>The Dialogue between theology and psychology, by LeRoy Aden [and others] Edited by Peter Homans.</t>
  </si>
  <si>
    <t>Chicago, University of Chicago Press [1968]</t>
  </si>
  <si>
    <t>Essays in divinity ; v. 3</t>
  </si>
  <si>
    <t>2006-01-05</t>
  </si>
  <si>
    <t>375421987:eng</t>
  </si>
  <si>
    <t>174366</t>
  </si>
  <si>
    <t>991001762959702656</t>
  </si>
  <si>
    <t>2266493140002656</t>
  </si>
  <si>
    <t>32285000321942</t>
  </si>
  <si>
    <t>893866457</t>
  </si>
  <si>
    <t>BL53 .D63</t>
  </si>
  <si>
    <t>0                      BL 0053000D  63</t>
  </si>
  <si>
    <t>Interpreting religious experience / Peter Donovan.</t>
  </si>
  <si>
    <t>Donovan, Peter, 1940-</t>
  </si>
  <si>
    <t>New York : Seabury Press, 1979.</t>
  </si>
  <si>
    <t>Issues in religious studies</t>
  </si>
  <si>
    <t>12097082:eng</t>
  </si>
  <si>
    <t>4503177</t>
  </si>
  <si>
    <t>991004664969702656</t>
  </si>
  <si>
    <t>2265174350002656</t>
  </si>
  <si>
    <t>9780816422098</t>
  </si>
  <si>
    <t>32285000321967</t>
  </si>
  <si>
    <t>893411811</t>
  </si>
  <si>
    <t>BL53 .G58</t>
  </si>
  <si>
    <t>0                      BL 0053000G  58</t>
  </si>
  <si>
    <t>Growing up to God; eight steps in religious development [by] John J. Gleason, Jr.</t>
  </si>
  <si>
    <t>Gleason, John J., 1934-</t>
  </si>
  <si>
    <t>Nashville, Abingdon Press [1975]</t>
  </si>
  <si>
    <t>2005-04-02</t>
  </si>
  <si>
    <t>1929840:eng</t>
  </si>
  <si>
    <t>1009737</t>
  </si>
  <si>
    <t>991003468529702656</t>
  </si>
  <si>
    <t>2263893720002656</t>
  </si>
  <si>
    <t>9780687159727</t>
  </si>
  <si>
    <t>32285000321991</t>
  </si>
  <si>
    <t>893435015</t>
  </si>
  <si>
    <t>BL53 .G6313 1985</t>
  </si>
  <si>
    <t>0                      BL 0053000G  6313        1985</t>
  </si>
  <si>
    <t>The psychological dynamics of religious experience / Andre Godin.</t>
  </si>
  <si>
    <t>Godin, André.</t>
  </si>
  <si>
    <t>Birmingham, Ala. : Religious Education Press, [1985]</t>
  </si>
  <si>
    <t>4433218:eng</t>
  </si>
  <si>
    <t>11866947</t>
  </si>
  <si>
    <t>991000606589702656</t>
  </si>
  <si>
    <t>2265159070002656</t>
  </si>
  <si>
    <t>9780891350392</t>
  </si>
  <si>
    <t>32285000322015</t>
  </si>
  <si>
    <t>893419614</t>
  </si>
  <si>
    <t>BL53 .G784</t>
  </si>
  <si>
    <t>0                      BL 0053000G  784</t>
  </si>
  <si>
    <t>Growing edges in the psychology of religion / [edited by] John R. Tisdale.</t>
  </si>
  <si>
    <t>Chicago : Nelson-Hall, [1980]</t>
  </si>
  <si>
    <t>541349:eng</t>
  </si>
  <si>
    <t>5336900</t>
  </si>
  <si>
    <t>991004822929702656</t>
  </si>
  <si>
    <t>2265284120002656</t>
  </si>
  <si>
    <t>9780882293387</t>
  </si>
  <si>
    <t>32285000322023</t>
  </si>
  <si>
    <t>893536219</t>
  </si>
  <si>
    <t>BL53 .H35</t>
  </si>
  <si>
    <t>0                      BL 0053000H  35</t>
  </si>
  <si>
    <t>The liberated heart : transactional analysis in religious experience.</t>
  </si>
  <si>
    <t>Haughton, Rosemary.</t>
  </si>
  <si>
    <t>New York, Seabury Press [1974]</t>
  </si>
  <si>
    <t>2000-07-03</t>
  </si>
  <si>
    <t>1980936:eng</t>
  </si>
  <si>
    <t>1032313</t>
  </si>
  <si>
    <t>991003485219702656</t>
  </si>
  <si>
    <t>2268130890002656</t>
  </si>
  <si>
    <t>9780816411672</t>
  </si>
  <si>
    <t>32285004837539</t>
  </si>
  <si>
    <t>893617374</t>
  </si>
  <si>
    <t>BL53 .H37</t>
  </si>
  <si>
    <t>0                      BL 0053000H  37</t>
  </si>
  <si>
    <t>Psyche and spirit; readings in psychology and religion, edited by John J. Heaney.</t>
  </si>
  <si>
    <t>Heaney, John J., compiler.</t>
  </si>
  <si>
    <t>3944846444:eng</t>
  </si>
  <si>
    <t>754681</t>
  </si>
  <si>
    <t>991003230129702656</t>
  </si>
  <si>
    <t>2267628800002656</t>
  </si>
  <si>
    <t>9780809117864</t>
  </si>
  <si>
    <t>32285000322213</t>
  </si>
  <si>
    <t>893899747</t>
  </si>
  <si>
    <t>BL53 .H378</t>
  </si>
  <si>
    <t>0                      BL 0053000H  378</t>
  </si>
  <si>
    <t>Imago Dei : a study of C. G. Jung's psychology of religion / James W. Heisig.</t>
  </si>
  <si>
    <t>Heisig, James W., 1944-</t>
  </si>
  <si>
    <t>Lewisburg [Pa.] : Bucknell University Press, c1979.</t>
  </si>
  <si>
    <t>2005-01-24</t>
  </si>
  <si>
    <t>865184616:eng</t>
  </si>
  <si>
    <t>4005768</t>
  </si>
  <si>
    <t>991004568519702656</t>
  </si>
  <si>
    <t>2264299340002656</t>
  </si>
  <si>
    <t>9780838720769</t>
  </si>
  <si>
    <t>32285000322221</t>
  </si>
  <si>
    <t>893344006</t>
  </si>
  <si>
    <t>BL53 .H583 1957</t>
  </si>
  <si>
    <t>0                      BL 0053000H  583         1957</t>
  </si>
  <si>
    <t>Religion and the psychology of Jung / by Raymond Hostie. Translated by G.R. Lamb.</t>
  </si>
  <si>
    <t>Hostie, Raymond, 1920-</t>
  </si>
  <si>
    <t>New York : Sheed and Ward, 1957.</t>
  </si>
  <si>
    <t>2564867092:eng</t>
  </si>
  <si>
    <t>1512889</t>
  </si>
  <si>
    <t>991003793069702656</t>
  </si>
  <si>
    <t>2260761440002656</t>
  </si>
  <si>
    <t>32285000322239</t>
  </si>
  <si>
    <t>893775199</t>
  </si>
  <si>
    <t>BL53 .K7</t>
  </si>
  <si>
    <t>0                      BL 0053000K  7</t>
  </si>
  <si>
    <t>The search for the holy, by William F. Kraft.</t>
  </si>
  <si>
    <t>Kraft, William F., 1938-</t>
  </si>
  <si>
    <t>Philadelphia, Westminster Press [1971]</t>
  </si>
  <si>
    <t>2000-07-15</t>
  </si>
  <si>
    <t>1270229:eng</t>
  </si>
  <si>
    <t>161978</t>
  </si>
  <si>
    <t>991000921799702656</t>
  </si>
  <si>
    <t>2269431100002656</t>
  </si>
  <si>
    <t>9780664249236</t>
  </si>
  <si>
    <t>32285000322288</t>
  </si>
  <si>
    <t>893614615</t>
  </si>
  <si>
    <t>BL53 .L4 1969</t>
  </si>
  <si>
    <t>0                      BL 0053000L  4           1969</t>
  </si>
  <si>
    <t>A psychological study of religion, its origin, function, and future.</t>
  </si>
  <si>
    <t>Leuba, James H. (James Henry), 1868-1946.</t>
  </si>
  <si>
    <t>New York, AMS Press [1969]</t>
  </si>
  <si>
    <t>1995-04-05</t>
  </si>
  <si>
    <t>4886409:eng</t>
  </si>
  <si>
    <t>69589</t>
  </si>
  <si>
    <t>991000318679702656</t>
  </si>
  <si>
    <t>2259686980002656</t>
  </si>
  <si>
    <t>32285000322296</t>
  </si>
  <si>
    <t>893884289</t>
  </si>
  <si>
    <t>BL53 .L6 1977</t>
  </si>
  <si>
    <t>0                      BL 0053000L  6           1977</t>
  </si>
  <si>
    <t>Doomsday Cult : a study of conversion, proselytization, and maintenance of faith / John Lofland.</t>
  </si>
  <si>
    <t>Lofland, John.</t>
  </si>
  <si>
    <t>New York : Irvington Publishers : distributed by Halsted Press, c1977.</t>
  </si>
  <si>
    <t>2004-10-10</t>
  </si>
  <si>
    <t>494589:eng</t>
  </si>
  <si>
    <t>3089844</t>
  </si>
  <si>
    <t>991004342019702656</t>
  </si>
  <si>
    <t>2262909130002656</t>
  </si>
  <si>
    <t>9780470992494</t>
  </si>
  <si>
    <t>32285000322312</t>
  </si>
  <si>
    <t>893337604</t>
  </si>
  <si>
    <t>BL53 .M36 1971</t>
  </si>
  <si>
    <t>0                      BL 0053000M  36          1971</t>
  </si>
  <si>
    <t>The structure of religious experience.</t>
  </si>
  <si>
    <t>Macmurray, John, 1891-1976.</t>
  </si>
  <si>
    <t>[Hamden, Conn.] Archon Books, 1971 [c1936]</t>
  </si>
  <si>
    <t>1992-08-05</t>
  </si>
  <si>
    <t>60752254:eng</t>
  </si>
  <si>
    <t>128985</t>
  </si>
  <si>
    <t>991000739869702656</t>
  </si>
  <si>
    <t>2266754410002656</t>
  </si>
  <si>
    <t>9780208009586</t>
  </si>
  <si>
    <t>32285000322338</t>
  </si>
  <si>
    <t>893702397</t>
  </si>
  <si>
    <t>BL53 .P8 1920a</t>
  </si>
  <si>
    <t>0                      BL 0053000P  8           1920a</t>
  </si>
  <si>
    <t>The religious consciousness; a psychological study.</t>
  </si>
  <si>
    <t>Pratt, James Bissett, 1875-1944.</t>
  </si>
  <si>
    <t>New York, Hafner Pub. Co., 1971 [c1920]</t>
  </si>
  <si>
    <t>1992-07-18</t>
  </si>
  <si>
    <t>1187231:eng</t>
  </si>
  <si>
    <t>155650</t>
  </si>
  <si>
    <t>991000894999702656</t>
  </si>
  <si>
    <t>2256571240002656</t>
  </si>
  <si>
    <t>32285000322379</t>
  </si>
  <si>
    <t>893237701</t>
  </si>
  <si>
    <t>BL53 .S35</t>
  </si>
  <si>
    <t>0                      BL 0053000S  35</t>
  </si>
  <si>
    <t>Psychology of religion / Geoffrey E. W. Scobie.</t>
  </si>
  <si>
    <t>Scobie, Geoffrey E. W.</t>
  </si>
  <si>
    <t>New York : Wiley, 1975.</t>
  </si>
  <si>
    <t>1992-04-21</t>
  </si>
  <si>
    <t>3768503311:eng</t>
  </si>
  <si>
    <t>1444038</t>
  </si>
  <si>
    <t>991003759399702656</t>
  </si>
  <si>
    <t>2256018250002656</t>
  </si>
  <si>
    <t>9780470767122</t>
  </si>
  <si>
    <t>32285000322429</t>
  </si>
  <si>
    <t>893258820</t>
  </si>
  <si>
    <t>BL53 .T643</t>
  </si>
  <si>
    <t>0                      BL 0053000T  643</t>
  </si>
  <si>
    <t>The whole person in a broken world. Translated by John and Helen Doberstein.</t>
  </si>
  <si>
    <t>Tournier, Paul.</t>
  </si>
  <si>
    <t>New York, Harper &amp; Row [1964]</t>
  </si>
  <si>
    <t>1995-10-31</t>
  </si>
  <si>
    <t>347911529:eng</t>
  </si>
  <si>
    <t>711129</t>
  </si>
  <si>
    <t>991003177959702656</t>
  </si>
  <si>
    <t>2264089260002656</t>
  </si>
  <si>
    <t>32285000322460</t>
  </si>
  <si>
    <t>893774483</t>
  </si>
  <si>
    <t>BL53 .T67 1977</t>
  </si>
  <si>
    <t>0                      BL 0053000T  67          1977</t>
  </si>
  <si>
    <t>Transpersonal psychologies / edited by Charles T. Tart.</t>
  </si>
  <si>
    <t>New York : Harper &amp; Row, 1977.</t>
  </si>
  <si>
    <t>Harper colophon books ; CN486</t>
  </si>
  <si>
    <t>1990-07-11</t>
  </si>
  <si>
    <t>54033130:eng</t>
  </si>
  <si>
    <t>3160898</t>
  </si>
  <si>
    <t>991004359629702656</t>
  </si>
  <si>
    <t>2266640590002656</t>
  </si>
  <si>
    <t>9780060904869</t>
  </si>
  <si>
    <t>32285000224062</t>
  </si>
  <si>
    <t>893718810</t>
  </si>
  <si>
    <t>BL53 .U45</t>
  </si>
  <si>
    <t>0                      BL 0053000U  45</t>
  </si>
  <si>
    <t>Religion and the unconscious / by Ann and Barry Ulanov.</t>
  </si>
  <si>
    <t>Ulanov, Ann Belford.</t>
  </si>
  <si>
    <t>Philadelphia : Westminster Press, [1975]</t>
  </si>
  <si>
    <t>2010-02-21</t>
  </si>
  <si>
    <t>2282563:eng</t>
  </si>
  <si>
    <t>1418936</t>
  </si>
  <si>
    <t>991003747089702656</t>
  </si>
  <si>
    <t>2261057590002656</t>
  </si>
  <si>
    <t>9780664207991</t>
  </si>
  <si>
    <t>32285000322486</t>
  </si>
  <si>
    <t>893699356</t>
  </si>
  <si>
    <t>BL53 .W33 1988</t>
  </si>
  <si>
    <t>0                      BL 0053000W  33          1988</t>
  </si>
  <si>
    <t>The psychology of religious knowing / Fraser Watts and Mark Williams.</t>
  </si>
  <si>
    <t>Watts, Fraser N.</t>
  </si>
  <si>
    <t>Cambridge ; New York : Cambridge University Press, 1988.</t>
  </si>
  <si>
    <t>2001-10-01</t>
  </si>
  <si>
    <t>1990-01-02</t>
  </si>
  <si>
    <t>13202316:eng</t>
  </si>
  <si>
    <t>16756283</t>
  </si>
  <si>
    <t>991001143869702656</t>
  </si>
  <si>
    <t>2260890990002656</t>
  </si>
  <si>
    <t>9780521326100</t>
  </si>
  <si>
    <t>32285000018712</t>
  </si>
  <si>
    <t>893614817</t>
  </si>
  <si>
    <t>BL53 .W45</t>
  </si>
  <si>
    <t>0                      BL 0053000W  45</t>
  </si>
  <si>
    <t>God and the unconscious. With a foreword by C. G. Jung, and an appendix by Gebhard Frei.</t>
  </si>
  <si>
    <t>White, Victor, 1902-1960.</t>
  </si>
  <si>
    <t>Chicago, H. Regnery Co., 1953.</t>
  </si>
  <si>
    <t>2000-06-19</t>
  </si>
  <si>
    <t>5612237707:eng</t>
  </si>
  <si>
    <t>310825</t>
  </si>
  <si>
    <t>991002280259702656</t>
  </si>
  <si>
    <t>2257319040002656</t>
  </si>
  <si>
    <t>32285000322502</t>
  </si>
  <si>
    <t>893232774</t>
  </si>
  <si>
    <t>BL530 .A84 1987</t>
  </si>
  <si>
    <t>0                      BL 0530000A  84          1987</t>
  </si>
  <si>
    <t>Expectations of immortality in late antiquity / by A. Hilary Armstrong.</t>
  </si>
  <si>
    <t>Armstrong, A. H. (Arthur Hilary)</t>
  </si>
  <si>
    <t>Milwaukee : Marquette University Press, 1987.</t>
  </si>
  <si>
    <t>The Aquinas lecture ; 1987</t>
  </si>
  <si>
    <t>2004-03-11</t>
  </si>
  <si>
    <t>1033386:eng</t>
  </si>
  <si>
    <t>15613883</t>
  </si>
  <si>
    <t>991001045139702656</t>
  </si>
  <si>
    <t>2268952220002656</t>
  </si>
  <si>
    <t>9780874621549</t>
  </si>
  <si>
    <t>32285000133719</t>
  </si>
  <si>
    <t>893407779</t>
  </si>
  <si>
    <t>BL530 .M6 1963</t>
  </si>
  <si>
    <t>0                      BL 0530000M  6           1963</t>
  </si>
  <si>
    <t>Ancient beliefs in the immortality of the soul, with some account of their influence on later views.</t>
  </si>
  <si>
    <t>Moore, Clifford Herschel, 1866-1931.</t>
  </si>
  <si>
    <t>New York, Cooper Square Publishers, 1963.</t>
  </si>
  <si>
    <t>Our debt to Greece and Rome</t>
  </si>
  <si>
    <t>2009-03-04</t>
  </si>
  <si>
    <t>477127:eng</t>
  </si>
  <si>
    <t>555793</t>
  </si>
  <si>
    <t>991005356779702656</t>
  </si>
  <si>
    <t>2262446030002656</t>
  </si>
  <si>
    <t>32285000133727</t>
  </si>
  <si>
    <t>893230573</t>
  </si>
  <si>
    <t>BL535 .K56 1970b</t>
  </si>
  <si>
    <t>0                      BL 0535000K  56          1970b</t>
  </si>
  <si>
    <t>Elysion: on Ancient Greek and Roman beliefs concerning a life after death, by W. F. Jackson Knight; with an introduction by G. Wilson Knight.</t>
  </si>
  <si>
    <t>Knight, W. F. Jackson (William Francis Jackson), 1895-1964.</t>
  </si>
  <si>
    <t>1990-10-11</t>
  </si>
  <si>
    <t>1250822:eng</t>
  </si>
  <si>
    <t>9559134</t>
  </si>
  <si>
    <t>991000954709702656</t>
  </si>
  <si>
    <t>2272553240002656</t>
  </si>
  <si>
    <t>9780091041519</t>
  </si>
  <si>
    <t>32285000345883</t>
  </si>
  <si>
    <t>893683893</t>
  </si>
  <si>
    <t>BL535 .L45 1973b</t>
  </si>
  <si>
    <t>0                      BL 0535000L  45          1973b</t>
  </si>
  <si>
    <t>The self and immortality [by] Hywel D. Lewis.</t>
  </si>
  <si>
    <t>[New York] Seabury Press [1973]</t>
  </si>
  <si>
    <t>A Continuum book</t>
  </si>
  <si>
    <t>1995-04-21</t>
  </si>
  <si>
    <t>1595351:eng</t>
  </si>
  <si>
    <t>782290</t>
  </si>
  <si>
    <t>991003256829702656</t>
  </si>
  <si>
    <t>2263386180002656</t>
  </si>
  <si>
    <t>9780816411382</t>
  </si>
  <si>
    <t>32285000345909</t>
  </si>
  <si>
    <t>893793459</t>
  </si>
  <si>
    <t>BL54 .E57 1977</t>
  </si>
  <si>
    <t>0                      BL 0054000E  57          1977</t>
  </si>
  <si>
    <t>Sounds of wonder : speaking in tongues in the Catholic tradition / by Eddie Ensley.</t>
  </si>
  <si>
    <t>Ensley, Eddie.</t>
  </si>
  <si>
    <t>New York : Paulist Press, c1977.</t>
  </si>
  <si>
    <t>466124:eng</t>
  </si>
  <si>
    <t>3022438</t>
  </si>
  <si>
    <t>991004322539702656</t>
  </si>
  <si>
    <t>2261496710002656</t>
  </si>
  <si>
    <t>9780809118830</t>
  </si>
  <si>
    <t>32285000322528</t>
  </si>
  <si>
    <t>893712447</t>
  </si>
  <si>
    <t>BL54 .M53</t>
  </si>
  <si>
    <t>0                      BL 0054000M  53</t>
  </si>
  <si>
    <t>Understanding speaking in tongues, by Watson E. Mills.</t>
  </si>
  <si>
    <t>Mills, Watson E.</t>
  </si>
  <si>
    <t>Grand Rapids, W. B. Eerdmans Pub. Co. [1972]</t>
  </si>
  <si>
    <t>2007-06-21</t>
  </si>
  <si>
    <t>1990-02-21</t>
  </si>
  <si>
    <t>1404690:eng</t>
  </si>
  <si>
    <t>247300</t>
  </si>
  <si>
    <t>991001927339702656</t>
  </si>
  <si>
    <t>2257900080002656</t>
  </si>
  <si>
    <t>32285000058189</t>
  </si>
  <si>
    <t>893503822</t>
  </si>
  <si>
    <t>BL54 .S24</t>
  </si>
  <si>
    <t>0                      BL 0054000S  24</t>
  </si>
  <si>
    <t>Tongues of men and angels; the religious language of Pentecostalism, by William J. Samarin.</t>
  </si>
  <si>
    <t>Samarin, William J.</t>
  </si>
  <si>
    <t>1990-02-19</t>
  </si>
  <si>
    <t>1364010:eng</t>
  </si>
  <si>
    <t>308527</t>
  </si>
  <si>
    <t>991002271829702656</t>
  </si>
  <si>
    <t>2266155610002656</t>
  </si>
  <si>
    <t>32285000054592</t>
  </si>
  <si>
    <t>893773415</t>
  </si>
  <si>
    <t>BL55 .D3 1929b</t>
  </si>
  <si>
    <t>0                      BL 0055000D  3           1929b</t>
  </si>
  <si>
    <t>Progress and religion : an historical enquiry / [by] Christopher Dawson.</t>
  </si>
  <si>
    <t>Dawson, Christopher, 1889-1970.</t>
  </si>
  <si>
    <t>New York ; London : Longmans, Green, 1929.</t>
  </si>
  <si>
    <t>357531:eng</t>
  </si>
  <si>
    <t>1425686</t>
  </si>
  <si>
    <t>991003750379702656</t>
  </si>
  <si>
    <t>2272335560002656</t>
  </si>
  <si>
    <t>32285000322577</t>
  </si>
  <si>
    <t>893598936</t>
  </si>
  <si>
    <t>BL55 .R128R3</t>
  </si>
  <si>
    <t>0                      BL 0055000R  128                R  3</t>
  </si>
  <si>
    <t>Religion in a changing world, [by] Sarvepalli Radhakrishnan.</t>
  </si>
  <si>
    <t>London, Allen and Unwin; New York, Humanities Press [1967]</t>
  </si>
  <si>
    <t>1992-10-28</t>
  </si>
  <si>
    <t>1410111:eng</t>
  </si>
  <si>
    <t>359836</t>
  </si>
  <si>
    <t>991002481409702656</t>
  </si>
  <si>
    <t>2272398020002656</t>
  </si>
  <si>
    <t>32285000322601</t>
  </si>
  <si>
    <t>893433935</t>
  </si>
  <si>
    <t>BL55.D39 O2</t>
  </si>
  <si>
    <t>0                      BL 0055000D  39                 O  2</t>
  </si>
  <si>
    <t>The relation between religion and culture according to Christopher Dawson : (a synthesis of Christopher Dawson 's writings).</t>
  </si>
  <si>
    <t>O'Connor, Daniel A.</t>
  </si>
  <si>
    <t>Montréal : Librairie Saint-Viateur, 1952.</t>
  </si>
  <si>
    <t>1952</t>
  </si>
  <si>
    <t>Collection de l'Ecole des sciences politiques et sociales de l'Université de Louvain, no. 145.</t>
  </si>
  <si>
    <t>1996-02-07</t>
  </si>
  <si>
    <t>434480318:eng</t>
  </si>
  <si>
    <t>3301558</t>
  </si>
  <si>
    <t>991004401439702656</t>
  </si>
  <si>
    <t>2264515070002656</t>
  </si>
  <si>
    <t>32285000322593</t>
  </si>
  <si>
    <t>893535963</t>
  </si>
  <si>
    <t>BL550 .P3 1975</t>
  </si>
  <si>
    <t>0                      BL 0550000P  3           1975</t>
  </si>
  <si>
    <t>Worship in the world's religions / by Geoffrey Parrinder.</t>
  </si>
  <si>
    <t>Totowa, N.J. : Littlefield, Adams, 1976, c1961.</t>
  </si>
  <si>
    <t>A Littlefield, Adams quality paperback ; no. 316</t>
  </si>
  <si>
    <t>487715:eng</t>
  </si>
  <si>
    <t>1735559</t>
  </si>
  <si>
    <t>991003885699702656</t>
  </si>
  <si>
    <t>2272232150002656</t>
  </si>
  <si>
    <t>9780822603160</t>
  </si>
  <si>
    <t>32285000345966</t>
  </si>
  <si>
    <t>893810238</t>
  </si>
  <si>
    <t>BL586 .T465 1988</t>
  </si>
  <si>
    <t>0                      BL 0586000T  465         1988</t>
  </si>
  <si>
    <t>Temple in society / edited by Michael V. Fox.</t>
  </si>
  <si>
    <t>Winona Lake : Eisenbrauns, 1988.</t>
  </si>
  <si>
    <t>1994-04-19</t>
  </si>
  <si>
    <t>15717066:eng</t>
  </si>
  <si>
    <t>17619683</t>
  </si>
  <si>
    <t>991001241099702656</t>
  </si>
  <si>
    <t>2257690820002656</t>
  </si>
  <si>
    <t>9780931464386</t>
  </si>
  <si>
    <t>32285000346022</t>
  </si>
  <si>
    <t>893315630</t>
  </si>
  <si>
    <t>BL60 .B48</t>
  </si>
  <si>
    <t>0                      BL 0060000B  48</t>
  </si>
  <si>
    <t>Sociology and religion; a book of readings [by] Norman Birnbaum [and] Gertrud Lenzer.</t>
  </si>
  <si>
    <t>Birnbaum, Norman compiler.</t>
  </si>
  <si>
    <t>Englewood Cliffs, N.J., Prentice-Hall [1969]</t>
  </si>
  <si>
    <t>1998-11-20</t>
  </si>
  <si>
    <t>836617892:eng</t>
  </si>
  <si>
    <t>1896</t>
  </si>
  <si>
    <t>991005433569702656</t>
  </si>
  <si>
    <t>2271289480002656</t>
  </si>
  <si>
    <t>32285000322650</t>
  </si>
  <si>
    <t>893431504</t>
  </si>
  <si>
    <t>BL60 .B68</t>
  </si>
  <si>
    <t>0                      BL 0060000B  68</t>
  </si>
  <si>
    <t>Contemporary religion and social responsibility. Edited by Norbert Brockman [and] Nicholas Piediscalzi.</t>
  </si>
  <si>
    <t>Brockman, Norbert, compiler.</t>
  </si>
  <si>
    <t>New York, Alba House [1973]</t>
  </si>
  <si>
    <t>1498322:eng</t>
  </si>
  <si>
    <t>516279</t>
  </si>
  <si>
    <t>991002899829702656</t>
  </si>
  <si>
    <t>2256647640002656</t>
  </si>
  <si>
    <t>9780818902574</t>
  </si>
  <si>
    <t>32285000322668</t>
  </si>
  <si>
    <t>893598040</t>
  </si>
  <si>
    <t>BL60 .B7 1967</t>
  </si>
  <si>
    <t>0                      BL 0060000B  7           1967</t>
  </si>
  <si>
    <t>Readings in the sociology of religion.</t>
  </si>
  <si>
    <t>Brothers, Joan, 1938-, editor.</t>
  </si>
  <si>
    <t>Oxford, New York, Pergamon Press [1967]</t>
  </si>
  <si>
    <t>The Commonwealth and international library. Readings in sociology</t>
  </si>
  <si>
    <t>5540240:eng</t>
  </si>
  <si>
    <t>2655919</t>
  </si>
  <si>
    <t>991004202309702656</t>
  </si>
  <si>
    <t>2256276220002656</t>
  </si>
  <si>
    <t>32285000322676</t>
  </si>
  <si>
    <t>893605755</t>
  </si>
  <si>
    <t>BL60 .C43 1989</t>
  </si>
  <si>
    <t>0                      BL 0060000C  43          1989</t>
  </si>
  <si>
    <t>The Changing face of religion / edited by James A. Beckford and Thomas Luckmann.</t>
  </si>
  <si>
    <t>London : Sage, 1989.</t>
  </si>
  <si>
    <t>Sage studies in international sociology ; 37</t>
  </si>
  <si>
    <t>1994-03-22</t>
  </si>
  <si>
    <t>365229128:eng</t>
  </si>
  <si>
    <t>23733091</t>
  </si>
  <si>
    <t>991001453309702656</t>
  </si>
  <si>
    <t>2269585460002656</t>
  </si>
  <si>
    <t>9780803982116</t>
  </si>
  <si>
    <t>32285000019827</t>
  </si>
  <si>
    <t>893250252</t>
  </si>
  <si>
    <t>BL60 .C47</t>
  </si>
  <si>
    <t>0                      BL 0060000C  47</t>
  </si>
  <si>
    <t>Churches and states: the religious institution and modernization, by Victor D. Du Bois [and others] Edited by Kalman H. Silvert. With a foreword by Kenneth W. Thompson.</t>
  </si>
  <si>
    <t>New York, American Universities Field Staff [1967]</t>
  </si>
  <si>
    <t>365847800:eng</t>
  </si>
  <si>
    <t>1533409</t>
  </si>
  <si>
    <t>991003809089702656</t>
  </si>
  <si>
    <t>2271003090002656</t>
  </si>
  <si>
    <t>32285000322718</t>
  </si>
  <si>
    <t>893240634</t>
  </si>
  <si>
    <t>BL60 .D45</t>
  </si>
  <si>
    <t>0                      BL 0060000D  45</t>
  </si>
  <si>
    <t>Religion in social context; tradition and transition [by] N. J. Demerath III and Phillip E. Hammond.</t>
  </si>
  <si>
    <t>Demerath, N. J. (Nicholas Jay), 1936-</t>
  </si>
  <si>
    <t>New York, Random House [1968, c1969]</t>
  </si>
  <si>
    <t>1992-11-12</t>
  </si>
  <si>
    <t>3887441347:eng</t>
  </si>
  <si>
    <t>253537</t>
  </si>
  <si>
    <t>991001962259702656</t>
  </si>
  <si>
    <t>2267209990002656</t>
  </si>
  <si>
    <t>32285000322742</t>
  </si>
  <si>
    <t>893516731</t>
  </si>
  <si>
    <t>BL60 .F88 1993</t>
  </si>
  <si>
    <t>0                      BL 0060000F  88          1993</t>
  </si>
  <si>
    <t>A Future for religion? : new paradigms for social analysis / editor, William H. Swatos, Jr.</t>
  </si>
  <si>
    <t>Newbury Park : Sage Publications, c1993.</t>
  </si>
  <si>
    <t>Sage focus editions ; 151</t>
  </si>
  <si>
    <t>1994-05-17</t>
  </si>
  <si>
    <t>836758517:eng</t>
  </si>
  <si>
    <t>26546587</t>
  </si>
  <si>
    <t>991002071749702656</t>
  </si>
  <si>
    <t>2259632090002656</t>
  </si>
  <si>
    <t>9780803946750</t>
  </si>
  <si>
    <t>32285001896421</t>
  </si>
  <si>
    <t>893497686</t>
  </si>
  <si>
    <t>BL60 .G56</t>
  </si>
  <si>
    <t>0                      BL 0060000G  56</t>
  </si>
  <si>
    <t>Religion and society in tension / [by] Charles Y. Glock [and] Rodney Stark.</t>
  </si>
  <si>
    <t>Glock, Charles Y.</t>
  </si>
  <si>
    <t>Chicago : Rand McNally, [1965]</t>
  </si>
  <si>
    <t>Rand McNally sociology series</t>
  </si>
  <si>
    <t>2010-09-30</t>
  </si>
  <si>
    <t>1337345:eng</t>
  </si>
  <si>
    <t>225752</t>
  </si>
  <si>
    <t>991001378729702656</t>
  </si>
  <si>
    <t>2263708750002656</t>
  </si>
  <si>
    <t>32285000322783</t>
  </si>
  <si>
    <t>893534532</t>
  </si>
  <si>
    <t>BL60 .G6</t>
  </si>
  <si>
    <t>0                      BL 0060000G  6</t>
  </si>
  <si>
    <t>Religion among the primitives; with an introd. by Kingsley Davis.</t>
  </si>
  <si>
    <t>Goode, William Josiah.</t>
  </si>
  <si>
    <t>Glencoe, Ill., Free Press [c1951]</t>
  </si>
  <si>
    <t>1459650:eng</t>
  </si>
  <si>
    <t>374322</t>
  </si>
  <si>
    <t>991002573529702656</t>
  </si>
  <si>
    <t>2262369500002656</t>
  </si>
  <si>
    <t>32285000322791</t>
  </si>
  <si>
    <t>893341589</t>
  </si>
  <si>
    <t>BL60 .H289 1979</t>
  </si>
  <si>
    <t>0                      BL 0060000H  289         1979</t>
  </si>
  <si>
    <t>The sociology of religion : classical and contemporary approaches / Barbara Hargrove.</t>
  </si>
  <si>
    <t>Hargrove, Barbara.</t>
  </si>
  <si>
    <t>Arlington Heights, Ill. : AHM Pub. Corp., c1979.</t>
  </si>
  <si>
    <t>1995-02-20</t>
  </si>
  <si>
    <t>1990-09-28</t>
  </si>
  <si>
    <t>889958521:eng</t>
  </si>
  <si>
    <t>4952137</t>
  </si>
  <si>
    <t>991004753409702656</t>
  </si>
  <si>
    <t>2258847200002656</t>
  </si>
  <si>
    <t>9780882952116</t>
  </si>
  <si>
    <t>32285000323245</t>
  </si>
  <si>
    <t>893876538</t>
  </si>
  <si>
    <t>BL60 .H48 1973a</t>
  </si>
  <si>
    <t>0                      BL 0060000H  48          1973a</t>
  </si>
  <si>
    <t>A sociology of religion.</t>
  </si>
  <si>
    <t>Hill, Michael, 1943-</t>
  </si>
  <si>
    <t>New York, Basic Books [1974, c1973]</t>
  </si>
  <si>
    <t>118207336:eng</t>
  </si>
  <si>
    <t>769008</t>
  </si>
  <si>
    <t>991003245309702656</t>
  </si>
  <si>
    <t>2270638010002656</t>
  </si>
  <si>
    <t>9780465080397</t>
  </si>
  <si>
    <t>32285000323252</t>
  </si>
  <si>
    <t>893711188</t>
  </si>
  <si>
    <t>BL60 .L44</t>
  </si>
  <si>
    <t>0                      BL 0060000L  44</t>
  </si>
  <si>
    <t>The religious factor; a sociological study of religion's impact on politics, economics, and family life.</t>
  </si>
  <si>
    <t>Lenski, Gerhard, 1924-2015.</t>
  </si>
  <si>
    <t>Garden City, N.Y., Doubleday, 1961.</t>
  </si>
  <si>
    <t>1996-08-15</t>
  </si>
  <si>
    <t>1089559595:eng</t>
  </si>
  <si>
    <t>656217</t>
  </si>
  <si>
    <t>991003109979702656</t>
  </si>
  <si>
    <t>2263429020002656</t>
  </si>
  <si>
    <t>32285000323278</t>
  </si>
  <si>
    <t>893721790</t>
  </si>
  <si>
    <t>BL60 .L813</t>
  </si>
  <si>
    <t>0                      BL 0060000L  813</t>
  </si>
  <si>
    <t>The invisible religion; the problem of religion in modern society.</t>
  </si>
  <si>
    <t>Luckmann, Thomas.</t>
  </si>
  <si>
    <t>New York, Macmillan [c1967]</t>
  </si>
  <si>
    <t>1995-01-16</t>
  </si>
  <si>
    <t>3404038:eng</t>
  </si>
  <si>
    <t>378073</t>
  </si>
  <si>
    <t>991003569609702656</t>
  </si>
  <si>
    <t>2263279760002656</t>
  </si>
  <si>
    <t>32285000323286</t>
  </si>
  <si>
    <t>893348820</t>
  </si>
  <si>
    <t>BL60 .M62 1977</t>
  </si>
  <si>
    <t>0                      BL 0060000M  62          1977</t>
  </si>
  <si>
    <t>Identity and the sacred : a sketch for a new social-scientific theory of religion / Hans Mol.</t>
  </si>
  <si>
    <t>Mol, Hans, 1922-</t>
  </si>
  <si>
    <t>New York : Free Press, 1977, c1976.</t>
  </si>
  <si>
    <t>1st American ed.</t>
  </si>
  <si>
    <t>1997-02-27</t>
  </si>
  <si>
    <t>866851550:eng</t>
  </si>
  <si>
    <t>2388081</t>
  </si>
  <si>
    <t>991004107669702656</t>
  </si>
  <si>
    <t>2259290040002656</t>
  </si>
  <si>
    <t>9780029216002</t>
  </si>
  <si>
    <t>32285000323310</t>
  </si>
  <si>
    <t>893900803</t>
  </si>
  <si>
    <t>BL60 .M63 1983</t>
  </si>
  <si>
    <t>0                      BL 0060000M  63          1983</t>
  </si>
  <si>
    <t>Meaning and place : an introduction to the social scientific study of religion / Hans Mol.</t>
  </si>
  <si>
    <t>New York : Pilgrim Press, c1983.</t>
  </si>
  <si>
    <t>43165998:eng</t>
  </si>
  <si>
    <t>8784826</t>
  </si>
  <si>
    <t>991000070619702656</t>
  </si>
  <si>
    <t>2265569280002656</t>
  </si>
  <si>
    <t>9780829806380</t>
  </si>
  <si>
    <t>32285000323328</t>
  </si>
  <si>
    <t>893413047</t>
  </si>
  <si>
    <t>BL60 .N43</t>
  </si>
  <si>
    <t>0                      BL 0060000N  43</t>
  </si>
  <si>
    <t>The social meanings of religion : an integrated anthology / William M. Newman.</t>
  </si>
  <si>
    <t>Newman, William M.</t>
  </si>
  <si>
    <t>Chicago : Rand McNally, [1974]</t>
  </si>
  <si>
    <t>2003-04-14</t>
  </si>
  <si>
    <t>422903585:eng</t>
  </si>
  <si>
    <t>1119442</t>
  </si>
  <si>
    <t>991003550889702656</t>
  </si>
  <si>
    <t>2256121450002656</t>
  </si>
  <si>
    <t>9780528682124</t>
  </si>
  <si>
    <t>32285000323336</t>
  </si>
  <si>
    <t>893604902</t>
  </si>
  <si>
    <t>BL60 .N597</t>
  </si>
  <si>
    <t>0                      BL 0060000N  597</t>
  </si>
  <si>
    <t>Religion: a sociological view [by] Elizabeth K. Nottingham.</t>
  </si>
  <si>
    <t>Nottingham, Elizabeth K. (Elizabeth Kristine), 1900-1994.</t>
  </si>
  <si>
    <t>New York, Random House [1971]</t>
  </si>
  <si>
    <t>1992-11-11</t>
  </si>
  <si>
    <t>461043:eng</t>
  </si>
  <si>
    <t>155921</t>
  </si>
  <si>
    <t>991000895579702656</t>
  </si>
  <si>
    <t>2256682270002656</t>
  </si>
  <si>
    <t>9780394310213</t>
  </si>
  <si>
    <t>32285000323344</t>
  </si>
  <si>
    <t>893231513</t>
  </si>
  <si>
    <t>BL60 .R3 1948</t>
  </si>
  <si>
    <t>0                      BL 0060000R  3           1948</t>
  </si>
  <si>
    <t>Religion and society.</t>
  </si>
  <si>
    <t>London, Allen &amp; Unwin [1959] 1966 printing.</t>
  </si>
  <si>
    <t>Kamala lectures</t>
  </si>
  <si>
    <t>2002-02-06</t>
  </si>
  <si>
    <t>1446414:eng</t>
  </si>
  <si>
    <t>381889</t>
  </si>
  <si>
    <t>991002625359702656</t>
  </si>
  <si>
    <t>2259922240002656</t>
  </si>
  <si>
    <t>32285000323369</t>
  </si>
  <si>
    <t>893498336</t>
  </si>
  <si>
    <t>BL60 .R43</t>
  </si>
  <si>
    <t>0                      BL 0060000R  43</t>
  </si>
  <si>
    <t>Religious change and continuity / Harry M. Johnson, ed.</t>
  </si>
  <si>
    <t>San Francisco : Jossey-Bass, 1979.</t>
  </si>
  <si>
    <t>Jossey-Bass social and behavioral science series</t>
  </si>
  <si>
    <t>365940241:eng</t>
  </si>
  <si>
    <t>5140597</t>
  </si>
  <si>
    <t>991004785689702656</t>
  </si>
  <si>
    <t>2258852870002656</t>
  </si>
  <si>
    <t>9780875894089</t>
  </si>
  <si>
    <t>32285000323377</t>
  </si>
  <si>
    <t>893350377</t>
  </si>
  <si>
    <t>BL60 .R59</t>
  </si>
  <si>
    <t>0                      BL 0060000R  59</t>
  </si>
  <si>
    <t>The sociological interpretation of religion.</t>
  </si>
  <si>
    <t>Robertson, Roland.</t>
  </si>
  <si>
    <t>Introductions to sociology</t>
  </si>
  <si>
    <t>1190399:eng</t>
  </si>
  <si>
    <t>56838</t>
  </si>
  <si>
    <t>991000136959702656</t>
  </si>
  <si>
    <t>2261360850002656</t>
  </si>
  <si>
    <t>32285000323393</t>
  </si>
  <si>
    <t>893877839</t>
  </si>
  <si>
    <t>BL60 .R6</t>
  </si>
  <si>
    <t>0                      BL 0060000R  6</t>
  </si>
  <si>
    <t>Sociology of religion: selected readings.</t>
  </si>
  <si>
    <t>Robertson, Roland compiler.</t>
  </si>
  <si>
    <t>Harmondsworth, Penguin, 1969.</t>
  </si>
  <si>
    <t>Penguin Education</t>
  </si>
  <si>
    <t>2008-04-26</t>
  </si>
  <si>
    <t>1090725152:eng</t>
  </si>
  <si>
    <t>61686</t>
  </si>
  <si>
    <t>991000166929702656</t>
  </si>
  <si>
    <t>2255366540002656</t>
  </si>
  <si>
    <t>9780140801248</t>
  </si>
  <si>
    <t>32285000323401</t>
  </si>
  <si>
    <t>893508572</t>
  </si>
  <si>
    <t>BL60 .S28 1971</t>
  </si>
  <si>
    <t>0                      BL 0060000S  28          1971</t>
  </si>
  <si>
    <t>The sociological study of religion [by] Betty R. Scharf.</t>
  </si>
  <si>
    <t>Scharf, Betty R.</t>
  </si>
  <si>
    <t>New York, Harper &amp; Row [1971]</t>
  </si>
  <si>
    <t>[1st Harper torchbook ed.]</t>
  </si>
  <si>
    <t>Harper torchbooks ; TB1601</t>
  </si>
  <si>
    <t>1271000:eng</t>
  </si>
  <si>
    <t>206820</t>
  </si>
  <si>
    <t>991001237699702656</t>
  </si>
  <si>
    <t>2255146180002656</t>
  </si>
  <si>
    <t>9780061316012</t>
  </si>
  <si>
    <t>32285000323419</t>
  </si>
  <si>
    <t>893608687</t>
  </si>
  <si>
    <t>BL60 .S3</t>
  </si>
  <si>
    <t>0                      BL 0060000S  3</t>
  </si>
  <si>
    <t>Religion, culture, and society : a reader in the sociology of religion.</t>
  </si>
  <si>
    <t>Schneider, Louis, 1915-, editor.</t>
  </si>
  <si>
    <t>New York, Wiley [1964] 1966 printing.</t>
  </si>
  <si>
    <t>868832732:eng</t>
  </si>
  <si>
    <t>375412</t>
  </si>
  <si>
    <t>991002589009702656</t>
  </si>
  <si>
    <t>2264003910002656</t>
  </si>
  <si>
    <t>32285000323435</t>
  </si>
  <si>
    <t>893704248</t>
  </si>
  <si>
    <t>BL60 .S43 1993</t>
  </si>
  <si>
    <t>0                      BL 0060000S  43          1993</t>
  </si>
  <si>
    <t>Secularization, rationalism, and sectarianism : essays in honour of Bryan R. Wilson / edited by Eileen Barker, James A. Beckford, and Karel Dobbelaere.</t>
  </si>
  <si>
    <t>Oxford : Clarendon Press ; New York : Oxford University Press, 1993.</t>
  </si>
  <si>
    <t>1997-05-19</t>
  </si>
  <si>
    <t>1994-01-26</t>
  </si>
  <si>
    <t>807166539:eng</t>
  </si>
  <si>
    <t>27035668</t>
  </si>
  <si>
    <t>991002109909702656</t>
  </si>
  <si>
    <t>2270272410002656</t>
  </si>
  <si>
    <t>9780198277217</t>
  </si>
  <si>
    <t>32285001833705</t>
  </si>
  <si>
    <t>893497733</t>
  </si>
  <si>
    <t>BL60 .T44 1987</t>
  </si>
  <si>
    <t>0                      BL 0060000T  44          1987</t>
  </si>
  <si>
    <t>Theology and sociology : a reader / edited and introduced by Robin Gill.</t>
  </si>
  <si>
    <t>London : Chapman ; New York : Paulist Press, 1987.</t>
  </si>
  <si>
    <t>1994-04-28</t>
  </si>
  <si>
    <t>836732763:eng</t>
  </si>
  <si>
    <t>16924386</t>
  </si>
  <si>
    <t>991001166879702656</t>
  </si>
  <si>
    <t>2271128020002656</t>
  </si>
  <si>
    <t>9780225665222</t>
  </si>
  <si>
    <t>32285000323526</t>
  </si>
  <si>
    <t>893684105</t>
  </si>
  <si>
    <t>BL60 .T87 1983</t>
  </si>
  <si>
    <t>0                      BL 0060000T  87          1983</t>
  </si>
  <si>
    <t>Religion and social theory : a materialist perspective / Bryan S. Turner.</t>
  </si>
  <si>
    <t>Turner, Bryan S.</t>
  </si>
  <si>
    <t>London : Heinemann ; New Jersey : Humanities Press, 1983.</t>
  </si>
  <si>
    <t>2007-11-19</t>
  </si>
  <si>
    <t>1058067:eng</t>
  </si>
  <si>
    <t>12666860</t>
  </si>
  <si>
    <t>991000721609702656</t>
  </si>
  <si>
    <t>2266109640002656</t>
  </si>
  <si>
    <t>9780391029774</t>
  </si>
  <si>
    <t>32285000323542</t>
  </si>
  <si>
    <t>893255663</t>
  </si>
  <si>
    <t>BL60 .V47</t>
  </si>
  <si>
    <t>0                      BL 0060000V  47</t>
  </si>
  <si>
    <t>Sociology of religion.</t>
  </si>
  <si>
    <t>Vernon, Glenn M.</t>
  </si>
  <si>
    <t>New York, McGraw-Hill, 1962.</t>
  </si>
  <si>
    <t>McGraw-Hill series in sociology</t>
  </si>
  <si>
    <t>1457501:eng</t>
  </si>
  <si>
    <t>336604</t>
  </si>
  <si>
    <t>991002400619702656</t>
  </si>
  <si>
    <t>2254704540002656</t>
  </si>
  <si>
    <t>32285000323559</t>
  </si>
  <si>
    <t>893710244</t>
  </si>
  <si>
    <t>BL60 .W34 1986</t>
  </si>
  <si>
    <t>0                      BL 0060000W  34          1986</t>
  </si>
  <si>
    <t>Sociological theory, religion and collective action / Roy Wallis and Steve Bruce.</t>
  </si>
  <si>
    <t>Wallis, Roy.</t>
  </si>
  <si>
    <t>Belfast, Northern Ireland : Queen's University, 1986.</t>
  </si>
  <si>
    <t>nik</t>
  </si>
  <si>
    <t>7954366:eng</t>
  </si>
  <si>
    <t>13546873</t>
  </si>
  <si>
    <t>991000843879702656</t>
  </si>
  <si>
    <t>2270663700002656</t>
  </si>
  <si>
    <t>32285000323575</t>
  </si>
  <si>
    <t>893237659</t>
  </si>
  <si>
    <t>BL60 .W42</t>
  </si>
  <si>
    <t>0                      BL 0060000W  42</t>
  </si>
  <si>
    <t>The sociology of religion. Translated by Ephraim Fischoff. Introd. by Talcott Parsons.</t>
  </si>
  <si>
    <t>Weber, Max, 1864-1920.</t>
  </si>
  <si>
    <t>Boston, Beacon Press [1963] 1964 printing.</t>
  </si>
  <si>
    <t>2001-11-07</t>
  </si>
  <si>
    <t>2863423170:eng</t>
  </si>
  <si>
    <t>378072</t>
  </si>
  <si>
    <t>991005355009702656</t>
  </si>
  <si>
    <t>2264382650002656</t>
  </si>
  <si>
    <t>32285000323583</t>
  </si>
  <si>
    <t>893443815</t>
  </si>
  <si>
    <t>BL60 .W53 1984</t>
  </si>
  <si>
    <t>0                      BL 0060000W  53          1984</t>
  </si>
  <si>
    <t>A sociable God : toward a new understanding of religion / Ken Wilber.</t>
  </si>
  <si>
    <t>Wilber, Ken.</t>
  </si>
  <si>
    <t>Boulder : New Science Library ; New York, N.Y. : Distributed by Random House, 1984, c1983.</t>
  </si>
  <si>
    <t>1st Shambhala ed.</t>
  </si>
  <si>
    <t>1997-12-17</t>
  </si>
  <si>
    <t>406775:eng</t>
  </si>
  <si>
    <t>10726763</t>
  </si>
  <si>
    <t>991000418509702656</t>
  </si>
  <si>
    <t>2264257920002656</t>
  </si>
  <si>
    <t>9780394726922</t>
  </si>
  <si>
    <t>32285000323591</t>
  </si>
  <si>
    <t>893601731</t>
  </si>
  <si>
    <t>BL60 .W54 1973b</t>
  </si>
  <si>
    <t>0                      BL 0060000W  54          1973b</t>
  </si>
  <si>
    <t>Magic and the millennium; a sociological study of religious movements of protest among tribal and third-world peoples [by] Bryan R. Wilson.</t>
  </si>
  <si>
    <t>Wilson, Bryan R.</t>
  </si>
  <si>
    <t>New York, Harper &amp; Row [1973]</t>
  </si>
  <si>
    <t>2000-01-06</t>
  </si>
  <si>
    <t>889159175:eng</t>
  </si>
  <si>
    <t>792970</t>
  </si>
  <si>
    <t>991005356829702656</t>
  </si>
  <si>
    <t>2260724510002656</t>
  </si>
  <si>
    <t>9780060146719</t>
  </si>
  <si>
    <t>32285000323609</t>
  </si>
  <si>
    <t>893536586</t>
  </si>
  <si>
    <t>BL60 .W55</t>
  </si>
  <si>
    <t>0                      BL 0060000W  55</t>
  </si>
  <si>
    <t>Religion in American society : the effective presence / John Wilson.</t>
  </si>
  <si>
    <t>Wilson, John, 1942-</t>
  </si>
  <si>
    <t>Englewood Cliffs, N.J. : Prentice-Hall, c1978.</t>
  </si>
  <si>
    <t>Prentice-Hall series in sociology</t>
  </si>
  <si>
    <t>1996-04-28</t>
  </si>
  <si>
    <t>148377704:eng</t>
  </si>
  <si>
    <t>3414690</t>
  </si>
  <si>
    <t>991004429149702656</t>
  </si>
  <si>
    <t>2260058030002656</t>
  </si>
  <si>
    <t>9780137732593</t>
  </si>
  <si>
    <t>32285000323625</t>
  </si>
  <si>
    <t>893882468</t>
  </si>
  <si>
    <t>BL60 .Y52</t>
  </si>
  <si>
    <t>0                      BL 0060000Y  52</t>
  </si>
  <si>
    <t>Religion, society, and the individual; an introduction to the sociology of religion.</t>
  </si>
  <si>
    <t>Yinger, J. Milton (John Milton), 1916-2011.</t>
  </si>
  <si>
    <t>New York, Macmillan [1957]</t>
  </si>
  <si>
    <t>1099292577:eng</t>
  </si>
  <si>
    <t>261290</t>
  </si>
  <si>
    <t>991002045549702656</t>
  </si>
  <si>
    <t>2265563550002656</t>
  </si>
  <si>
    <t>32285000323641</t>
  </si>
  <si>
    <t>893779357</t>
  </si>
  <si>
    <t>BL600 .B83</t>
  </si>
  <si>
    <t>0                      BL 0600000B  83</t>
  </si>
  <si>
    <t>The tree at the navel of the earth, by E. A. S. Butterworth. With 31 pl.</t>
  </si>
  <si>
    <t>Butterworth, E. A. S. (Edric Allan Schofield)</t>
  </si>
  <si>
    <t>Berlin, de Gruyter, 1970.</t>
  </si>
  <si>
    <t xml:space="preserve">gw </t>
  </si>
  <si>
    <t>2007-12-04</t>
  </si>
  <si>
    <t>1295858:eng</t>
  </si>
  <si>
    <t>138862</t>
  </si>
  <si>
    <t>991000800879702656</t>
  </si>
  <si>
    <t>2258240020002656</t>
  </si>
  <si>
    <t>32285000346055</t>
  </si>
  <si>
    <t>893803080</t>
  </si>
  <si>
    <t>BL600 .H8 1976</t>
  </si>
  <si>
    <t>0                      BL 0600000H  8           1976</t>
  </si>
  <si>
    <t>The way of the sacred : the rites and symbols, beliefs and tabus, that men have held in awe and wonder through the ages / Francis Huxley.</t>
  </si>
  <si>
    <t>Huxley, Francis.</t>
  </si>
  <si>
    <t>New York : Dell Pub. Co., 1976.</t>
  </si>
  <si>
    <t>A Laurel edition.</t>
  </si>
  <si>
    <t>1995-08-18</t>
  </si>
  <si>
    <t>1995-10-03</t>
  </si>
  <si>
    <t>4160705303:eng</t>
  </si>
  <si>
    <t>2849654</t>
  </si>
  <si>
    <t>991004262139702656</t>
  </si>
  <si>
    <t>2258439980002656</t>
  </si>
  <si>
    <t>32285002024668</t>
  </si>
  <si>
    <t>893318995</t>
  </si>
  <si>
    <t>BL600 .M85 1997</t>
  </si>
  <si>
    <t>0                      BL 0600000M  85          1997</t>
  </si>
  <si>
    <t>Ritual in early modern Europe / Edward Muir.</t>
  </si>
  <si>
    <t>Muir, Edward, 1946-</t>
  </si>
  <si>
    <t>Cambridge ; New York : Cambridge University Press, 1997.</t>
  </si>
  <si>
    <t>1997</t>
  </si>
  <si>
    <t>New approaches to European history ; 11</t>
  </si>
  <si>
    <t>2009-03-17</t>
  </si>
  <si>
    <t>1999-09-16</t>
  </si>
  <si>
    <t>16746993:eng</t>
  </si>
  <si>
    <t>36059973</t>
  </si>
  <si>
    <t>991002747939702656</t>
  </si>
  <si>
    <t>2257399320002656</t>
  </si>
  <si>
    <t>9780521401692</t>
  </si>
  <si>
    <t>32285003589172</t>
  </si>
  <si>
    <t>893427962</t>
  </si>
  <si>
    <t>BL603 .F55</t>
  </si>
  <si>
    <t>0                      BL 0603000F  55</t>
  </si>
  <si>
    <t>The eclipse of symbolism.</t>
  </si>
  <si>
    <t>Fingesten, Peter.</t>
  </si>
  <si>
    <t>Columbia, S.C., University of South Carolina Press [1970]</t>
  </si>
  <si>
    <t>scu</t>
  </si>
  <si>
    <t>1998-04-05</t>
  </si>
  <si>
    <t>1310846:eng</t>
  </si>
  <si>
    <t>93687</t>
  </si>
  <si>
    <t>991000563769702656</t>
  </si>
  <si>
    <t>2265709980002656</t>
  </si>
  <si>
    <t>9780872491724</t>
  </si>
  <si>
    <t>32285000346204</t>
  </si>
  <si>
    <t>893333584</t>
  </si>
  <si>
    <t>BL603 .M3 1968</t>
  </si>
  <si>
    <t>0                      BL 0603000M  3           1968</t>
  </si>
  <si>
    <t>The migration of symbols and their relations to beliefs and customs. New York, Knopf, 1926.</t>
  </si>
  <si>
    <t>Mackenzie, Donald A. (Donald Alexander), 1873-1936.</t>
  </si>
  <si>
    <t>Detroit, Gale Research Co., 1968.</t>
  </si>
  <si>
    <t>2003-10-24</t>
  </si>
  <si>
    <t>45352:eng</t>
  </si>
  <si>
    <t>377381</t>
  </si>
  <si>
    <t>991002605839702656</t>
  </si>
  <si>
    <t>2263030920002656</t>
  </si>
  <si>
    <t>32285000346212</t>
  </si>
  <si>
    <t>893773798</t>
  </si>
  <si>
    <t>BL604 .B64 F73 1989 PT.2</t>
  </si>
  <si>
    <t>0                      BL 0604000B  64                 F  73          1989                  PT.2</t>
  </si>
  <si>
    <t>Fragments for a history of the human body / edited by Michel Feher with Ramona Naddaff and Nadia Tazi.</t>
  </si>
  <si>
    <t>PT.2*</t>
  </si>
  <si>
    <t>New York, NY : Zone ; Cambridge, Mass. : Distributed by the MIT Press, c1989.</t>
  </si>
  <si>
    <t>Zone ; 3-5</t>
  </si>
  <si>
    <t>2005-03-17</t>
  </si>
  <si>
    <t>2009-06-01</t>
  </si>
  <si>
    <t>1992-06-17</t>
  </si>
  <si>
    <t>8907493131:eng</t>
  </si>
  <si>
    <t>19488060</t>
  </si>
  <si>
    <t>991005410709702656</t>
  </si>
  <si>
    <t>2258519880002656</t>
  </si>
  <si>
    <t>9780942299236</t>
  </si>
  <si>
    <t>32285001132017</t>
  </si>
  <si>
    <t>893714043</t>
  </si>
  <si>
    <t>BL604 .B64 F73 1989 PT.3</t>
  </si>
  <si>
    <t>0                      BL 0604000B  64                 F  73          1989                  PT.3</t>
  </si>
  <si>
    <t>PT.3*</t>
  </si>
  <si>
    <t>1992-05-21</t>
  </si>
  <si>
    <t>32285001112936</t>
  </si>
  <si>
    <t>893720371</t>
  </si>
  <si>
    <t>BL604.B64 C3613 1988</t>
  </si>
  <si>
    <t>0                      BL 0604000B  64                 C  3613        1988</t>
  </si>
  <si>
    <t>The incorruptible flesh : bodily mutation and mortification in religion and folklore / Piero Camporesi ; translated by Tania Croft-Murray ; Latin texts translated by Helen Elsom.</t>
  </si>
  <si>
    <t>Camporesi, Piero.</t>
  </si>
  <si>
    <t>Cambridge studies in oral and literate culture ; 17</t>
  </si>
  <si>
    <t>2001-02-14</t>
  </si>
  <si>
    <t>1990-01-04</t>
  </si>
  <si>
    <t>4494966704:eng</t>
  </si>
  <si>
    <t>16756263</t>
  </si>
  <si>
    <t>991005408399702656</t>
  </si>
  <si>
    <t>2260891360002656</t>
  </si>
  <si>
    <t>9780521320030</t>
  </si>
  <si>
    <t>32285000026020</t>
  </si>
  <si>
    <t>893701533</t>
  </si>
  <si>
    <t>BL604.B64 F73 1989</t>
  </si>
  <si>
    <t>0                      BL 0604000B  64                 F  73          1989</t>
  </si>
  <si>
    <t>1992-02-21</t>
  </si>
  <si>
    <t>32285000935618</t>
  </si>
  <si>
    <t>893689158</t>
  </si>
  <si>
    <t>BL615 .E4 1965</t>
  </si>
  <si>
    <t>0                      BL 0615000E  4           1965</t>
  </si>
  <si>
    <t>Rites and symbols of initiation.</t>
  </si>
  <si>
    <t>New York, Harper &amp; Row [1965, c1958]</t>
  </si>
  <si>
    <t>Harper Torchbooks, TB1236H. The academy library</t>
  </si>
  <si>
    <t>2007-12-09</t>
  </si>
  <si>
    <t>49112332:eng</t>
  </si>
  <si>
    <t>6807770</t>
  </si>
  <si>
    <t>991002626389702656</t>
  </si>
  <si>
    <t>2259944770002656</t>
  </si>
  <si>
    <t>32285000346303</t>
  </si>
  <si>
    <t>893691805</t>
  </si>
  <si>
    <t>BL624 .B62 1991</t>
  </si>
  <si>
    <t>0                      BL 0624000B  62          1991</t>
  </si>
  <si>
    <t>Guilt is the teacher, love is the lesson / by Joan Borysenko.</t>
  </si>
  <si>
    <t>Borysenko, Joan.</t>
  </si>
  <si>
    <t>New York : Warner Books, 1991, c1990.</t>
  </si>
  <si>
    <t>1st trade [ed.]</t>
  </si>
  <si>
    <t>2002-08-13</t>
  </si>
  <si>
    <t>10901527:eng</t>
  </si>
  <si>
    <t>25987651</t>
  </si>
  <si>
    <t>991003856019702656</t>
  </si>
  <si>
    <t>2256095060002656</t>
  </si>
  <si>
    <t>9780446392242</t>
  </si>
  <si>
    <t>32285004642293</t>
  </si>
  <si>
    <t>893423055</t>
  </si>
  <si>
    <t>BL624 .B75 1996</t>
  </si>
  <si>
    <t>0                      BL 0624000B  75          1996</t>
  </si>
  <si>
    <t>Spiritual literacy : reading the sacred in everyday life / Frederic and Mary Ann Brussat.</t>
  </si>
  <si>
    <t>Brussat, Frederic.</t>
  </si>
  <si>
    <t>New York, NY : Scribner, c1996.</t>
  </si>
  <si>
    <t>2008-12-02</t>
  </si>
  <si>
    <t>1997-04-03</t>
  </si>
  <si>
    <t>20698651:eng</t>
  </si>
  <si>
    <t>34782666</t>
  </si>
  <si>
    <t>991002661529702656</t>
  </si>
  <si>
    <t>2255498980002656</t>
  </si>
  <si>
    <t>9780684815336</t>
  </si>
  <si>
    <t>32285002478641</t>
  </si>
  <si>
    <t>893323201</t>
  </si>
  <si>
    <t>BL624 .F74</t>
  </si>
  <si>
    <t>0                      BL 0624000F  74</t>
  </si>
  <si>
    <t>Woman's way to God / Anne Fremantle.</t>
  </si>
  <si>
    <t>Fremantle, Anne, 1909-2002.</t>
  </si>
  <si>
    <t>New York : St. Martin's Press, c1977.</t>
  </si>
  <si>
    <t>2000-09-07</t>
  </si>
  <si>
    <t>7159566:eng</t>
  </si>
  <si>
    <t>3017894</t>
  </si>
  <si>
    <t>991004321089702656</t>
  </si>
  <si>
    <t>2269899950002656</t>
  </si>
  <si>
    <t>9780312886905</t>
  </si>
  <si>
    <t>32285000346345</t>
  </si>
  <si>
    <t>893229208</t>
  </si>
  <si>
    <t>BL624 .H38 1986</t>
  </si>
  <si>
    <t>0                      BL 0624000H  38          1986</t>
  </si>
  <si>
    <t>Entering the cave of the heart : Eastern ways of prayer for Western Christians / by Kathleen Healy.</t>
  </si>
  <si>
    <t>Healy, Kathleen.</t>
  </si>
  <si>
    <t>New York : Paulist Press, c1986.</t>
  </si>
  <si>
    <t>5311638267:eng</t>
  </si>
  <si>
    <t>13328424</t>
  </si>
  <si>
    <t>991000808669702656</t>
  </si>
  <si>
    <t>2258495840002656</t>
  </si>
  <si>
    <t>9780809127924</t>
  </si>
  <si>
    <t>32285000346360</t>
  </si>
  <si>
    <t>893509127</t>
  </si>
  <si>
    <t>BL624 .I5 1969</t>
  </si>
  <si>
    <t>0                      BL 0624000I  5           1969</t>
  </si>
  <si>
    <t>Mysticism in religion / W. R. Inge.</t>
  </si>
  <si>
    <t>Inge, William Ralph, 1860-1954.</t>
  </si>
  <si>
    <t>London : Rider and Company, 1969.</t>
  </si>
  <si>
    <t>2006-10-24</t>
  </si>
  <si>
    <t>501788:eng</t>
  </si>
  <si>
    <t>486864</t>
  </si>
  <si>
    <t>991002850989702656</t>
  </si>
  <si>
    <t>2256523400002656</t>
  </si>
  <si>
    <t>32285000346386</t>
  </si>
  <si>
    <t>893904117</t>
  </si>
  <si>
    <t>BL624 .M63 1992</t>
  </si>
  <si>
    <t>0                      BL 0624000M  63          1992</t>
  </si>
  <si>
    <t>Modern esoteric spirituality / edited by Antoine Faivre and Jacob Needleman ; associate editor, Karen Voss.</t>
  </si>
  <si>
    <t>New York : Crossroad, 1992.</t>
  </si>
  <si>
    <t>World spirituality ; v. 21</t>
  </si>
  <si>
    <t>1993-02-26</t>
  </si>
  <si>
    <t>1993-01-28</t>
  </si>
  <si>
    <t>365251690:eng</t>
  </si>
  <si>
    <t>25675934</t>
  </si>
  <si>
    <t>991002018879702656</t>
  </si>
  <si>
    <t>2267002020002656</t>
  </si>
  <si>
    <t>9780824511456</t>
  </si>
  <si>
    <t>32285001520211</t>
  </si>
  <si>
    <t>893328596</t>
  </si>
  <si>
    <t>BL624 .N47 1978</t>
  </si>
  <si>
    <t>0                      BL 0624000N  47          1978</t>
  </si>
  <si>
    <t>Soldier, sage, saint / Robert C. Neville.</t>
  </si>
  <si>
    <t>Neville, Robert C.</t>
  </si>
  <si>
    <t>New York : Fordham University Press, 1978.</t>
  </si>
  <si>
    <t>1997-02-09</t>
  </si>
  <si>
    <t>488638:eng</t>
  </si>
  <si>
    <t>4402385</t>
  </si>
  <si>
    <t>991004635049702656</t>
  </si>
  <si>
    <t>2259522580002656</t>
  </si>
  <si>
    <t>9780823210350</t>
  </si>
  <si>
    <t>32285000346402</t>
  </si>
  <si>
    <t>893436513</t>
  </si>
  <si>
    <t>BL624 .O29 1986</t>
  </si>
  <si>
    <t>0                      BL 0624000O  29          1986</t>
  </si>
  <si>
    <t>An ascent to joy : transforming deadness of spirit / Carol Ochs.</t>
  </si>
  <si>
    <t>Ochs, Carol.</t>
  </si>
  <si>
    <t>Notre Dame, Ind. : University of Notre Dame Press, c1986.</t>
  </si>
  <si>
    <t>1995-07-07</t>
  </si>
  <si>
    <t>7471759:eng</t>
  </si>
  <si>
    <t>13827984</t>
  </si>
  <si>
    <t>991000881089702656</t>
  </si>
  <si>
    <t>2267011450002656</t>
  </si>
  <si>
    <t>9780268006150</t>
  </si>
  <si>
    <t>32285000346410</t>
  </si>
  <si>
    <t>893878425</t>
  </si>
  <si>
    <t>BL624 .R64 1985</t>
  </si>
  <si>
    <t>0                      BL 0624000R  64          1985</t>
  </si>
  <si>
    <t>Religious inquiry--participation and detachment / Holmes Rolston, III.</t>
  </si>
  <si>
    <t>Rolston, Holmes, 1932-</t>
  </si>
  <si>
    <t>New York, N.Y. : Philosophical Library, c1985.</t>
  </si>
  <si>
    <t>1998-10-13</t>
  </si>
  <si>
    <t>3317559:eng</t>
  </si>
  <si>
    <t>10229934</t>
  </si>
  <si>
    <t>991000336189702656</t>
  </si>
  <si>
    <t>2262246400002656</t>
  </si>
  <si>
    <t>9780802224507</t>
  </si>
  <si>
    <t>32285000346428</t>
  </si>
  <si>
    <t>893790422</t>
  </si>
  <si>
    <t>BL624 .S534</t>
  </si>
  <si>
    <t>0                      BL 0624000S  534</t>
  </si>
  <si>
    <t>The warrior : brief studies in the sources of spiritual mastery, sport, and military power / Joe Simmons.</t>
  </si>
  <si>
    <t>Simmons, Joe.</t>
  </si>
  <si>
    <t>Washington, D.C. : University Press of America, c1982.</t>
  </si>
  <si>
    <t>1996-07-05</t>
  </si>
  <si>
    <t>1990-03-21</t>
  </si>
  <si>
    <t>483496:eng</t>
  </si>
  <si>
    <t>8194349</t>
  </si>
  <si>
    <t>991005215989702656</t>
  </si>
  <si>
    <t>2268578000002656</t>
  </si>
  <si>
    <t>9780819122933</t>
  </si>
  <si>
    <t>32285000088814</t>
  </si>
  <si>
    <t>893260738</t>
  </si>
  <si>
    <t>BL624 .W65 1986</t>
  </si>
  <si>
    <t>0                      BL 0624000W  65          1986</t>
  </si>
  <si>
    <t>No other light : points of convergence in psychology and spirituality / Mary Wolff-Salin.</t>
  </si>
  <si>
    <t>Wolff-Salin, Mary.</t>
  </si>
  <si>
    <t>New York : Crossroad, 1986.</t>
  </si>
  <si>
    <t>2002-06-24</t>
  </si>
  <si>
    <t>1990-08-02</t>
  </si>
  <si>
    <t>5572540:eng</t>
  </si>
  <si>
    <t>12970327</t>
  </si>
  <si>
    <t>991000758949702656</t>
  </si>
  <si>
    <t>2265422190002656</t>
  </si>
  <si>
    <t>9780824507480</t>
  </si>
  <si>
    <t>32285000262955</t>
  </si>
  <si>
    <t>893509084</t>
  </si>
  <si>
    <t>BL625 .B68</t>
  </si>
  <si>
    <t>0                      BL 0625000B  68</t>
  </si>
  <si>
    <t>Western mysticism : a guide to the basic works / compiled by Mary Ann Bowman. --</t>
  </si>
  <si>
    <t>Bowman, Mary Ann.</t>
  </si>
  <si>
    <t>Chicago, Ill. : American Library Association, c1978.</t>
  </si>
  <si>
    <t>503833:eng</t>
  </si>
  <si>
    <t>4003421</t>
  </si>
  <si>
    <t>991004561649702656</t>
  </si>
  <si>
    <t>2267628380002656</t>
  </si>
  <si>
    <t>9780838902660</t>
  </si>
  <si>
    <t>32285002402674</t>
  </si>
  <si>
    <t>893618819</t>
  </si>
  <si>
    <t>BL625 .B7 1970</t>
  </si>
  <si>
    <t>0                      BL 0625000B  7           1970</t>
  </si>
  <si>
    <t>American mysticism, from William James to Zen [by] Hal Bridges.</t>
  </si>
  <si>
    <t>Bridges, Hal, 1918-2010.</t>
  </si>
  <si>
    <t>New York, Harper &amp; Row [1970].</t>
  </si>
  <si>
    <t>1995-03-19</t>
  </si>
  <si>
    <t>1293667:eng</t>
  </si>
  <si>
    <t>89470</t>
  </si>
  <si>
    <t>991000529999702656</t>
  </si>
  <si>
    <t>2258912030002656</t>
  </si>
  <si>
    <t>32285000346451</t>
  </si>
  <si>
    <t>893714666</t>
  </si>
  <si>
    <t>BL625 .E3913 1985</t>
  </si>
  <si>
    <t>0                      BL 0625000E  3913        1985</t>
  </si>
  <si>
    <t>Ecstatic confessions / collected and introduced by Martin Buber ; edited by Paul Mendes-Flohr ; translated by Esther Cameron.</t>
  </si>
  <si>
    <t>Ekstatische Konfessionen. English.</t>
  </si>
  <si>
    <t>San Francisco : Harper &amp; Row, c1985.</t>
  </si>
  <si>
    <t>1994-10-17</t>
  </si>
  <si>
    <t>1990-07-16</t>
  </si>
  <si>
    <t>1431145:eng</t>
  </si>
  <si>
    <t>11969974</t>
  </si>
  <si>
    <t>991000618279702656</t>
  </si>
  <si>
    <t>2260663030002656</t>
  </si>
  <si>
    <t>9780060611545</t>
  </si>
  <si>
    <t>32285000208446</t>
  </si>
  <si>
    <t>893608110</t>
  </si>
  <si>
    <t>BL625 .F87</t>
  </si>
  <si>
    <t>0                      BL 0625000F  87</t>
  </si>
  <si>
    <t>Mysticism, window on a world view / Margaret Lewis Furse.</t>
  </si>
  <si>
    <t>Furse, Margaret Lewis.</t>
  </si>
  <si>
    <t>Nashville : Abingdon Press, c1977.</t>
  </si>
  <si>
    <t>1992-06-13</t>
  </si>
  <si>
    <t>5910237:eng</t>
  </si>
  <si>
    <t>2646284</t>
  </si>
  <si>
    <t>991004198909702656</t>
  </si>
  <si>
    <t>2254985120002656</t>
  </si>
  <si>
    <t>9780687276745</t>
  </si>
  <si>
    <t>32285000639129</t>
  </si>
  <si>
    <t>893532110</t>
  </si>
  <si>
    <t>BL625 .G35 1998</t>
  </si>
  <si>
    <t>0                      BL 0625000G  35          1998</t>
  </si>
  <si>
    <t>A mystical heart : 52 weeks in the presence of God / Edwina Gateley ; with illustrations by the author.</t>
  </si>
  <si>
    <t>Gateley, Edwina.</t>
  </si>
  <si>
    <t>New York : Crossroad Pub., c1998.</t>
  </si>
  <si>
    <t>14473420:eng</t>
  </si>
  <si>
    <t>39169957</t>
  </si>
  <si>
    <t>991003856079702656</t>
  </si>
  <si>
    <t>2265982060002656</t>
  </si>
  <si>
    <t>9780824517649</t>
  </si>
  <si>
    <t>32285004642491</t>
  </si>
  <si>
    <t>893441845</t>
  </si>
  <si>
    <t>BL625 .J62</t>
  </si>
  <si>
    <t>0                      BL 0625000J  62</t>
  </si>
  <si>
    <t>The inner eye of love : mysticism and religion / William Johnston.</t>
  </si>
  <si>
    <t>Johnston, William, 1924-2010.</t>
  </si>
  <si>
    <t>San Francisco : Harper &amp; Row, [1978]</t>
  </si>
  <si>
    <t>1990-10-12</t>
  </si>
  <si>
    <t>799428808:eng</t>
  </si>
  <si>
    <t>3893820</t>
  </si>
  <si>
    <t>991004541209702656</t>
  </si>
  <si>
    <t>2271905620002656</t>
  </si>
  <si>
    <t>9780060641955</t>
  </si>
  <si>
    <t>32285000346519</t>
  </si>
  <si>
    <t>893325490</t>
  </si>
  <si>
    <t>BL625 .M3 1964</t>
  </si>
  <si>
    <t>0                      BL 0625000M  3           1964</t>
  </si>
  <si>
    <t>Studies in the psychology of the mystics / by Joseph Maréchal. Translated, with an introductory foreword, by Algar Thorold.</t>
  </si>
  <si>
    <t>Maréchal, Joseph, 1878-1944.</t>
  </si>
  <si>
    <t>Albany : Magi Books, [1964]</t>
  </si>
  <si>
    <t>2006-10-16</t>
  </si>
  <si>
    <t>3372384335:eng</t>
  </si>
  <si>
    <t>793144</t>
  </si>
  <si>
    <t>991003266739702656</t>
  </si>
  <si>
    <t>2263128970002656</t>
  </si>
  <si>
    <t>32285000346568</t>
  </si>
  <si>
    <t>893874593</t>
  </si>
  <si>
    <t>BL625 .M88 1989</t>
  </si>
  <si>
    <t>0                      BL 0625000M  88          1989</t>
  </si>
  <si>
    <t>Mystical union and monotheistic faith : an ecumenical dialogue / edited by Moshe Idel and Bernard McGinn.</t>
  </si>
  <si>
    <t>New York : Macmillan ; London : Collier Macmillan, c1989.</t>
  </si>
  <si>
    <t>2006-09-09</t>
  </si>
  <si>
    <t>1992-04-09</t>
  </si>
  <si>
    <t>16946215:eng</t>
  </si>
  <si>
    <t>18135941</t>
  </si>
  <si>
    <t>991001310329702656</t>
  </si>
  <si>
    <t>2260364400002656</t>
  </si>
  <si>
    <t>9780028960319</t>
  </si>
  <si>
    <t>32285001009157</t>
  </si>
  <si>
    <t>893340334</t>
  </si>
  <si>
    <t>BL625 .P37 1976b</t>
  </si>
  <si>
    <t>0                      BL 0625000P  37          1976b</t>
  </si>
  <si>
    <t>Mysticism in the world's religions / Geoffrey Parrinder.</t>
  </si>
  <si>
    <t>New York : Oxford University Press, 1976.</t>
  </si>
  <si>
    <t>1998-09-26</t>
  </si>
  <si>
    <t>1063565:eng</t>
  </si>
  <si>
    <t>2740711</t>
  </si>
  <si>
    <t>991004229109702656</t>
  </si>
  <si>
    <t>2258225720002656</t>
  </si>
  <si>
    <t>9780195021844</t>
  </si>
  <si>
    <t>32285000346584</t>
  </si>
  <si>
    <t>893343603</t>
  </si>
  <si>
    <t>BL625 .S65 1971</t>
  </si>
  <si>
    <t>0                      BL 0625000S  65          1971</t>
  </si>
  <si>
    <t>Mysticism in world religion / Sidney Spencer.</t>
  </si>
  <si>
    <t>Spencer, Sidney, 1888-</t>
  </si>
  <si>
    <t>Gloucester, Mass. : P. Smith, 1971, [c1963]</t>
  </si>
  <si>
    <t>Pelican books ; A594</t>
  </si>
  <si>
    <t>1995-10-22</t>
  </si>
  <si>
    <t>1993-07-29</t>
  </si>
  <si>
    <t>396537:eng</t>
  </si>
  <si>
    <t>136201</t>
  </si>
  <si>
    <t>991000790099702656</t>
  </si>
  <si>
    <t>2264200230002656</t>
  </si>
  <si>
    <t>32285001703981</t>
  </si>
  <si>
    <t>893345978</t>
  </si>
  <si>
    <t>BL625 .S76</t>
  </si>
  <si>
    <t>0                      BL 0625000S  76</t>
  </si>
  <si>
    <t>Oriental mysticism.</t>
  </si>
  <si>
    <t>Stevens, Edward, 1928-</t>
  </si>
  <si>
    <t>Deus books</t>
  </si>
  <si>
    <t>1995-10-29</t>
  </si>
  <si>
    <t>1641590:eng</t>
  </si>
  <si>
    <t>762818</t>
  </si>
  <si>
    <t>991003239479702656</t>
  </si>
  <si>
    <t>2265276660002656</t>
  </si>
  <si>
    <t>9780809117987</t>
  </si>
  <si>
    <t>32285000427541</t>
  </si>
  <si>
    <t>893352737</t>
  </si>
  <si>
    <t>BL625 .W35</t>
  </si>
  <si>
    <t>0                      BL 0625000W  35</t>
  </si>
  <si>
    <t>This is it, and other essays on Zen and spiritual experience.</t>
  </si>
  <si>
    <t>Watts, Alan, 1915-1973.</t>
  </si>
  <si>
    <t>[New York] Pantheon Books [1960]</t>
  </si>
  <si>
    <t>2010-05-11</t>
  </si>
  <si>
    <t>464239:eng</t>
  </si>
  <si>
    <t>283835</t>
  </si>
  <si>
    <t>991002199279702656</t>
  </si>
  <si>
    <t>2265760580002656</t>
  </si>
  <si>
    <t>32285000346634</t>
  </si>
  <si>
    <t>893903754</t>
  </si>
  <si>
    <t>BL625 .Z17</t>
  </si>
  <si>
    <t>0                      BL 0625000Z  17</t>
  </si>
  <si>
    <t>Concordant discord: the interdependence of faiths: being the Gifford lectures on natural religion delivered at St. Andrews in 1967-1969, by R. C. Zaehner.</t>
  </si>
  <si>
    <t>Oxford, Clarendon P., 1970.</t>
  </si>
  <si>
    <t>Gifford lectures ; 1967-69</t>
  </si>
  <si>
    <t>3855301313:eng</t>
  </si>
  <si>
    <t>125082</t>
  </si>
  <si>
    <t>991000714089702656</t>
  </si>
  <si>
    <t>2260415570002656</t>
  </si>
  <si>
    <t>9780198266242</t>
  </si>
  <si>
    <t>32285000346642</t>
  </si>
  <si>
    <t>893243503</t>
  </si>
  <si>
    <t>BL625 .Z18 1961</t>
  </si>
  <si>
    <t>0                      BL 0625000Z  18          1961</t>
  </si>
  <si>
    <t>Mysticism, sacred and profane; an inquiry into some varieties of praeternatural experience.</t>
  </si>
  <si>
    <t>London, Oxford University Press, 1961.</t>
  </si>
  <si>
    <t>414641:eng</t>
  </si>
  <si>
    <t>4577225</t>
  </si>
  <si>
    <t>991001180689702656</t>
  </si>
  <si>
    <t>2259558800002656</t>
  </si>
  <si>
    <t>32285000346659</t>
  </si>
  <si>
    <t>893690409</t>
  </si>
  <si>
    <t>BL625.9.S53 S54 1993</t>
  </si>
  <si>
    <t>0                      BL 0625900S  53                 S  54          1993</t>
  </si>
  <si>
    <t>How to live between office visits : a guide to life, love and health / Bernie S. Siegel.</t>
  </si>
  <si>
    <t>Siegel, Bernie S.</t>
  </si>
  <si>
    <t>New York : HarperCollinsPublishers, c1993.</t>
  </si>
  <si>
    <t>1997-02-13</t>
  </si>
  <si>
    <t>1993-06-07</t>
  </si>
  <si>
    <t>348806607:eng</t>
  </si>
  <si>
    <t>27035210</t>
  </si>
  <si>
    <t>991002108929702656</t>
  </si>
  <si>
    <t>2270317420002656</t>
  </si>
  <si>
    <t>9780060168001</t>
  </si>
  <si>
    <t>32285001584126</t>
  </si>
  <si>
    <t>893439779</t>
  </si>
  <si>
    <t>BL626 .G73</t>
  </si>
  <si>
    <t>0                      BL 0626000G  73</t>
  </si>
  <si>
    <t>Ecstasy; a way of knowing [by] Andrew M. Greeley.</t>
  </si>
  <si>
    <t>Greeley, Andrew M., 1928-2013.</t>
  </si>
  <si>
    <t>Englewood Cliffs, N.J., Prentice-Hall [1974]</t>
  </si>
  <si>
    <t>A Spectrum book</t>
  </si>
  <si>
    <t>1994-01-25</t>
  </si>
  <si>
    <t>355209357:eng</t>
  </si>
  <si>
    <t>797832</t>
  </si>
  <si>
    <t>991003272649702656</t>
  </si>
  <si>
    <t>2261064230002656</t>
  </si>
  <si>
    <t>9780132349482</t>
  </si>
  <si>
    <t>32285000346675</t>
  </si>
  <si>
    <t>893246201</t>
  </si>
  <si>
    <t>BL626 .L48</t>
  </si>
  <si>
    <t>0                      BL 0626000L  48</t>
  </si>
  <si>
    <t>Ecstatic religion; an anthropological study of spirit possession and shamanism [by] I. M. Lewis.</t>
  </si>
  <si>
    <t>Lewis, I. M.</t>
  </si>
  <si>
    <t>[Harmondsworth, Eng.] Penguin Books [1971]</t>
  </si>
  <si>
    <t>Pelican anthropology library</t>
  </si>
  <si>
    <t>2006-03-26</t>
  </si>
  <si>
    <t>800329970:eng</t>
  </si>
  <si>
    <t>151740</t>
  </si>
  <si>
    <t>991000876059702656</t>
  </si>
  <si>
    <t>2272212320002656</t>
  </si>
  <si>
    <t>9780140212778</t>
  </si>
  <si>
    <t>32285000346683</t>
  </si>
  <si>
    <t>893438671</t>
  </si>
  <si>
    <t>BL627 .B56</t>
  </si>
  <si>
    <t>0                      BL 0627000B  56</t>
  </si>
  <si>
    <t>TM*: discovering inner energy and overcoming stress [by] Harold H. Bloomfield, Michael Peter Cain [and] Dennis T. Jaffe, in collaboration with Robert Bruce Kory. Foreword by Hans Selye; introd. by R. Buckminster Fuller.</t>
  </si>
  <si>
    <t>Bloomfield, Harold H., 1944-</t>
  </si>
  <si>
    <t>New York, Delacorte Press [1975]</t>
  </si>
  <si>
    <t>2003-11-25</t>
  </si>
  <si>
    <t>480083:eng</t>
  </si>
  <si>
    <t>1047008</t>
  </si>
  <si>
    <t>991003496839702656</t>
  </si>
  <si>
    <t>2265522350002656</t>
  </si>
  <si>
    <t>9780440060482</t>
  </si>
  <si>
    <t>32285000346725</t>
  </si>
  <si>
    <t>893881220</t>
  </si>
  <si>
    <t>BL630 .H46 1989</t>
  </si>
  <si>
    <t>0                      BL 0630000H  46          1989</t>
  </si>
  <si>
    <t>For the sake of the world : the spirit of Buddhist and Christian monasticism / Patrick G. Henry and Donald K. Swearer.</t>
  </si>
  <si>
    <t>Henry, Patrick, 1939-</t>
  </si>
  <si>
    <t>Mineapolis, Minn : Fortress Press ; Collegeville, Minn. : Liturgical Press, c1989.</t>
  </si>
  <si>
    <t>2002-02-26</t>
  </si>
  <si>
    <t>1990-09-07</t>
  </si>
  <si>
    <t>16676264:eng</t>
  </si>
  <si>
    <t>18072041</t>
  </si>
  <si>
    <t>991001302789702656</t>
  </si>
  <si>
    <t>2267156770002656</t>
  </si>
  <si>
    <t>9780814615881</t>
  </si>
  <si>
    <t>32285000276153</t>
  </si>
  <si>
    <t>893696649</t>
  </si>
  <si>
    <t>BL631 .B55 1982</t>
  </si>
  <si>
    <t>0                      BL 0631000B  55          1982</t>
  </si>
  <si>
    <t>Blessed simplicity--the monk as universal archetype / [edited by] Raimundo Panikkar.</t>
  </si>
  <si>
    <t>New York : Seabury Press, 1982.</t>
  </si>
  <si>
    <t>2009-02-18</t>
  </si>
  <si>
    <t>1144105778:eng</t>
  </si>
  <si>
    <t>8451399</t>
  </si>
  <si>
    <t>991005244389702656</t>
  </si>
  <si>
    <t>2266059030002656</t>
  </si>
  <si>
    <t>9780816405312</t>
  </si>
  <si>
    <t>32285000346824</t>
  </si>
  <si>
    <t>893446675</t>
  </si>
  <si>
    <t>BL631 .L413 1963</t>
  </si>
  <si>
    <t>0                      BL 0631000L  413         1963</t>
  </si>
  <si>
    <t>Monks and monasteries of the Near East. Translated by Peter Collin.</t>
  </si>
  <si>
    <t>Leroy, Jules.</t>
  </si>
  <si>
    <t>London, G. G. Harrap [1963]</t>
  </si>
  <si>
    <t>1996-09-30</t>
  </si>
  <si>
    <t>2058490:eng</t>
  </si>
  <si>
    <t>1138648</t>
  </si>
  <si>
    <t>991003566119702656</t>
  </si>
  <si>
    <t>2270479920002656</t>
  </si>
  <si>
    <t>32285000346832</t>
  </si>
  <si>
    <t>893531308</t>
  </si>
  <si>
    <t>BL633 .R6 1956a</t>
  </si>
  <si>
    <t>0                      BL 0633000R  6           1956a</t>
  </si>
  <si>
    <t>Prophecy and religion in ancient China and Israel.</t>
  </si>
  <si>
    <t>Rowley, H. H. (Harold Henry), 1890-1969.</t>
  </si>
  <si>
    <t>New York, Harper [1956]</t>
  </si>
  <si>
    <t>142484784:eng</t>
  </si>
  <si>
    <t>377402</t>
  </si>
  <si>
    <t>991002607399702656</t>
  </si>
  <si>
    <t>2263022480002656</t>
  </si>
  <si>
    <t>32285000346873</t>
  </si>
  <si>
    <t>893685542</t>
  </si>
  <si>
    <t>BL635 .J3</t>
  </si>
  <si>
    <t>0                      BL 0635000J  3</t>
  </si>
  <si>
    <t>The nature and function of priesthood; a comparative and anthropological study.</t>
  </si>
  <si>
    <t>James, E. O. (Edwin Oliver), 1888-1972.</t>
  </si>
  <si>
    <t>New York, Barnes &amp; Noble [c1955], 1961 printing</t>
  </si>
  <si>
    <t>1955</t>
  </si>
  <si>
    <t>1992-09-29</t>
  </si>
  <si>
    <t>1990-11-12</t>
  </si>
  <si>
    <t>197898929:eng</t>
  </si>
  <si>
    <t>3638030</t>
  </si>
  <si>
    <t>991004485099702656</t>
  </si>
  <si>
    <t>2269835350002656</t>
  </si>
  <si>
    <t>32285000355510</t>
  </si>
  <si>
    <t>893513292</t>
  </si>
  <si>
    <t>BL635 .S18 1973</t>
  </si>
  <si>
    <t>0                      BL 0635000S  18          1973</t>
  </si>
  <si>
    <t>Priesthood : a comparative study / by Leopold Sabourin.</t>
  </si>
  <si>
    <t>Sabourin, Leopold.</t>
  </si>
  <si>
    <t>Leiden : Brill, 1973.</t>
  </si>
  <si>
    <t>Studies in the history of religions : Supplements to Numen ; v. 25</t>
  </si>
  <si>
    <t>873539742:eng</t>
  </si>
  <si>
    <t>750307</t>
  </si>
  <si>
    <t>991003226049702656</t>
  </si>
  <si>
    <t>2265476330002656</t>
  </si>
  <si>
    <t>9789004036567</t>
  </si>
  <si>
    <t>32285000346881</t>
  </si>
  <si>
    <t>893239985</t>
  </si>
  <si>
    <t>BL639 .H35 1992</t>
  </si>
  <si>
    <t>0                      BL 0639000H  35          1992</t>
  </si>
  <si>
    <t>Handbook of religious conversion / edited by H. Newton Malony and Samuel Southard.</t>
  </si>
  <si>
    <t>2002-10-03</t>
  </si>
  <si>
    <t>364325398:eng</t>
  </si>
  <si>
    <t>25552776</t>
  </si>
  <si>
    <t>991002010989702656</t>
  </si>
  <si>
    <t>2272505150002656</t>
  </si>
  <si>
    <t>9780891350866</t>
  </si>
  <si>
    <t>32285001338184</t>
  </si>
  <si>
    <t>893879403</t>
  </si>
  <si>
    <t>BL65.A46 R44 1989</t>
  </si>
  <si>
    <t>0                      BL 0065000A  46                 R  44          1989</t>
  </si>
  <si>
    <t>Religion, aging, and health : a global perspective / compiled by the World Health Organization ; William M. Clements, editor.</t>
  </si>
  <si>
    <t>New York : Haworth Press, c1989.</t>
  </si>
  <si>
    <t>1995-11-13</t>
  </si>
  <si>
    <t>1992-06-10</t>
  </si>
  <si>
    <t>479248671:eng</t>
  </si>
  <si>
    <t>18048960</t>
  </si>
  <si>
    <t>991001296479702656</t>
  </si>
  <si>
    <t>2260065000002656</t>
  </si>
  <si>
    <t>9780866568036</t>
  </si>
  <si>
    <t>32285001127140</t>
  </si>
  <si>
    <t>893516100</t>
  </si>
  <si>
    <t>BL65.C58 H84 1988</t>
  </si>
  <si>
    <t>0                      BL 0065000C  58                 H  84          1988</t>
  </si>
  <si>
    <t>Human rights and the world's religions / edited by Leroy S. Rouner.</t>
  </si>
  <si>
    <t>Notre Dame, Ind. : University of Notre Dame Press, c1988.</t>
  </si>
  <si>
    <t>Boston University studies in philosophy and religion ; v. 9</t>
  </si>
  <si>
    <t>2001-04-21</t>
  </si>
  <si>
    <t>1991-01-24</t>
  </si>
  <si>
    <t>55104415:eng</t>
  </si>
  <si>
    <t>18069677</t>
  </si>
  <si>
    <t>991001301139702656</t>
  </si>
  <si>
    <t>2262618460002656</t>
  </si>
  <si>
    <t>9780268010867</t>
  </si>
  <si>
    <t>32285000460161</t>
  </si>
  <si>
    <t>893803537</t>
  </si>
  <si>
    <t>BL65.C8 B46</t>
  </si>
  <si>
    <t>0                      BL 0065000C  8                  B  46</t>
  </si>
  <si>
    <t>The Bent world : essays on religion and culture / [edited by] John R. May.</t>
  </si>
  <si>
    <t>Chico, Calif. : Scholars Press, c1981.</t>
  </si>
  <si>
    <t>The Annual publication of the College Theology Society</t>
  </si>
  <si>
    <t>2002-10-28</t>
  </si>
  <si>
    <t>836690885:eng</t>
  </si>
  <si>
    <t>8242904</t>
  </si>
  <si>
    <t>991005123679702656</t>
  </si>
  <si>
    <t>2266042850002656</t>
  </si>
  <si>
    <t>9780891305033</t>
  </si>
  <si>
    <t>32285000323658</t>
  </si>
  <si>
    <t>893412352</t>
  </si>
  <si>
    <t>BL65.C8 C6</t>
  </si>
  <si>
    <t>0                      BL 0065000C  8                  C  6</t>
  </si>
  <si>
    <t>Theology in an age of revolution, by Bernard Cooke.</t>
  </si>
  <si>
    <t>Cooke, Bernard J., 1922-</t>
  </si>
  <si>
    <t>Denville, N. J., Dimension Books [n. d.]</t>
  </si>
  <si>
    <t>1994-04-13</t>
  </si>
  <si>
    <t>422806035:eng</t>
  </si>
  <si>
    <t>706374</t>
  </si>
  <si>
    <t>991003169719702656</t>
  </si>
  <si>
    <t>2258506470002656</t>
  </si>
  <si>
    <t>32285000323666</t>
  </si>
  <si>
    <t>893787035</t>
  </si>
  <si>
    <t>BL65.C8 G54</t>
  </si>
  <si>
    <t>0                      BL 0065000C  8                  G  54</t>
  </si>
  <si>
    <t>Society and the sacred : toward a theology of culture in decline / Langdon Gilkey.</t>
  </si>
  <si>
    <t>New York : Crossroad, c1981.</t>
  </si>
  <si>
    <t>2000-10-26</t>
  </si>
  <si>
    <t>892152294:eng</t>
  </si>
  <si>
    <t>7577921</t>
  </si>
  <si>
    <t>991005136689702656</t>
  </si>
  <si>
    <t>2264644710002656</t>
  </si>
  <si>
    <t>9780824500894</t>
  </si>
  <si>
    <t>32285000323674</t>
  </si>
  <si>
    <t>893326221</t>
  </si>
  <si>
    <t>BL65.C8 S36 1971</t>
  </si>
  <si>
    <t>0                      BL 0065000C  8                  S  36          1971</t>
  </si>
  <si>
    <t>The wild prayer of longing; poetry and the sacred [by] Nathan A. Scott, Jr.</t>
  </si>
  <si>
    <t>Scott, Nathan A.</t>
  </si>
  <si>
    <t>New Haven, Yale University Press, 1971.</t>
  </si>
  <si>
    <t>1997-04-23</t>
  </si>
  <si>
    <t>20888408:eng</t>
  </si>
  <si>
    <t>124567</t>
  </si>
  <si>
    <t>991000706679702656</t>
  </si>
  <si>
    <t>2259729260002656</t>
  </si>
  <si>
    <t>9780300013894</t>
  </si>
  <si>
    <t>32285000323690</t>
  </si>
  <si>
    <t>893683688</t>
  </si>
  <si>
    <t>BL65.H5 W4 1991, v.3</t>
  </si>
  <si>
    <t>0                      BL 0065000H  5                  W  4           1991                  v.3</t>
  </si>
  <si>
    <t>Jesus, not Caesar : the religious world view of Thomas Garrigue Masaryk and the spiritual foundations of Czech and Slovak Culture / Jaroslav Pelikan.</t>
  </si>
  <si>
    <t>Pelikan, Jaroslav, 1923-2006.</t>
  </si>
  <si>
    <t>Salt Lake City : Westminister College of Salt Lake City, c1991.</t>
  </si>
  <si>
    <t>utu</t>
  </si>
  <si>
    <t>Westminster Tanner-McMurrin lectures on the history and philosophy of religion at Westminster College ; 3</t>
  </si>
  <si>
    <t>1992-07-26</t>
  </si>
  <si>
    <t>1992-05-08</t>
  </si>
  <si>
    <t>5218300390:eng</t>
  </si>
  <si>
    <t>25363979</t>
  </si>
  <si>
    <t>991001995089702656</t>
  </si>
  <si>
    <t>2258145000002656</t>
  </si>
  <si>
    <t>32285001100899</t>
  </si>
  <si>
    <t>893621793</t>
  </si>
  <si>
    <t>BL65.I43 R45 1986</t>
  </si>
  <si>
    <t>0                      BL 0065000I  43                 R  45          1986</t>
  </si>
  <si>
    <t>Religious imagination / edited by James P. Mackey.</t>
  </si>
  <si>
    <t>Edinburgh : Edinburgh University Press, c1986.</t>
  </si>
  <si>
    <t>3943343239:eng</t>
  </si>
  <si>
    <t>14358476</t>
  </si>
  <si>
    <t>991000934949702656</t>
  </si>
  <si>
    <t>2258590520002656</t>
  </si>
  <si>
    <t>9780852245125</t>
  </si>
  <si>
    <t>32285000323724</t>
  </si>
  <si>
    <t>893865807</t>
  </si>
  <si>
    <t>BL65.I55 W67</t>
  </si>
  <si>
    <t>0                      BL 0065000I  55                 W  67</t>
  </si>
  <si>
    <t>World faiths and the new world order : a Muslim-Jewish-Christian search begins / edited by Joseph Gremillion, William Ryan.</t>
  </si>
  <si>
    <t>Washington : Interreligious Peace Colloquium, c1978.</t>
  </si>
  <si>
    <t>1998-01-29</t>
  </si>
  <si>
    <t>1990-04-17</t>
  </si>
  <si>
    <t>891305626:eng</t>
  </si>
  <si>
    <t>4589580</t>
  </si>
  <si>
    <t>991004684569702656</t>
  </si>
  <si>
    <t>2257948480002656</t>
  </si>
  <si>
    <t>32285000122191</t>
  </si>
  <si>
    <t>893526391</t>
  </si>
  <si>
    <t>BL65.L2 A95</t>
  </si>
  <si>
    <t>0                      BL 0065000L  2                  A  95</t>
  </si>
  <si>
    <t>The Autonomy of religious belief : a critical inquiry / edited with an introduction by Frederick J. Crosson.</t>
  </si>
  <si>
    <t>Notre Dame studies in the philosophy of religion ; v. 2</t>
  </si>
  <si>
    <t>1995-12-05</t>
  </si>
  <si>
    <t>806919340:eng</t>
  </si>
  <si>
    <t>7460777</t>
  </si>
  <si>
    <t>991005114349702656</t>
  </si>
  <si>
    <t>2264463510002656</t>
  </si>
  <si>
    <t>9780268005962</t>
  </si>
  <si>
    <t>32285000639020</t>
  </si>
  <si>
    <t>893619473</t>
  </si>
  <si>
    <t>BL65.L2 D44</t>
  </si>
  <si>
    <t>0                      BL 0065000L  2                  D  44</t>
  </si>
  <si>
    <t>Religion, language, and truth.</t>
  </si>
  <si>
    <t>[New York] Herder and Herder [1970]</t>
  </si>
  <si>
    <t>1320653:eng</t>
  </si>
  <si>
    <t>96184</t>
  </si>
  <si>
    <t>991000586909702656</t>
  </si>
  <si>
    <t>2271235320002656</t>
  </si>
  <si>
    <t>32285000323765</t>
  </si>
  <si>
    <t>893790659</t>
  </si>
  <si>
    <t>BL65.L2 F46 1982</t>
  </si>
  <si>
    <t>0                      BL 0065000L  2                  F  46          1982</t>
  </si>
  <si>
    <t>Liturgies and trials : the secularization of religious language / Richard K. Fenn.</t>
  </si>
  <si>
    <t>Fenn, Richard K.</t>
  </si>
  <si>
    <t>New York : Pilgrim Press, 1982.</t>
  </si>
  <si>
    <t>1995-01-19</t>
  </si>
  <si>
    <t>836690754:eng</t>
  </si>
  <si>
    <t>7947453</t>
  </si>
  <si>
    <t>991005182869702656</t>
  </si>
  <si>
    <t>2270194790002656</t>
  </si>
  <si>
    <t>9780829804959</t>
  </si>
  <si>
    <t>32285000323807</t>
  </si>
  <si>
    <t>893507746</t>
  </si>
  <si>
    <t>BL65.L2 G5</t>
  </si>
  <si>
    <t>0                      BL 0065000L  2                  G  5</t>
  </si>
  <si>
    <t>Naming the whirlwind; the renewal of God-language, by Langdon Gilkey.</t>
  </si>
  <si>
    <t>Indianapolis, Bobbs-Merrill [1969]</t>
  </si>
  <si>
    <t>1143658:eng</t>
  </si>
  <si>
    <t>21306</t>
  </si>
  <si>
    <t>991000038589702656</t>
  </si>
  <si>
    <t>2261547480002656</t>
  </si>
  <si>
    <t>32285000323815</t>
  </si>
  <si>
    <t>893314617</t>
  </si>
  <si>
    <t>BL65.L2 L85</t>
  </si>
  <si>
    <t>0                      BL 0065000L  2                  L  85</t>
  </si>
  <si>
    <t>Risk and rhetoric in religion; Whitehead's theory of language and the discourse of faith [by] Lyman T. Lundeen.</t>
  </si>
  <si>
    <t>Lundeen, Lyman T.</t>
  </si>
  <si>
    <t>2008-08-01</t>
  </si>
  <si>
    <t>347176438:eng</t>
  </si>
  <si>
    <t>278251</t>
  </si>
  <si>
    <t>991002177189702656</t>
  </si>
  <si>
    <t>2261167300002656</t>
  </si>
  <si>
    <t>9780800600501</t>
  </si>
  <si>
    <t>32285000323856</t>
  </si>
  <si>
    <t>893697448</t>
  </si>
  <si>
    <t>BL65.L2 T5</t>
  </si>
  <si>
    <t>0                      BL 0065000L  2                  T  5</t>
  </si>
  <si>
    <t>Talking of God : an introduction to philosophical analysis of religious language / by Terrence W. Tilley. --</t>
  </si>
  <si>
    <t>Tilley, Terrence W.</t>
  </si>
  <si>
    <t>New York : Paulist Press, c1978.</t>
  </si>
  <si>
    <t>An Exploration book</t>
  </si>
  <si>
    <t>14269950:eng</t>
  </si>
  <si>
    <t>4036389</t>
  </si>
  <si>
    <t>991004572269702656</t>
  </si>
  <si>
    <t>2269450290002656</t>
  </si>
  <si>
    <t>9780809121106</t>
  </si>
  <si>
    <t>32285000323906</t>
  </si>
  <si>
    <t>893782386</t>
  </si>
  <si>
    <t>BL65.L33 B47 1974</t>
  </si>
  <si>
    <t>0                      BL 0065000L  33                 B  47          1974</t>
  </si>
  <si>
    <t>The interaction of law and religion / [by] Harold J. Berman.</t>
  </si>
  <si>
    <t>Berman, Harold J. (Harold Joseph), 1918-2007.</t>
  </si>
  <si>
    <t>Nashville : Abingdon Press, [1974]</t>
  </si>
  <si>
    <t>1994-11-07</t>
  </si>
  <si>
    <t>1993-02-11</t>
  </si>
  <si>
    <t>116830868:eng</t>
  </si>
  <si>
    <t>707318</t>
  </si>
  <si>
    <t>991001672019702656</t>
  </si>
  <si>
    <t>2269168140002656</t>
  </si>
  <si>
    <t>9780687191277</t>
  </si>
  <si>
    <t>32285001495893</t>
  </si>
  <si>
    <t>893426753</t>
  </si>
  <si>
    <t>BL65.L63 B6</t>
  </si>
  <si>
    <t>0                      BL 0065000L  63                 B  6</t>
  </si>
  <si>
    <t>The logic of religion, by Joseph M. Bochenski.</t>
  </si>
  <si>
    <t>Bochenski, Joseph M., 1902-1995.</t>
  </si>
  <si>
    <t>[New York] New York University Press, 1965.</t>
  </si>
  <si>
    <t>324051496:eng</t>
  </si>
  <si>
    <t>320905</t>
  </si>
  <si>
    <t>991002326019702656</t>
  </si>
  <si>
    <t>2255896810002656</t>
  </si>
  <si>
    <t>32285000323930</t>
  </si>
  <si>
    <t>893691494</t>
  </si>
  <si>
    <t>BL65.M4 C37 1986</t>
  </si>
  <si>
    <t>0                      BL 0065000M  4                  C  37          1986</t>
  </si>
  <si>
    <t>Caring and curing : health and medicine in the Western religious traditions / edited by Ronald L. Numbers and Darrel W. Amundsen.</t>
  </si>
  <si>
    <t>New York, N.Y. : Macmillan, c1986.</t>
  </si>
  <si>
    <t>2006-06-16</t>
  </si>
  <si>
    <t>836983591:eng</t>
  </si>
  <si>
    <t>13328058</t>
  </si>
  <si>
    <t>991000808369702656</t>
  </si>
  <si>
    <t>2259228560002656</t>
  </si>
  <si>
    <t>9780029192702</t>
  </si>
  <si>
    <t>32285000323948</t>
  </si>
  <si>
    <t>893333794</t>
  </si>
  <si>
    <t>BL65.M4 F52</t>
  </si>
  <si>
    <t>0                      BL 0065000M  4                  F  52</t>
  </si>
  <si>
    <t>Religion and pain : the spiritual dimensions of health care / Joseph H. Fichter.</t>
  </si>
  <si>
    <t>Fichter, Joseph Henry, 1908-1994.</t>
  </si>
  <si>
    <t>1993-03-24</t>
  </si>
  <si>
    <t>1008356405:eng</t>
  </si>
  <si>
    <t>7555129</t>
  </si>
  <si>
    <t>991005128389702656</t>
  </si>
  <si>
    <t>2266304330002656</t>
  </si>
  <si>
    <t>9780824501020</t>
  </si>
  <si>
    <t>32285000323971</t>
  </si>
  <si>
    <t>893501366</t>
  </si>
  <si>
    <t>BL65.M4 S26</t>
  </si>
  <si>
    <t>0                      BL 0065000M  4                  S  26</t>
  </si>
  <si>
    <t>Healing and wholeness / by John A. Sanford.</t>
  </si>
  <si>
    <t>Sanford, John A.</t>
  </si>
  <si>
    <t>1994-03-28</t>
  </si>
  <si>
    <t>466130:eng</t>
  </si>
  <si>
    <t>3630494</t>
  </si>
  <si>
    <t>991004482749702656</t>
  </si>
  <si>
    <t>2258643470002656</t>
  </si>
  <si>
    <t>9780809102259</t>
  </si>
  <si>
    <t>32285000323997</t>
  </si>
  <si>
    <t>893436335</t>
  </si>
  <si>
    <t>BL65.M4 T44</t>
  </si>
  <si>
    <t>0                      BL 0065000M  4                  T  44</t>
  </si>
  <si>
    <t>Theological roots of wholistic health care : a response to the religious questions which have been raised / Granger E. Westberg, editor ; Contributors, Thomas A. Droege ... [et al.].</t>
  </si>
  <si>
    <t>Hinsdale, Il. : Wholistic Health Ctrs., 1979.</t>
  </si>
  <si>
    <t>Monographs on wholistic health care ; 5</t>
  </si>
  <si>
    <t>1994-04-08</t>
  </si>
  <si>
    <t>425910843:eng</t>
  </si>
  <si>
    <t>5657392</t>
  </si>
  <si>
    <t>991004854029702656</t>
  </si>
  <si>
    <t>2272082730002656</t>
  </si>
  <si>
    <t>32285000324003</t>
  </si>
  <si>
    <t>893722634</t>
  </si>
  <si>
    <t>BL65.N3 V6</t>
  </si>
  <si>
    <t>0                      BL 0065000N  3                  V  6</t>
  </si>
  <si>
    <t>Religion and nationalism in Southeast Asia: Burma, Indonesia, the Philippines.</t>
  </si>
  <si>
    <t>Von der Mehden, Fred R.</t>
  </si>
  <si>
    <t>Madison, University of Wisconsin Press, 1963.</t>
  </si>
  <si>
    <t>1999-04-19</t>
  </si>
  <si>
    <t>1456275:eng</t>
  </si>
  <si>
    <t>373439</t>
  </si>
  <si>
    <t>991002570069702656</t>
  </si>
  <si>
    <t>2261217880002656</t>
  </si>
  <si>
    <t>32285000324029</t>
  </si>
  <si>
    <t>893530183</t>
  </si>
  <si>
    <t>BL65.P3 N44</t>
  </si>
  <si>
    <t>0                      BL 0065000P  3                  N  44</t>
  </si>
  <si>
    <t>Psychic phenomena and religion: ESP, prayer, healing, survival, by H. Richard Neff.</t>
  </si>
  <si>
    <t>Neff, H. Richard, 1933-</t>
  </si>
  <si>
    <t>2000-04-05</t>
  </si>
  <si>
    <t>422252361:eng</t>
  </si>
  <si>
    <t>164177</t>
  </si>
  <si>
    <t>991000935029702656</t>
  </si>
  <si>
    <t>2272100040002656</t>
  </si>
  <si>
    <t>9780664249311</t>
  </si>
  <si>
    <t>32285000324037</t>
  </si>
  <si>
    <t>893426185</t>
  </si>
  <si>
    <t>BL65.P4 A44 1991</t>
  </si>
  <si>
    <t>0                      BL 0065000P  4                  A  44          1991</t>
  </si>
  <si>
    <t>The American search for peace : moral reasoning, religious hope, and national security / essays by James F. Childress ... [et al.] ; with conversations reported by Alberto R. Coll ; edited by George Weigel and John P. Langan.</t>
  </si>
  <si>
    <t>Washington, D.C. : Georgetown University Press, c1991.</t>
  </si>
  <si>
    <t>2008-02-05</t>
  </si>
  <si>
    <t>24555602:eng</t>
  </si>
  <si>
    <t>22887843</t>
  </si>
  <si>
    <t>991005174319702656</t>
  </si>
  <si>
    <t>2268708230002656</t>
  </si>
  <si>
    <t>9780878405077</t>
  </si>
  <si>
    <t>32285005392419</t>
  </si>
  <si>
    <t>893713569</t>
  </si>
  <si>
    <t>BL65.P7 S6</t>
  </si>
  <si>
    <t>0                      BL 0065000P  7                  S  6</t>
  </si>
  <si>
    <t>Religion and political development, an analytic study.</t>
  </si>
  <si>
    <t>Smith, Donald Eugene, 1927-</t>
  </si>
  <si>
    <t>Boston, Little, Brown [1970]</t>
  </si>
  <si>
    <t>The Little, Brown series in comparative politics</t>
  </si>
  <si>
    <t>2010-02-15</t>
  </si>
  <si>
    <t>1323133:eng</t>
  </si>
  <si>
    <t>96830</t>
  </si>
  <si>
    <t>991000592449702656</t>
  </si>
  <si>
    <t>2271078310002656</t>
  </si>
  <si>
    <t>32285000324110</t>
  </si>
  <si>
    <t>893784364</t>
  </si>
  <si>
    <t>BL65.R48 R45 1985</t>
  </si>
  <si>
    <t>0                      BL 0065000R  48                 R  45          1985</t>
  </si>
  <si>
    <t>Religion, rebellion, revolution : an interdisciplinary and cross-cultural collection of essays / edited by Bruce Lincoln.</t>
  </si>
  <si>
    <t>New York : St. Martin's Press, 1985.</t>
  </si>
  <si>
    <t>836727228:eng</t>
  </si>
  <si>
    <t>11755715</t>
  </si>
  <si>
    <t>991000584289702656</t>
  </si>
  <si>
    <t>2270766110002656</t>
  </si>
  <si>
    <t>9780312670610</t>
  </si>
  <si>
    <t>32285000324144</t>
  </si>
  <si>
    <t>893425848</t>
  </si>
  <si>
    <t>BL65.R48 T47 1987</t>
  </si>
  <si>
    <t>0                      BL 0065000R  48                 T  47          1987</t>
  </si>
  <si>
    <t>The Terrible meek : religion and revolution in cross-cultural perspective / edited by Lonnie D. Kliever.</t>
  </si>
  <si>
    <t>New York : Paragon House Publishers, c1987.</t>
  </si>
  <si>
    <t>1994-04-27</t>
  </si>
  <si>
    <t>1990-04-30</t>
  </si>
  <si>
    <t>144018150:eng</t>
  </si>
  <si>
    <t>14377306</t>
  </si>
  <si>
    <t>991000937989702656</t>
  </si>
  <si>
    <t>2262249340002656</t>
  </si>
  <si>
    <t>9780887022142</t>
  </si>
  <si>
    <t>32285000127604</t>
  </si>
  <si>
    <t>893237739</t>
  </si>
  <si>
    <t>BL65.S4 H2 1948</t>
  </si>
  <si>
    <t>0                      BL 0065000S  4                  H  2           1948</t>
  </si>
  <si>
    <t>Accent on purity : a Catholic guide for sex education / by Joseph E. Haley.</t>
  </si>
  <si>
    <t>Haley, Joseph E. (Joseph Edmund)</t>
  </si>
  <si>
    <t>South Bend [Ind.] : Fides Publishers, [1948]</t>
  </si>
  <si>
    <t>2005-03-29</t>
  </si>
  <si>
    <t>856147235:eng</t>
  </si>
  <si>
    <t>1284170</t>
  </si>
  <si>
    <t>991003668579702656</t>
  </si>
  <si>
    <t>2265149400002656</t>
  </si>
  <si>
    <t>32285000324151</t>
  </si>
  <si>
    <t>893793889</t>
  </si>
  <si>
    <t>BL65.S4 L5</t>
  </si>
  <si>
    <t>0                      BL 0065000S  4                  L  5</t>
  </si>
  <si>
    <t>Love &amp; sexuality / by Odile M. Liebard. --</t>
  </si>
  <si>
    <t>Liebard, Odile M.</t>
  </si>
  <si>
    <t>Wilmington, N.C. : McGrath, 1978.</t>
  </si>
  <si>
    <t>Official Catholic teachings</t>
  </si>
  <si>
    <t>2010-04-27</t>
  </si>
  <si>
    <t>1990-04-10</t>
  </si>
  <si>
    <t>3943769401:eng</t>
  </si>
  <si>
    <t>4348035</t>
  </si>
  <si>
    <t>991004627209702656</t>
  </si>
  <si>
    <t>2265668520002656</t>
  </si>
  <si>
    <t>32285000113109</t>
  </si>
  <si>
    <t>893618882</t>
  </si>
  <si>
    <t>BL65.S4 P3</t>
  </si>
  <si>
    <t>0                      BL 0065000S  4                  P  3</t>
  </si>
  <si>
    <t>Sex in the world's religions / Geoffrey Parrinder.</t>
  </si>
  <si>
    <t>New York : Oxford University Press, 1980.</t>
  </si>
  <si>
    <t>2002-09-08</t>
  </si>
  <si>
    <t>3857778122:eng</t>
  </si>
  <si>
    <t>6518887</t>
  </si>
  <si>
    <t>991004996219702656</t>
  </si>
  <si>
    <t>2269859670002656</t>
  </si>
  <si>
    <t>9780195201932</t>
  </si>
  <si>
    <t>32285000324169</t>
  </si>
  <si>
    <t>893230089</t>
  </si>
  <si>
    <t>BL65.S8 S6</t>
  </si>
  <si>
    <t>0                      BL 0065000S  8                  S  6</t>
  </si>
  <si>
    <t>South Asian politics and religion.</t>
  </si>
  <si>
    <t>Smith, Donald Eugene, 1927-, editor.</t>
  </si>
  <si>
    <t>Princeton, N.J., Princeton University Press, 1966.</t>
  </si>
  <si>
    <t>1995-09-28</t>
  </si>
  <si>
    <t>308777235:eng</t>
  </si>
  <si>
    <t>373859</t>
  </si>
  <si>
    <t>991002571719702656</t>
  </si>
  <si>
    <t>2261109740002656</t>
  </si>
  <si>
    <t>32285000324201</t>
  </si>
  <si>
    <t>893716620</t>
  </si>
  <si>
    <t>BL65.W2 A38</t>
  </si>
  <si>
    <t>0                      BL 0065000W  2                  A  38</t>
  </si>
  <si>
    <t>Religious mythology and the art of war : comparative religious symbolisms of military violence / James A. Aho.</t>
  </si>
  <si>
    <t>Aho, James A., 1942-</t>
  </si>
  <si>
    <t>Contributions to the study of religion, 0196-7053 ; no. 3</t>
  </si>
  <si>
    <t>2001-05-01</t>
  </si>
  <si>
    <t>446466:eng</t>
  </si>
  <si>
    <t>6734327</t>
  </si>
  <si>
    <t>991005032309702656</t>
  </si>
  <si>
    <t>2268518030002656</t>
  </si>
  <si>
    <t>9780313225642</t>
  </si>
  <si>
    <t>32285000324235</t>
  </si>
  <si>
    <t>893254350</t>
  </si>
  <si>
    <t>BL65.W2 F47 1978</t>
  </si>
  <si>
    <t>0                      BL 0065000W  2                  F  47          1978</t>
  </si>
  <si>
    <t>War and peace in the world's religions / by John Ferguson.</t>
  </si>
  <si>
    <t>Ferguson, John, 1921-1989.</t>
  </si>
  <si>
    <t>New York : Oxford University Press, 1978, c1977.</t>
  </si>
  <si>
    <t>148922793:eng</t>
  </si>
  <si>
    <t>4004292</t>
  </si>
  <si>
    <t>991004565029702656</t>
  </si>
  <si>
    <t>2264881330002656</t>
  </si>
  <si>
    <t>9780195200737</t>
  </si>
  <si>
    <t>32285000324243</t>
  </si>
  <si>
    <t>893241597</t>
  </si>
  <si>
    <t>BL660 .D793513 1983</t>
  </si>
  <si>
    <t>0                      BL 0660000D  793513      1983</t>
  </si>
  <si>
    <t>The stakes of the warrior / Georges Dumézil ; translated by David Weeks ; edited, with an introduction, by Jaan Puhvel.</t>
  </si>
  <si>
    <t>Dumézil, Georges, 1898-1986.</t>
  </si>
  <si>
    <t>Berkeley : University of California Press, c1983.</t>
  </si>
  <si>
    <t>2000-03-04</t>
  </si>
  <si>
    <t>49112438:eng</t>
  </si>
  <si>
    <t>8670163</t>
  </si>
  <si>
    <t>991000047799702656</t>
  </si>
  <si>
    <t>2267484920002656</t>
  </si>
  <si>
    <t>9780520048348</t>
  </si>
  <si>
    <t>32285000346899</t>
  </si>
  <si>
    <t>893865030</t>
  </si>
  <si>
    <t>BL660 .D79413</t>
  </si>
  <si>
    <t>0                      BL 0660000D  79413</t>
  </si>
  <si>
    <t>The destiny of the warrior. Translated by Alf Hiltebeitel.</t>
  </si>
  <si>
    <t>Chicago, University of Chicago Press [1970]</t>
  </si>
  <si>
    <t>140216355:eng</t>
  </si>
  <si>
    <t>250929</t>
  </si>
  <si>
    <t>991001946289702656</t>
  </si>
  <si>
    <t>2268316400002656</t>
  </si>
  <si>
    <t>9780226169705</t>
  </si>
  <si>
    <t>32285000346907</t>
  </si>
  <si>
    <t>893797976</t>
  </si>
  <si>
    <t>BL660 .M9</t>
  </si>
  <si>
    <t>0                      BL 0660000M  9</t>
  </si>
  <si>
    <t>Myth and law among the Indo-Europeans; studies in Indo-European comparative mythology. Edited by Jaan Puhvel.</t>
  </si>
  <si>
    <t>Berkeley, University of California Press, 1970.</t>
  </si>
  <si>
    <t>Publications of the UCLA Center for the Study of Comparative Folklore and Mythology ; 1</t>
  </si>
  <si>
    <t>2002-12-16</t>
  </si>
  <si>
    <t>864937545:eng</t>
  </si>
  <si>
    <t>129371</t>
  </si>
  <si>
    <t>991000740969702656</t>
  </si>
  <si>
    <t>2266671770002656</t>
  </si>
  <si>
    <t>9780520015876</t>
  </si>
  <si>
    <t>32285000346915</t>
  </si>
  <si>
    <t>893243534</t>
  </si>
  <si>
    <t>BL660 .M93</t>
  </si>
  <si>
    <t>0                      BL 0660000M  93</t>
  </si>
  <si>
    <t>Myth in Indo-European antiquity. Edited by Gerald James Larson. Co-edited by C. Scott Littleton and Jaan Puhvel.</t>
  </si>
  <si>
    <t>Berkeley, University of California Press, 1974.</t>
  </si>
  <si>
    <t>Publications of the UCSB Institute of Religious Studies</t>
  </si>
  <si>
    <t>2008-12-15</t>
  </si>
  <si>
    <t>350365023:eng</t>
  </si>
  <si>
    <t>902319</t>
  </si>
  <si>
    <t>991003366389702656</t>
  </si>
  <si>
    <t>2262567530002656</t>
  </si>
  <si>
    <t>9780520023789</t>
  </si>
  <si>
    <t>32285000346923</t>
  </si>
  <si>
    <t>893324031</t>
  </si>
  <si>
    <t>BL687 .C55 1986</t>
  </si>
  <si>
    <t>0                      BL 0687000C  55          1986</t>
  </si>
  <si>
    <t>Classical Mediterranean spirituality : Egyptian, Greek, Roman / edited by A.H. Armstrong.</t>
  </si>
  <si>
    <t>World spirituality ; v. 15</t>
  </si>
  <si>
    <t>1996-07-15</t>
  </si>
  <si>
    <t>54806784:eng</t>
  </si>
  <si>
    <t>13426409</t>
  </si>
  <si>
    <t>991000828819702656</t>
  </si>
  <si>
    <t>2264651770002656</t>
  </si>
  <si>
    <t>9780824507640</t>
  </si>
  <si>
    <t>32285000346931</t>
  </si>
  <si>
    <t>893327631</t>
  </si>
  <si>
    <t>BL687 .R45 1987</t>
  </si>
  <si>
    <t>0                      BL 0687000R  45          1987</t>
  </si>
  <si>
    <t>Readings in Western religious thought : the ancient world / edited by Patrick V. Reid.</t>
  </si>
  <si>
    <t>Reid, Patrick, 1944-</t>
  </si>
  <si>
    <t>New York : Paulist Press, c1987.</t>
  </si>
  <si>
    <t>2003-11-14</t>
  </si>
  <si>
    <t>2869324039:eng</t>
  </si>
  <si>
    <t>14240500</t>
  </si>
  <si>
    <t>991000926419702656</t>
  </si>
  <si>
    <t>2258882530002656</t>
  </si>
  <si>
    <t>9780809128501</t>
  </si>
  <si>
    <t>32285000346949</t>
  </si>
  <si>
    <t>893438705</t>
  </si>
  <si>
    <t>BL687 .S43 1995</t>
  </si>
  <si>
    <t>0                      BL 0687000S  43          1995</t>
  </si>
  <si>
    <t>Secrecy and concealment : studies in the history of Mediterranean and Near Eastern religions / edited by Hans G. Kippenberg and Guy G. Stroumsa.</t>
  </si>
  <si>
    <t>Leiden ; New York : E.J. Brill, 1995.</t>
  </si>
  <si>
    <t>1995</t>
  </si>
  <si>
    <t>Studies in the history of religions, 0169-8834 ; v. 65</t>
  </si>
  <si>
    <t>1998-03-18</t>
  </si>
  <si>
    <t>1996-06-20</t>
  </si>
  <si>
    <t>890196563:eng</t>
  </si>
  <si>
    <t>31969450</t>
  </si>
  <si>
    <t>991002450789702656</t>
  </si>
  <si>
    <t>2260892340002656</t>
  </si>
  <si>
    <t>9789004102354</t>
  </si>
  <si>
    <t>32285002171212</t>
  </si>
  <si>
    <t>893239061</t>
  </si>
  <si>
    <t>BL70 .E43 1974</t>
  </si>
  <si>
    <t>0                      BL 0070000E  43          1974</t>
  </si>
  <si>
    <t>Man and the sacred; a thematic source book of the history of religions.</t>
  </si>
  <si>
    <t>New York, Harper &amp; Row [1974]</t>
  </si>
  <si>
    <t>2006-12-09</t>
  </si>
  <si>
    <t>52668543:eng</t>
  </si>
  <si>
    <t>1052885</t>
  </si>
  <si>
    <t>991003500289702656</t>
  </si>
  <si>
    <t>2270108900002656</t>
  </si>
  <si>
    <t>32285000324250</t>
  </si>
  <si>
    <t>893258481</t>
  </si>
  <si>
    <t>BL71 .C74</t>
  </si>
  <si>
    <t>0                      BL 0071000C  74</t>
  </si>
  <si>
    <t>The Critical study of sacred texts / edited by Wendy Doniger O'Flaherty.</t>
  </si>
  <si>
    <t>[Berkeley] : Graduate Theological Union, 1979.</t>
  </si>
  <si>
    <t>Berkeley religious studies series ; 2</t>
  </si>
  <si>
    <t>2008-11-11</t>
  </si>
  <si>
    <t>365494427:eng</t>
  </si>
  <si>
    <t>5776177</t>
  </si>
  <si>
    <t>991004873069702656</t>
  </si>
  <si>
    <t>2255815970002656</t>
  </si>
  <si>
    <t>9780895811011</t>
  </si>
  <si>
    <t>32285000324292</t>
  </si>
  <si>
    <t>893789189</t>
  </si>
  <si>
    <t>BL71 .R44 1987</t>
  </si>
  <si>
    <t>0                      BL 0071000R  44          1987</t>
  </si>
  <si>
    <t>Les Règles de l'interprétation / édité par Michel Tardieu.</t>
  </si>
  <si>
    <t>Paris : Cerf, 1987.</t>
  </si>
  <si>
    <t xml:space="preserve">fr </t>
  </si>
  <si>
    <t>Patrimoines. Religions du livre</t>
  </si>
  <si>
    <t>2006-08-01</t>
  </si>
  <si>
    <t>345982917:fre</t>
  </si>
  <si>
    <t>17618087</t>
  </si>
  <si>
    <t>991001239969702656</t>
  </si>
  <si>
    <t>2256422330002656</t>
  </si>
  <si>
    <t>9782204025232</t>
  </si>
  <si>
    <t>32285000324326</t>
  </si>
  <si>
    <t>893791307</t>
  </si>
  <si>
    <t>BL715 .G68 1979</t>
  </si>
  <si>
    <t>0                      BL 0715000G  68          1979</t>
  </si>
  <si>
    <t>Who's who in classical mythology / Michael Grant and John Hazel.</t>
  </si>
  <si>
    <t>Grant, Michael, 1914-2004.</t>
  </si>
  <si>
    <t>London : Hodder and Stoughten ; New York : D. McKay, 1979.</t>
  </si>
  <si>
    <t>Teach yourself books</t>
  </si>
  <si>
    <t>2007-12-05</t>
  </si>
  <si>
    <t>20720596:eng</t>
  </si>
  <si>
    <t>6617588</t>
  </si>
  <si>
    <t>991005014419702656</t>
  </si>
  <si>
    <t>2257320060002656</t>
  </si>
  <si>
    <t>9780340238462</t>
  </si>
  <si>
    <t>32285002402682</t>
  </si>
  <si>
    <t>893613008</t>
  </si>
  <si>
    <t>BL715 .Z5</t>
  </si>
  <si>
    <t>0                      BL 0715000Z  5</t>
  </si>
  <si>
    <t>Dictionary of classical mythology.</t>
  </si>
  <si>
    <t>Zimmerman, J. E. (John Edward), 1901-</t>
  </si>
  <si>
    <t>2010-06-15</t>
  </si>
  <si>
    <t>1998-04-08</t>
  </si>
  <si>
    <t>402141:eng</t>
  </si>
  <si>
    <t>381397</t>
  </si>
  <si>
    <t>991001178609702656</t>
  </si>
  <si>
    <t>2259713180002656</t>
  </si>
  <si>
    <t>32285003388385</t>
  </si>
  <si>
    <t>893608622</t>
  </si>
  <si>
    <t>BL721 .G3 1911</t>
  </si>
  <si>
    <t>0                      BL 0721000G  3           1911</t>
  </si>
  <si>
    <t>The classic myths in English literature and in art based originally on Bulfinch's "Age of fable" (1855) accompanied by an interpretative and illustrative commentary, by Charles Mills Gayley.</t>
  </si>
  <si>
    <t>Gayley, Charles Mills, 1858-1932 editor.</t>
  </si>
  <si>
    <t>Boston, New York [etc.] Ginn and company [c1911]</t>
  </si>
  <si>
    <t>New ed., rev. and enl.</t>
  </si>
  <si>
    <t>10596147469:eng</t>
  </si>
  <si>
    <t>381391</t>
  </si>
  <si>
    <t>991002623699702656</t>
  </si>
  <si>
    <t>2259713710002656</t>
  </si>
  <si>
    <t>32285000347079</t>
  </si>
  <si>
    <t>893867464</t>
  </si>
  <si>
    <t>BL721 .G8</t>
  </si>
  <si>
    <t>0                      BL 0721000G  8</t>
  </si>
  <si>
    <t>Myths of Greece and Rome, narrated with special reference to literature and art, by H. A. Guerber ...</t>
  </si>
  <si>
    <t>Guerber, H. A. (Hélène Adeline), 1859-1929.</t>
  </si>
  <si>
    <t>New York, Chicago [etc.] American book company [1893]</t>
  </si>
  <si>
    <t>1893</t>
  </si>
  <si>
    <t>3772411047:eng</t>
  </si>
  <si>
    <t>376978</t>
  </si>
  <si>
    <t>991002598959702656</t>
  </si>
  <si>
    <t>2263640920002656</t>
  </si>
  <si>
    <t>32285000347103</t>
  </si>
  <si>
    <t>893804794</t>
  </si>
  <si>
    <t>BL722 .G7</t>
  </si>
  <si>
    <t>0                      BL 0722000G  7</t>
  </si>
  <si>
    <t>Myths of the Greeks and Romans / Michael Grant.</t>
  </si>
  <si>
    <t>London : Weidenfeld and Nicholson, [1962]</t>
  </si>
  <si>
    <t>1995-05-17</t>
  </si>
  <si>
    <t>104245907:eng</t>
  </si>
  <si>
    <t>6951490</t>
  </si>
  <si>
    <t>991005065449702656</t>
  </si>
  <si>
    <t>2261452910002656</t>
  </si>
  <si>
    <t>32285000127638</t>
  </si>
  <si>
    <t>893533102</t>
  </si>
  <si>
    <t>BL722 .K4 1962</t>
  </si>
  <si>
    <t>0                      BL 0722000K  4           1962</t>
  </si>
  <si>
    <t>The religion of the Greeks and Romans [Translated by Christopher Holme]</t>
  </si>
  <si>
    <t>Kerényi, Karl, 1897-1973.</t>
  </si>
  <si>
    <t>London, Thames and Hudson, 1962.</t>
  </si>
  <si>
    <t>2006-04-20</t>
  </si>
  <si>
    <t>500625:eng</t>
  </si>
  <si>
    <t>2735353</t>
  </si>
  <si>
    <t>991004227189702656</t>
  </si>
  <si>
    <t>2259377450002656</t>
  </si>
  <si>
    <t>32285000347129</t>
  </si>
  <si>
    <t>893506579</t>
  </si>
  <si>
    <t>BL722 .M33 1987</t>
  </si>
  <si>
    <t>0                      BL 0722000M  33          1987</t>
  </si>
  <si>
    <t>Hellenistic religions : an introduction / Luther H. Martin.</t>
  </si>
  <si>
    <t>Martin, Luther H., 1937-</t>
  </si>
  <si>
    <t>New York : Oxford University Press, 1987.</t>
  </si>
  <si>
    <t>2001-02-18</t>
  </si>
  <si>
    <t>364530550:eng</t>
  </si>
  <si>
    <t>15016456</t>
  </si>
  <si>
    <t>991000976939702656</t>
  </si>
  <si>
    <t>2264489170002656</t>
  </si>
  <si>
    <t>9780195043907</t>
  </si>
  <si>
    <t>32285000572593</t>
  </si>
  <si>
    <t>893884926</t>
  </si>
  <si>
    <t>BL722 .R4</t>
  </si>
  <si>
    <t>0                      BL 0722000R  4</t>
  </si>
  <si>
    <t>Past and present; the continuity of classical myths. Drawings by Anna Held Audette.</t>
  </si>
  <si>
    <t>Reinhold, Meyer, 1909-2002.</t>
  </si>
  <si>
    <t>Toronto, Hakkert, 1972.</t>
  </si>
  <si>
    <t>2000-03-28</t>
  </si>
  <si>
    <t>197420902:eng</t>
  </si>
  <si>
    <t>466902</t>
  </si>
  <si>
    <t>991002821609702656</t>
  </si>
  <si>
    <t>2263854440002656</t>
  </si>
  <si>
    <t>9780888665034</t>
  </si>
  <si>
    <t>32285000347145</t>
  </si>
  <si>
    <t>893445383</t>
  </si>
  <si>
    <t>BL725 .S15 1940</t>
  </si>
  <si>
    <t>0                      BL 0725000S  15          1940</t>
  </si>
  <si>
    <t>Classical myths that live today, by Frances E. Sabin ; Ralph Van Deman Magoffin, classical editor.</t>
  </si>
  <si>
    <t>Sabin, Frances E. (Frances Ellis), 1870-1943.</t>
  </si>
  <si>
    <t>New York, Newark, Silver, Burdette and company [1940]</t>
  </si>
  <si>
    <t>1999-02-16</t>
  </si>
  <si>
    <t>572621:eng</t>
  </si>
  <si>
    <t>409223</t>
  </si>
  <si>
    <t>991002710969702656</t>
  </si>
  <si>
    <t>2262168520002656</t>
  </si>
  <si>
    <t>32285000347160</t>
  </si>
  <si>
    <t>893427917</t>
  </si>
  <si>
    <t>BL727 .E37 1987</t>
  </si>
  <si>
    <t>0                      BL 0727000E  37          1987</t>
  </si>
  <si>
    <t>The road to Daulis : psychoanalysis, psychology, and classical mythology / Robert Eisner.</t>
  </si>
  <si>
    <t>Eisner, Robert, 1945-</t>
  </si>
  <si>
    <t>Syracuse, N.Y. : Syracuse University Press, 1987.</t>
  </si>
  <si>
    <t>8371035:eng</t>
  </si>
  <si>
    <t>15108407</t>
  </si>
  <si>
    <t>991000991619702656</t>
  </si>
  <si>
    <t>2267479010002656</t>
  </si>
  <si>
    <t>9780815602101</t>
  </si>
  <si>
    <t>32285000347194</t>
  </si>
  <si>
    <t>893327772</t>
  </si>
  <si>
    <t>BL74 .E18</t>
  </si>
  <si>
    <t>0                      BL 0074000E  18</t>
  </si>
  <si>
    <t>The ways of religion / edited by Roger Eastman.</t>
  </si>
  <si>
    <t>Eastman, Roger, compiler.</t>
  </si>
  <si>
    <t>San Francisco : Canfield Press, [1975]</t>
  </si>
  <si>
    <t>2000-04-26</t>
  </si>
  <si>
    <t>9490265649:eng</t>
  </si>
  <si>
    <t>1111473</t>
  </si>
  <si>
    <t>991003545809702656</t>
  </si>
  <si>
    <t>2269661930002656</t>
  </si>
  <si>
    <t>9780063825956</t>
  </si>
  <si>
    <t>32285000324359</t>
  </si>
  <si>
    <t>893512064</t>
  </si>
  <si>
    <t>BL74 .E45 1967</t>
  </si>
  <si>
    <t>0                      BL 0074000E  45          1967</t>
  </si>
  <si>
    <t>From primitives to Zen; a thematic sourcebook of the history of religions.</t>
  </si>
  <si>
    <t>New York, Harper &amp; Row [1967]</t>
  </si>
  <si>
    <t>1998-09-13</t>
  </si>
  <si>
    <t>836681282:eng</t>
  </si>
  <si>
    <t>337659</t>
  </si>
  <si>
    <t>991002402869702656</t>
  </si>
  <si>
    <t>2255710010002656</t>
  </si>
  <si>
    <t>32285000324367</t>
  </si>
  <si>
    <t>893251167</t>
  </si>
  <si>
    <t>BL74 .Q8 1925</t>
  </si>
  <si>
    <t>0                      BL 0074000Q  8           1925</t>
  </si>
  <si>
    <t>Ginz♯¿, der Schatz : oder das Grosse buch der Mand¿́¿¿́Ư℗♭¿̐ưer / ¿́¿¿́Ư℗Ł¿¿bersetzt und erkl¿́¿¿́Ư℗♭¿̐ưrt von Mark Lidzbarski.</t>
  </si>
  <si>
    <t>Ginzā.</t>
  </si>
  <si>
    <t>G©œttingen : Vandenhoeck &amp; Ruprecht ; Leipzig : J. C. Hinrichs, 1925.</t>
  </si>
  <si>
    <t>ger</t>
  </si>
  <si>
    <t>Quellen der Religionsgeschichte. Gruppe 4, Gnostizismus einschliesslich mand©Þische Religion</t>
  </si>
  <si>
    <t>2008-04-18</t>
  </si>
  <si>
    <t>2000-04-11</t>
  </si>
  <si>
    <t>5935198:ger</t>
  </si>
  <si>
    <t>2721427</t>
  </si>
  <si>
    <t>991004223719702656</t>
  </si>
  <si>
    <t>2258630910002656</t>
  </si>
  <si>
    <t>32285003676102</t>
  </si>
  <si>
    <t>893343594</t>
  </si>
  <si>
    <t>BL74 .W52</t>
  </si>
  <si>
    <t>0                      BL 0074000W  52</t>
  </si>
  <si>
    <t>The edge of wisdom : a source book of religious and secular writers / Robert S. Wicks.</t>
  </si>
  <si>
    <t>Wicks, Robert S. editor.</t>
  </si>
  <si>
    <t>New York : Scribner, 1964.</t>
  </si>
  <si>
    <t>1995-04-09</t>
  </si>
  <si>
    <t>3843795:eng</t>
  </si>
  <si>
    <t>2204198</t>
  </si>
  <si>
    <t>991004047729702656</t>
  </si>
  <si>
    <t>2259642890002656</t>
  </si>
  <si>
    <t>32285000324375</t>
  </si>
  <si>
    <t>893240957</t>
  </si>
  <si>
    <t>BL781 .F43 1974</t>
  </si>
  <si>
    <t>0                      BL 0781000F  43          1974</t>
  </si>
  <si>
    <t>Outline-history of Greek religion / by Lewis Richard Farnell.</t>
  </si>
  <si>
    <t>Farnell, Lewis Richard, 1856-1934.</t>
  </si>
  <si>
    <t>Chicago : Ares Publishers, 1974.</t>
  </si>
  <si>
    <t>2001-08-23</t>
  </si>
  <si>
    <t>2109931:eng</t>
  </si>
  <si>
    <t>1217536</t>
  </si>
  <si>
    <t>991003606999702656</t>
  </si>
  <si>
    <t>2272274600002656</t>
  </si>
  <si>
    <t>9780890050255</t>
  </si>
  <si>
    <t>32285004380225</t>
  </si>
  <si>
    <t>893868619</t>
  </si>
  <si>
    <t>BL781 .M6 1925</t>
  </si>
  <si>
    <t>0                      BL 0781000M  6           1925</t>
  </si>
  <si>
    <t>The religious thought of the Greeks, from Homer to the triumph of Christianity, by Clifford Herschel Moore.</t>
  </si>
  <si>
    <t>Cambridge [Mass.] Harvard University Press, 1925.</t>
  </si>
  <si>
    <t>2008-02-28</t>
  </si>
  <si>
    <t>1990-10-15</t>
  </si>
  <si>
    <t>2093109:eng</t>
  </si>
  <si>
    <t>1159405</t>
  </si>
  <si>
    <t>991003578839702656</t>
  </si>
  <si>
    <t>2262266840002656</t>
  </si>
  <si>
    <t>32285000347921</t>
  </si>
  <si>
    <t>893348832</t>
  </si>
  <si>
    <t>BL782 .P6 1967</t>
  </si>
  <si>
    <t>0                      BL 0782000P  6           1967</t>
  </si>
  <si>
    <t>Seers, shrines, and sirens; the Greek religious revolution in the sixth century B.C.</t>
  </si>
  <si>
    <t>Pollard, John, 1914-</t>
  </si>
  <si>
    <t>South Brunswick [N.J.] A. S. Barnes [1967, c1965]</t>
  </si>
  <si>
    <t>366624720:eng</t>
  </si>
  <si>
    <t>594999</t>
  </si>
  <si>
    <t>991003032049702656</t>
  </si>
  <si>
    <t>2269936720002656</t>
  </si>
  <si>
    <t>32285000348036</t>
  </si>
  <si>
    <t>893498873</t>
  </si>
  <si>
    <t>BL782 .W36</t>
  </si>
  <si>
    <t>0                      BL 0782000W  36</t>
  </si>
  <si>
    <t>The stories of the Greeks.</t>
  </si>
  <si>
    <t>Warner, Rex, 1905-1986.</t>
  </si>
  <si>
    <t>New York, Farrar, Straus &amp; Giroux [1967]</t>
  </si>
  <si>
    <t>1995-10-11</t>
  </si>
  <si>
    <t>21029309:eng</t>
  </si>
  <si>
    <t>894805</t>
  </si>
  <si>
    <t>991003359229702656</t>
  </si>
  <si>
    <t>2260647400002656</t>
  </si>
  <si>
    <t>32285000348051</t>
  </si>
  <si>
    <t>893774658</t>
  </si>
  <si>
    <t>BL785 .A3 1908a</t>
  </si>
  <si>
    <t>0                      BL 0785000A  3           1908a</t>
  </si>
  <si>
    <t>The religious teachers of Greece; being Gifford lectures on natural religion delivered at Aberdeen, by James Adam. Edited with a memoir, by his wife, Adela Marion Adam.</t>
  </si>
  <si>
    <t>Adam, James, 1860-1907.</t>
  </si>
  <si>
    <t>Edinburgh, T. &amp; T. Clark, 1908.</t>
  </si>
  <si>
    <t>1908</t>
  </si>
  <si>
    <t>Gifford lectures ; 1904-1906</t>
  </si>
  <si>
    <t>2002-10-25</t>
  </si>
  <si>
    <t>2190718:eng</t>
  </si>
  <si>
    <t>1315733</t>
  </si>
  <si>
    <t>991003687049702656</t>
  </si>
  <si>
    <t>2267597510002656</t>
  </si>
  <si>
    <t>32285000348069</t>
  </si>
  <si>
    <t>893435306</t>
  </si>
  <si>
    <t>BL785 .D513</t>
  </si>
  <si>
    <t>0                      BL 0785000D  513</t>
  </si>
  <si>
    <t>Symbolism in Greek mythology : founded on the study of inner motivations / Paul Diel ; pref. by Gaston Bachelard ; translated from the French by Micheline and Vincent Stuart and Rebecca Folkman.</t>
  </si>
  <si>
    <t>Diel, Paul, 1893-1972.</t>
  </si>
  <si>
    <t>Boulder : Shambhala ; [New York] : distributed in the U.S. by Random House, 1980.</t>
  </si>
  <si>
    <t>1997-04-01</t>
  </si>
  <si>
    <t>509883787:eng</t>
  </si>
  <si>
    <t>5707940</t>
  </si>
  <si>
    <t>991004862229702656</t>
  </si>
  <si>
    <t>2258417830002656</t>
  </si>
  <si>
    <t>9780394510835</t>
  </si>
  <si>
    <t>32285000348093</t>
  </si>
  <si>
    <t>893612861</t>
  </si>
  <si>
    <t>BL785 .F48</t>
  </si>
  <si>
    <t>0                      BL 0785000F  48</t>
  </si>
  <si>
    <t>Personal religion among the Greeks / Andre-Jean Festugiere.</t>
  </si>
  <si>
    <t>Festugière, A. J. (André Jean), 1898-1982.</t>
  </si>
  <si>
    <t>Berkeley, University of California Press, 1954.</t>
  </si>
  <si>
    <t>1954</t>
  </si>
  <si>
    <t>Sather classical lectures ; v. 26</t>
  </si>
  <si>
    <t>2000-02-08</t>
  </si>
  <si>
    <t>1403524:eng</t>
  </si>
  <si>
    <t>322071</t>
  </si>
  <si>
    <t>991005354499702656</t>
  </si>
  <si>
    <t>2255532690002656</t>
  </si>
  <si>
    <t>32285000348119</t>
  </si>
  <si>
    <t>893883713</t>
  </si>
  <si>
    <t>BL785 .H38 1962</t>
  </si>
  <si>
    <t>0                      BL 0785000H  38          1962</t>
  </si>
  <si>
    <t>Epilegomena to the study of Greek religion, and Themis; a study of the social origins of Greek religion / by Jane Ellen Harrison.</t>
  </si>
  <si>
    <t>Harrison, Jane Ellen, 1850-1928.</t>
  </si>
  <si>
    <t>New Hyde Park, N. Y., University Books [1962]</t>
  </si>
  <si>
    <t>2000-01-18</t>
  </si>
  <si>
    <t>3901061821:eng</t>
  </si>
  <si>
    <t>854246</t>
  </si>
  <si>
    <t>991003325109702656</t>
  </si>
  <si>
    <t>2265362710002656</t>
  </si>
  <si>
    <t>32285000348135</t>
  </si>
  <si>
    <t>893348562</t>
  </si>
  <si>
    <t>BL785 .H8</t>
  </si>
  <si>
    <t>0                      BL 0785000H  8</t>
  </si>
  <si>
    <t>Greek religion and its survivals / by Walter Woodburn Hyde.</t>
  </si>
  <si>
    <t>Hyde, Walter Woodburn, 1871-1966.</t>
  </si>
  <si>
    <t>Boston, Mass., Marshall Jones company [1923]</t>
  </si>
  <si>
    <t>Half-title: Our debt to Greece and Rome ...</t>
  </si>
  <si>
    <t>1419033:eng</t>
  </si>
  <si>
    <t>2034327</t>
  </si>
  <si>
    <t>991003986829702656</t>
  </si>
  <si>
    <t>2267655130002656</t>
  </si>
  <si>
    <t>32285000348150</t>
  </si>
  <si>
    <t>893705866</t>
  </si>
  <si>
    <t>BL785 .N483 1969</t>
  </si>
  <si>
    <t>0                      BL 0785000N  483         1969</t>
  </si>
  <si>
    <t>Greek piety / Translated from the Swedish by Herbert Jennings Rose.</t>
  </si>
  <si>
    <t>Nilsson, Martin P. (Martin Persson), 1874-1967.</t>
  </si>
  <si>
    <t>New York, Norton [1969, c1948]</t>
  </si>
  <si>
    <t>The Norton library</t>
  </si>
  <si>
    <t>28384490:eng</t>
  </si>
  <si>
    <t>494671</t>
  </si>
  <si>
    <t>991002863029702656</t>
  </si>
  <si>
    <t>2255702630002656</t>
  </si>
  <si>
    <t>32285000348176</t>
  </si>
  <si>
    <t>893251715</t>
  </si>
  <si>
    <t>BL785 .R88 1986</t>
  </si>
  <si>
    <t>0                      BL 0785000R  88          1986</t>
  </si>
  <si>
    <t>The cult places of the Aegean / Bogdan Rutkowski.</t>
  </si>
  <si>
    <t>Rutkowski, Bogdan.</t>
  </si>
  <si>
    <t>New Haven : Yale University Press, 1986.</t>
  </si>
  <si>
    <t>5199351:eng</t>
  </si>
  <si>
    <t>12237858</t>
  </si>
  <si>
    <t>991000660509702656</t>
  </si>
  <si>
    <t>2268391300002656</t>
  </si>
  <si>
    <t>9780300029628</t>
  </si>
  <si>
    <t>32285000348218</t>
  </si>
  <si>
    <t>893534256</t>
  </si>
  <si>
    <t>BL793.M8 N53 1983</t>
  </si>
  <si>
    <t>0                      BL 0793000M  8                  N  53          1983</t>
  </si>
  <si>
    <t>The Mycenaean origin of Greek mythology / by Martin P. Nilsson ; a new introduction and bibliography by Emily Vermeule.</t>
  </si>
  <si>
    <t>Berkeley : University of California Press, [1983] c1972.</t>
  </si>
  <si>
    <t>Sather classical lectures ; v. 8</t>
  </si>
  <si>
    <t>2008-01-22</t>
  </si>
  <si>
    <t>1992-04-20</t>
  </si>
  <si>
    <t>1473767:eng</t>
  </si>
  <si>
    <t>16761744</t>
  </si>
  <si>
    <t>991001145639702656</t>
  </si>
  <si>
    <t>2260282610002656</t>
  </si>
  <si>
    <t>9780520050730</t>
  </si>
  <si>
    <t>32285001036085</t>
  </si>
  <si>
    <t>893891347</t>
  </si>
  <si>
    <t>BL793.M8 P4</t>
  </si>
  <si>
    <t>0                      BL 0793000M  8                  P  4</t>
  </si>
  <si>
    <t>The religion of Greece in prehistoric times / by Axel W. Persson.</t>
  </si>
  <si>
    <t>Persson, Axel W. (Axel Waldemar), 1888-1951.</t>
  </si>
  <si>
    <t>Berkeley, Los Angeles, University of California press, 1942.</t>
  </si>
  <si>
    <t>1942</t>
  </si>
  <si>
    <t>Sather classical lectures ; v. 17</t>
  </si>
  <si>
    <t>1992-10-21</t>
  </si>
  <si>
    <t>1992-08-24</t>
  </si>
  <si>
    <t>1819699:eng</t>
  </si>
  <si>
    <t>598924</t>
  </si>
  <si>
    <t>991003035899702656</t>
  </si>
  <si>
    <t>2267414730002656</t>
  </si>
  <si>
    <t>32285001270601</t>
  </si>
  <si>
    <t>893434593</t>
  </si>
  <si>
    <t>BL80 .H88</t>
  </si>
  <si>
    <t>0                      BL 0080000H  88</t>
  </si>
  <si>
    <t>Archaic religions, by Ernest R. Hull, S.J.</t>
  </si>
  <si>
    <t>Hull, Ernest R. (Ernest Reginald), 1863-1952.</t>
  </si>
  <si>
    <t>Bombay, [India] Examiner press, 1913.</t>
  </si>
  <si>
    <t>1913</t>
  </si>
  <si>
    <t>Dynamics of history series ; pt. 1</t>
  </si>
  <si>
    <t>2004-05-03</t>
  </si>
  <si>
    <t>1806456264:eng</t>
  </si>
  <si>
    <t>4200970</t>
  </si>
  <si>
    <t>991004608419702656</t>
  </si>
  <si>
    <t>2263608410002656</t>
  </si>
  <si>
    <t>32285000330968</t>
  </si>
  <si>
    <t>893446298</t>
  </si>
  <si>
    <t>BL80.2 .B55</t>
  </si>
  <si>
    <t>0                      BL 0080200B  55</t>
  </si>
  <si>
    <t>Historia religionum; handbook for the history of religions. Edited by C. Jouco Bleeker and Geo Widengren.</t>
  </si>
  <si>
    <t>Bleeker, Claas Jouco, 1898-</t>
  </si>
  <si>
    <t>Leiden, E. J. Brill, 1969-71.</t>
  </si>
  <si>
    <t>1995-10-18</t>
  </si>
  <si>
    <t>1990-10-02</t>
  </si>
  <si>
    <t>8961051092:eng</t>
  </si>
  <si>
    <t>99087</t>
  </si>
  <si>
    <t>991000605939702656</t>
  </si>
  <si>
    <t>2268991190002656</t>
  </si>
  <si>
    <t>32285000330133</t>
  </si>
  <si>
    <t>893771782</t>
  </si>
  <si>
    <t>BL80.2 .B55 V.2</t>
  </si>
  <si>
    <t>0                      BL 0080200B  55                                                      V.2</t>
  </si>
  <si>
    <t>32285000330141</t>
  </si>
  <si>
    <t>893790677</t>
  </si>
  <si>
    <t>BL80.2 .B7</t>
  </si>
  <si>
    <t>0                      BL 0080200B  7</t>
  </si>
  <si>
    <t>A guide to the world's religions.</t>
  </si>
  <si>
    <t>Bradley, David G.</t>
  </si>
  <si>
    <t>2002-02-24</t>
  </si>
  <si>
    <t>1708369:eng</t>
  </si>
  <si>
    <t>781721</t>
  </si>
  <si>
    <t>991003256429702656</t>
  </si>
  <si>
    <t>2262994370002656</t>
  </si>
  <si>
    <t>32285000330158</t>
  </si>
  <si>
    <t>893524605</t>
  </si>
  <si>
    <t>BL80.2 .B8</t>
  </si>
  <si>
    <t>0                      BL 0080200B  8</t>
  </si>
  <si>
    <t>Man seeks the divine.</t>
  </si>
  <si>
    <t>Burtt, Edwin A. (Edwin Arthur), 1892-1989.</t>
  </si>
  <si>
    <t>2001-04-01</t>
  </si>
  <si>
    <t>366030765:eng</t>
  </si>
  <si>
    <t>374149</t>
  </si>
  <si>
    <t>991002572909702656</t>
  </si>
  <si>
    <t>2262136280002656</t>
  </si>
  <si>
    <t>32285000330166</t>
  </si>
  <si>
    <t>893903973</t>
  </si>
  <si>
    <t>BL80.2 .C335 1991</t>
  </si>
  <si>
    <t>0                      BL 0080200C  335         1991</t>
  </si>
  <si>
    <t>Catholic spirituality and the history of religions / Denise Lardner Carmody and John Tully Carmody.</t>
  </si>
  <si>
    <t>Carmody, Denise Lardner, 1935-</t>
  </si>
  <si>
    <t>New York : Paulist Press, c1991.</t>
  </si>
  <si>
    <t>Catholic spirituality in global perspective ; v. 2</t>
  </si>
  <si>
    <t>2005-10-13</t>
  </si>
  <si>
    <t>1992-03-31</t>
  </si>
  <si>
    <t>26478154:eng</t>
  </si>
  <si>
    <t>24174840</t>
  </si>
  <si>
    <t>991001915399702656</t>
  </si>
  <si>
    <t>2269606910002656</t>
  </si>
  <si>
    <t>9780809132850</t>
  </si>
  <si>
    <t>32285001007029</t>
  </si>
  <si>
    <t>893804001</t>
  </si>
  <si>
    <t>BL80.2 .C344 1987</t>
  </si>
  <si>
    <t>0                      BL 0080200C  344         1987</t>
  </si>
  <si>
    <t>Interpreting the religious experience : a worldview / John Carmody, Denise Lardner Carmody.</t>
  </si>
  <si>
    <t>Carmody, John, 1939-</t>
  </si>
  <si>
    <t>Englewood Cliffs, N.J. : Prentice-Hall, c1987.</t>
  </si>
  <si>
    <t>1996-06-07</t>
  </si>
  <si>
    <t>2486862922:eng</t>
  </si>
  <si>
    <t>13792443</t>
  </si>
  <si>
    <t>991000870669702656</t>
  </si>
  <si>
    <t>2272792320002656</t>
  </si>
  <si>
    <t>9780134756097</t>
  </si>
  <si>
    <t>32285000330174</t>
  </si>
  <si>
    <t>893790936</t>
  </si>
  <si>
    <t>BL80.2 .C367</t>
  </si>
  <si>
    <t>0                      BL 0080200C  367</t>
  </si>
  <si>
    <t>What are they saying about non-Christian faith? / Denise Lardner Carmody.</t>
  </si>
  <si>
    <t>New York : Paulist Press, c1982.</t>
  </si>
  <si>
    <t>1995-09-03</t>
  </si>
  <si>
    <t>466334:eng</t>
  </si>
  <si>
    <t>8772791</t>
  </si>
  <si>
    <t>991000069429702656</t>
  </si>
  <si>
    <t>2270185290002656</t>
  </si>
  <si>
    <t>9780809124329</t>
  </si>
  <si>
    <t>32285000330182</t>
  </si>
  <si>
    <t>893689378</t>
  </si>
  <si>
    <t>BL80.2 .C37</t>
  </si>
  <si>
    <t>0                      BL 0080200C  37</t>
  </si>
  <si>
    <t>The way people pray : an introduction to the history of religions / by John T. Catoir.</t>
  </si>
  <si>
    <t>Catoir, John T.</t>
  </si>
  <si>
    <t>2002-09-03</t>
  </si>
  <si>
    <t>1104026713:eng</t>
  </si>
  <si>
    <t>841484</t>
  </si>
  <si>
    <t>991003316889702656</t>
  </si>
  <si>
    <t>2265082040002656</t>
  </si>
  <si>
    <t>9780809118052</t>
  </si>
  <si>
    <t>32285000312479</t>
  </si>
  <si>
    <t>893623370</t>
  </si>
  <si>
    <t>BL80.2 .C38 1980</t>
  </si>
  <si>
    <t>0                      BL 0080200C  38          1980</t>
  </si>
  <si>
    <t>The great religions / Richard Cavendish.</t>
  </si>
  <si>
    <t>Cavendish, Richard.</t>
  </si>
  <si>
    <t>New York : Arco Pub., c1980.</t>
  </si>
  <si>
    <t>1993-06-24</t>
  </si>
  <si>
    <t>514496:eng</t>
  </si>
  <si>
    <t>5942643</t>
  </si>
  <si>
    <t>991004903439702656</t>
  </si>
  <si>
    <t>2270602230002656</t>
  </si>
  <si>
    <t>9780668049290</t>
  </si>
  <si>
    <t>32285001732154</t>
  </si>
  <si>
    <t>893807610</t>
  </si>
  <si>
    <t>BL80.2 .C527</t>
  </si>
  <si>
    <t>0                      BL 0080200C  527</t>
  </si>
  <si>
    <t>Oppositions of religious doctrines; a study in the logic of dialogue among religions [by] William A. Christian.</t>
  </si>
  <si>
    <t>Christian, William A., 1905-</t>
  </si>
  <si>
    <t>1995-04-11</t>
  </si>
  <si>
    <t>1448197:eng</t>
  </si>
  <si>
    <t>334361</t>
  </si>
  <si>
    <t>991002395119702656</t>
  </si>
  <si>
    <t>2257312460002656</t>
  </si>
  <si>
    <t>32285000330208</t>
  </si>
  <si>
    <t>893609806</t>
  </si>
  <si>
    <t>BL80.2 .E45</t>
  </si>
  <si>
    <t>0                      BL 0080200E  45</t>
  </si>
  <si>
    <t>Many peoples, many faiths : an introduction to the religious life of mankind / Robert S. Ellwood, Jr.</t>
  </si>
  <si>
    <t>Englewood Cliffs, N.J. : Prentice-Hall, c1976.</t>
  </si>
  <si>
    <t>2286837311:eng</t>
  </si>
  <si>
    <t>1859904</t>
  </si>
  <si>
    <t>991003916259702656</t>
  </si>
  <si>
    <t>2268810000002656</t>
  </si>
  <si>
    <t>9780135559956</t>
  </si>
  <si>
    <t>32285000330232</t>
  </si>
  <si>
    <t>893705773</t>
  </si>
  <si>
    <t>BL80.2 .F7</t>
  </si>
  <si>
    <t>0                      BL 0080200F  7</t>
  </si>
  <si>
    <t>Readings in Eastern religious thought. Edited by Allie M. Frazier.</t>
  </si>
  <si>
    <t>Frazier, Allie M., 1932-, compiler.</t>
  </si>
  <si>
    <t>Philadelphia, Westminster Press [1969]</t>
  </si>
  <si>
    <t>1994-12-15</t>
  </si>
  <si>
    <t>2002-01-26</t>
  </si>
  <si>
    <t>1995-01-25</t>
  </si>
  <si>
    <t>1135110:eng</t>
  </si>
  <si>
    <t>12147</t>
  </si>
  <si>
    <t>991000003549702656</t>
  </si>
  <si>
    <t>2264772380002656</t>
  </si>
  <si>
    <t>9780664208660</t>
  </si>
  <si>
    <t>32285001778942</t>
  </si>
  <si>
    <t>893796321</t>
  </si>
  <si>
    <t>BL80.2 .G74 1985</t>
  </si>
  <si>
    <t>0                      BL 0080200G  74          1985</t>
  </si>
  <si>
    <t>Lonergan, spirituality, and the meeting of religions / Vernon Gregson ; foreword by Sebastian Moore.</t>
  </si>
  <si>
    <t>Gregson, Vernon.</t>
  </si>
  <si>
    <t>Lanham, MD. : University Press of America, c1985.</t>
  </si>
  <si>
    <t>College Theology Society studies in religion ; 2</t>
  </si>
  <si>
    <t>1998-11-10</t>
  </si>
  <si>
    <t>4627212:eng</t>
  </si>
  <si>
    <t>11785008</t>
  </si>
  <si>
    <t>991000590669702656</t>
  </si>
  <si>
    <t>2255862700002656</t>
  </si>
  <si>
    <t>9780819146205</t>
  </si>
  <si>
    <t>32285000330281</t>
  </si>
  <si>
    <t>893315075</t>
  </si>
  <si>
    <t>BL80.2 .H297</t>
  </si>
  <si>
    <t>0                      BL 0080200H  297</t>
  </si>
  <si>
    <t>Religions of the Orient : a Christian view / [by] John A. Hardon.</t>
  </si>
  <si>
    <t>Hardon, John A.</t>
  </si>
  <si>
    <t>Chicago : Loyola University Press, [1970]</t>
  </si>
  <si>
    <t>1998-05-19</t>
  </si>
  <si>
    <t>1279308:eng</t>
  </si>
  <si>
    <t>85581</t>
  </si>
  <si>
    <t>991000515809702656</t>
  </si>
  <si>
    <t>2267106350002656</t>
  </si>
  <si>
    <t>9780829401851</t>
  </si>
  <si>
    <t>32285000331735</t>
  </si>
  <si>
    <t>893626344</t>
  </si>
  <si>
    <t>BL80.2 .H67 1985</t>
  </si>
  <si>
    <t>0                      BL 0080200H  67          1985</t>
  </si>
  <si>
    <t>Breakthrough : insights of the great religious discoverers / Clifford G. Hospital.</t>
  </si>
  <si>
    <t>Hospital, Clifford.</t>
  </si>
  <si>
    <t>Maryknoll, N.Y. : Orbis Books, 1985.</t>
  </si>
  <si>
    <t>196790410:eng</t>
  </si>
  <si>
    <t>11867002</t>
  </si>
  <si>
    <t>991000606869702656</t>
  </si>
  <si>
    <t>2262582800002656</t>
  </si>
  <si>
    <t>9780883442067</t>
  </si>
  <si>
    <t>32285000330315</t>
  </si>
  <si>
    <t>893790682</t>
  </si>
  <si>
    <t>BL80.2 .H76 1981</t>
  </si>
  <si>
    <t>0                      BL 0080200H  76          1981</t>
  </si>
  <si>
    <t>Paths of faith / John A. Hutchison.</t>
  </si>
  <si>
    <t>Hutchison, John Alexander, 1912-</t>
  </si>
  <si>
    <t>New York : McGraw-Hill Book Co., c1981.</t>
  </si>
  <si>
    <t>3d ed.</t>
  </si>
  <si>
    <t>2000-11-10</t>
  </si>
  <si>
    <t>507356:eng</t>
  </si>
  <si>
    <t>6223798</t>
  </si>
  <si>
    <t>991004949229702656</t>
  </si>
  <si>
    <t>2268486690002656</t>
  </si>
  <si>
    <t>9780070315327</t>
  </si>
  <si>
    <t>32285000330331</t>
  </si>
  <si>
    <t>893436950</t>
  </si>
  <si>
    <t>BL80.2 .K38 1976</t>
  </si>
  <si>
    <t>0                      BL 0080200K  38          1976</t>
  </si>
  <si>
    <t>Religions in four dimensions : existential and aesthetic, historical and comparative / text and photos. by Walter Kaufmann.</t>
  </si>
  <si>
    <t>Kaufmann, Walter, 1921-1980.</t>
  </si>
  <si>
    <t>New York : Reader's Digest Press : distributed by Crowell, 1976.</t>
  </si>
  <si>
    <t>1995-10-27</t>
  </si>
  <si>
    <t>4288317:eng</t>
  </si>
  <si>
    <t>2189434</t>
  </si>
  <si>
    <t>991004042759702656</t>
  </si>
  <si>
    <t>2265363300002656</t>
  </si>
  <si>
    <t>9780883491041</t>
  </si>
  <si>
    <t>32285000330349</t>
  </si>
  <si>
    <t>893718396</t>
  </si>
  <si>
    <t>BL80.2 .K56</t>
  </si>
  <si>
    <t>0                      BL 0080200K  56</t>
  </si>
  <si>
    <t>Towards a new mysticism : Teilhard de Chardin and Eastern religions / Ursula King.</t>
  </si>
  <si>
    <t>King, Ursula.</t>
  </si>
  <si>
    <t>New York : Seabury Press, c1980, 1981.</t>
  </si>
  <si>
    <t>2001-01-19</t>
  </si>
  <si>
    <t>479322:eng</t>
  </si>
  <si>
    <t>6421881</t>
  </si>
  <si>
    <t>991004980699702656</t>
  </si>
  <si>
    <t>2270128040002656</t>
  </si>
  <si>
    <t>9780816404759</t>
  </si>
  <si>
    <t>32285000330356</t>
  </si>
  <si>
    <t>893606661</t>
  </si>
  <si>
    <t>BL80.2 .K564 1990</t>
  </si>
  <si>
    <t>0                      BL 0080200K  564         1990</t>
  </si>
  <si>
    <t>The quest for human unity : a religious history / Joseph Mitsuo Kitagawa.</t>
  </si>
  <si>
    <t>Kitagawa, Joseph M. (Joseph Mitsuo), 1915-1992.</t>
  </si>
  <si>
    <t>Minneapolis : Fortress Press, c1990.</t>
  </si>
  <si>
    <t>1992-02-05</t>
  </si>
  <si>
    <t>892027630:eng</t>
  </si>
  <si>
    <t>21080749</t>
  </si>
  <si>
    <t>991001650849702656</t>
  </si>
  <si>
    <t>2255541060002656</t>
  </si>
  <si>
    <t>9780800624224</t>
  </si>
  <si>
    <t>32285000867449</t>
  </si>
  <si>
    <t>893897943</t>
  </si>
  <si>
    <t>BL80.2 .M27</t>
  </si>
  <si>
    <t>0                      BL 0080200M  27</t>
  </si>
  <si>
    <t>Religions of the world [by] S. Vernon McCasland, Grace E. Cairns [and] David C. Yu.</t>
  </si>
  <si>
    <t>McCasland, S. Vernon (Selby Vernon), 1896-1970.</t>
  </si>
  <si>
    <t>New York, Random House [1969]</t>
  </si>
  <si>
    <t>1134655:eng</t>
  </si>
  <si>
    <t>11615</t>
  </si>
  <si>
    <t>991000002659702656</t>
  </si>
  <si>
    <t>2267800890002656</t>
  </si>
  <si>
    <t>32285000330406</t>
  </si>
  <si>
    <t>893790158</t>
  </si>
  <si>
    <t>BL80.2 .M283 1974</t>
  </si>
  <si>
    <t>0                      BL 0080200M  283         1974</t>
  </si>
  <si>
    <t>The new castle; reaching for the ultimate.</t>
  </si>
  <si>
    <t>Martin, Malachi.</t>
  </si>
  <si>
    <t>New York, Dutton, 1974.</t>
  </si>
  <si>
    <t>2007-09-24</t>
  </si>
  <si>
    <t>478292577:eng</t>
  </si>
  <si>
    <t>922731</t>
  </si>
  <si>
    <t>991003386279702656</t>
  </si>
  <si>
    <t>2264829340002656</t>
  </si>
  <si>
    <t>9780525165538</t>
  </si>
  <si>
    <t>32285000330414</t>
  </si>
  <si>
    <t>893342517</t>
  </si>
  <si>
    <t>BL80.2 .M289 1985</t>
  </si>
  <si>
    <t>0                      BL 0080200M  289         1985</t>
  </si>
  <si>
    <t>The kingdom of the cults / Walter Martin.</t>
  </si>
  <si>
    <t>Martin, Walter, 1928-1989.</t>
  </si>
  <si>
    <t>Minneapolis, Minn. : Bethany House Publishers, c1985.</t>
  </si>
  <si>
    <t>Rev. and expanded ed.</t>
  </si>
  <si>
    <t>2005-11-10</t>
  </si>
  <si>
    <t>4920845336:eng</t>
  </si>
  <si>
    <t>11971843</t>
  </si>
  <si>
    <t>991000620859702656</t>
  </si>
  <si>
    <t>2257179810002656</t>
  </si>
  <si>
    <t>9780871237965</t>
  </si>
  <si>
    <t>32285005174213</t>
  </si>
  <si>
    <t>893790694</t>
  </si>
  <si>
    <t>BL80.2 .M295 1987</t>
  </si>
  <si>
    <t>0                      BL 0080200M  295         1987</t>
  </si>
  <si>
    <t>A theology of world religions : interpreting God, self, and world in Semitic, Indian, and Chinese thought / Paul Varo Martinson.</t>
  </si>
  <si>
    <t>Martinson, Paul Varo, 1934-</t>
  </si>
  <si>
    <t>Minneapolis : Augsburg Pub. House, c1987.</t>
  </si>
  <si>
    <t>366919243:eng</t>
  </si>
  <si>
    <t>14818646</t>
  </si>
  <si>
    <t>991000960819702656</t>
  </si>
  <si>
    <t>2263917860002656</t>
  </si>
  <si>
    <t>9780806622538</t>
  </si>
  <si>
    <t>32285000330455</t>
  </si>
  <si>
    <t>893444526</t>
  </si>
  <si>
    <t>BL80.2 .N347</t>
  </si>
  <si>
    <t>0                      BL 0080200N  347</t>
  </si>
  <si>
    <t>Great religions of the world.</t>
  </si>
  <si>
    <t>National Geographic Book Service.</t>
  </si>
  <si>
    <t>Washington, National Geographic Society [1971]</t>
  </si>
  <si>
    <t>The story of man library</t>
  </si>
  <si>
    <t>1997-09-16</t>
  </si>
  <si>
    <t>1316013:eng</t>
  </si>
  <si>
    <t>178161</t>
  </si>
  <si>
    <t>991001063269702656</t>
  </si>
  <si>
    <t>2264574240002656</t>
  </si>
  <si>
    <t>9780870441035</t>
  </si>
  <si>
    <t>32285000330463</t>
  </si>
  <si>
    <t>893444560</t>
  </si>
  <si>
    <t>BL80.2 .N6 1969</t>
  </si>
  <si>
    <t>0                      BL 0080200N  6           1969</t>
  </si>
  <si>
    <t>Man's religions [by] John B. Noss.</t>
  </si>
  <si>
    <t>Noss, John Boyer.</t>
  </si>
  <si>
    <t>[New York] Macmillan [1969]</t>
  </si>
  <si>
    <t>1127666:eng</t>
  </si>
  <si>
    <t>4179</t>
  </si>
  <si>
    <t>991005436169702656</t>
  </si>
  <si>
    <t>2266177300002656</t>
  </si>
  <si>
    <t>32285000330489</t>
  </si>
  <si>
    <t>893871195</t>
  </si>
  <si>
    <t>BL80.2 .P455 1990b</t>
  </si>
  <si>
    <t>0                      BL 0080200P  455         1990b</t>
  </si>
  <si>
    <t>Judaism, Christianity, and Islam : the classical texts and their interpretation / F.E. Peters.</t>
  </si>
  <si>
    <t>Peters, F. E. (Francis E.)</t>
  </si>
  <si>
    <t>1996-12-18</t>
  </si>
  <si>
    <t>1991-12-30</t>
  </si>
  <si>
    <t>4535657348:eng</t>
  </si>
  <si>
    <t>22987019</t>
  </si>
  <si>
    <t>991001830559702656</t>
  </si>
  <si>
    <t>2269815520002656</t>
  </si>
  <si>
    <t>9780691020556</t>
  </si>
  <si>
    <t>32285000862465</t>
  </si>
  <si>
    <t>893879222</t>
  </si>
  <si>
    <t>32285000862457</t>
  </si>
  <si>
    <t>893891869</t>
  </si>
  <si>
    <t>1992-11-19</t>
  </si>
  <si>
    <t>32285000862473</t>
  </si>
  <si>
    <t>893872833</t>
  </si>
  <si>
    <t>BL80.2 .R44 1983</t>
  </si>
  <si>
    <t>0                      BL 0080200R  44          1983</t>
  </si>
  <si>
    <t>Religions of the world / Niels C. Nielsen, Jr. ... [et al.].</t>
  </si>
  <si>
    <t>New York : St. Martin's Press, c1983.</t>
  </si>
  <si>
    <t>2008-06-09</t>
  </si>
  <si>
    <t>54529241:eng</t>
  </si>
  <si>
    <t>8893984</t>
  </si>
  <si>
    <t>991005232209702656</t>
  </si>
  <si>
    <t>2260418370002656</t>
  </si>
  <si>
    <t>9780312671211</t>
  </si>
  <si>
    <t>32285005443881</t>
  </si>
  <si>
    <t>893789654</t>
  </si>
  <si>
    <t>BL80.2 .R66</t>
  </si>
  <si>
    <t>0                      BL 0080200R  66</t>
  </si>
  <si>
    <t>New gods in America; an informal investigation into the new religions of American youth today.</t>
  </si>
  <si>
    <t>Rowley, Peter.</t>
  </si>
  <si>
    <t>New York, D. McKay Co. [1971]</t>
  </si>
  <si>
    <t>1997-10-03</t>
  </si>
  <si>
    <t>1274814:eng</t>
  </si>
  <si>
    <t>163283</t>
  </si>
  <si>
    <t>991000925749702656</t>
  </si>
  <si>
    <t>2272134640002656</t>
  </si>
  <si>
    <t>32285000330513</t>
  </si>
  <si>
    <t>893515748</t>
  </si>
  <si>
    <t>BL80.2 .S593 1981</t>
  </si>
  <si>
    <t>0                      BL 0080200S  593         1981</t>
  </si>
  <si>
    <t>Beyond ideology, religion and the future of Western civilization / Ninian Smart.</t>
  </si>
  <si>
    <t>1998-04-18</t>
  </si>
  <si>
    <t>141495767:eng</t>
  </si>
  <si>
    <t>7554815</t>
  </si>
  <si>
    <t>991005127939702656</t>
  </si>
  <si>
    <t>2264615070002656</t>
  </si>
  <si>
    <t>9780060674021</t>
  </si>
  <si>
    <t>32285000330539</t>
  </si>
  <si>
    <t>893895926</t>
  </si>
  <si>
    <t>BL80.2 .S6 1976</t>
  </si>
  <si>
    <t>0                      BL 0080200S  6           1976</t>
  </si>
  <si>
    <t>The religious experience of mankind / by Ninian Smart.</t>
  </si>
  <si>
    <t>New York : Scribner, c1976.</t>
  </si>
  <si>
    <t>2005-04-16</t>
  </si>
  <si>
    <t>141495765:eng</t>
  </si>
  <si>
    <t>2228208</t>
  </si>
  <si>
    <t>991004057029702656</t>
  </si>
  <si>
    <t>2270304180002656</t>
  </si>
  <si>
    <t>9780684146478</t>
  </si>
  <si>
    <t>32285000330554</t>
  </si>
  <si>
    <t>893900739</t>
  </si>
  <si>
    <t>BL80.2 .S62 1983</t>
  </si>
  <si>
    <t>0                      BL 0080200S  62          1983</t>
  </si>
  <si>
    <t>Worldviews, crosscultural explorations of human beliefs / Ninian Smart.</t>
  </si>
  <si>
    <t>New York : Scribner's, c1983.</t>
  </si>
  <si>
    <t>196754939:eng</t>
  </si>
  <si>
    <t>8785433</t>
  </si>
  <si>
    <t>991000071779702656</t>
  </si>
  <si>
    <t>2266937530002656</t>
  </si>
  <si>
    <t>9780684178127</t>
  </si>
  <si>
    <t>32285000330562</t>
  </si>
  <si>
    <t>893613854</t>
  </si>
  <si>
    <t>BL80.2 .S623 1994</t>
  </si>
  <si>
    <t>0                      BL 0080200S  623         1994</t>
  </si>
  <si>
    <t>Religions of the West / Ninian Smart.</t>
  </si>
  <si>
    <t>Englewood Cliffs, N.J. : Prentice Hall, c1994.</t>
  </si>
  <si>
    <t>2008-12-12</t>
  </si>
  <si>
    <t>32496359:eng</t>
  </si>
  <si>
    <t>29944243</t>
  </si>
  <si>
    <t>991005283549702656</t>
  </si>
  <si>
    <t>2261071570002656</t>
  </si>
  <si>
    <t>9780131568112</t>
  </si>
  <si>
    <t>32285005472609</t>
  </si>
  <si>
    <t>893443698</t>
  </si>
  <si>
    <t>BL80.2 .W67 l985</t>
  </si>
  <si>
    <t>0                      BL 0080200W  67                                                      l985</t>
  </si>
  <si>
    <t>World religions : from ancient history to the present / editor, Geoffrey Parrinder.</t>
  </si>
  <si>
    <t>New York, N.Y. : Facts on File, 1985, c1971.</t>
  </si>
  <si>
    <t>3855381122:eng</t>
  </si>
  <si>
    <t>14233334</t>
  </si>
  <si>
    <t>991005230839702656</t>
  </si>
  <si>
    <t>2271034490002656</t>
  </si>
  <si>
    <t>9780816012893</t>
  </si>
  <si>
    <t>32285005443659</t>
  </si>
  <si>
    <t>893326423</t>
  </si>
  <si>
    <t>BL802 .F45 1970</t>
  </si>
  <si>
    <t>0                      BL 0802000F  45          1970</t>
  </si>
  <si>
    <t>The religions of the Roman Empire / John Ferguson.</t>
  </si>
  <si>
    <t>Ithaca, N.Y., Cornell University Press [1970]</t>
  </si>
  <si>
    <t>Aspects of Greek and Roman life</t>
  </si>
  <si>
    <t>2010-04-19</t>
  </si>
  <si>
    <t>181064:eng</t>
  </si>
  <si>
    <t>95297</t>
  </si>
  <si>
    <t>991000578359702656</t>
  </si>
  <si>
    <t>2272660720002656</t>
  </si>
  <si>
    <t>9780801405679</t>
  </si>
  <si>
    <t>32285000348424</t>
  </si>
  <si>
    <t>893502596</t>
  </si>
  <si>
    <t>BL805 .C8 1956</t>
  </si>
  <si>
    <t>0                      BL 0805000C  8           1956</t>
  </si>
  <si>
    <t>The Oriental religions in Roman paganism / with an introductory essay by Grant Showerman. Authorized translation.</t>
  </si>
  <si>
    <t>Cumont, Franz, 1868-1947.</t>
  </si>
  <si>
    <t>New York, Dover Publications [1956]</t>
  </si>
  <si>
    <t>675071:eng</t>
  </si>
  <si>
    <t>378879</t>
  </si>
  <si>
    <t>991002613999702656</t>
  </si>
  <si>
    <t>2264323480002656</t>
  </si>
  <si>
    <t>32285000348515</t>
  </si>
  <si>
    <t>893603788</t>
  </si>
  <si>
    <t>BL805 .G7</t>
  </si>
  <si>
    <t>0                      BL 0805000G  7</t>
  </si>
  <si>
    <t>The sword and the cross.</t>
  </si>
  <si>
    <t>Grant, Robert M. (Robert McQueen), 1917-2014.</t>
  </si>
  <si>
    <t>New York, Macmillan, 1955.</t>
  </si>
  <si>
    <t>2005-09-21</t>
  </si>
  <si>
    <t>3901076460:eng</t>
  </si>
  <si>
    <t>1313074</t>
  </si>
  <si>
    <t>991003685009702656</t>
  </si>
  <si>
    <t>2257490060002656</t>
  </si>
  <si>
    <t>32285000348549</t>
  </si>
  <si>
    <t>893868713</t>
  </si>
  <si>
    <t>BL810 .C38</t>
  </si>
  <si>
    <t>0                      BL 0810000C  38</t>
  </si>
  <si>
    <t>The Catacombs and the Colosseum; the Roman Empire as the setting of primitive Christianity / [edited by] Stephen Benko [and] John J. O'Rourke.</t>
  </si>
  <si>
    <t>Valley Forge, Judson Press [1971]</t>
  </si>
  <si>
    <t>2009-02-02</t>
  </si>
  <si>
    <t>889941374:eng</t>
  </si>
  <si>
    <t>140233</t>
  </si>
  <si>
    <t>991000804679702656</t>
  </si>
  <si>
    <t>2255462690002656</t>
  </si>
  <si>
    <t>9780817004552</t>
  </si>
  <si>
    <t>32285000348572</t>
  </si>
  <si>
    <t>893496569</t>
  </si>
  <si>
    <t>BL815.F8 C9</t>
  </si>
  <si>
    <t>0                      BL 0815000F  8                  C  9</t>
  </si>
  <si>
    <t>After life in Roman paganism; lectures delivered at Yale University on the Silliman foundation / by Franz Cumont.</t>
  </si>
  <si>
    <t>New Haven, Yale University Press; [etc., etc.] 1922.</t>
  </si>
  <si>
    <t>Yale university. Mrs. Hepsa Ely Silliman memorial lectures</t>
  </si>
  <si>
    <t>2003-02-28</t>
  </si>
  <si>
    <t>829225:eng</t>
  </si>
  <si>
    <t>249110</t>
  </si>
  <si>
    <t>991001931749702656</t>
  </si>
  <si>
    <t>2256127670002656</t>
  </si>
  <si>
    <t>32285000348580</t>
  </si>
  <si>
    <t>893322374</t>
  </si>
  <si>
    <t>BL815.S8 H3</t>
  </si>
  <si>
    <t>0                      BL 0815000S  8                  H  3</t>
  </si>
  <si>
    <t>The cult of Sol Invictus / [by] Gaston H. Halsberghe.</t>
  </si>
  <si>
    <t>Halsberghe, Gaston H., 1916-</t>
  </si>
  <si>
    <t>Etudes préliminaires aux religions orientales dans l'Empire romain ; t. 23</t>
  </si>
  <si>
    <t>2008-11-05</t>
  </si>
  <si>
    <t>9657349613:eng</t>
  </si>
  <si>
    <t>524878</t>
  </si>
  <si>
    <t>991002917609702656</t>
  </si>
  <si>
    <t>2261171200002656</t>
  </si>
  <si>
    <t>32285000348614</t>
  </si>
  <si>
    <t>893886901</t>
  </si>
  <si>
    <t>BL815.T35 D8</t>
  </si>
  <si>
    <t>0                      BL 0815000T  35                 D  8</t>
  </si>
  <si>
    <t>The taurobolium. Its evolution and terminology.</t>
  </si>
  <si>
    <t>Duthoy, Robert.</t>
  </si>
  <si>
    <t>Leiden, E. J. Brill, 1969.</t>
  </si>
  <si>
    <t>Études préliminaires aux religious orientales dans l'empire romain, t. 10</t>
  </si>
  <si>
    <t>1995-03-17</t>
  </si>
  <si>
    <t>235315008:eng</t>
  </si>
  <si>
    <t>35137</t>
  </si>
  <si>
    <t>991000089149702656</t>
  </si>
  <si>
    <t>2260378220002656</t>
  </si>
  <si>
    <t>32285000348622</t>
  </si>
  <si>
    <t>893521387</t>
  </si>
  <si>
    <t>BL820.A34 M33 1988</t>
  </si>
  <si>
    <t>0                      BL 0820000A  34                 M  33          1988</t>
  </si>
  <si>
    <t>The characterisation of Aeneas / by C.J. Mackie.</t>
  </si>
  <si>
    <t>Mackie, C. J.</t>
  </si>
  <si>
    <t>Edinburgh : Scottish Academic, 1988.</t>
  </si>
  <si>
    <t>Scottish classical studies ; 4</t>
  </si>
  <si>
    <t>2007-11-10</t>
  </si>
  <si>
    <t>9019015:eng</t>
  </si>
  <si>
    <t>14586441</t>
  </si>
  <si>
    <t>991000946489702656</t>
  </si>
  <si>
    <t>2272381070002656</t>
  </si>
  <si>
    <t>9780707304908</t>
  </si>
  <si>
    <t>32285000348648</t>
  </si>
  <si>
    <t>893231560</t>
  </si>
  <si>
    <t>BL820.B2 A45</t>
  </si>
  <si>
    <t>0                      BL 0820000B  2                  A  45</t>
  </si>
  <si>
    <t>Creation and salvation in ancient orphism / Larry J. Alderink.</t>
  </si>
  <si>
    <t>Alderink, Larry J.</t>
  </si>
  <si>
    <t>[University Park, Pa.] : American Philological Association ; Chico, Calif. : Distributed by Scholars Press, c1981.</t>
  </si>
  <si>
    <t>American classical studies ; no. 8</t>
  </si>
  <si>
    <t>1998-11-09</t>
  </si>
  <si>
    <t>548172:eng</t>
  </si>
  <si>
    <t>7551078</t>
  </si>
  <si>
    <t>991005123439702656</t>
  </si>
  <si>
    <t>2268445820002656</t>
  </si>
  <si>
    <t>9780891305026</t>
  </si>
  <si>
    <t>32285000348671</t>
  </si>
  <si>
    <t>893520467</t>
  </si>
  <si>
    <t>BL820.J6 S4</t>
  </si>
  <si>
    <t>0                      BL 0820000J  6                  S  4</t>
  </si>
  <si>
    <t>Juno : a study in early Roman religion / by Emily Ledyard Shields.</t>
  </si>
  <si>
    <t>Shields, Emily Ledyard, 1883-1964.</t>
  </si>
  <si>
    <t>1926</t>
  </si>
  <si>
    <t>Smith College classical studies ; no. 7</t>
  </si>
  <si>
    <t>2000-04-20</t>
  </si>
  <si>
    <t>376806459:eng</t>
  </si>
  <si>
    <t>3440735</t>
  </si>
  <si>
    <t>991004435429702656</t>
  </si>
  <si>
    <t>2269682520002656</t>
  </si>
  <si>
    <t>32285000348762</t>
  </si>
  <si>
    <t>893343832</t>
  </si>
  <si>
    <t>BL820.M5 B7</t>
  </si>
  <si>
    <t>0                      BL 0820000M  5                  B  7</t>
  </si>
  <si>
    <t>Hermes the thief; the evolution of a myth / Norman O. Brown.</t>
  </si>
  <si>
    <t>Brown, Norman Oliver, 1913-2002.</t>
  </si>
  <si>
    <t>[Madison] University of Wisconsin Press, 1947.</t>
  </si>
  <si>
    <t>1947</t>
  </si>
  <si>
    <t>2008-02-21</t>
  </si>
  <si>
    <t>197163749:eng</t>
  </si>
  <si>
    <t>6712130</t>
  </si>
  <si>
    <t>991005030589702656</t>
  </si>
  <si>
    <t>2263591710002656</t>
  </si>
  <si>
    <t>32285000348788</t>
  </si>
  <si>
    <t>893876832</t>
  </si>
  <si>
    <t>BL820.O7 L5 1973</t>
  </si>
  <si>
    <t>0                      BL 0820000O  7                  L  5           1973</t>
  </si>
  <si>
    <t>The arts of Orpheus / by Ivan M. Linforth.</t>
  </si>
  <si>
    <t>Linforth, Ivan M. (Ivan Mortimer), 1879-1976.</t>
  </si>
  <si>
    <t>New York, Arno Press, 1973 [c1941]</t>
  </si>
  <si>
    <t>Philosophy of Plato and Aristotle</t>
  </si>
  <si>
    <t>2007-03-26</t>
  </si>
  <si>
    <t>1487158:eng</t>
  </si>
  <si>
    <t>514515</t>
  </si>
  <si>
    <t>991002896389702656</t>
  </si>
  <si>
    <t>2262103410002656</t>
  </si>
  <si>
    <t>9780405048470</t>
  </si>
  <si>
    <t>32285000348796</t>
  </si>
  <si>
    <t>893245788</t>
  </si>
  <si>
    <t>BL820.P68 K43</t>
  </si>
  <si>
    <t>0                      BL 0820000P  68                 K  43</t>
  </si>
  <si>
    <t>Prometheus, archetypal image of human existence / Translated from the German by Ralph Manheim.</t>
  </si>
  <si>
    <t>[New York, Bollingen Foundation; distributed by] Pantheon Books [1963]</t>
  </si>
  <si>
    <t>Archetypal images in Greek religion, v.1</t>
  </si>
  <si>
    <t>2003-04-29</t>
  </si>
  <si>
    <t>10627948209:eng</t>
  </si>
  <si>
    <t>826753</t>
  </si>
  <si>
    <t>991003303699702656</t>
  </si>
  <si>
    <t>2268923190002656</t>
  </si>
  <si>
    <t>32285000348812</t>
  </si>
  <si>
    <t>893323963</t>
  </si>
  <si>
    <t>BL85 .D87</t>
  </si>
  <si>
    <t>0                      BL 0085000D  87</t>
  </si>
  <si>
    <t>The way of all the earth; experiments in truth and religion [by] John S. Dunne.</t>
  </si>
  <si>
    <t>Dunne, John S., 1929-2013.</t>
  </si>
  <si>
    <t>1998-06-29</t>
  </si>
  <si>
    <t>11874631:eng</t>
  </si>
  <si>
    <t>267784</t>
  </si>
  <si>
    <t>991002113729702656</t>
  </si>
  <si>
    <t>2270623140002656</t>
  </si>
  <si>
    <t>32285000330612</t>
  </si>
  <si>
    <t>893898399</t>
  </si>
  <si>
    <t>BL85 .K32</t>
  </si>
  <si>
    <t>0                      BL 0085000K  32</t>
  </si>
  <si>
    <t>Religions of mankind, by Otto Karrer, translated by E. I. Watkin.</t>
  </si>
  <si>
    <t>Karrer, Otto, 1888-1976.</t>
  </si>
  <si>
    <t>New York, Sheed and Ward, 1936.</t>
  </si>
  <si>
    <t>1936</t>
  </si>
  <si>
    <t>1999-11-12</t>
  </si>
  <si>
    <t>2551313:eng</t>
  </si>
  <si>
    <t>1524662</t>
  </si>
  <si>
    <t>991003799029702656</t>
  </si>
  <si>
    <t>2265295030002656</t>
  </si>
  <si>
    <t>32285000330620</t>
  </si>
  <si>
    <t>893787789</t>
  </si>
  <si>
    <t>BL85 .M73 1983</t>
  </si>
  <si>
    <t>0                      BL 0085000M  73          1983</t>
  </si>
  <si>
    <t>Searching : practices and beliefs of the religious cults and human potential groups / by Harriet S. Mosatche.</t>
  </si>
  <si>
    <t>Mosatche, Harriet S., 1949-</t>
  </si>
  <si>
    <t>New York, N.Y. : Stravon Educational Press, c1983.</t>
  </si>
  <si>
    <t>43691886:eng</t>
  </si>
  <si>
    <t>9533248</t>
  </si>
  <si>
    <t>991000209649702656</t>
  </si>
  <si>
    <t>2263090490002656</t>
  </si>
  <si>
    <t>9780873960922</t>
  </si>
  <si>
    <t>32285000220656</t>
  </si>
  <si>
    <t>893249181</t>
  </si>
  <si>
    <t>BL85 .P36 1995</t>
  </si>
  <si>
    <t>0                      BL 0085000P  36          1995</t>
  </si>
  <si>
    <t>A parliament of souls : in search of global spirituality : interviews with 28 spiritual leaders from around the world / edited by Michael Tobias, Jane Morrison, Bettina Gray.</t>
  </si>
  <si>
    <t>San Francisco : KQED Books : Distributed to the trade by Publishers Group West, c1995.</t>
  </si>
  <si>
    <t>2009-07-28</t>
  </si>
  <si>
    <t>2009-07-27</t>
  </si>
  <si>
    <t>34415304:eng</t>
  </si>
  <si>
    <t>32132663</t>
  </si>
  <si>
    <t>991005328159702656</t>
  </si>
  <si>
    <t>2262196710002656</t>
  </si>
  <si>
    <t>9780912333359</t>
  </si>
  <si>
    <t>32285005539548</t>
  </si>
  <si>
    <t>893688962</t>
  </si>
  <si>
    <t>BL85 .R378 1985</t>
  </si>
  <si>
    <t>0                      BL 0085000R  378         1985</t>
  </si>
  <si>
    <t>Religious movements : genesis, exodus, and numbers / edited by Rodney Stark.</t>
  </si>
  <si>
    <t>New York : Paragon House Publishers, c1985.</t>
  </si>
  <si>
    <t>1991-07-25</t>
  </si>
  <si>
    <t>892691814:eng</t>
  </si>
  <si>
    <t>12104337</t>
  </si>
  <si>
    <t>991000641179702656</t>
  </si>
  <si>
    <t>2260128080002656</t>
  </si>
  <si>
    <t>9780913757444</t>
  </si>
  <si>
    <t>32285000662899</t>
  </si>
  <si>
    <t>893620659</t>
  </si>
  <si>
    <t>BL85 .S4 1995</t>
  </si>
  <si>
    <t>0                      BL 0085000S  4           1995</t>
  </si>
  <si>
    <t>Sects and new religious movements: an anthology of texts from the Catholic Church (1986-1994) / edited by the working group on new religious movements, Vatican City.</t>
  </si>
  <si>
    <t>United States Catholic Conference.</t>
  </si>
  <si>
    <t>Washington, DC: The Conference, 1995</t>
  </si>
  <si>
    <t>Publication ; no. 5-023</t>
  </si>
  <si>
    <t>1997-11-21</t>
  </si>
  <si>
    <t>1996-01-02</t>
  </si>
  <si>
    <t>892298479:eng</t>
  </si>
  <si>
    <t>50480267</t>
  </si>
  <si>
    <t>991002585279702656</t>
  </si>
  <si>
    <t>2271467990002656</t>
  </si>
  <si>
    <t>9781574550238</t>
  </si>
  <si>
    <t>32285002113750</t>
  </si>
  <si>
    <t>893685512</t>
  </si>
  <si>
    <t>BL85 .S5 1972</t>
  </si>
  <si>
    <t>0                      BL 0085000S  5           1972</t>
  </si>
  <si>
    <t>The faith of other men / Wilfred Cantwell Smith.</t>
  </si>
  <si>
    <t>New York : Harper &amp; Row, 1972, c1963.</t>
  </si>
  <si>
    <t>Harper torchbooks</t>
  </si>
  <si>
    <t>1993-03-29</t>
  </si>
  <si>
    <t>198049404:eng</t>
  </si>
  <si>
    <t>655638</t>
  </si>
  <si>
    <t>991003108539702656</t>
  </si>
  <si>
    <t>2260743980002656</t>
  </si>
  <si>
    <t>32285000330679</t>
  </si>
  <si>
    <t>893887137</t>
  </si>
  <si>
    <t>BL860 .D36</t>
  </si>
  <si>
    <t>0                      BL 0860000D  36</t>
  </si>
  <si>
    <t>Gods and myths of northern Europe / [by] H. R. Ellis Davidson.</t>
  </si>
  <si>
    <t>Davidson, H. R. Ellis (Hilda Roderick Ellis), 1914-2006.</t>
  </si>
  <si>
    <t>Baltimore, Penguin Books [1964]</t>
  </si>
  <si>
    <t>Pelican book ; A670</t>
  </si>
  <si>
    <t>2009-09-13</t>
  </si>
  <si>
    <t>1995-02-28</t>
  </si>
  <si>
    <t>1696083:eng</t>
  </si>
  <si>
    <t>1903305</t>
  </si>
  <si>
    <t>991003932639702656</t>
  </si>
  <si>
    <t>2259163250002656</t>
  </si>
  <si>
    <t>32285001779726</t>
  </si>
  <si>
    <t>893417019</t>
  </si>
  <si>
    <t>BL87 .E413 1965a</t>
  </si>
  <si>
    <t>0                      BL 0087000E  413         1965a</t>
  </si>
  <si>
    <t>Mephistopheles and the Androgyne; studies in religious myth and symbol. Translated by J. M. Cohen.</t>
  </si>
  <si>
    <t>New York, Sheed and Ward [c1965]</t>
  </si>
  <si>
    <t>2004-04-09</t>
  </si>
  <si>
    <t>49134735:eng</t>
  </si>
  <si>
    <t>382828</t>
  </si>
  <si>
    <t>991002637199702656</t>
  </si>
  <si>
    <t>2260324650002656</t>
  </si>
  <si>
    <t>32285000330695</t>
  </si>
  <si>
    <t>893504627</t>
  </si>
  <si>
    <t>BL87 .E413 1979</t>
  </si>
  <si>
    <t>0                      BL 0087000E  413         1979</t>
  </si>
  <si>
    <t>The two and the one / Mircea Eliade ; translated by J. M. Cohen.</t>
  </si>
  <si>
    <t>Chicago : University of Chicago Press, 1979, c1965.</t>
  </si>
  <si>
    <t>Phoenix ed.</t>
  </si>
  <si>
    <t>A Phoenix book</t>
  </si>
  <si>
    <t>4933204</t>
  </si>
  <si>
    <t>991004750299702656</t>
  </si>
  <si>
    <t>2268954780002656</t>
  </si>
  <si>
    <t>9780226203898</t>
  </si>
  <si>
    <t>32285000133677</t>
  </si>
  <si>
    <t>893235885</t>
  </si>
  <si>
    <t>BL87 .P38 1967</t>
  </si>
  <si>
    <t>0                      BL 0087000P  38          1967</t>
  </si>
  <si>
    <t>Essays on the history of religions. Translation [from several languages] by H. J. Rose.</t>
  </si>
  <si>
    <t>Pettazzoni, Raffaele, 1883-1959.</t>
  </si>
  <si>
    <t>Leiden, E. J. Brill, 1967.</t>
  </si>
  <si>
    <t>Photomechanical reprint.</t>
  </si>
  <si>
    <t>Studies in the history of religions, supplements to Numen, 1</t>
  </si>
  <si>
    <t>5090717433:eng</t>
  </si>
  <si>
    <t>2616716</t>
  </si>
  <si>
    <t>991004186869702656</t>
  </si>
  <si>
    <t>2265098460002656</t>
  </si>
  <si>
    <t>32285000330729</t>
  </si>
  <si>
    <t>893343562</t>
  </si>
  <si>
    <t>BL900 .M36</t>
  </si>
  <si>
    <t>0                      BL 0900000M  36</t>
  </si>
  <si>
    <t>Celtic mythology / Proinsias MacCana.</t>
  </si>
  <si>
    <t>Mac Cana, Proinsias.</t>
  </si>
  <si>
    <t>Feltham, Hamlyn, 1970.</t>
  </si>
  <si>
    <t>2007-04-12</t>
  </si>
  <si>
    <t>1306794:eng</t>
  </si>
  <si>
    <t>141547</t>
  </si>
  <si>
    <t>991000813699702656</t>
  </si>
  <si>
    <t>2256045310002656</t>
  </si>
  <si>
    <t>9780600006473</t>
  </si>
  <si>
    <t>32285000348937</t>
  </si>
  <si>
    <t>893413703</t>
  </si>
  <si>
    <t>BL900 .M466 1994</t>
  </si>
  <si>
    <t>0                      BL 0900000M  466         1994</t>
  </si>
  <si>
    <t>The encyclopaedia of Celtic wisdom : the Celtic shaman's sourcebook / Caitlin and John Matthews.</t>
  </si>
  <si>
    <t>Matthews, Caitlin, 1952-</t>
  </si>
  <si>
    <t>Shaftsbury, Dorset ; Rockport, Mass. : Element, 1994.</t>
  </si>
  <si>
    <t>2008-05-19</t>
  </si>
  <si>
    <t>20732601:eng</t>
  </si>
  <si>
    <t>30977127</t>
  </si>
  <si>
    <t>991005223309702656</t>
  </si>
  <si>
    <t>2268781540002656</t>
  </si>
  <si>
    <t>9781852305611</t>
  </si>
  <si>
    <t>32285005409627</t>
  </si>
  <si>
    <t>893613330</t>
  </si>
  <si>
    <t>JUVENILE</t>
  </si>
  <si>
    <t>BL92 .S27 1994</t>
  </si>
  <si>
    <t>0                      BL 0092000S  27          1994</t>
  </si>
  <si>
    <t>In God's name / by Sandy Eisenberg Sasso ; and illustrated by Phoebe Stone.</t>
  </si>
  <si>
    <t>Sasso, Sandy Eisenberg.</t>
  </si>
  <si>
    <t>Woodstock, Vt. : Jewish Lights Pub., c1994.</t>
  </si>
  <si>
    <t>2007-04-30</t>
  </si>
  <si>
    <t>2006-11-02</t>
  </si>
  <si>
    <t>9381517208:eng</t>
  </si>
  <si>
    <t>30625907</t>
  </si>
  <si>
    <t>991004964519702656</t>
  </si>
  <si>
    <t>2263070820002656</t>
  </si>
  <si>
    <t>9781879045262</t>
  </si>
  <si>
    <t>32285005235121</t>
  </si>
  <si>
    <t>893588834</t>
  </si>
  <si>
    <t>BL940.S65 C36 1989</t>
  </si>
  <si>
    <t>0                      BL 0940000S  65                 C  36          1989</t>
  </si>
  <si>
    <t>Candle in the wind : religion in the Soviet Union / edited by Eugene B. Shirley, Jr. and Michael Rowe ; foreword by Richard Schifter.</t>
  </si>
  <si>
    <t>Washington, D.C. : Ethics and Public Policy Center, c1989.</t>
  </si>
  <si>
    <t>2003-11-20</t>
  </si>
  <si>
    <t>1990-11-08</t>
  </si>
  <si>
    <t>365148077:eng</t>
  </si>
  <si>
    <t>19390103</t>
  </si>
  <si>
    <t>991001457449702656</t>
  </si>
  <si>
    <t>2257351540002656</t>
  </si>
  <si>
    <t>9780896331365</t>
  </si>
  <si>
    <t>32285000313675</t>
  </si>
  <si>
    <t>893703046</t>
  </si>
  <si>
    <t>BL96 .F8</t>
  </si>
  <si>
    <t>0                      BL 0096000F  8</t>
  </si>
  <si>
    <t>The intellectual adventure of ancient man; an essay on speculative thought in the ancient Near East, by H. and H. A. Frankfort, John A. Wilson, Thorkild Jacobsen [and] William A. Irwin.</t>
  </si>
  <si>
    <t>Chicago, The University of Chicago press [1946]</t>
  </si>
  <si>
    <t>2007-12-17</t>
  </si>
  <si>
    <t>4924373210:eng</t>
  </si>
  <si>
    <t>191066</t>
  </si>
  <si>
    <t>991001190709702656</t>
  </si>
  <si>
    <t>2259144280002656</t>
  </si>
  <si>
    <t>32285000133685</t>
  </si>
  <si>
    <t>893426398</t>
  </si>
  <si>
    <t>BL96 .F8 1951</t>
  </si>
  <si>
    <t>0                      BL 0096000F  8           1951</t>
  </si>
  <si>
    <t>Before philosophy, the intellectual adventure of ancient man; an essay on speculative thought in the ancient Near East / by H. and H. A. Frankfort [and others]</t>
  </si>
  <si>
    <t>Harmondsworth, Middlesex : Penguin Books, 1951.</t>
  </si>
  <si>
    <t>Pelican books ; A198</t>
  </si>
  <si>
    <t>1991-05-30</t>
  </si>
  <si>
    <t>866018088:eng</t>
  </si>
  <si>
    <t>6627883</t>
  </si>
  <si>
    <t>991005017579702656</t>
  </si>
  <si>
    <t>2255081820002656</t>
  </si>
  <si>
    <t>32285000613454</t>
  </si>
  <si>
    <t>893883215</t>
  </si>
  <si>
    <t>BL96 .L6</t>
  </si>
  <si>
    <t>0                      BL 0096000L  6</t>
  </si>
  <si>
    <t>Myth, sacred history, and philosophy; the pre-Christian religious heritage of the West.</t>
  </si>
  <si>
    <t>Loew, Cornelius Richard, 1916-1998.</t>
  </si>
  <si>
    <t>293171929:eng</t>
  </si>
  <si>
    <t>413701</t>
  </si>
  <si>
    <t>991002723649702656</t>
  </si>
  <si>
    <t>2268035500002656</t>
  </si>
  <si>
    <t>32285000149103</t>
  </si>
  <si>
    <t>893886622</t>
  </si>
  <si>
    <t>BL98 .B4 1985</t>
  </si>
  <si>
    <t>0                      BL 0098000B  4           1985</t>
  </si>
  <si>
    <t>Cult controversies : the societal response to the new religious movements / James A. Beckford.</t>
  </si>
  <si>
    <t>Beckford, James A.</t>
  </si>
  <si>
    <t>London ; New York : Tavistock, 1985.</t>
  </si>
  <si>
    <t>836699179:eng</t>
  </si>
  <si>
    <t>11623373</t>
  </si>
  <si>
    <t>991000567709702656</t>
  </si>
  <si>
    <t>2262149320002656</t>
  </si>
  <si>
    <t>9780422796408</t>
  </si>
  <si>
    <t>32285000330976</t>
  </si>
  <si>
    <t>893521801</t>
  </si>
  <si>
    <t>BL98 .F4</t>
  </si>
  <si>
    <t>0                      BL 0098000F  4</t>
  </si>
  <si>
    <t>Religion in the twentieth century.</t>
  </si>
  <si>
    <t>Ferm, Vergilius, 1896-1974, editor.</t>
  </si>
  <si>
    <t>New York, Philosophical Library [1948]</t>
  </si>
  <si>
    <t>2000-11-07</t>
  </si>
  <si>
    <t>3855341732:eng</t>
  </si>
  <si>
    <t>1133359</t>
  </si>
  <si>
    <t>991003562229702656</t>
  </si>
  <si>
    <t>2266242580002656</t>
  </si>
  <si>
    <t>32285000330984</t>
  </si>
  <si>
    <t>893228164</t>
  </si>
  <si>
    <t>BL98 .H8 1959</t>
  </si>
  <si>
    <t>0                      BL 0098000H  8           1959</t>
  </si>
  <si>
    <t>The world's living religions, with special reference to their sacred scriptures and in comparison with Christianity; an historical sketch.</t>
  </si>
  <si>
    <t>Hume, Robert Ernest, 1877-1948.</t>
  </si>
  <si>
    <t>New York, Scribner [1959]</t>
  </si>
  <si>
    <t>Completely rev.</t>
  </si>
  <si>
    <t>2010-11-17</t>
  </si>
  <si>
    <t>197360114:eng</t>
  </si>
  <si>
    <t>376905</t>
  </si>
  <si>
    <t>991002598299702656</t>
  </si>
  <si>
    <t>2263644830002656</t>
  </si>
  <si>
    <t>32285000330992</t>
  </si>
  <si>
    <t>893867437</t>
  </si>
  <si>
    <t>BL98 .N56 1985</t>
  </si>
  <si>
    <t>0                      BL 0098000N  56          1985</t>
  </si>
  <si>
    <t>Nineteenth century religious thought in the West / edited by Ninian Smart ... [et al.].</t>
  </si>
  <si>
    <t>Cambridge : New York : Cambridge University Press, 1985.</t>
  </si>
  <si>
    <t>3133079344:eng</t>
  </si>
  <si>
    <t>10914651</t>
  </si>
  <si>
    <t>991000457139702656</t>
  </si>
  <si>
    <t>2255926510002656</t>
  </si>
  <si>
    <t>9780521228312</t>
  </si>
  <si>
    <t>32285000331024</t>
  </si>
  <si>
    <t>893327302</t>
  </si>
  <si>
    <t>32285000331016</t>
  </si>
  <si>
    <t>893327303</t>
  </si>
  <si>
    <t>BL980.G7 A83 1990</t>
  </si>
  <si>
    <t>0                      BL 0980000G  7                  A  83          1990</t>
  </si>
  <si>
    <t>Mythology of the British Isles / Geoffrey Ashe.</t>
  </si>
  <si>
    <t>Ashe, Geoffrey.</t>
  </si>
  <si>
    <t>London : Methuen London, 1990.</t>
  </si>
  <si>
    <t>8236399:eng</t>
  </si>
  <si>
    <t>20416882</t>
  </si>
  <si>
    <t>991005196629702656</t>
  </si>
  <si>
    <t>2260398600002656</t>
  </si>
  <si>
    <t>9780413629906</t>
  </si>
  <si>
    <t>32285005398028</t>
  </si>
  <si>
    <t>893789599</t>
  </si>
  <si>
    <t>BL980.R8 B64</t>
  </si>
  <si>
    <t>0                      BL 0980000R  8                  B  64</t>
  </si>
  <si>
    <t>Religion in the Soviet Union / Albert Boiter ; foreword by David M. Abshire.</t>
  </si>
  <si>
    <t>Boiter, Albert.</t>
  </si>
  <si>
    <t>Beverly Hills : published for Center for Strategic and International Studies [by] Sage Publications, c1980.</t>
  </si>
  <si>
    <t>A Sage policy paper</t>
  </si>
  <si>
    <t>24454188:eng</t>
  </si>
  <si>
    <t>6844571</t>
  </si>
  <si>
    <t>991005046639702656</t>
  </si>
  <si>
    <t>2270962170002656</t>
  </si>
  <si>
    <t>9780803915466</t>
  </si>
  <si>
    <t>32285000348986</t>
  </si>
  <si>
    <t>893889597</t>
  </si>
  <si>
    <t>BL980.S7 S25 1985</t>
  </si>
  <si>
    <t>0                      BL 0980000S  7                  S  25          1985</t>
  </si>
  <si>
    <t>Iberian popular religion, 600 B.C. to 700 A.D. : Celts, Romans, and Visigoths / Joyce E. Salisbury ; [illustrations by Joseph Papin].</t>
  </si>
  <si>
    <t>Salisbury, Joyce E.</t>
  </si>
  <si>
    <t>New York : E. Mellen Press, c1985.</t>
  </si>
  <si>
    <t>Texts and studies in religion ; v. 20</t>
  </si>
  <si>
    <t>1994-09-07</t>
  </si>
  <si>
    <t>321445362:eng</t>
  </si>
  <si>
    <t>11533085</t>
  </si>
  <si>
    <t>991000550749702656</t>
  </si>
  <si>
    <t>2258254180002656</t>
  </si>
  <si>
    <t>9780889468092</t>
  </si>
  <si>
    <t>32285000348994</t>
  </si>
  <si>
    <t>893249457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</si>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</sst>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6539-94CF-44C4-9528-EB44AC0DB0F0}">
  <dimension ref="A1:BF634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41.25" customHeight="1" x14ac:dyDescent="0.25"/>
  <cols>
    <col min="1" max="1" width="14.5703125" customWidth="1"/>
    <col min="2" max="3" width="0" hidden="1" customWidth="1"/>
    <col min="4" max="4" width="15.7109375" customWidth="1"/>
    <col min="5" max="5" width="0" hidden="1" customWidth="1"/>
    <col min="6" max="6" width="35.140625" customWidth="1"/>
    <col min="8" max="12" width="0" hidden="1" customWidth="1"/>
    <col min="13" max="13" width="25" customWidth="1"/>
    <col min="14" max="14" width="20.2851562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4" max="43" width="0" hidden="1" customWidth="1"/>
    <col min="44" max="46" width="12.85546875" customWidth="1"/>
    <col min="49" max="58" width="0" hidden="1" customWidth="1"/>
  </cols>
  <sheetData>
    <row r="1" spans="1:58" ht="41.25" customHeight="1" x14ac:dyDescent="0.25">
      <c r="A1" s="8" t="s">
        <v>8080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t="41.25" customHeight="1" x14ac:dyDescent="0.25">
      <c r="A2" s="7" t="s">
        <v>62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H2" s="3" t="s">
        <v>62</v>
      </c>
      <c r="I2" s="3" t="s">
        <v>63</v>
      </c>
      <c r="J2" s="3" t="s">
        <v>62</v>
      </c>
      <c r="K2" s="3" t="s">
        <v>62</v>
      </c>
      <c r="L2" s="3" t="s">
        <v>64</v>
      </c>
      <c r="M2" s="2" t="s">
        <v>65</v>
      </c>
      <c r="N2" s="2" t="s">
        <v>66</v>
      </c>
      <c r="O2" s="3" t="s">
        <v>67</v>
      </c>
      <c r="Q2" s="3" t="s">
        <v>68</v>
      </c>
      <c r="R2" s="3" t="s">
        <v>69</v>
      </c>
      <c r="T2" s="3" t="s">
        <v>70</v>
      </c>
      <c r="U2" s="4">
        <v>5</v>
      </c>
      <c r="V2" s="4">
        <v>5</v>
      </c>
      <c r="W2" s="5" t="s">
        <v>71</v>
      </c>
      <c r="X2" s="5" t="s">
        <v>71</v>
      </c>
      <c r="Y2" s="5" t="s">
        <v>72</v>
      </c>
      <c r="Z2" s="5" t="s">
        <v>72</v>
      </c>
      <c r="AA2" s="4">
        <v>29</v>
      </c>
      <c r="AB2" s="4">
        <v>25</v>
      </c>
      <c r="AC2" s="4">
        <v>1274</v>
      </c>
      <c r="AD2" s="4">
        <v>1</v>
      </c>
      <c r="AE2" s="4">
        <v>9</v>
      </c>
      <c r="AF2" s="4">
        <v>0</v>
      </c>
      <c r="AG2" s="4">
        <v>50</v>
      </c>
      <c r="AH2" s="4">
        <v>0</v>
      </c>
      <c r="AI2" s="4">
        <v>20</v>
      </c>
      <c r="AJ2" s="4">
        <v>0</v>
      </c>
      <c r="AK2" s="4">
        <v>11</v>
      </c>
      <c r="AL2" s="4">
        <v>0</v>
      </c>
      <c r="AM2" s="4">
        <v>26</v>
      </c>
      <c r="AN2" s="4">
        <v>0</v>
      </c>
      <c r="AO2" s="4">
        <v>6</v>
      </c>
      <c r="AP2" s="4">
        <v>0</v>
      </c>
      <c r="AQ2" s="4">
        <v>0</v>
      </c>
      <c r="AR2" s="3" t="s">
        <v>62</v>
      </c>
      <c r="AS2" s="3" t="s">
        <v>62</v>
      </c>
      <c r="AU2" s="6" t="str">
        <f>HYPERLINK("https://creighton-primo.hosted.exlibrisgroup.com/primo-explore/search?tab=default_tab&amp;search_scope=EVERYTHING&amp;vid=01CRU&amp;lang=en_US&amp;offset=0&amp;query=any,contains,991004946089702656","Catalog Record")</f>
        <v>Catalog Record</v>
      </c>
      <c r="AV2" s="6" t="str">
        <f>HYPERLINK("http://www.worldcat.org/oclc/6211140","WorldCat Record")</f>
        <v>WorldCat Record</v>
      </c>
      <c r="AW2" s="3" t="s">
        <v>73</v>
      </c>
      <c r="AX2" s="3" t="s">
        <v>74</v>
      </c>
      <c r="AY2" s="3" t="s">
        <v>75</v>
      </c>
      <c r="AZ2" s="3" t="s">
        <v>75</v>
      </c>
      <c r="BA2" s="3" t="s">
        <v>76</v>
      </c>
      <c r="BB2" s="3" t="s">
        <v>77</v>
      </c>
      <c r="BE2" s="3" t="s">
        <v>78</v>
      </c>
      <c r="BF2" s="3" t="s">
        <v>79</v>
      </c>
    </row>
    <row r="3" spans="1:58" ht="41.25" customHeight="1" x14ac:dyDescent="0.25">
      <c r="A3" s="7" t="s">
        <v>62</v>
      </c>
      <c r="B3" s="2" t="s">
        <v>57</v>
      </c>
      <c r="C3" s="2" t="s">
        <v>58</v>
      </c>
      <c r="D3" s="2" t="s">
        <v>80</v>
      </c>
      <c r="E3" s="2" t="s">
        <v>81</v>
      </c>
      <c r="F3" s="2" t="s">
        <v>82</v>
      </c>
      <c r="G3" s="3" t="s">
        <v>83</v>
      </c>
      <c r="H3" s="3" t="s">
        <v>84</v>
      </c>
      <c r="I3" s="3" t="s">
        <v>63</v>
      </c>
      <c r="J3" s="3" t="s">
        <v>62</v>
      </c>
      <c r="K3" s="3" t="s">
        <v>62</v>
      </c>
      <c r="L3" s="3" t="s">
        <v>64</v>
      </c>
      <c r="M3" s="2" t="s">
        <v>85</v>
      </c>
      <c r="N3" s="2" t="s">
        <v>86</v>
      </c>
      <c r="O3" s="3" t="s">
        <v>87</v>
      </c>
      <c r="Q3" s="3" t="s">
        <v>68</v>
      </c>
      <c r="R3" s="3" t="s">
        <v>88</v>
      </c>
      <c r="T3" s="3" t="s">
        <v>70</v>
      </c>
      <c r="U3" s="4">
        <v>7</v>
      </c>
      <c r="V3" s="4">
        <v>28</v>
      </c>
      <c r="W3" s="5" t="s">
        <v>89</v>
      </c>
      <c r="X3" s="5" t="s">
        <v>89</v>
      </c>
      <c r="Y3" s="5" t="s">
        <v>90</v>
      </c>
      <c r="Z3" s="5" t="s">
        <v>90</v>
      </c>
      <c r="AA3" s="4">
        <v>137</v>
      </c>
      <c r="AB3" s="4">
        <v>125</v>
      </c>
      <c r="AC3" s="4">
        <v>915</v>
      </c>
      <c r="AD3" s="4">
        <v>1</v>
      </c>
      <c r="AE3" s="4">
        <v>5</v>
      </c>
      <c r="AF3" s="4">
        <v>5</v>
      </c>
      <c r="AG3" s="4">
        <v>40</v>
      </c>
      <c r="AH3" s="4">
        <v>3</v>
      </c>
      <c r="AI3" s="4">
        <v>18</v>
      </c>
      <c r="AJ3" s="4">
        <v>0</v>
      </c>
      <c r="AK3" s="4">
        <v>9</v>
      </c>
      <c r="AL3" s="4">
        <v>3</v>
      </c>
      <c r="AM3" s="4">
        <v>19</v>
      </c>
      <c r="AN3" s="4">
        <v>0</v>
      </c>
      <c r="AO3" s="4">
        <v>3</v>
      </c>
      <c r="AP3" s="4">
        <v>0</v>
      </c>
      <c r="AQ3" s="4">
        <v>0</v>
      </c>
      <c r="AR3" s="3" t="s">
        <v>62</v>
      </c>
      <c r="AS3" s="3" t="s">
        <v>62</v>
      </c>
      <c r="AU3" s="6" t="str">
        <f>HYPERLINK("https://creighton-primo.hosted.exlibrisgroup.com/primo-explore/search?tab=default_tab&amp;search_scope=EVERYTHING&amp;vid=01CRU&amp;lang=en_US&amp;offset=0&amp;query=any,contains,991003578949702656","Catalog Record")</f>
        <v>Catalog Record</v>
      </c>
      <c r="AV3" s="6" t="str">
        <f>HYPERLINK("http://www.worldcat.org/oclc/1159441","WorldCat Record")</f>
        <v>WorldCat Record</v>
      </c>
      <c r="AW3" s="3" t="s">
        <v>91</v>
      </c>
      <c r="AX3" s="3" t="s">
        <v>92</v>
      </c>
      <c r="AY3" s="3" t="s">
        <v>93</v>
      </c>
      <c r="AZ3" s="3" t="s">
        <v>93</v>
      </c>
      <c r="BA3" s="3" t="s">
        <v>94</v>
      </c>
      <c r="BB3" s="3" t="s">
        <v>77</v>
      </c>
      <c r="BE3" s="3" t="s">
        <v>95</v>
      </c>
      <c r="BF3" s="3" t="s">
        <v>96</v>
      </c>
    </row>
    <row r="4" spans="1:58" ht="41.25" customHeight="1" x14ac:dyDescent="0.25">
      <c r="A4" s="7" t="s">
        <v>62</v>
      </c>
      <c r="B4" s="2" t="s">
        <v>57</v>
      </c>
      <c r="C4" s="2" t="s">
        <v>58</v>
      </c>
      <c r="D4" s="2" t="s">
        <v>80</v>
      </c>
      <c r="E4" s="2" t="s">
        <v>81</v>
      </c>
      <c r="F4" s="2" t="s">
        <v>82</v>
      </c>
      <c r="G4" s="3" t="s">
        <v>97</v>
      </c>
      <c r="H4" s="3" t="s">
        <v>84</v>
      </c>
      <c r="I4" s="3" t="s">
        <v>63</v>
      </c>
      <c r="J4" s="3" t="s">
        <v>62</v>
      </c>
      <c r="K4" s="3" t="s">
        <v>62</v>
      </c>
      <c r="L4" s="3" t="s">
        <v>64</v>
      </c>
      <c r="M4" s="2" t="s">
        <v>85</v>
      </c>
      <c r="N4" s="2" t="s">
        <v>86</v>
      </c>
      <c r="O4" s="3" t="s">
        <v>87</v>
      </c>
      <c r="Q4" s="3" t="s">
        <v>68</v>
      </c>
      <c r="R4" s="3" t="s">
        <v>88</v>
      </c>
      <c r="T4" s="3" t="s">
        <v>70</v>
      </c>
      <c r="U4" s="4">
        <v>11</v>
      </c>
      <c r="V4" s="4">
        <v>28</v>
      </c>
      <c r="W4" s="5" t="s">
        <v>89</v>
      </c>
      <c r="X4" s="5" t="s">
        <v>89</v>
      </c>
      <c r="Y4" s="5" t="s">
        <v>90</v>
      </c>
      <c r="Z4" s="5" t="s">
        <v>90</v>
      </c>
      <c r="AA4" s="4">
        <v>137</v>
      </c>
      <c r="AB4" s="4">
        <v>125</v>
      </c>
      <c r="AC4" s="4">
        <v>915</v>
      </c>
      <c r="AD4" s="4">
        <v>1</v>
      </c>
      <c r="AE4" s="4">
        <v>5</v>
      </c>
      <c r="AF4" s="4">
        <v>5</v>
      </c>
      <c r="AG4" s="4">
        <v>40</v>
      </c>
      <c r="AH4" s="4">
        <v>3</v>
      </c>
      <c r="AI4" s="4">
        <v>18</v>
      </c>
      <c r="AJ4" s="4">
        <v>0</v>
      </c>
      <c r="AK4" s="4">
        <v>9</v>
      </c>
      <c r="AL4" s="4">
        <v>3</v>
      </c>
      <c r="AM4" s="4">
        <v>19</v>
      </c>
      <c r="AN4" s="4">
        <v>0</v>
      </c>
      <c r="AO4" s="4">
        <v>3</v>
      </c>
      <c r="AP4" s="4">
        <v>0</v>
      </c>
      <c r="AQ4" s="4">
        <v>0</v>
      </c>
      <c r="AR4" s="3" t="s">
        <v>62</v>
      </c>
      <c r="AS4" s="3" t="s">
        <v>62</v>
      </c>
      <c r="AU4" s="6" t="str">
        <f>HYPERLINK("https://creighton-primo.hosted.exlibrisgroup.com/primo-explore/search?tab=default_tab&amp;search_scope=EVERYTHING&amp;vid=01CRU&amp;lang=en_US&amp;offset=0&amp;query=any,contains,991003578949702656","Catalog Record")</f>
        <v>Catalog Record</v>
      </c>
      <c r="AV4" s="6" t="str">
        <f>HYPERLINK("http://www.worldcat.org/oclc/1159441","WorldCat Record")</f>
        <v>WorldCat Record</v>
      </c>
      <c r="AW4" s="3" t="s">
        <v>91</v>
      </c>
      <c r="AX4" s="3" t="s">
        <v>92</v>
      </c>
      <c r="AY4" s="3" t="s">
        <v>93</v>
      </c>
      <c r="AZ4" s="3" t="s">
        <v>93</v>
      </c>
      <c r="BA4" s="3" t="s">
        <v>94</v>
      </c>
      <c r="BB4" s="3" t="s">
        <v>77</v>
      </c>
      <c r="BE4" s="3" t="s">
        <v>98</v>
      </c>
      <c r="BF4" s="3" t="s">
        <v>99</v>
      </c>
    </row>
    <row r="5" spans="1:58" ht="41.25" customHeight="1" x14ac:dyDescent="0.25">
      <c r="A5" s="7" t="s">
        <v>62</v>
      </c>
      <c r="B5" s="2" t="s">
        <v>57</v>
      </c>
      <c r="C5" s="2" t="s">
        <v>58</v>
      </c>
      <c r="D5" s="2" t="s">
        <v>80</v>
      </c>
      <c r="E5" s="2" t="s">
        <v>81</v>
      </c>
      <c r="F5" s="2" t="s">
        <v>82</v>
      </c>
      <c r="G5" s="3" t="s">
        <v>100</v>
      </c>
      <c r="H5" s="3" t="s">
        <v>84</v>
      </c>
      <c r="I5" s="3" t="s">
        <v>63</v>
      </c>
      <c r="J5" s="3" t="s">
        <v>62</v>
      </c>
      <c r="K5" s="3" t="s">
        <v>62</v>
      </c>
      <c r="L5" s="3" t="s">
        <v>64</v>
      </c>
      <c r="M5" s="2" t="s">
        <v>85</v>
      </c>
      <c r="N5" s="2" t="s">
        <v>86</v>
      </c>
      <c r="O5" s="3" t="s">
        <v>87</v>
      </c>
      <c r="Q5" s="3" t="s">
        <v>68</v>
      </c>
      <c r="R5" s="3" t="s">
        <v>88</v>
      </c>
      <c r="T5" s="3" t="s">
        <v>70</v>
      </c>
      <c r="U5" s="4">
        <v>10</v>
      </c>
      <c r="V5" s="4">
        <v>28</v>
      </c>
      <c r="W5" s="5" t="s">
        <v>101</v>
      </c>
      <c r="X5" s="5" t="s">
        <v>89</v>
      </c>
      <c r="Y5" s="5" t="s">
        <v>90</v>
      </c>
      <c r="Z5" s="5" t="s">
        <v>90</v>
      </c>
      <c r="AA5" s="4">
        <v>137</v>
      </c>
      <c r="AB5" s="4">
        <v>125</v>
      </c>
      <c r="AC5" s="4">
        <v>915</v>
      </c>
      <c r="AD5" s="4">
        <v>1</v>
      </c>
      <c r="AE5" s="4">
        <v>5</v>
      </c>
      <c r="AF5" s="4">
        <v>5</v>
      </c>
      <c r="AG5" s="4">
        <v>40</v>
      </c>
      <c r="AH5" s="4">
        <v>3</v>
      </c>
      <c r="AI5" s="4">
        <v>18</v>
      </c>
      <c r="AJ5" s="4">
        <v>0</v>
      </c>
      <c r="AK5" s="4">
        <v>9</v>
      </c>
      <c r="AL5" s="4">
        <v>3</v>
      </c>
      <c r="AM5" s="4">
        <v>19</v>
      </c>
      <c r="AN5" s="4">
        <v>0</v>
      </c>
      <c r="AO5" s="4">
        <v>3</v>
      </c>
      <c r="AP5" s="4">
        <v>0</v>
      </c>
      <c r="AQ5" s="4">
        <v>0</v>
      </c>
      <c r="AR5" s="3" t="s">
        <v>62</v>
      </c>
      <c r="AS5" s="3" t="s">
        <v>62</v>
      </c>
      <c r="AU5" s="6" t="str">
        <f>HYPERLINK("https://creighton-primo.hosted.exlibrisgroup.com/primo-explore/search?tab=default_tab&amp;search_scope=EVERYTHING&amp;vid=01CRU&amp;lang=en_US&amp;offset=0&amp;query=any,contains,991003578949702656","Catalog Record")</f>
        <v>Catalog Record</v>
      </c>
      <c r="AV5" s="6" t="str">
        <f>HYPERLINK("http://www.worldcat.org/oclc/1159441","WorldCat Record")</f>
        <v>WorldCat Record</v>
      </c>
      <c r="AW5" s="3" t="s">
        <v>91</v>
      </c>
      <c r="AX5" s="3" t="s">
        <v>92</v>
      </c>
      <c r="AY5" s="3" t="s">
        <v>93</v>
      </c>
      <c r="AZ5" s="3" t="s">
        <v>93</v>
      </c>
      <c r="BA5" s="3" t="s">
        <v>94</v>
      </c>
      <c r="BB5" s="3" t="s">
        <v>77</v>
      </c>
      <c r="BE5" s="3" t="s">
        <v>102</v>
      </c>
      <c r="BF5" s="3" t="s">
        <v>103</v>
      </c>
    </row>
    <row r="6" spans="1:58" ht="41.25" customHeight="1" x14ac:dyDescent="0.25">
      <c r="A6" s="7" t="s">
        <v>62</v>
      </c>
      <c r="B6" s="2" t="s">
        <v>57</v>
      </c>
      <c r="C6" s="2" t="s">
        <v>58</v>
      </c>
      <c r="D6" s="2" t="s">
        <v>104</v>
      </c>
      <c r="E6" s="2" t="s">
        <v>105</v>
      </c>
      <c r="F6" s="2" t="s">
        <v>106</v>
      </c>
      <c r="H6" s="3" t="s">
        <v>62</v>
      </c>
      <c r="I6" s="3" t="s">
        <v>63</v>
      </c>
      <c r="J6" s="3" t="s">
        <v>62</v>
      </c>
      <c r="K6" s="3" t="s">
        <v>62</v>
      </c>
      <c r="L6" s="3" t="s">
        <v>64</v>
      </c>
      <c r="M6" s="2" t="s">
        <v>107</v>
      </c>
      <c r="N6" s="2" t="s">
        <v>108</v>
      </c>
      <c r="O6" s="3" t="s">
        <v>109</v>
      </c>
      <c r="Q6" s="3" t="s">
        <v>68</v>
      </c>
      <c r="R6" s="3" t="s">
        <v>110</v>
      </c>
      <c r="S6" s="2" t="s">
        <v>111</v>
      </c>
      <c r="T6" s="3" t="s">
        <v>70</v>
      </c>
      <c r="U6" s="4">
        <v>8</v>
      </c>
      <c r="V6" s="4">
        <v>8</v>
      </c>
      <c r="W6" s="5" t="s">
        <v>112</v>
      </c>
      <c r="X6" s="5" t="s">
        <v>112</v>
      </c>
      <c r="Y6" s="5" t="s">
        <v>90</v>
      </c>
      <c r="Z6" s="5" t="s">
        <v>90</v>
      </c>
      <c r="AA6" s="4">
        <v>257</v>
      </c>
      <c r="AB6" s="4">
        <v>231</v>
      </c>
      <c r="AC6" s="4">
        <v>232</v>
      </c>
      <c r="AD6" s="4">
        <v>2</v>
      </c>
      <c r="AE6" s="4">
        <v>2</v>
      </c>
      <c r="AF6" s="4">
        <v>27</v>
      </c>
      <c r="AG6" s="4">
        <v>27</v>
      </c>
      <c r="AH6" s="4">
        <v>9</v>
      </c>
      <c r="AI6" s="4">
        <v>9</v>
      </c>
      <c r="AJ6" s="4">
        <v>7</v>
      </c>
      <c r="AK6" s="4">
        <v>7</v>
      </c>
      <c r="AL6" s="4">
        <v>20</v>
      </c>
      <c r="AM6" s="4">
        <v>20</v>
      </c>
      <c r="AN6" s="4">
        <v>1</v>
      </c>
      <c r="AO6" s="4">
        <v>1</v>
      </c>
      <c r="AP6" s="4">
        <v>0</v>
      </c>
      <c r="AQ6" s="4">
        <v>0</v>
      </c>
      <c r="AR6" s="3" t="s">
        <v>62</v>
      </c>
      <c r="AS6" s="3" t="s">
        <v>84</v>
      </c>
      <c r="AT6" s="6" t="str">
        <f>HYPERLINK("http://catalog.hathitrust.org/Record/100952454","HathiTrust Record")</f>
        <v>HathiTrust Record</v>
      </c>
      <c r="AU6" s="6" t="str">
        <f>HYPERLINK("https://creighton-primo.hosted.exlibrisgroup.com/primo-explore/search?tab=default_tab&amp;search_scope=EVERYTHING&amp;vid=01CRU&amp;lang=en_US&amp;offset=0&amp;query=any,contains,991004317479702656","Catalog Record")</f>
        <v>Catalog Record</v>
      </c>
      <c r="AV6" s="6" t="str">
        <f>HYPERLINK("http://www.worldcat.org/oclc/3009696","WorldCat Record")</f>
        <v>WorldCat Record</v>
      </c>
      <c r="AW6" s="3" t="s">
        <v>113</v>
      </c>
      <c r="AX6" s="3" t="s">
        <v>114</v>
      </c>
      <c r="AY6" s="3" t="s">
        <v>115</v>
      </c>
      <c r="AZ6" s="3" t="s">
        <v>115</v>
      </c>
      <c r="BA6" s="3" t="s">
        <v>116</v>
      </c>
      <c r="BB6" s="3" t="s">
        <v>77</v>
      </c>
      <c r="BE6" s="3" t="s">
        <v>117</v>
      </c>
      <c r="BF6" s="3" t="s">
        <v>118</v>
      </c>
    </row>
    <row r="7" spans="1:58" ht="41.25" customHeight="1" x14ac:dyDescent="0.25">
      <c r="A7" s="7" t="s">
        <v>62</v>
      </c>
      <c r="B7" s="2" t="s">
        <v>57</v>
      </c>
      <c r="C7" s="2" t="s">
        <v>58</v>
      </c>
      <c r="D7" s="2" t="s">
        <v>119</v>
      </c>
      <c r="E7" s="2" t="s">
        <v>120</v>
      </c>
      <c r="F7" s="2" t="s">
        <v>121</v>
      </c>
      <c r="H7" s="3" t="s">
        <v>62</v>
      </c>
      <c r="I7" s="3" t="s">
        <v>63</v>
      </c>
      <c r="J7" s="3" t="s">
        <v>62</v>
      </c>
      <c r="K7" s="3" t="s">
        <v>62</v>
      </c>
      <c r="L7" s="3" t="s">
        <v>64</v>
      </c>
      <c r="M7" s="2" t="s">
        <v>122</v>
      </c>
      <c r="N7" s="2" t="s">
        <v>123</v>
      </c>
      <c r="O7" s="3" t="s">
        <v>124</v>
      </c>
      <c r="Q7" s="3" t="s">
        <v>68</v>
      </c>
      <c r="R7" s="3" t="s">
        <v>88</v>
      </c>
      <c r="T7" s="3" t="s">
        <v>70</v>
      </c>
      <c r="U7" s="4">
        <v>2</v>
      </c>
      <c r="V7" s="4">
        <v>2</v>
      </c>
      <c r="W7" s="5" t="s">
        <v>125</v>
      </c>
      <c r="X7" s="5" t="s">
        <v>125</v>
      </c>
      <c r="Y7" s="5" t="s">
        <v>90</v>
      </c>
      <c r="Z7" s="5" t="s">
        <v>90</v>
      </c>
      <c r="AA7" s="4">
        <v>749</v>
      </c>
      <c r="AB7" s="4">
        <v>603</v>
      </c>
      <c r="AC7" s="4">
        <v>606</v>
      </c>
      <c r="AD7" s="4">
        <v>4</v>
      </c>
      <c r="AE7" s="4">
        <v>4</v>
      </c>
      <c r="AF7" s="4">
        <v>30</v>
      </c>
      <c r="AG7" s="4">
        <v>30</v>
      </c>
      <c r="AH7" s="4">
        <v>11</v>
      </c>
      <c r="AI7" s="4">
        <v>11</v>
      </c>
      <c r="AJ7" s="4">
        <v>6</v>
      </c>
      <c r="AK7" s="4">
        <v>6</v>
      </c>
      <c r="AL7" s="4">
        <v>18</v>
      </c>
      <c r="AM7" s="4">
        <v>18</v>
      </c>
      <c r="AN7" s="4">
        <v>3</v>
      </c>
      <c r="AO7" s="4">
        <v>3</v>
      </c>
      <c r="AP7" s="4">
        <v>0</v>
      </c>
      <c r="AQ7" s="4">
        <v>0</v>
      </c>
      <c r="AR7" s="3" t="s">
        <v>62</v>
      </c>
      <c r="AS7" s="3" t="s">
        <v>84</v>
      </c>
      <c r="AT7" s="6" t="str">
        <f>HYPERLINK("http://catalog.hathitrust.org/Record/001392757","HathiTrust Record")</f>
        <v>HathiTrust Record</v>
      </c>
      <c r="AU7" s="6" t="str">
        <f>HYPERLINK("https://creighton-primo.hosted.exlibrisgroup.com/primo-explore/search?tab=default_tab&amp;search_scope=EVERYTHING&amp;vid=01CRU&amp;lang=en_US&amp;offset=0&amp;query=any,contains,991002609479702656","Catalog Record")</f>
        <v>Catalog Record</v>
      </c>
      <c r="AV7" s="6" t="str">
        <f>HYPERLINK("http://www.worldcat.org/oclc/377511","WorldCat Record")</f>
        <v>WorldCat Record</v>
      </c>
      <c r="AW7" s="3" t="s">
        <v>126</v>
      </c>
      <c r="AX7" s="3" t="s">
        <v>127</v>
      </c>
      <c r="AY7" s="3" t="s">
        <v>128</v>
      </c>
      <c r="AZ7" s="3" t="s">
        <v>128</v>
      </c>
      <c r="BA7" s="3" t="s">
        <v>129</v>
      </c>
      <c r="BB7" s="3" t="s">
        <v>77</v>
      </c>
      <c r="BE7" s="3" t="s">
        <v>130</v>
      </c>
      <c r="BF7" s="3" t="s">
        <v>131</v>
      </c>
    </row>
    <row r="8" spans="1:58" ht="41.25" customHeight="1" x14ac:dyDescent="0.25">
      <c r="A8" s="7" t="s">
        <v>62</v>
      </c>
      <c r="B8" s="2" t="s">
        <v>57</v>
      </c>
      <c r="C8" s="2" t="s">
        <v>58</v>
      </c>
      <c r="D8" s="2" t="s">
        <v>132</v>
      </c>
      <c r="E8" s="2" t="s">
        <v>133</v>
      </c>
      <c r="F8" s="2" t="s">
        <v>134</v>
      </c>
      <c r="H8" s="3" t="s">
        <v>62</v>
      </c>
      <c r="I8" s="3" t="s">
        <v>63</v>
      </c>
      <c r="J8" s="3" t="s">
        <v>62</v>
      </c>
      <c r="K8" s="3" t="s">
        <v>62</v>
      </c>
      <c r="L8" s="3" t="s">
        <v>64</v>
      </c>
      <c r="M8" s="2" t="s">
        <v>135</v>
      </c>
      <c r="N8" s="2" t="s">
        <v>136</v>
      </c>
      <c r="O8" s="3" t="s">
        <v>137</v>
      </c>
      <c r="Q8" s="3" t="s">
        <v>68</v>
      </c>
      <c r="R8" s="3" t="s">
        <v>138</v>
      </c>
      <c r="S8" s="2" t="s">
        <v>139</v>
      </c>
      <c r="T8" s="3" t="s">
        <v>70</v>
      </c>
      <c r="U8" s="4">
        <v>2</v>
      </c>
      <c r="V8" s="4">
        <v>2</v>
      </c>
      <c r="W8" s="5" t="s">
        <v>140</v>
      </c>
      <c r="X8" s="5" t="s">
        <v>140</v>
      </c>
      <c r="Y8" s="5" t="s">
        <v>90</v>
      </c>
      <c r="Z8" s="5" t="s">
        <v>90</v>
      </c>
      <c r="AA8" s="4">
        <v>617</v>
      </c>
      <c r="AB8" s="4">
        <v>539</v>
      </c>
      <c r="AC8" s="4">
        <v>545</v>
      </c>
      <c r="AD8" s="4">
        <v>3</v>
      </c>
      <c r="AE8" s="4">
        <v>3</v>
      </c>
      <c r="AF8" s="4">
        <v>24</v>
      </c>
      <c r="AG8" s="4">
        <v>24</v>
      </c>
      <c r="AH8" s="4">
        <v>9</v>
      </c>
      <c r="AI8" s="4">
        <v>9</v>
      </c>
      <c r="AJ8" s="4">
        <v>6</v>
      </c>
      <c r="AK8" s="4">
        <v>6</v>
      </c>
      <c r="AL8" s="4">
        <v>15</v>
      </c>
      <c r="AM8" s="4">
        <v>15</v>
      </c>
      <c r="AN8" s="4">
        <v>2</v>
      </c>
      <c r="AO8" s="4">
        <v>2</v>
      </c>
      <c r="AP8" s="4">
        <v>0</v>
      </c>
      <c r="AQ8" s="4">
        <v>0</v>
      </c>
      <c r="AR8" s="3" t="s">
        <v>62</v>
      </c>
      <c r="AS8" s="3" t="s">
        <v>84</v>
      </c>
      <c r="AT8" s="6" t="str">
        <f>HYPERLINK("http://catalog.hathitrust.org/Record/000224117","HathiTrust Record")</f>
        <v>HathiTrust Record</v>
      </c>
      <c r="AU8" s="6" t="str">
        <f>HYPERLINK("https://creighton-primo.hosted.exlibrisgroup.com/primo-explore/search?tab=default_tab&amp;search_scope=EVERYTHING&amp;vid=01CRU&amp;lang=en_US&amp;offset=0&amp;query=any,contains,991005057999702656","Catalog Record")</f>
        <v>Catalog Record</v>
      </c>
      <c r="AV8" s="6" t="str">
        <f>HYPERLINK("http://www.worldcat.org/oclc/6914774","WorldCat Record")</f>
        <v>WorldCat Record</v>
      </c>
      <c r="AW8" s="3" t="s">
        <v>141</v>
      </c>
      <c r="AX8" s="3" t="s">
        <v>142</v>
      </c>
      <c r="AY8" s="3" t="s">
        <v>143</v>
      </c>
      <c r="AZ8" s="3" t="s">
        <v>143</v>
      </c>
      <c r="BA8" s="3" t="s">
        <v>144</v>
      </c>
      <c r="BB8" s="3" t="s">
        <v>77</v>
      </c>
      <c r="BD8" s="3" t="s">
        <v>145</v>
      </c>
      <c r="BE8" s="3" t="s">
        <v>146</v>
      </c>
      <c r="BF8" s="3" t="s">
        <v>147</v>
      </c>
    </row>
    <row r="9" spans="1:58" ht="41.25" customHeight="1" x14ac:dyDescent="0.25">
      <c r="A9" s="7" t="s">
        <v>62</v>
      </c>
      <c r="B9" s="2" t="s">
        <v>57</v>
      </c>
      <c r="C9" s="2" t="s">
        <v>58</v>
      </c>
      <c r="D9" s="2" t="s">
        <v>148</v>
      </c>
      <c r="E9" s="2" t="s">
        <v>149</v>
      </c>
      <c r="F9" s="2" t="s">
        <v>150</v>
      </c>
      <c r="H9" s="3" t="s">
        <v>62</v>
      </c>
      <c r="I9" s="3" t="s">
        <v>63</v>
      </c>
      <c r="J9" s="3" t="s">
        <v>62</v>
      </c>
      <c r="K9" s="3" t="s">
        <v>62</v>
      </c>
      <c r="L9" s="3" t="s">
        <v>64</v>
      </c>
      <c r="M9" s="2" t="s">
        <v>151</v>
      </c>
      <c r="N9" s="2" t="s">
        <v>152</v>
      </c>
      <c r="O9" s="3" t="s">
        <v>109</v>
      </c>
      <c r="Q9" s="3" t="s">
        <v>68</v>
      </c>
      <c r="R9" s="3" t="s">
        <v>69</v>
      </c>
      <c r="T9" s="3" t="s">
        <v>70</v>
      </c>
      <c r="U9" s="4">
        <v>3</v>
      </c>
      <c r="V9" s="4">
        <v>3</v>
      </c>
      <c r="W9" s="5" t="s">
        <v>153</v>
      </c>
      <c r="X9" s="5" t="s">
        <v>153</v>
      </c>
      <c r="Y9" s="5" t="s">
        <v>90</v>
      </c>
      <c r="Z9" s="5" t="s">
        <v>90</v>
      </c>
      <c r="AA9" s="4">
        <v>303</v>
      </c>
      <c r="AB9" s="4">
        <v>250</v>
      </c>
      <c r="AC9" s="4">
        <v>938</v>
      </c>
      <c r="AD9" s="4">
        <v>3</v>
      </c>
      <c r="AE9" s="4">
        <v>7</v>
      </c>
      <c r="AF9" s="4">
        <v>12</v>
      </c>
      <c r="AG9" s="4">
        <v>41</v>
      </c>
      <c r="AH9" s="4">
        <v>4</v>
      </c>
      <c r="AI9" s="4">
        <v>15</v>
      </c>
      <c r="AJ9" s="4">
        <v>3</v>
      </c>
      <c r="AK9" s="4">
        <v>8</v>
      </c>
      <c r="AL9" s="4">
        <v>8</v>
      </c>
      <c r="AM9" s="4">
        <v>24</v>
      </c>
      <c r="AN9" s="4">
        <v>2</v>
      </c>
      <c r="AO9" s="4">
        <v>5</v>
      </c>
      <c r="AP9" s="4">
        <v>0</v>
      </c>
      <c r="AQ9" s="4">
        <v>0</v>
      </c>
      <c r="AR9" s="3" t="s">
        <v>62</v>
      </c>
      <c r="AS9" s="3" t="s">
        <v>84</v>
      </c>
      <c r="AT9" s="6" t="str">
        <f>HYPERLINK("http://catalog.hathitrust.org/Record/000981710","HathiTrust Record")</f>
        <v>HathiTrust Record</v>
      </c>
      <c r="AU9" s="6" t="str">
        <f>HYPERLINK("https://creighton-primo.hosted.exlibrisgroup.com/primo-explore/search?tab=default_tab&amp;search_scope=EVERYTHING&amp;vid=01CRU&amp;lang=en_US&amp;offset=0&amp;query=any,contains,991003794299702656","Catalog Record")</f>
        <v>Catalog Record</v>
      </c>
      <c r="AV9" s="6" t="str">
        <f>HYPERLINK("http://www.worldcat.org/oclc/1515052","WorldCat Record")</f>
        <v>WorldCat Record</v>
      </c>
      <c r="AW9" s="3" t="s">
        <v>154</v>
      </c>
      <c r="AX9" s="3" t="s">
        <v>155</v>
      </c>
      <c r="AY9" s="3" t="s">
        <v>156</v>
      </c>
      <c r="AZ9" s="3" t="s">
        <v>156</v>
      </c>
      <c r="BA9" s="3" t="s">
        <v>157</v>
      </c>
      <c r="BB9" s="3" t="s">
        <v>77</v>
      </c>
      <c r="BE9" s="3" t="s">
        <v>158</v>
      </c>
      <c r="BF9" s="3" t="s">
        <v>159</v>
      </c>
    </row>
    <row r="10" spans="1:58" ht="41.25" customHeight="1" x14ac:dyDescent="0.25">
      <c r="A10" s="7" t="s">
        <v>62</v>
      </c>
      <c r="B10" s="2" t="s">
        <v>57</v>
      </c>
      <c r="C10" s="2" t="s">
        <v>58</v>
      </c>
      <c r="D10" s="2" t="s">
        <v>160</v>
      </c>
      <c r="E10" s="2" t="s">
        <v>161</v>
      </c>
      <c r="F10" s="2" t="s">
        <v>162</v>
      </c>
      <c r="H10" s="3" t="s">
        <v>62</v>
      </c>
      <c r="I10" s="3" t="s">
        <v>63</v>
      </c>
      <c r="J10" s="3" t="s">
        <v>62</v>
      </c>
      <c r="K10" s="3" t="s">
        <v>62</v>
      </c>
      <c r="L10" s="3" t="s">
        <v>64</v>
      </c>
      <c r="M10" s="2" t="s">
        <v>163</v>
      </c>
      <c r="N10" s="2" t="s">
        <v>164</v>
      </c>
      <c r="O10" s="3" t="s">
        <v>165</v>
      </c>
      <c r="Q10" s="3" t="s">
        <v>68</v>
      </c>
      <c r="R10" s="3" t="s">
        <v>166</v>
      </c>
      <c r="T10" s="3" t="s">
        <v>70</v>
      </c>
      <c r="U10" s="4">
        <v>3</v>
      </c>
      <c r="V10" s="4">
        <v>3</v>
      </c>
      <c r="W10" s="5" t="s">
        <v>167</v>
      </c>
      <c r="X10" s="5" t="s">
        <v>167</v>
      </c>
      <c r="Y10" s="5" t="s">
        <v>90</v>
      </c>
      <c r="Z10" s="5" t="s">
        <v>90</v>
      </c>
      <c r="AA10" s="4">
        <v>587</v>
      </c>
      <c r="AB10" s="4">
        <v>446</v>
      </c>
      <c r="AC10" s="4">
        <v>746</v>
      </c>
      <c r="AD10" s="4">
        <v>3</v>
      </c>
      <c r="AE10" s="4">
        <v>5</v>
      </c>
      <c r="AF10" s="4">
        <v>20</v>
      </c>
      <c r="AG10" s="4">
        <v>30</v>
      </c>
      <c r="AH10" s="4">
        <v>9</v>
      </c>
      <c r="AI10" s="4">
        <v>14</v>
      </c>
      <c r="AJ10" s="4">
        <v>2</v>
      </c>
      <c r="AK10" s="4">
        <v>6</v>
      </c>
      <c r="AL10" s="4">
        <v>13</v>
      </c>
      <c r="AM10" s="4">
        <v>16</v>
      </c>
      <c r="AN10" s="4">
        <v>2</v>
      </c>
      <c r="AO10" s="4">
        <v>3</v>
      </c>
      <c r="AP10" s="4">
        <v>0</v>
      </c>
      <c r="AQ10" s="4">
        <v>0</v>
      </c>
      <c r="AR10" s="3" t="s">
        <v>62</v>
      </c>
      <c r="AS10" s="3" t="s">
        <v>62</v>
      </c>
      <c r="AU10" s="6" t="str">
        <f>HYPERLINK("https://creighton-primo.hosted.exlibrisgroup.com/primo-explore/search?tab=default_tab&amp;search_scope=EVERYTHING&amp;vid=01CRU&amp;lang=en_US&amp;offset=0&amp;query=any,contains,991004196709702656","Catalog Record")</f>
        <v>Catalog Record</v>
      </c>
      <c r="AV10" s="6" t="str">
        <f>HYPERLINK("http://www.worldcat.org/oclc/2644903","WorldCat Record")</f>
        <v>WorldCat Record</v>
      </c>
      <c r="AW10" s="3" t="s">
        <v>168</v>
      </c>
      <c r="AX10" s="3" t="s">
        <v>169</v>
      </c>
      <c r="AY10" s="3" t="s">
        <v>170</v>
      </c>
      <c r="AZ10" s="3" t="s">
        <v>170</v>
      </c>
      <c r="BA10" s="3" t="s">
        <v>171</v>
      </c>
      <c r="BB10" s="3" t="s">
        <v>77</v>
      </c>
      <c r="BD10" s="3" t="s">
        <v>172</v>
      </c>
      <c r="BE10" s="3" t="s">
        <v>173</v>
      </c>
      <c r="BF10" s="3" t="s">
        <v>174</v>
      </c>
    </row>
    <row r="11" spans="1:58" ht="41.25" customHeight="1" x14ac:dyDescent="0.25">
      <c r="A11" s="7" t="s">
        <v>62</v>
      </c>
      <c r="B11" s="2" t="s">
        <v>57</v>
      </c>
      <c r="C11" s="2" t="s">
        <v>58</v>
      </c>
      <c r="D11" s="2" t="s">
        <v>175</v>
      </c>
      <c r="E11" s="2" t="s">
        <v>176</v>
      </c>
      <c r="F11" s="2" t="s">
        <v>177</v>
      </c>
      <c r="H11" s="3" t="s">
        <v>62</v>
      </c>
      <c r="I11" s="3" t="s">
        <v>63</v>
      </c>
      <c r="J11" s="3" t="s">
        <v>62</v>
      </c>
      <c r="K11" s="3" t="s">
        <v>62</v>
      </c>
      <c r="L11" s="3" t="s">
        <v>64</v>
      </c>
      <c r="M11" s="2" t="s">
        <v>178</v>
      </c>
      <c r="N11" s="2" t="s">
        <v>179</v>
      </c>
      <c r="O11" s="3" t="s">
        <v>67</v>
      </c>
      <c r="Q11" s="3" t="s">
        <v>68</v>
      </c>
      <c r="R11" s="3" t="s">
        <v>88</v>
      </c>
      <c r="T11" s="3" t="s">
        <v>70</v>
      </c>
      <c r="U11" s="4">
        <v>6</v>
      </c>
      <c r="V11" s="4">
        <v>6</v>
      </c>
      <c r="W11" s="5" t="s">
        <v>180</v>
      </c>
      <c r="X11" s="5" t="s">
        <v>180</v>
      </c>
      <c r="Y11" s="5" t="s">
        <v>90</v>
      </c>
      <c r="Z11" s="5" t="s">
        <v>90</v>
      </c>
      <c r="AA11" s="4">
        <v>33</v>
      </c>
      <c r="AB11" s="4">
        <v>33</v>
      </c>
      <c r="AC11" s="4">
        <v>584</v>
      </c>
      <c r="AD11" s="4">
        <v>1</v>
      </c>
      <c r="AE11" s="4">
        <v>3</v>
      </c>
      <c r="AF11" s="4">
        <v>2</v>
      </c>
      <c r="AG11" s="4">
        <v>17</v>
      </c>
      <c r="AH11" s="4">
        <v>1</v>
      </c>
      <c r="AI11" s="4">
        <v>9</v>
      </c>
      <c r="AJ11" s="4">
        <v>0</v>
      </c>
      <c r="AK11" s="4">
        <v>3</v>
      </c>
      <c r="AL11" s="4">
        <v>1</v>
      </c>
      <c r="AM11" s="4">
        <v>6</v>
      </c>
      <c r="AN11" s="4">
        <v>0</v>
      </c>
      <c r="AO11" s="4">
        <v>1</v>
      </c>
      <c r="AP11" s="4">
        <v>0</v>
      </c>
      <c r="AQ11" s="4">
        <v>0</v>
      </c>
      <c r="AR11" s="3" t="s">
        <v>62</v>
      </c>
      <c r="AS11" s="3" t="s">
        <v>62</v>
      </c>
      <c r="AU11" s="6" t="str">
        <f>HYPERLINK("https://creighton-primo.hosted.exlibrisgroup.com/primo-explore/search?tab=default_tab&amp;search_scope=EVERYTHING&amp;vid=01CRU&amp;lang=en_US&amp;offset=0&amp;query=any,contains,991002461829702656","Catalog Record")</f>
        <v>Catalog Record</v>
      </c>
      <c r="AV11" s="6" t="str">
        <f>HYPERLINK("http://www.worldcat.org/oclc/356207","WorldCat Record")</f>
        <v>WorldCat Record</v>
      </c>
      <c r="AW11" s="3" t="s">
        <v>181</v>
      </c>
      <c r="AX11" s="3" t="s">
        <v>182</v>
      </c>
      <c r="AY11" s="3" t="s">
        <v>183</v>
      </c>
      <c r="AZ11" s="3" t="s">
        <v>183</v>
      </c>
      <c r="BA11" s="3" t="s">
        <v>184</v>
      </c>
      <c r="BB11" s="3" t="s">
        <v>77</v>
      </c>
      <c r="BE11" s="3" t="s">
        <v>185</v>
      </c>
      <c r="BF11" s="3" t="s">
        <v>186</v>
      </c>
    </row>
    <row r="12" spans="1:58" ht="41.25" customHeight="1" x14ac:dyDescent="0.25">
      <c r="A12" s="7" t="s">
        <v>62</v>
      </c>
      <c r="B12" s="2" t="s">
        <v>57</v>
      </c>
      <c r="C12" s="2" t="s">
        <v>58</v>
      </c>
      <c r="D12" s="2" t="s">
        <v>187</v>
      </c>
      <c r="E12" s="2" t="s">
        <v>188</v>
      </c>
      <c r="F12" s="2" t="s">
        <v>189</v>
      </c>
      <c r="H12" s="3" t="s">
        <v>62</v>
      </c>
      <c r="I12" s="3" t="s">
        <v>63</v>
      </c>
      <c r="J12" s="3" t="s">
        <v>62</v>
      </c>
      <c r="K12" s="3" t="s">
        <v>62</v>
      </c>
      <c r="L12" s="3" t="s">
        <v>64</v>
      </c>
      <c r="M12" s="2" t="s">
        <v>190</v>
      </c>
      <c r="N12" s="2" t="s">
        <v>191</v>
      </c>
      <c r="O12" s="3" t="s">
        <v>165</v>
      </c>
      <c r="Q12" s="3" t="s">
        <v>68</v>
      </c>
      <c r="R12" s="3" t="s">
        <v>69</v>
      </c>
      <c r="T12" s="3" t="s">
        <v>70</v>
      </c>
      <c r="U12" s="4">
        <v>2</v>
      </c>
      <c r="V12" s="4">
        <v>2</v>
      </c>
      <c r="W12" s="5" t="s">
        <v>192</v>
      </c>
      <c r="X12" s="5" t="s">
        <v>192</v>
      </c>
      <c r="Y12" s="5" t="s">
        <v>90</v>
      </c>
      <c r="Z12" s="5" t="s">
        <v>90</v>
      </c>
      <c r="AA12" s="4">
        <v>224</v>
      </c>
      <c r="AB12" s="4">
        <v>189</v>
      </c>
      <c r="AC12" s="4">
        <v>249</v>
      </c>
      <c r="AD12" s="4">
        <v>4</v>
      </c>
      <c r="AE12" s="4">
        <v>4</v>
      </c>
      <c r="AF12" s="4">
        <v>10</v>
      </c>
      <c r="AG12" s="4">
        <v>14</v>
      </c>
      <c r="AH12" s="4">
        <v>2</v>
      </c>
      <c r="AI12" s="4">
        <v>4</v>
      </c>
      <c r="AJ12" s="4">
        <v>0</v>
      </c>
      <c r="AK12" s="4">
        <v>1</v>
      </c>
      <c r="AL12" s="4">
        <v>5</v>
      </c>
      <c r="AM12" s="4">
        <v>8</v>
      </c>
      <c r="AN12" s="4">
        <v>3</v>
      </c>
      <c r="AO12" s="4">
        <v>3</v>
      </c>
      <c r="AP12" s="4">
        <v>0</v>
      </c>
      <c r="AQ12" s="4">
        <v>0</v>
      </c>
      <c r="AR12" s="3" t="s">
        <v>62</v>
      </c>
      <c r="AS12" s="3" t="s">
        <v>84</v>
      </c>
      <c r="AT12" s="6" t="str">
        <f>HYPERLINK("http://catalog.hathitrust.org/Record/000735965","HathiTrust Record")</f>
        <v>HathiTrust Record</v>
      </c>
      <c r="AU12" s="6" t="str">
        <f>HYPERLINK("https://creighton-primo.hosted.exlibrisgroup.com/primo-explore/search?tab=default_tab&amp;search_scope=EVERYTHING&amp;vid=01CRU&amp;lang=en_US&amp;offset=0&amp;query=any,contains,991004278399702656","Catalog Record")</f>
        <v>Catalog Record</v>
      </c>
      <c r="AV12" s="6" t="str">
        <f>HYPERLINK("http://www.worldcat.org/oclc/2899134","WorldCat Record")</f>
        <v>WorldCat Record</v>
      </c>
      <c r="AW12" s="3" t="s">
        <v>193</v>
      </c>
      <c r="AX12" s="3" t="s">
        <v>194</v>
      </c>
      <c r="AY12" s="3" t="s">
        <v>195</v>
      </c>
      <c r="AZ12" s="3" t="s">
        <v>195</v>
      </c>
      <c r="BA12" s="3" t="s">
        <v>196</v>
      </c>
      <c r="BB12" s="3" t="s">
        <v>77</v>
      </c>
      <c r="BD12" s="3" t="s">
        <v>197</v>
      </c>
      <c r="BE12" s="3" t="s">
        <v>198</v>
      </c>
      <c r="BF12" s="3" t="s">
        <v>199</v>
      </c>
    </row>
    <row r="13" spans="1:58" ht="41.25" customHeight="1" x14ac:dyDescent="0.25">
      <c r="A13" s="7" t="s">
        <v>62</v>
      </c>
      <c r="B13" s="2" t="s">
        <v>57</v>
      </c>
      <c r="C13" s="2" t="s">
        <v>58</v>
      </c>
      <c r="D13" s="2" t="s">
        <v>200</v>
      </c>
      <c r="E13" s="2" t="s">
        <v>201</v>
      </c>
      <c r="F13" s="2" t="s">
        <v>202</v>
      </c>
      <c r="H13" s="3" t="s">
        <v>62</v>
      </c>
      <c r="I13" s="3" t="s">
        <v>63</v>
      </c>
      <c r="J13" s="3" t="s">
        <v>62</v>
      </c>
      <c r="K13" s="3" t="s">
        <v>62</v>
      </c>
      <c r="L13" s="3" t="s">
        <v>64</v>
      </c>
      <c r="N13" s="2" t="s">
        <v>203</v>
      </c>
      <c r="O13" s="3" t="s">
        <v>165</v>
      </c>
      <c r="Q13" s="3" t="s">
        <v>68</v>
      </c>
      <c r="R13" s="3" t="s">
        <v>204</v>
      </c>
      <c r="T13" s="3" t="s">
        <v>70</v>
      </c>
      <c r="U13" s="4">
        <v>6</v>
      </c>
      <c r="V13" s="4">
        <v>6</v>
      </c>
      <c r="W13" s="5" t="s">
        <v>205</v>
      </c>
      <c r="X13" s="5" t="s">
        <v>205</v>
      </c>
      <c r="Y13" s="5" t="s">
        <v>90</v>
      </c>
      <c r="Z13" s="5" t="s">
        <v>90</v>
      </c>
      <c r="AA13" s="4">
        <v>492</v>
      </c>
      <c r="AB13" s="4">
        <v>439</v>
      </c>
      <c r="AC13" s="4">
        <v>473</v>
      </c>
      <c r="AD13" s="4">
        <v>3</v>
      </c>
      <c r="AE13" s="4">
        <v>3</v>
      </c>
      <c r="AF13" s="4">
        <v>28</v>
      </c>
      <c r="AG13" s="4">
        <v>30</v>
      </c>
      <c r="AH13" s="4">
        <v>10</v>
      </c>
      <c r="AI13" s="4">
        <v>11</v>
      </c>
      <c r="AJ13" s="4">
        <v>7</v>
      </c>
      <c r="AK13" s="4">
        <v>7</v>
      </c>
      <c r="AL13" s="4">
        <v>17</v>
      </c>
      <c r="AM13" s="4">
        <v>18</v>
      </c>
      <c r="AN13" s="4">
        <v>2</v>
      </c>
      <c r="AO13" s="4">
        <v>2</v>
      </c>
      <c r="AP13" s="4">
        <v>0</v>
      </c>
      <c r="AQ13" s="4">
        <v>0</v>
      </c>
      <c r="AR13" s="3" t="s">
        <v>62</v>
      </c>
      <c r="AS13" s="3" t="s">
        <v>62</v>
      </c>
      <c r="AU13" s="6" t="str">
        <f>HYPERLINK("https://creighton-primo.hosted.exlibrisgroup.com/primo-explore/search?tab=default_tab&amp;search_scope=EVERYTHING&amp;vid=01CRU&amp;lang=en_US&amp;offset=0&amp;query=any,contains,991004388849702656","Catalog Record")</f>
        <v>Catalog Record</v>
      </c>
      <c r="AV13" s="6" t="str">
        <f>HYPERLINK("http://www.worldcat.org/oclc/3255332","WorldCat Record")</f>
        <v>WorldCat Record</v>
      </c>
      <c r="AW13" s="3" t="s">
        <v>206</v>
      </c>
      <c r="AX13" s="3" t="s">
        <v>207</v>
      </c>
      <c r="AY13" s="3" t="s">
        <v>208</v>
      </c>
      <c r="AZ13" s="3" t="s">
        <v>208</v>
      </c>
      <c r="BA13" s="3" t="s">
        <v>209</v>
      </c>
      <c r="BB13" s="3" t="s">
        <v>77</v>
      </c>
      <c r="BD13" s="3" t="s">
        <v>210</v>
      </c>
      <c r="BE13" s="3" t="s">
        <v>211</v>
      </c>
      <c r="BF13" s="3" t="s">
        <v>212</v>
      </c>
    </row>
    <row r="14" spans="1:58" ht="41.25" customHeight="1" x14ac:dyDescent="0.25">
      <c r="A14" s="7" t="s">
        <v>62</v>
      </c>
      <c r="B14" s="2" t="s">
        <v>57</v>
      </c>
      <c r="C14" s="2" t="s">
        <v>58</v>
      </c>
      <c r="D14" s="2" t="s">
        <v>213</v>
      </c>
      <c r="E14" s="2" t="s">
        <v>214</v>
      </c>
      <c r="F14" s="2" t="s">
        <v>215</v>
      </c>
      <c r="H14" s="3" t="s">
        <v>62</v>
      </c>
      <c r="I14" s="3" t="s">
        <v>63</v>
      </c>
      <c r="J14" s="3" t="s">
        <v>62</v>
      </c>
      <c r="K14" s="3" t="s">
        <v>62</v>
      </c>
      <c r="L14" s="3" t="s">
        <v>64</v>
      </c>
      <c r="M14" s="2" t="s">
        <v>216</v>
      </c>
      <c r="N14" s="2" t="s">
        <v>217</v>
      </c>
      <c r="O14" s="3" t="s">
        <v>218</v>
      </c>
      <c r="Q14" s="3" t="s">
        <v>68</v>
      </c>
      <c r="R14" s="3" t="s">
        <v>219</v>
      </c>
      <c r="T14" s="3" t="s">
        <v>70</v>
      </c>
      <c r="U14" s="4">
        <v>15</v>
      </c>
      <c r="V14" s="4">
        <v>15</v>
      </c>
      <c r="W14" s="5" t="s">
        <v>220</v>
      </c>
      <c r="X14" s="5" t="s">
        <v>220</v>
      </c>
      <c r="Y14" s="5" t="s">
        <v>90</v>
      </c>
      <c r="Z14" s="5" t="s">
        <v>90</v>
      </c>
      <c r="AA14" s="4">
        <v>807</v>
      </c>
      <c r="AB14" s="4">
        <v>689</v>
      </c>
      <c r="AC14" s="4">
        <v>718</v>
      </c>
      <c r="AD14" s="4">
        <v>3</v>
      </c>
      <c r="AE14" s="4">
        <v>3</v>
      </c>
      <c r="AF14" s="4">
        <v>39</v>
      </c>
      <c r="AG14" s="4">
        <v>39</v>
      </c>
      <c r="AH14" s="4">
        <v>20</v>
      </c>
      <c r="AI14" s="4">
        <v>20</v>
      </c>
      <c r="AJ14" s="4">
        <v>9</v>
      </c>
      <c r="AK14" s="4">
        <v>9</v>
      </c>
      <c r="AL14" s="4">
        <v>20</v>
      </c>
      <c r="AM14" s="4">
        <v>20</v>
      </c>
      <c r="AN14" s="4">
        <v>2</v>
      </c>
      <c r="AO14" s="4">
        <v>2</v>
      </c>
      <c r="AP14" s="4">
        <v>1</v>
      </c>
      <c r="AQ14" s="4">
        <v>1</v>
      </c>
      <c r="AR14" s="3" t="s">
        <v>62</v>
      </c>
      <c r="AS14" s="3" t="s">
        <v>62</v>
      </c>
      <c r="AU14" s="6" t="str">
        <f>HYPERLINK("https://creighton-primo.hosted.exlibrisgroup.com/primo-explore/search?tab=default_tab&amp;search_scope=EVERYTHING&amp;vid=01CRU&amp;lang=en_US&amp;offset=0&amp;query=any,contains,991004534709702656","Catalog Record")</f>
        <v>Catalog Record</v>
      </c>
      <c r="AV14" s="6" t="str">
        <f>HYPERLINK("http://www.worldcat.org/oclc/3868975","WorldCat Record")</f>
        <v>WorldCat Record</v>
      </c>
      <c r="AW14" s="3" t="s">
        <v>221</v>
      </c>
      <c r="AX14" s="3" t="s">
        <v>222</v>
      </c>
      <c r="AY14" s="3" t="s">
        <v>223</v>
      </c>
      <c r="AZ14" s="3" t="s">
        <v>223</v>
      </c>
      <c r="BA14" s="3" t="s">
        <v>224</v>
      </c>
      <c r="BB14" s="3" t="s">
        <v>77</v>
      </c>
      <c r="BD14" s="3" t="s">
        <v>225</v>
      </c>
      <c r="BE14" s="3" t="s">
        <v>226</v>
      </c>
      <c r="BF14" s="3" t="s">
        <v>227</v>
      </c>
    </row>
    <row r="15" spans="1:58" ht="41.25" customHeight="1" x14ac:dyDescent="0.25">
      <c r="A15" s="7" t="s">
        <v>62</v>
      </c>
      <c r="B15" s="2" t="s">
        <v>57</v>
      </c>
      <c r="C15" s="2" t="s">
        <v>58</v>
      </c>
      <c r="D15" s="2" t="s">
        <v>228</v>
      </c>
      <c r="E15" s="2" t="s">
        <v>229</v>
      </c>
      <c r="F15" s="2" t="s">
        <v>230</v>
      </c>
      <c r="G15" s="3" t="s">
        <v>231</v>
      </c>
      <c r="H15" s="3" t="s">
        <v>84</v>
      </c>
      <c r="I15" s="3" t="s">
        <v>63</v>
      </c>
      <c r="J15" s="3" t="s">
        <v>62</v>
      </c>
      <c r="K15" s="3" t="s">
        <v>62</v>
      </c>
      <c r="L15" s="3" t="s">
        <v>64</v>
      </c>
      <c r="M15" s="2" t="s">
        <v>190</v>
      </c>
      <c r="N15" s="2" t="s">
        <v>232</v>
      </c>
      <c r="O15" s="3" t="s">
        <v>233</v>
      </c>
      <c r="Q15" s="3" t="s">
        <v>68</v>
      </c>
      <c r="R15" s="3" t="s">
        <v>204</v>
      </c>
      <c r="T15" s="3" t="s">
        <v>70</v>
      </c>
      <c r="U15" s="4">
        <v>0</v>
      </c>
      <c r="V15" s="4">
        <v>1</v>
      </c>
      <c r="X15" s="5" t="s">
        <v>234</v>
      </c>
      <c r="Y15" s="5" t="s">
        <v>235</v>
      </c>
      <c r="Z15" s="5" t="s">
        <v>235</v>
      </c>
      <c r="AA15" s="4">
        <v>475</v>
      </c>
      <c r="AB15" s="4">
        <v>423</v>
      </c>
      <c r="AC15" s="4">
        <v>470</v>
      </c>
      <c r="AD15" s="4">
        <v>4</v>
      </c>
      <c r="AE15" s="4">
        <v>4</v>
      </c>
      <c r="AF15" s="4">
        <v>24</v>
      </c>
      <c r="AG15" s="4">
        <v>25</v>
      </c>
      <c r="AH15" s="4">
        <v>12</v>
      </c>
      <c r="AI15" s="4">
        <v>12</v>
      </c>
      <c r="AJ15" s="4">
        <v>5</v>
      </c>
      <c r="AK15" s="4">
        <v>5</v>
      </c>
      <c r="AL15" s="4">
        <v>11</v>
      </c>
      <c r="AM15" s="4">
        <v>12</v>
      </c>
      <c r="AN15" s="4">
        <v>3</v>
      </c>
      <c r="AO15" s="4">
        <v>3</v>
      </c>
      <c r="AP15" s="4">
        <v>0</v>
      </c>
      <c r="AQ15" s="4">
        <v>0</v>
      </c>
      <c r="AR15" s="3" t="s">
        <v>62</v>
      </c>
      <c r="AS15" s="3" t="s">
        <v>84</v>
      </c>
      <c r="AT15" s="6" t="str">
        <f>HYPERLINK("http://catalog.hathitrust.org/Record/000692978","HathiTrust Record")</f>
        <v>HathiTrust Record</v>
      </c>
      <c r="AU15" s="6" t="str">
        <f>HYPERLINK("https://creighton-primo.hosted.exlibrisgroup.com/primo-explore/search?tab=default_tab&amp;search_scope=EVERYTHING&amp;vid=01CRU&amp;lang=en_US&amp;offset=0&amp;query=any,contains,991004919799702656","Catalog Record")</f>
        <v>Catalog Record</v>
      </c>
      <c r="AV15" s="6" t="str">
        <f>HYPERLINK("http://www.worldcat.org/oclc/6042746","WorldCat Record")</f>
        <v>WorldCat Record</v>
      </c>
      <c r="AW15" s="3" t="s">
        <v>236</v>
      </c>
      <c r="AX15" s="3" t="s">
        <v>237</v>
      </c>
      <c r="AY15" s="3" t="s">
        <v>238</v>
      </c>
      <c r="AZ15" s="3" t="s">
        <v>238</v>
      </c>
      <c r="BA15" s="3" t="s">
        <v>239</v>
      </c>
      <c r="BB15" s="3" t="s">
        <v>77</v>
      </c>
      <c r="BE15" s="3" t="s">
        <v>240</v>
      </c>
      <c r="BF15" s="3" t="s">
        <v>241</v>
      </c>
    </row>
    <row r="16" spans="1:58" ht="41.25" customHeight="1" x14ac:dyDescent="0.25">
      <c r="A16" s="7" t="s">
        <v>62</v>
      </c>
      <c r="B16" s="2" t="s">
        <v>57</v>
      </c>
      <c r="C16" s="2" t="s">
        <v>58</v>
      </c>
      <c r="D16" s="2" t="s">
        <v>228</v>
      </c>
      <c r="E16" s="2" t="s">
        <v>229</v>
      </c>
      <c r="F16" s="2" t="s">
        <v>230</v>
      </c>
      <c r="G16" s="3" t="s">
        <v>242</v>
      </c>
      <c r="H16" s="3" t="s">
        <v>84</v>
      </c>
      <c r="I16" s="3" t="s">
        <v>63</v>
      </c>
      <c r="J16" s="3" t="s">
        <v>62</v>
      </c>
      <c r="K16" s="3" t="s">
        <v>62</v>
      </c>
      <c r="L16" s="3" t="s">
        <v>64</v>
      </c>
      <c r="M16" s="2" t="s">
        <v>190</v>
      </c>
      <c r="N16" s="2" t="s">
        <v>232</v>
      </c>
      <c r="O16" s="3" t="s">
        <v>233</v>
      </c>
      <c r="Q16" s="3" t="s">
        <v>68</v>
      </c>
      <c r="R16" s="3" t="s">
        <v>204</v>
      </c>
      <c r="T16" s="3" t="s">
        <v>70</v>
      </c>
      <c r="U16" s="4">
        <v>0</v>
      </c>
      <c r="V16" s="4">
        <v>1</v>
      </c>
      <c r="X16" s="5" t="s">
        <v>234</v>
      </c>
      <c r="Y16" s="5" t="s">
        <v>235</v>
      </c>
      <c r="Z16" s="5" t="s">
        <v>235</v>
      </c>
      <c r="AA16" s="4">
        <v>475</v>
      </c>
      <c r="AB16" s="4">
        <v>423</v>
      </c>
      <c r="AC16" s="4">
        <v>470</v>
      </c>
      <c r="AD16" s="4">
        <v>4</v>
      </c>
      <c r="AE16" s="4">
        <v>4</v>
      </c>
      <c r="AF16" s="4">
        <v>24</v>
      </c>
      <c r="AG16" s="4">
        <v>25</v>
      </c>
      <c r="AH16" s="4">
        <v>12</v>
      </c>
      <c r="AI16" s="4">
        <v>12</v>
      </c>
      <c r="AJ16" s="4">
        <v>5</v>
      </c>
      <c r="AK16" s="4">
        <v>5</v>
      </c>
      <c r="AL16" s="4">
        <v>11</v>
      </c>
      <c r="AM16" s="4">
        <v>12</v>
      </c>
      <c r="AN16" s="4">
        <v>3</v>
      </c>
      <c r="AO16" s="4">
        <v>3</v>
      </c>
      <c r="AP16" s="4">
        <v>0</v>
      </c>
      <c r="AQ16" s="4">
        <v>0</v>
      </c>
      <c r="AR16" s="3" t="s">
        <v>62</v>
      </c>
      <c r="AS16" s="3" t="s">
        <v>84</v>
      </c>
      <c r="AT16" s="6" t="str">
        <f>HYPERLINK("http://catalog.hathitrust.org/Record/000692978","HathiTrust Record")</f>
        <v>HathiTrust Record</v>
      </c>
      <c r="AU16" s="6" t="str">
        <f>HYPERLINK("https://creighton-primo.hosted.exlibrisgroup.com/primo-explore/search?tab=default_tab&amp;search_scope=EVERYTHING&amp;vid=01CRU&amp;lang=en_US&amp;offset=0&amp;query=any,contains,991004919799702656","Catalog Record")</f>
        <v>Catalog Record</v>
      </c>
      <c r="AV16" s="6" t="str">
        <f>HYPERLINK("http://www.worldcat.org/oclc/6042746","WorldCat Record")</f>
        <v>WorldCat Record</v>
      </c>
      <c r="AW16" s="3" t="s">
        <v>236</v>
      </c>
      <c r="AX16" s="3" t="s">
        <v>237</v>
      </c>
      <c r="AY16" s="3" t="s">
        <v>238</v>
      </c>
      <c r="AZ16" s="3" t="s">
        <v>238</v>
      </c>
      <c r="BA16" s="3" t="s">
        <v>239</v>
      </c>
      <c r="BB16" s="3" t="s">
        <v>77</v>
      </c>
      <c r="BE16" s="3" t="s">
        <v>243</v>
      </c>
      <c r="BF16" s="3" t="s">
        <v>244</v>
      </c>
    </row>
    <row r="17" spans="1:58" ht="41.25" customHeight="1" x14ac:dyDescent="0.25">
      <c r="A17" s="7" t="s">
        <v>62</v>
      </c>
      <c r="B17" s="2" t="s">
        <v>57</v>
      </c>
      <c r="C17" s="2" t="s">
        <v>58</v>
      </c>
      <c r="D17" s="2" t="s">
        <v>228</v>
      </c>
      <c r="E17" s="2" t="s">
        <v>229</v>
      </c>
      <c r="F17" s="2" t="s">
        <v>230</v>
      </c>
      <c r="G17" s="3" t="s">
        <v>245</v>
      </c>
      <c r="H17" s="3" t="s">
        <v>84</v>
      </c>
      <c r="I17" s="3" t="s">
        <v>63</v>
      </c>
      <c r="J17" s="3" t="s">
        <v>62</v>
      </c>
      <c r="K17" s="3" t="s">
        <v>62</v>
      </c>
      <c r="L17" s="3" t="s">
        <v>64</v>
      </c>
      <c r="M17" s="2" t="s">
        <v>190</v>
      </c>
      <c r="N17" s="2" t="s">
        <v>232</v>
      </c>
      <c r="O17" s="3" t="s">
        <v>233</v>
      </c>
      <c r="Q17" s="3" t="s">
        <v>68</v>
      </c>
      <c r="R17" s="3" t="s">
        <v>204</v>
      </c>
      <c r="T17" s="3" t="s">
        <v>70</v>
      </c>
      <c r="U17" s="4">
        <v>1</v>
      </c>
      <c r="V17" s="4">
        <v>1</v>
      </c>
      <c r="W17" s="5" t="s">
        <v>234</v>
      </c>
      <c r="X17" s="5" t="s">
        <v>234</v>
      </c>
      <c r="Y17" s="5" t="s">
        <v>90</v>
      </c>
      <c r="Z17" s="5" t="s">
        <v>235</v>
      </c>
      <c r="AA17" s="4">
        <v>475</v>
      </c>
      <c r="AB17" s="4">
        <v>423</v>
      </c>
      <c r="AC17" s="4">
        <v>470</v>
      </c>
      <c r="AD17" s="4">
        <v>4</v>
      </c>
      <c r="AE17" s="4">
        <v>4</v>
      </c>
      <c r="AF17" s="4">
        <v>24</v>
      </c>
      <c r="AG17" s="4">
        <v>25</v>
      </c>
      <c r="AH17" s="4">
        <v>12</v>
      </c>
      <c r="AI17" s="4">
        <v>12</v>
      </c>
      <c r="AJ17" s="4">
        <v>5</v>
      </c>
      <c r="AK17" s="4">
        <v>5</v>
      </c>
      <c r="AL17" s="4">
        <v>11</v>
      </c>
      <c r="AM17" s="4">
        <v>12</v>
      </c>
      <c r="AN17" s="4">
        <v>3</v>
      </c>
      <c r="AO17" s="4">
        <v>3</v>
      </c>
      <c r="AP17" s="4">
        <v>0</v>
      </c>
      <c r="AQ17" s="4">
        <v>0</v>
      </c>
      <c r="AR17" s="3" t="s">
        <v>62</v>
      </c>
      <c r="AS17" s="3" t="s">
        <v>84</v>
      </c>
      <c r="AT17" s="6" t="str">
        <f>HYPERLINK("http://catalog.hathitrust.org/Record/000692978","HathiTrust Record")</f>
        <v>HathiTrust Record</v>
      </c>
      <c r="AU17" s="6" t="str">
        <f>HYPERLINK("https://creighton-primo.hosted.exlibrisgroup.com/primo-explore/search?tab=default_tab&amp;search_scope=EVERYTHING&amp;vid=01CRU&amp;lang=en_US&amp;offset=0&amp;query=any,contains,991004919799702656","Catalog Record")</f>
        <v>Catalog Record</v>
      </c>
      <c r="AV17" s="6" t="str">
        <f>HYPERLINK("http://www.worldcat.org/oclc/6042746","WorldCat Record")</f>
        <v>WorldCat Record</v>
      </c>
      <c r="AW17" s="3" t="s">
        <v>236</v>
      </c>
      <c r="AX17" s="3" t="s">
        <v>237</v>
      </c>
      <c r="AY17" s="3" t="s">
        <v>238</v>
      </c>
      <c r="AZ17" s="3" t="s">
        <v>238</v>
      </c>
      <c r="BA17" s="3" t="s">
        <v>239</v>
      </c>
      <c r="BB17" s="3" t="s">
        <v>77</v>
      </c>
      <c r="BE17" s="3" t="s">
        <v>246</v>
      </c>
      <c r="BF17" s="3" t="s">
        <v>247</v>
      </c>
    </row>
    <row r="18" spans="1:58" ht="41.25" customHeight="1" x14ac:dyDescent="0.25">
      <c r="A18" s="7" t="s">
        <v>62</v>
      </c>
      <c r="B18" s="2" t="s">
        <v>57</v>
      </c>
      <c r="C18" s="2" t="s">
        <v>58</v>
      </c>
      <c r="D18" s="2" t="s">
        <v>248</v>
      </c>
      <c r="E18" s="2" t="s">
        <v>249</v>
      </c>
      <c r="F18" s="2" t="s">
        <v>250</v>
      </c>
      <c r="H18" s="3" t="s">
        <v>62</v>
      </c>
      <c r="I18" s="3" t="s">
        <v>63</v>
      </c>
      <c r="J18" s="3" t="s">
        <v>62</v>
      </c>
      <c r="K18" s="3" t="s">
        <v>62</v>
      </c>
      <c r="L18" s="3" t="s">
        <v>64</v>
      </c>
      <c r="M18" s="2" t="s">
        <v>251</v>
      </c>
      <c r="N18" s="2" t="s">
        <v>252</v>
      </c>
      <c r="O18" s="3" t="s">
        <v>253</v>
      </c>
      <c r="Q18" s="3" t="s">
        <v>68</v>
      </c>
      <c r="R18" s="3" t="s">
        <v>69</v>
      </c>
      <c r="T18" s="3" t="s">
        <v>70</v>
      </c>
      <c r="U18" s="4">
        <v>2</v>
      </c>
      <c r="V18" s="4">
        <v>2</v>
      </c>
      <c r="W18" s="5" t="s">
        <v>254</v>
      </c>
      <c r="X18" s="5" t="s">
        <v>254</v>
      </c>
      <c r="Y18" s="5" t="s">
        <v>254</v>
      </c>
      <c r="Z18" s="5" t="s">
        <v>254</v>
      </c>
      <c r="AA18" s="4">
        <v>491</v>
      </c>
      <c r="AB18" s="4">
        <v>405</v>
      </c>
      <c r="AC18" s="4">
        <v>441</v>
      </c>
      <c r="AD18" s="4">
        <v>3</v>
      </c>
      <c r="AE18" s="4">
        <v>3</v>
      </c>
      <c r="AF18" s="4">
        <v>29</v>
      </c>
      <c r="AG18" s="4">
        <v>29</v>
      </c>
      <c r="AH18" s="4">
        <v>13</v>
      </c>
      <c r="AI18" s="4">
        <v>13</v>
      </c>
      <c r="AJ18" s="4">
        <v>5</v>
      </c>
      <c r="AK18" s="4">
        <v>5</v>
      </c>
      <c r="AL18" s="4">
        <v>19</v>
      </c>
      <c r="AM18" s="4">
        <v>19</v>
      </c>
      <c r="AN18" s="4">
        <v>1</v>
      </c>
      <c r="AO18" s="4">
        <v>1</v>
      </c>
      <c r="AP18" s="4">
        <v>0</v>
      </c>
      <c r="AQ18" s="4">
        <v>0</v>
      </c>
      <c r="AR18" s="3" t="s">
        <v>62</v>
      </c>
      <c r="AS18" s="3" t="s">
        <v>84</v>
      </c>
      <c r="AT18" s="6" t="str">
        <f>HYPERLINK("http://catalog.hathitrust.org/Record/000424291","HathiTrust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HYPERLINK("https://creighton-primo.hosted.exlibrisgroup.com/primo-explore/search?tab=default_tab&amp;search_scope=EVERYTHING&amp;vid=01CRU&amp;lang=en_US&amp;offset=0&amp;query=any,contains,991005233059702656","Catalog Record")</f>
        <v>Catalog Record</v>
      </c>
      <c r="AV18" s="6" t="str">
        <f>HYPERLINK("http://www.worldcat.org/oclc/11398513","WorldCat Record")</f>
        <v>WorldCat Record</v>
      </c>
      <c r="AW18" s="3" t="s">
        <v>255</v>
      </c>
      <c r="AX18" s="3" t="s">
        <v>256</v>
      </c>
      <c r="AY18" s="3" t="s">
        <v>257</v>
      </c>
      <c r="AZ18" s="3" t="s">
        <v>257</v>
      </c>
      <c r="BA18" s="3" t="s">
        <v>258</v>
      </c>
      <c r="BB18" s="3" t="s">
        <v>77</v>
      </c>
      <c r="BD18" s="3" t="s">
        <v>259</v>
      </c>
      <c r="BE18" s="3" t="s">
        <v>260</v>
      </c>
      <c r="BF18" s="3" t="s">
        <v>261</v>
      </c>
    </row>
    <row r="19" spans="1:58" ht="41.25" customHeight="1" x14ac:dyDescent="0.25">
      <c r="A19" s="7" t="s">
        <v>62</v>
      </c>
      <c r="B19" s="2" t="s">
        <v>57</v>
      </c>
      <c r="C19" s="2" t="s">
        <v>58</v>
      </c>
      <c r="D19" s="2" t="s">
        <v>262</v>
      </c>
      <c r="E19" s="2" t="s">
        <v>263</v>
      </c>
      <c r="F19" s="2" t="s">
        <v>264</v>
      </c>
      <c r="H19" s="3" t="s">
        <v>62</v>
      </c>
      <c r="I19" s="3" t="s">
        <v>63</v>
      </c>
      <c r="J19" s="3" t="s">
        <v>62</v>
      </c>
      <c r="K19" s="3" t="s">
        <v>62</v>
      </c>
      <c r="L19" s="3" t="s">
        <v>64</v>
      </c>
      <c r="M19" s="2" t="s">
        <v>265</v>
      </c>
      <c r="N19" s="2" t="s">
        <v>266</v>
      </c>
      <c r="O19" s="3" t="s">
        <v>267</v>
      </c>
      <c r="P19" s="2" t="s">
        <v>268</v>
      </c>
      <c r="Q19" s="3" t="s">
        <v>68</v>
      </c>
      <c r="R19" s="3" t="s">
        <v>69</v>
      </c>
      <c r="T19" s="3" t="s">
        <v>70</v>
      </c>
      <c r="U19" s="4">
        <v>2</v>
      </c>
      <c r="V19" s="4">
        <v>2</v>
      </c>
      <c r="W19" s="5" t="s">
        <v>269</v>
      </c>
      <c r="X19" s="5" t="s">
        <v>269</v>
      </c>
      <c r="Y19" s="5" t="s">
        <v>90</v>
      </c>
      <c r="Z19" s="5" t="s">
        <v>90</v>
      </c>
      <c r="AA19" s="4">
        <v>331</v>
      </c>
      <c r="AB19" s="4">
        <v>292</v>
      </c>
      <c r="AC19" s="4">
        <v>303</v>
      </c>
      <c r="AD19" s="4">
        <v>2</v>
      </c>
      <c r="AE19" s="4">
        <v>2</v>
      </c>
      <c r="AF19" s="4">
        <v>19</v>
      </c>
      <c r="AG19" s="4">
        <v>19</v>
      </c>
      <c r="AH19" s="4">
        <v>8</v>
      </c>
      <c r="AI19" s="4">
        <v>8</v>
      </c>
      <c r="AJ19" s="4">
        <v>2</v>
      </c>
      <c r="AK19" s="4">
        <v>2</v>
      </c>
      <c r="AL19" s="4">
        <v>14</v>
      </c>
      <c r="AM19" s="4">
        <v>14</v>
      </c>
      <c r="AN19" s="4">
        <v>1</v>
      </c>
      <c r="AO19" s="4">
        <v>1</v>
      </c>
      <c r="AP19" s="4">
        <v>0</v>
      </c>
      <c r="AQ19" s="4">
        <v>0</v>
      </c>
      <c r="AR19" s="3" t="s">
        <v>62</v>
      </c>
      <c r="AS19" s="3" t="s">
        <v>84</v>
      </c>
      <c r="AT19" s="6" t="str">
        <f>HYPERLINK("http://catalog.hathitrust.org/Record/001393924","HathiTrust Record")</f>
        <v>HathiTrust Record</v>
      </c>
      <c r="AU19" s="6" t="str">
        <f>HYPERLINK("https://creighton-primo.hosted.exlibrisgroup.com/primo-explore/search?tab=default_tab&amp;search_scope=EVERYTHING&amp;vid=01CRU&amp;lang=en_US&amp;offset=0&amp;query=any,contains,991000001819702656","Catalog Record")</f>
        <v>Catalog Record</v>
      </c>
      <c r="AV19" s="6" t="str">
        <f>HYPERLINK("http://www.worldcat.org/oclc/10729","WorldCat Record")</f>
        <v>WorldCat Record</v>
      </c>
      <c r="AW19" s="3" t="s">
        <v>270</v>
      </c>
      <c r="AX19" s="3" t="s">
        <v>271</v>
      </c>
      <c r="AY19" s="3" t="s">
        <v>272</v>
      </c>
      <c r="AZ19" s="3" t="s">
        <v>272</v>
      </c>
      <c r="BA19" s="3" t="s">
        <v>273</v>
      </c>
      <c r="BB19" s="3" t="s">
        <v>77</v>
      </c>
      <c r="BE19" s="3" t="s">
        <v>274</v>
      </c>
      <c r="BF19" s="3" t="s">
        <v>275</v>
      </c>
    </row>
    <row r="20" spans="1:58" ht="41.25" customHeight="1" x14ac:dyDescent="0.25">
      <c r="A20" s="7" t="s">
        <v>62</v>
      </c>
      <c r="B20" s="2" t="s">
        <v>57</v>
      </c>
      <c r="C20" s="2" t="s">
        <v>58</v>
      </c>
      <c r="D20" s="2" t="s">
        <v>276</v>
      </c>
      <c r="E20" s="2" t="s">
        <v>277</v>
      </c>
      <c r="F20" s="2" t="s">
        <v>278</v>
      </c>
      <c r="H20" s="3" t="s">
        <v>62</v>
      </c>
      <c r="I20" s="3" t="s">
        <v>63</v>
      </c>
      <c r="J20" s="3" t="s">
        <v>62</v>
      </c>
      <c r="K20" s="3" t="s">
        <v>62</v>
      </c>
      <c r="L20" s="3" t="s">
        <v>64</v>
      </c>
      <c r="M20" s="2" t="s">
        <v>279</v>
      </c>
      <c r="N20" s="2" t="s">
        <v>280</v>
      </c>
      <c r="O20" s="3" t="s">
        <v>218</v>
      </c>
      <c r="Q20" s="3" t="s">
        <v>68</v>
      </c>
      <c r="R20" s="3" t="s">
        <v>281</v>
      </c>
      <c r="T20" s="3" t="s">
        <v>70</v>
      </c>
      <c r="U20" s="4">
        <v>3</v>
      </c>
      <c r="V20" s="4">
        <v>3</v>
      </c>
      <c r="W20" s="5" t="s">
        <v>282</v>
      </c>
      <c r="X20" s="5" t="s">
        <v>282</v>
      </c>
      <c r="Y20" s="5" t="s">
        <v>90</v>
      </c>
      <c r="Z20" s="5" t="s">
        <v>90</v>
      </c>
      <c r="AA20" s="4">
        <v>302</v>
      </c>
      <c r="AB20" s="4">
        <v>228</v>
      </c>
      <c r="AC20" s="4">
        <v>255</v>
      </c>
      <c r="AD20" s="4">
        <v>2</v>
      </c>
      <c r="AE20" s="4">
        <v>2</v>
      </c>
      <c r="AF20" s="4">
        <v>5</v>
      </c>
      <c r="AG20" s="4">
        <v>9</v>
      </c>
      <c r="AH20" s="4">
        <v>1</v>
      </c>
      <c r="AI20" s="4">
        <v>3</v>
      </c>
      <c r="AJ20" s="4">
        <v>3</v>
      </c>
      <c r="AK20" s="4">
        <v>3</v>
      </c>
      <c r="AL20" s="4">
        <v>2</v>
      </c>
      <c r="AM20" s="4">
        <v>6</v>
      </c>
      <c r="AN20" s="4">
        <v>1</v>
      </c>
      <c r="AO20" s="4">
        <v>1</v>
      </c>
      <c r="AP20" s="4">
        <v>0</v>
      </c>
      <c r="AQ20" s="4">
        <v>0</v>
      </c>
      <c r="AR20" s="3" t="s">
        <v>62</v>
      </c>
      <c r="AS20" s="3" t="s">
        <v>84</v>
      </c>
      <c r="AT20" s="6" t="str">
        <f>HYPERLINK("http://catalog.hathitrust.org/Record/000756656","HathiTrust Record")</f>
        <v>HathiTrust Record</v>
      </c>
      <c r="AU20" s="6" t="str">
        <f>HYPERLINK("https://creighton-primo.hosted.exlibrisgroup.com/primo-explore/search?tab=default_tab&amp;search_scope=EVERYTHING&amp;vid=01CRU&amp;lang=en_US&amp;offset=0&amp;query=any,contains,991004818119702656","Catalog Record")</f>
        <v>Catalog Record</v>
      </c>
      <c r="AV20" s="6" t="str">
        <f>HYPERLINK("http://www.worldcat.org/oclc/5312403","WorldCat Record")</f>
        <v>WorldCat Record</v>
      </c>
      <c r="AW20" s="3" t="s">
        <v>283</v>
      </c>
      <c r="AX20" s="3" t="s">
        <v>284</v>
      </c>
      <c r="AY20" s="3" t="s">
        <v>285</v>
      </c>
      <c r="AZ20" s="3" t="s">
        <v>285</v>
      </c>
      <c r="BA20" s="3" t="s">
        <v>286</v>
      </c>
      <c r="BB20" s="3" t="s">
        <v>77</v>
      </c>
      <c r="BD20" s="3" t="s">
        <v>287</v>
      </c>
      <c r="BE20" s="3" t="s">
        <v>288</v>
      </c>
      <c r="BF20" s="3" t="s">
        <v>289</v>
      </c>
    </row>
    <row r="21" spans="1:58" ht="41.25" customHeight="1" x14ac:dyDescent="0.25">
      <c r="A21" s="7" t="s">
        <v>62</v>
      </c>
      <c r="B21" s="2" t="s">
        <v>57</v>
      </c>
      <c r="C21" s="2" t="s">
        <v>58</v>
      </c>
      <c r="D21" s="2" t="s">
        <v>290</v>
      </c>
      <c r="E21" s="2" t="s">
        <v>291</v>
      </c>
      <c r="F21" s="2" t="s">
        <v>292</v>
      </c>
      <c r="H21" s="3" t="s">
        <v>62</v>
      </c>
      <c r="I21" s="3" t="s">
        <v>63</v>
      </c>
      <c r="J21" s="3" t="s">
        <v>62</v>
      </c>
      <c r="K21" s="3" t="s">
        <v>62</v>
      </c>
      <c r="L21" s="3" t="s">
        <v>64</v>
      </c>
      <c r="M21" s="2" t="s">
        <v>293</v>
      </c>
      <c r="N21" s="2" t="s">
        <v>294</v>
      </c>
      <c r="O21" s="3" t="s">
        <v>295</v>
      </c>
      <c r="P21" s="2" t="s">
        <v>296</v>
      </c>
      <c r="Q21" s="3" t="s">
        <v>68</v>
      </c>
      <c r="R21" s="3" t="s">
        <v>297</v>
      </c>
      <c r="T21" s="3" t="s">
        <v>70</v>
      </c>
      <c r="U21" s="4">
        <v>3</v>
      </c>
      <c r="V21" s="4">
        <v>3</v>
      </c>
      <c r="W21" s="5" t="s">
        <v>298</v>
      </c>
      <c r="X21" s="5" t="s">
        <v>298</v>
      </c>
      <c r="Y21" s="5" t="s">
        <v>299</v>
      </c>
      <c r="Z21" s="5" t="s">
        <v>299</v>
      </c>
      <c r="AA21" s="4">
        <v>34</v>
      </c>
      <c r="AB21" s="4">
        <v>17</v>
      </c>
      <c r="AC21" s="4">
        <v>897</v>
      </c>
      <c r="AD21" s="4">
        <v>1</v>
      </c>
      <c r="AE21" s="4">
        <v>9</v>
      </c>
      <c r="AF21" s="4">
        <v>0</v>
      </c>
      <c r="AG21" s="4">
        <v>32</v>
      </c>
      <c r="AH21" s="4">
        <v>0</v>
      </c>
      <c r="AI21" s="4">
        <v>11</v>
      </c>
      <c r="AJ21" s="4">
        <v>0</v>
      </c>
      <c r="AK21" s="4">
        <v>7</v>
      </c>
      <c r="AL21" s="4">
        <v>0</v>
      </c>
      <c r="AM21" s="4">
        <v>13</v>
      </c>
      <c r="AN21" s="4">
        <v>0</v>
      </c>
      <c r="AO21" s="4">
        <v>8</v>
      </c>
      <c r="AP21" s="4">
        <v>0</v>
      </c>
      <c r="AQ21" s="4">
        <v>0</v>
      </c>
      <c r="AR21" s="3" t="s">
        <v>62</v>
      </c>
      <c r="AS21" s="3" t="s">
        <v>84</v>
      </c>
      <c r="AT21" s="6" t="str">
        <f>HYPERLINK("http://catalog.hathitrust.org/Record/006620039","HathiTrust Record")</f>
        <v>HathiTrust Record</v>
      </c>
      <c r="AU21" s="6" t="str">
        <f>HYPERLINK("https://creighton-primo.hosted.exlibrisgroup.com/primo-explore/search?tab=default_tab&amp;search_scope=EVERYTHING&amp;vid=01CRU&amp;lang=en_US&amp;offset=0&amp;query=any,contains,991002298489702656","Catalog Record")</f>
        <v>Catalog Record</v>
      </c>
      <c r="AV21" s="6" t="str">
        <f>HYPERLINK("http://www.worldcat.org/oclc/29840306","WorldCat Record")</f>
        <v>WorldCat Record</v>
      </c>
      <c r="AW21" s="3" t="s">
        <v>300</v>
      </c>
      <c r="AX21" s="3" t="s">
        <v>301</v>
      </c>
      <c r="AY21" s="3" t="s">
        <v>302</v>
      </c>
      <c r="AZ21" s="3" t="s">
        <v>302</v>
      </c>
      <c r="BA21" s="3" t="s">
        <v>303</v>
      </c>
      <c r="BB21" s="3" t="s">
        <v>77</v>
      </c>
      <c r="BD21" s="3" t="s">
        <v>304</v>
      </c>
      <c r="BE21" s="3" t="s">
        <v>305</v>
      </c>
      <c r="BF21" s="3" t="s">
        <v>306</v>
      </c>
    </row>
    <row r="22" spans="1:58" ht="41.25" customHeight="1" x14ac:dyDescent="0.25">
      <c r="A22" s="7" t="s">
        <v>62</v>
      </c>
      <c r="B22" s="2" t="s">
        <v>57</v>
      </c>
      <c r="C22" s="2" t="s">
        <v>58</v>
      </c>
      <c r="D22" s="2" t="s">
        <v>307</v>
      </c>
      <c r="E22" s="2" t="s">
        <v>308</v>
      </c>
      <c r="F22" s="2" t="s">
        <v>309</v>
      </c>
      <c r="H22" s="3" t="s">
        <v>62</v>
      </c>
      <c r="I22" s="3" t="s">
        <v>63</v>
      </c>
      <c r="J22" s="3" t="s">
        <v>62</v>
      </c>
      <c r="K22" s="3" t="s">
        <v>62</v>
      </c>
      <c r="L22" s="3" t="s">
        <v>64</v>
      </c>
      <c r="M22" s="2" t="s">
        <v>310</v>
      </c>
      <c r="N22" s="2" t="s">
        <v>311</v>
      </c>
      <c r="O22" s="3" t="s">
        <v>312</v>
      </c>
      <c r="Q22" s="3" t="s">
        <v>68</v>
      </c>
      <c r="R22" s="3" t="s">
        <v>297</v>
      </c>
      <c r="T22" s="3" t="s">
        <v>70</v>
      </c>
      <c r="U22" s="4">
        <v>3</v>
      </c>
      <c r="V22" s="4">
        <v>3</v>
      </c>
      <c r="W22" s="5" t="s">
        <v>313</v>
      </c>
      <c r="X22" s="5" t="s">
        <v>313</v>
      </c>
      <c r="Y22" s="5" t="s">
        <v>314</v>
      </c>
      <c r="Z22" s="5" t="s">
        <v>314</v>
      </c>
      <c r="AA22" s="4">
        <v>585</v>
      </c>
      <c r="AB22" s="4">
        <v>460</v>
      </c>
      <c r="AC22" s="4">
        <v>462</v>
      </c>
      <c r="AD22" s="4">
        <v>6</v>
      </c>
      <c r="AE22" s="4">
        <v>6</v>
      </c>
      <c r="AF22" s="4">
        <v>29</v>
      </c>
      <c r="AG22" s="4">
        <v>29</v>
      </c>
      <c r="AH22" s="4">
        <v>6</v>
      </c>
      <c r="AI22" s="4">
        <v>6</v>
      </c>
      <c r="AJ22" s="4">
        <v>9</v>
      </c>
      <c r="AK22" s="4">
        <v>9</v>
      </c>
      <c r="AL22" s="4">
        <v>15</v>
      </c>
      <c r="AM22" s="4">
        <v>15</v>
      </c>
      <c r="AN22" s="4">
        <v>5</v>
      </c>
      <c r="AO22" s="4">
        <v>5</v>
      </c>
      <c r="AP22" s="4">
        <v>0</v>
      </c>
      <c r="AQ22" s="4">
        <v>0</v>
      </c>
      <c r="AR22" s="3" t="s">
        <v>62</v>
      </c>
      <c r="AS22" s="3" t="s">
        <v>84</v>
      </c>
      <c r="AT22" s="6" t="str">
        <f>HYPERLINK("http://catalog.hathitrust.org/Record/001393987","HathiTrust Record")</f>
        <v>HathiTrust Record</v>
      </c>
      <c r="AU22" s="6" t="str">
        <f>HYPERLINK("https://creighton-primo.hosted.exlibrisgroup.com/primo-explore/search?tab=default_tab&amp;search_scope=EVERYTHING&amp;vid=01CRU&amp;lang=en_US&amp;offset=0&amp;query=any,contains,991000913609702656","Catalog Record")</f>
        <v>Catalog Record</v>
      </c>
      <c r="AV22" s="6" t="str">
        <f>HYPERLINK("http://www.worldcat.org/oclc/160137","WorldCat Record")</f>
        <v>WorldCat Record</v>
      </c>
      <c r="AW22" s="3" t="s">
        <v>315</v>
      </c>
      <c r="AX22" s="3" t="s">
        <v>316</v>
      </c>
      <c r="AY22" s="3" t="s">
        <v>317</v>
      </c>
      <c r="AZ22" s="3" t="s">
        <v>317</v>
      </c>
      <c r="BA22" s="3" t="s">
        <v>318</v>
      </c>
      <c r="BB22" s="3" t="s">
        <v>77</v>
      </c>
      <c r="BD22" s="3" t="s">
        <v>319</v>
      </c>
      <c r="BE22" s="3" t="s">
        <v>320</v>
      </c>
      <c r="BF22" s="3" t="s">
        <v>321</v>
      </c>
    </row>
    <row r="23" spans="1:58" ht="41.25" customHeight="1" x14ac:dyDescent="0.25">
      <c r="A23" s="7" t="s">
        <v>62</v>
      </c>
      <c r="B23" s="2" t="s">
        <v>57</v>
      </c>
      <c r="C23" s="2" t="s">
        <v>58</v>
      </c>
      <c r="D23" s="2" t="s">
        <v>322</v>
      </c>
      <c r="E23" s="2" t="s">
        <v>323</v>
      </c>
      <c r="F23" s="2" t="s">
        <v>324</v>
      </c>
      <c r="H23" s="3" t="s">
        <v>62</v>
      </c>
      <c r="I23" s="3" t="s">
        <v>63</v>
      </c>
      <c r="J23" s="3" t="s">
        <v>62</v>
      </c>
      <c r="K23" s="3" t="s">
        <v>62</v>
      </c>
      <c r="L23" s="3" t="s">
        <v>64</v>
      </c>
      <c r="M23" s="2" t="s">
        <v>325</v>
      </c>
      <c r="N23" s="2" t="s">
        <v>326</v>
      </c>
      <c r="O23" s="3" t="s">
        <v>218</v>
      </c>
      <c r="Q23" s="3" t="s">
        <v>68</v>
      </c>
      <c r="R23" s="3" t="s">
        <v>327</v>
      </c>
      <c r="T23" s="3" t="s">
        <v>70</v>
      </c>
      <c r="U23" s="4">
        <v>4</v>
      </c>
      <c r="V23" s="4">
        <v>4</v>
      </c>
      <c r="W23" s="5" t="s">
        <v>313</v>
      </c>
      <c r="X23" s="5" t="s">
        <v>313</v>
      </c>
      <c r="Y23" s="5" t="s">
        <v>90</v>
      </c>
      <c r="Z23" s="5" t="s">
        <v>90</v>
      </c>
      <c r="AA23" s="4">
        <v>123</v>
      </c>
      <c r="AB23" s="4">
        <v>113</v>
      </c>
      <c r="AC23" s="4">
        <v>119</v>
      </c>
      <c r="AD23" s="4">
        <v>2</v>
      </c>
      <c r="AE23" s="4">
        <v>2</v>
      </c>
      <c r="AF23" s="4">
        <v>9</v>
      </c>
      <c r="AG23" s="4">
        <v>9</v>
      </c>
      <c r="AH23" s="4">
        <v>2</v>
      </c>
      <c r="AI23" s="4">
        <v>2</v>
      </c>
      <c r="AJ23" s="4">
        <v>2</v>
      </c>
      <c r="AK23" s="4">
        <v>2</v>
      </c>
      <c r="AL23" s="4">
        <v>6</v>
      </c>
      <c r="AM23" s="4">
        <v>6</v>
      </c>
      <c r="AN23" s="4">
        <v>1</v>
      </c>
      <c r="AO23" s="4">
        <v>1</v>
      </c>
      <c r="AP23" s="4">
        <v>0</v>
      </c>
      <c r="AQ23" s="4">
        <v>0</v>
      </c>
      <c r="AR23" s="3" t="s">
        <v>62</v>
      </c>
      <c r="AS23" s="3" t="s">
        <v>84</v>
      </c>
      <c r="AT23" s="6" t="str">
        <f>HYPERLINK("http://catalog.hathitrust.org/Record/007116874","HathiTrust Record")</f>
        <v>HathiTrust Record</v>
      </c>
      <c r="AU23" s="6" t="str">
        <f>HYPERLINK("https://creighton-primo.hosted.exlibrisgroup.com/primo-explore/search?tab=default_tab&amp;search_scope=EVERYTHING&amp;vid=01CRU&amp;lang=en_US&amp;offset=0&amp;query=any,contains,991004575339702656","Catalog Record")</f>
        <v>Catalog Record</v>
      </c>
      <c r="AV23" s="6" t="str">
        <f>HYPERLINK("http://www.worldcat.org/oclc/4037283","WorldCat Record")</f>
        <v>WorldCat Record</v>
      </c>
      <c r="AW23" s="3" t="s">
        <v>328</v>
      </c>
      <c r="AX23" s="3" t="s">
        <v>329</v>
      </c>
      <c r="AY23" s="3" t="s">
        <v>330</v>
      </c>
      <c r="AZ23" s="3" t="s">
        <v>330</v>
      </c>
      <c r="BA23" s="3" t="s">
        <v>331</v>
      </c>
      <c r="BB23" s="3" t="s">
        <v>77</v>
      </c>
      <c r="BD23" s="3" t="s">
        <v>332</v>
      </c>
      <c r="BE23" s="3" t="s">
        <v>333</v>
      </c>
      <c r="BF23" s="3" t="s">
        <v>334</v>
      </c>
    </row>
    <row r="24" spans="1:58" ht="41.25" customHeight="1" x14ac:dyDescent="0.25">
      <c r="A24" s="7" t="s">
        <v>62</v>
      </c>
      <c r="B24" s="2" t="s">
        <v>57</v>
      </c>
      <c r="C24" s="2" t="s">
        <v>58</v>
      </c>
      <c r="D24" s="2" t="s">
        <v>335</v>
      </c>
      <c r="E24" s="2" t="s">
        <v>336</v>
      </c>
      <c r="F24" s="2" t="s">
        <v>337</v>
      </c>
      <c r="H24" s="3" t="s">
        <v>62</v>
      </c>
      <c r="I24" s="3" t="s">
        <v>63</v>
      </c>
      <c r="J24" s="3" t="s">
        <v>62</v>
      </c>
      <c r="K24" s="3" t="s">
        <v>62</v>
      </c>
      <c r="L24" s="3" t="s">
        <v>64</v>
      </c>
      <c r="M24" s="2" t="s">
        <v>338</v>
      </c>
      <c r="N24" s="2" t="s">
        <v>339</v>
      </c>
      <c r="O24" s="3" t="s">
        <v>340</v>
      </c>
      <c r="Q24" s="3" t="s">
        <v>68</v>
      </c>
      <c r="R24" s="3" t="s">
        <v>88</v>
      </c>
      <c r="S24" s="2" t="s">
        <v>341</v>
      </c>
      <c r="T24" s="3" t="s">
        <v>70</v>
      </c>
      <c r="U24" s="4">
        <v>3</v>
      </c>
      <c r="V24" s="4">
        <v>3</v>
      </c>
      <c r="W24" s="5" t="s">
        <v>342</v>
      </c>
      <c r="X24" s="5" t="s">
        <v>342</v>
      </c>
      <c r="Y24" s="5" t="s">
        <v>343</v>
      </c>
      <c r="Z24" s="5" t="s">
        <v>343</v>
      </c>
      <c r="AA24" s="4">
        <v>250</v>
      </c>
      <c r="AB24" s="4">
        <v>235</v>
      </c>
      <c r="AC24" s="4">
        <v>269</v>
      </c>
      <c r="AD24" s="4">
        <v>2</v>
      </c>
      <c r="AE24" s="4">
        <v>2</v>
      </c>
      <c r="AF24" s="4">
        <v>14</v>
      </c>
      <c r="AG24" s="4">
        <v>14</v>
      </c>
      <c r="AH24" s="4">
        <v>5</v>
      </c>
      <c r="AI24" s="4">
        <v>5</v>
      </c>
      <c r="AJ24" s="4">
        <v>3</v>
      </c>
      <c r="AK24" s="4">
        <v>3</v>
      </c>
      <c r="AL24" s="4">
        <v>8</v>
      </c>
      <c r="AM24" s="4">
        <v>8</v>
      </c>
      <c r="AN24" s="4">
        <v>1</v>
      </c>
      <c r="AO24" s="4">
        <v>1</v>
      </c>
      <c r="AP24" s="4">
        <v>0</v>
      </c>
      <c r="AQ24" s="4">
        <v>0</v>
      </c>
      <c r="AR24" s="3" t="s">
        <v>62</v>
      </c>
      <c r="AS24" s="3" t="s">
        <v>84</v>
      </c>
      <c r="AT24" s="6" t="str">
        <f>HYPERLINK("http://catalog.hathitrust.org/Record/008217745","HathiTrust Record")</f>
        <v>HathiTrust Record</v>
      </c>
      <c r="AU24" s="6" t="str">
        <f>HYPERLINK("https://creighton-primo.hosted.exlibrisgroup.com/primo-explore/search?tab=default_tab&amp;search_scope=EVERYTHING&amp;vid=01CRU&amp;lang=en_US&amp;offset=0&amp;query=any,contains,991002625539702656","Catalog Record")</f>
        <v>Catalog Record</v>
      </c>
      <c r="AV24" s="6" t="str">
        <f>HYPERLINK("http://www.worldcat.org/oclc/1661742","WorldCat Record")</f>
        <v>WorldCat Record</v>
      </c>
      <c r="AW24" s="3" t="s">
        <v>344</v>
      </c>
      <c r="AX24" s="3" t="s">
        <v>345</v>
      </c>
      <c r="AY24" s="3" t="s">
        <v>346</v>
      </c>
      <c r="AZ24" s="3" t="s">
        <v>346</v>
      </c>
      <c r="BA24" s="3" t="s">
        <v>347</v>
      </c>
      <c r="BB24" s="3" t="s">
        <v>77</v>
      </c>
      <c r="BE24" s="3" t="s">
        <v>348</v>
      </c>
      <c r="BF24" s="3" t="s">
        <v>349</v>
      </c>
    </row>
    <row r="25" spans="1:58" ht="41.25" customHeight="1" x14ac:dyDescent="0.25">
      <c r="A25" s="7" t="s">
        <v>62</v>
      </c>
      <c r="B25" s="2" t="s">
        <v>57</v>
      </c>
      <c r="C25" s="2" t="s">
        <v>58</v>
      </c>
      <c r="D25" s="2" t="s">
        <v>350</v>
      </c>
      <c r="E25" s="2" t="s">
        <v>351</v>
      </c>
      <c r="F25" s="2" t="s">
        <v>352</v>
      </c>
      <c r="H25" s="3" t="s">
        <v>62</v>
      </c>
      <c r="I25" s="3" t="s">
        <v>63</v>
      </c>
      <c r="J25" s="3" t="s">
        <v>62</v>
      </c>
      <c r="K25" s="3" t="s">
        <v>62</v>
      </c>
      <c r="L25" s="3" t="s">
        <v>64</v>
      </c>
      <c r="M25" s="2" t="s">
        <v>353</v>
      </c>
      <c r="N25" s="2" t="s">
        <v>354</v>
      </c>
      <c r="O25" s="3" t="s">
        <v>355</v>
      </c>
      <c r="Q25" s="3" t="s">
        <v>68</v>
      </c>
      <c r="R25" s="3" t="s">
        <v>88</v>
      </c>
      <c r="S25" s="2" t="s">
        <v>356</v>
      </c>
      <c r="T25" s="3" t="s">
        <v>70</v>
      </c>
      <c r="U25" s="4">
        <v>5</v>
      </c>
      <c r="V25" s="4">
        <v>5</v>
      </c>
      <c r="W25" s="5" t="s">
        <v>357</v>
      </c>
      <c r="X25" s="5" t="s">
        <v>357</v>
      </c>
      <c r="Y25" s="5" t="s">
        <v>343</v>
      </c>
      <c r="Z25" s="5" t="s">
        <v>343</v>
      </c>
      <c r="AA25" s="4">
        <v>542</v>
      </c>
      <c r="AB25" s="4">
        <v>490</v>
      </c>
      <c r="AC25" s="4">
        <v>710</v>
      </c>
      <c r="AD25" s="4">
        <v>2</v>
      </c>
      <c r="AE25" s="4">
        <v>3</v>
      </c>
      <c r="AF25" s="4">
        <v>27</v>
      </c>
      <c r="AG25" s="4">
        <v>33</v>
      </c>
      <c r="AH25" s="4">
        <v>10</v>
      </c>
      <c r="AI25" s="4">
        <v>12</v>
      </c>
      <c r="AJ25" s="4">
        <v>7</v>
      </c>
      <c r="AK25" s="4">
        <v>9</v>
      </c>
      <c r="AL25" s="4">
        <v>18</v>
      </c>
      <c r="AM25" s="4">
        <v>21</v>
      </c>
      <c r="AN25" s="4">
        <v>1</v>
      </c>
      <c r="AO25" s="4">
        <v>2</v>
      </c>
      <c r="AP25" s="4">
        <v>0</v>
      </c>
      <c r="AQ25" s="4">
        <v>0</v>
      </c>
      <c r="AR25" s="3" t="s">
        <v>62</v>
      </c>
      <c r="AS25" s="3" t="s">
        <v>84</v>
      </c>
      <c r="AT25" s="6" t="str">
        <f>HYPERLINK("http://catalog.hathitrust.org/Record/007155064","HathiTrust Record")</f>
        <v>HathiTrust Record</v>
      </c>
      <c r="AU25" s="6" t="str">
        <f>HYPERLINK("https://creighton-primo.hosted.exlibrisgroup.com/primo-explore/search?tab=default_tab&amp;search_scope=EVERYTHING&amp;vid=01CRU&amp;lang=en_US&amp;offset=0&amp;query=any,contains,991001009679702656","Catalog Record")</f>
        <v>Catalog Record</v>
      </c>
      <c r="AV25" s="6" t="str">
        <f>HYPERLINK("http://www.worldcat.org/oclc/173316","WorldCat Record")</f>
        <v>WorldCat Record</v>
      </c>
      <c r="AW25" s="3" t="s">
        <v>358</v>
      </c>
      <c r="AX25" s="3" t="s">
        <v>359</v>
      </c>
      <c r="AY25" s="3" t="s">
        <v>360</v>
      </c>
      <c r="AZ25" s="3" t="s">
        <v>360</v>
      </c>
      <c r="BA25" s="3" t="s">
        <v>361</v>
      </c>
      <c r="BB25" s="3" t="s">
        <v>77</v>
      </c>
      <c r="BE25" s="3" t="s">
        <v>362</v>
      </c>
      <c r="BF25" s="3" t="s">
        <v>363</v>
      </c>
    </row>
    <row r="26" spans="1:58" ht="41.25" customHeight="1" x14ac:dyDescent="0.25">
      <c r="A26" s="7" t="s">
        <v>62</v>
      </c>
      <c r="B26" s="2" t="s">
        <v>57</v>
      </c>
      <c r="C26" s="2" t="s">
        <v>58</v>
      </c>
      <c r="D26" s="2" t="s">
        <v>364</v>
      </c>
      <c r="E26" s="2" t="s">
        <v>365</v>
      </c>
      <c r="F26" s="2" t="s">
        <v>366</v>
      </c>
      <c r="H26" s="3" t="s">
        <v>62</v>
      </c>
      <c r="I26" s="3" t="s">
        <v>63</v>
      </c>
      <c r="J26" s="3" t="s">
        <v>62</v>
      </c>
      <c r="K26" s="3" t="s">
        <v>62</v>
      </c>
      <c r="L26" s="3" t="s">
        <v>64</v>
      </c>
      <c r="M26" s="2" t="s">
        <v>367</v>
      </c>
      <c r="N26" s="2" t="s">
        <v>368</v>
      </c>
      <c r="O26" s="3" t="s">
        <v>312</v>
      </c>
      <c r="Q26" s="3" t="s">
        <v>68</v>
      </c>
      <c r="R26" s="3" t="s">
        <v>369</v>
      </c>
      <c r="S26" s="2" t="s">
        <v>370</v>
      </c>
      <c r="T26" s="3" t="s">
        <v>70</v>
      </c>
      <c r="U26" s="4">
        <v>6</v>
      </c>
      <c r="V26" s="4">
        <v>6</v>
      </c>
      <c r="W26" s="5" t="s">
        <v>371</v>
      </c>
      <c r="X26" s="5" t="s">
        <v>371</v>
      </c>
      <c r="Y26" s="5" t="s">
        <v>343</v>
      </c>
      <c r="Z26" s="5" t="s">
        <v>343</v>
      </c>
      <c r="AA26" s="4">
        <v>46</v>
      </c>
      <c r="AB26" s="4">
        <v>44</v>
      </c>
      <c r="AC26" s="4">
        <v>193</v>
      </c>
      <c r="AD26" s="4">
        <v>2</v>
      </c>
      <c r="AE26" s="4">
        <v>2</v>
      </c>
      <c r="AF26" s="4">
        <v>4</v>
      </c>
      <c r="AG26" s="4">
        <v>9</v>
      </c>
      <c r="AH26" s="4">
        <v>2</v>
      </c>
      <c r="AI26" s="4">
        <v>3</v>
      </c>
      <c r="AJ26" s="4">
        <v>1</v>
      </c>
      <c r="AK26" s="4">
        <v>3</v>
      </c>
      <c r="AL26" s="4">
        <v>2</v>
      </c>
      <c r="AM26" s="4">
        <v>6</v>
      </c>
      <c r="AN26" s="4">
        <v>0</v>
      </c>
      <c r="AO26" s="4">
        <v>0</v>
      </c>
      <c r="AP26" s="4">
        <v>0</v>
      </c>
      <c r="AQ26" s="4">
        <v>0</v>
      </c>
      <c r="AR26" s="3" t="s">
        <v>62</v>
      </c>
      <c r="AS26" s="3" t="s">
        <v>62</v>
      </c>
      <c r="AU26" s="6" t="str">
        <f>HYPERLINK("https://creighton-primo.hosted.exlibrisgroup.com/primo-explore/search?tab=default_tab&amp;search_scope=EVERYTHING&amp;vid=01CRU&amp;lang=en_US&amp;offset=0&amp;query=any,contains,991004344029702656","Catalog Record")</f>
        <v>Catalog Record</v>
      </c>
      <c r="AV26" s="6" t="str">
        <f>HYPERLINK("http://www.worldcat.org/oclc/3094328","WorldCat Record")</f>
        <v>WorldCat Record</v>
      </c>
      <c r="AW26" s="3" t="s">
        <v>372</v>
      </c>
      <c r="AX26" s="3" t="s">
        <v>373</v>
      </c>
      <c r="AY26" s="3" t="s">
        <v>374</v>
      </c>
      <c r="AZ26" s="3" t="s">
        <v>374</v>
      </c>
      <c r="BA26" s="3" t="s">
        <v>375</v>
      </c>
      <c r="BB26" s="3" t="s">
        <v>77</v>
      </c>
      <c r="BE26" s="3" t="s">
        <v>376</v>
      </c>
      <c r="BF26" s="3" t="s">
        <v>377</v>
      </c>
    </row>
    <row r="27" spans="1:58" ht="41.25" customHeight="1" x14ac:dyDescent="0.25">
      <c r="A27" s="7" t="s">
        <v>62</v>
      </c>
      <c r="B27" s="2" t="s">
        <v>57</v>
      </c>
      <c r="C27" s="2" t="s">
        <v>58</v>
      </c>
      <c r="D27" s="2" t="s">
        <v>378</v>
      </c>
      <c r="E27" s="2" t="s">
        <v>379</v>
      </c>
      <c r="F27" s="2" t="s">
        <v>380</v>
      </c>
      <c r="H27" s="3" t="s">
        <v>84</v>
      </c>
      <c r="I27" s="3" t="s">
        <v>63</v>
      </c>
      <c r="J27" s="3" t="s">
        <v>84</v>
      </c>
      <c r="K27" s="3" t="s">
        <v>62</v>
      </c>
      <c r="L27" s="3" t="s">
        <v>64</v>
      </c>
      <c r="M27" s="2" t="s">
        <v>381</v>
      </c>
      <c r="N27" s="2" t="s">
        <v>382</v>
      </c>
      <c r="O27" s="3" t="s">
        <v>383</v>
      </c>
      <c r="Q27" s="3" t="s">
        <v>68</v>
      </c>
      <c r="R27" s="3" t="s">
        <v>297</v>
      </c>
      <c r="T27" s="3" t="s">
        <v>70</v>
      </c>
      <c r="U27" s="4">
        <v>1</v>
      </c>
      <c r="V27" s="4">
        <v>5</v>
      </c>
      <c r="X27" s="5" t="s">
        <v>384</v>
      </c>
      <c r="Y27" s="5" t="s">
        <v>385</v>
      </c>
      <c r="Z27" s="5" t="s">
        <v>386</v>
      </c>
      <c r="AA27" s="4">
        <v>1124</v>
      </c>
      <c r="AB27" s="4">
        <v>960</v>
      </c>
      <c r="AC27" s="4">
        <v>997</v>
      </c>
      <c r="AD27" s="4">
        <v>10</v>
      </c>
      <c r="AE27" s="4">
        <v>10</v>
      </c>
      <c r="AF27" s="4">
        <v>42</v>
      </c>
      <c r="AG27" s="4">
        <v>44</v>
      </c>
      <c r="AH27" s="4">
        <v>17</v>
      </c>
      <c r="AI27" s="4">
        <v>19</v>
      </c>
      <c r="AJ27" s="4">
        <v>8</v>
      </c>
      <c r="AK27" s="4">
        <v>8</v>
      </c>
      <c r="AL27" s="4">
        <v>17</v>
      </c>
      <c r="AM27" s="4">
        <v>19</v>
      </c>
      <c r="AN27" s="4">
        <v>9</v>
      </c>
      <c r="AO27" s="4">
        <v>9</v>
      </c>
      <c r="AP27" s="4">
        <v>0</v>
      </c>
      <c r="AQ27" s="4">
        <v>0</v>
      </c>
      <c r="AR27" s="3" t="s">
        <v>62</v>
      </c>
      <c r="AS27" s="3" t="s">
        <v>62</v>
      </c>
      <c r="AU27" s="6" t="str">
        <f>HYPERLINK("https://creighton-primo.hosted.exlibrisgroup.com/primo-explore/search?tab=default_tab&amp;search_scope=EVERYTHING&amp;vid=01CRU&amp;lang=en_US&amp;offset=0&amp;query=any,contains,991000001489702656","Catalog Record")</f>
        <v>Catalog Record</v>
      </c>
      <c r="AV27" s="6" t="str">
        <f>HYPERLINK("http://www.worldcat.org/oclc/10413","WorldCat Record")</f>
        <v>WorldCat Record</v>
      </c>
      <c r="AW27" s="3" t="s">
        <v>387</v>
      </c>
      <c r="AX27" s="3" t="s">
        <v>388</v>
      </c>
      <c r="AY27" s="3" t="s">
        <v>389</v>
      </c>
      <c r="AZ27" s="3" t="s">
        <v>389</v>
      </c>
      <c r="BA27" s="3" t="s">
        <v>390</v>
      </c>
      <c r="BB27" s="3" t="s">
        <v>77</v>
      </c>
      <c r="BD27" s="3" t="s">
        <v>391</v>
      </c>
      <c r="BE27" s="3" t="s">
        <v>392</v>
      </c>
      <c r="BF27" s="3" t="s">
        <v>393</v>
      </c>
    </row>
    <row r="28" spans="1:58" ht="41.25" customHeight="1" x14ac:dyDescent="0.25">
      <c r="A28" s="7" t="s">
        <v>62</v>
      </c>
      <c r="B28" s="2" t="s">
        <v>57</v>
      </c>
      <c r="C28" s="2" t="s">
        <v>58</v>
      </c>
      <c r="D28" s="2" t="s">
        <v>394</v>
      </c>
      <c r="E28" s="2" t="s">
        <v>395</v>
      </c>
      <c r="F28" s="2" t="s">
        <v>380</v>
      </c>
      <c r="G28" s="3" t="s">
        <v>396</v>
      </c>
      <c r="H28" s="3" t="s">
        <v>84</v>
      </c>
      <c r="I28" s="3" t="s">
        <v>63</v>
      </c>
      <c r="J28" s="3" t="s">
        <v>62</v>
      </c>
      <c r="K28" s="3" t="s">
        <v>62</v>
      </c>
      <c r="L28" s="3" t="s">
        <v>64</v>
      </c>
      <c r="M28" s="2" t="s">
        <v>381</v>
      </c>
      <c r="N28" s="2" t="s">
        <v>382</v>
      </c>
      <c r="O28" s="3" t="s">
        <v>383</v>
      </c>
      <c r="Q28" s="3" t="s">
        <v>68</v>
      </c>
      <c r="R28" s="3" t="s">
        <v>297</v>
      </c>
      <c r="T28" s="3" t="s">
        <v>70</v>
      </c>
      <c r="U28" s="4">
        <v>4</v>
      </c>
      <c r="V28" s="4">
        <v>5</v>
      </c>
      <c r="W28" s="5" t="s">
        <v>384</v>
      </c>
      <c r="X28" s="5" t="s">
        <v>384</v>
      </c>
      <c r="Y28" s="5" t="s">
        <v>386</v>
      </c>
      <c r="Z28" s="5" t="s">
        <v>386</v>
      </c>
      <c r="AA28" s="4">
        <v>1124</v>
      </c>
      <c r="AB28" s="4">
        <v>960</v>
      </c>
      <c r="AC28" s="4">
        <v>997</v>
      </c>
      <c r="AD28" s="4">
        <v>10</v>
      </c>
      <c r="AE28" s="4">
        <v>10</v>
      </c>
      <c r="AF28" s="4">
        <v>42</v>
      </c>
      <c r="AG28" s="4">
        <v>44</v>
      </c>
      <c r="AH28" s="4">
        <v>17</v>
      </c>
      <c r="AI28" s="4">
        <v>19</v>
      </c>
      <c r="AJ28" s="4">
        <v>8</v>
      </c>
      <c r="AK28" s="4">
        <v>8</v>
      </c>
      <c r="AL28" s="4">
        <v>17</v>
      </c>
      <c r="AM28" s="4">
        <v>19</v>
      </c>
      <c r="AN28" s="4">
        <v>9</v>
      </c>
      <c r="AO28" s="4">
        <v>9</v>
      </c>
      <c r="AP28" s="4">
        <v>0</v>
      </c>
      <c r="AQ28" s="4">
        <v>0</v>
      </c>
      <c r="AR28" s="3" t="s">
        <v>62</v>
      </c>
      <c r="AS28" s="3" t="s">
        <v>62</v>
      </c>
      <c r="AU28" s="6" t="str">
        <f>HYPERLINK("https://creighton-primo.hosted.exlibrisgroup.com/primo-explore/search?tab=default_tab&amp;search_scope=EVERYTHING&amp;vid=01CRU&amp;lang=en_US&amp;offset=0&amp;query=any,contains,991000001489702656","Catalog Record")</f>
        <v>Catalog Record</v>
      </c>
      <c r="AV28" s="6" t="str">
        <f>HYPERLINK("http://www.worldcat.org/oclc/10413","WorldCat Record")</f>
        <v>WorldCat Record</v>
      </c>
      <c r="AW28" s="3" t="s">
        <v>387</v>
      </c>
      <c r="AX28" s="3" t="s">
        <v>388</v>
      </c>
      <c r="AY28" s="3" t="s">
        <v>389</v>
      </c>
      <c r="AZ28" s="3" t="s">
        <v>389</v>
      </c>
      <c r="BA28" s="3" t="s">
        <v>390</v>
      </c>
      <c r="BB28" s="3" t="s">
        <v>77</v>
      </c>
      <c r="BD28" s="3" t="s">
        <v>391</v>
      </c>
      <c r="BE28" s="3" t="s">
        <v>397</v>
      </c>
      <c r="BF28" s="3" t="s">
        <v>398</v>
      </c>
    </row>
    <row r="29" spans="1:58" ht="41.25" customHeight="1" x14ac:dyDescent="0.25">
      <c r="A29" s="7" t="s">
        <v>62</v>
      </c>
      <c r="B29" s="2" t="s">
        <v>57</v>
      </c>
      <c r="C29" s="2" t="s">
        <v>58</v>
      </c>
      <c r="D29" s="2" t="s">
        <v>399</v>
      </c>
      <c r="E29" s="2" t="s">
        <v>400</v>
      </c>
      <c r="F29" s="2" t="s">
        <v>401</v>
      </c>
      <c r="H29" s="3" t="s">
        <v>62</v>
      </c>
      <c r="I29" s="3" t="s">
        <v>63</v>
      </c>
      <c r="J29" s="3" t="s">
        <v>62</v>
      </c>
      <c r="K29" s="3" t="s">
        <v>62</v>
      </c>
      <c r="L29" s="3" t="s">
        <v>64</v>
      </c>
      <c r="M29" s="2" t="s">
        <v>402</v>
      </c>
      <c r="N29" s="2" t="s">
        <v>403</v>
      </c>
      <c r="O29" s="3" t="s">
        <v>404</v>
      </c>
      <c r="P29" s="2" t="s">
        <v>405</v>
      </c>
      <c r="Q29" s="3" t="s">
        <v>68</v>
      </c>
      <c r="R29" s="3" t="s">
        <v>69</v>
      </c>
      <c r="T29" s="3" t="s">
        <v>70</v>
      </c>
      <c r="U29" s="4">
        <v>2</v>
      </c>
      <c r="V29" s="4">
        <v>2</v>
      </c>
      <c r="W29" s="5" t="s">
        <v>406</v>
      </c>
      <c r="X29" s="5" t="s">
        <v>406</v>
      </c>
      <c r="Y29" s="5" t="s">
        <v>407</v>
      </c>
      <c r="Z29" s="5" t="s">
        <v>407</v>
      </c>
      <c r="AA29" s="4">
        <v>223</v>
      </c>
      <c r="AB29" s="4">
        <v>188</v>
      </c>
      <c r="AC29" s="4">
        <v>485</v>
      </c>
      <c r="AD29" s="4">
        <v>1</v>
      </c>
      <c r="AE29" s="4">
        <v>3</v>
      </c>
      <c r="AF29" s="4">
        <v>7</v>
      </c>
      <c r="AG29" s="4">
        <v>21</v>
      </c>
      <c r="AH29" s="4">
        <v>4</v>
      </c>
      <c r="AI29" s="4">
        <v>9</v>
      </c>
      <c r="AJ29" s="4">
        <v>2</v>
      </c>
      <c r="AK29" s="4">
        <v>6</v>
      </c>
      <c r="AL29" s="4">
        <v>5</v>
      </c>
      <c r="AM29" s="4">
        <v>11</v>
      </c>
      <c r="AN29" s="4">
        <v>0</v>
      </c>
      <c r="AO29" s="4">
        <v>1</v>
      </c>
      <c r="AP29" s="4">
        <v>0</v>
      </c>
      <c r="AQ29" s="4">
        <v>0</v>
      </c>
      <c r="AR29" s="3" t="s">
        <v>62</v>
      </c>
      <c r="AS29" s="3" t="s">
        <v>84</v>
      </c>
      <c r="AT29" s="6" t="str">
        <f>HYPERLINK("http://catalog.hathitrust.org/Record/009906810","HathiTrust Record")</f>
        <v>HathiTrust Record</v>
      </c>
      <c r="AU29" s="6" t="str">
        <f>HYPERLINK("https://creighton-primo.hosted.exlibrisgroup.com/primo-explore/search?tab=default_tab&amp;search_scope=EVERYTHING&amp;vid=01CRU&amp;lang=en_US&amp;offset=0&amp;query=any,contains,991002295729702656","Catalog Record")</f>
        <v>Catalog Record</v>
      </c>
      <c r="AV29" s="6" t="str">
        <f>HYPERLINK("http://www.worldcat.org/oclc/315333","WorldCat Record")</f>
        <v>WorldCat Record</v>
      </c>
      <c r="AW29" s="3" t="s">
        <v>408</v>
      </c>
      <c r="AX29" s="3" t="s">
        <v>409</v>
      </c>
      <c r="AY29" s="3" t="s">
        <v>410</v>
      </c>
      <c r="AZ29" s="3" t="s">
        <v>410</v>
      </c>
      <c r="BA29" s="3" t="s">
        <v>411</v>
      </c>
      <c r="BB29" s="3" t="s">
        <v>77</v>
      </c>
      <c r="BD29" s="3" t="s">
        <v>412</v>
      </c>
      <c r="BE29" s="3" t="s">
        <v>413</v>
      </c>
      <c r="BF29" s="3" t="s">
        <v>414</v>
      </c>
    </row>
    <row r="30" spans="1:58" ht="41.25" customHeight="1" x14ac:dyDescent="0.25">
      <c r="A30" s="7" t="s">
        <v>62</v>
      </c>
      <c r="B30" s="2" t="s">
        <v>57</v>
      </c>
      <c r="C30" s="2" t="s">
        <v>58</v>
      </c>
      <c r="D30" s="2" t="s">
        <v>415</v>
      </c>
      <c r="E30" s="2" t="s">
        <v>416</v>
      </c>
      <c r="F30" s="2" t="s">
        <v>417</v>
      </c>
      <c r="H30" s="3" t="s">
        <v>62</v>
      </c>
      <c r="I30" s="3" t="s">
        <v>63</v>
      </c>
      <c r="J30" s="3" t="s">
        <v>62</v>
      </c>
      <c r="K30" s="3" t="s">
        <v>62</v>
      </c>
      <c r="L30" s="3" t="s">
        <v>64</v>
      </c>
      <c r="M30" s="2" t="s">
        <v>418</v>
      </c>
      <c r="N30" s="2" t="s">
        <v>419</v>
      </c>
      <c r="O30" s="3" t="s">
        <v>137</v>
      </c>
      <c r="Q30" s="3" t="s">
        <v>68</v>
      </c>
      <c r="R30" s="3" t="s">
        <v>420</v>
      </c>
      <c r="S30" s="2" t="s">
        <v>421</v>
      </c>
      <c r="T30" s="3" t="s">
        <v>70</v>
      </c>
      <c r="U30" s="4">
        <v>2</v>
      </c>
      <c r="V30" s="4">
        <v>2</v>
      </c>
      <c r="W30" s="5" t="s">
        <v>422</v>
      </c>
      <c r="X30" s="5" t="s">
        <v>422</v>
      </c>
      <c r="Y30" s="5" t="s">
        <v>386</v>
      </c>
      <c r="Z30" s="5" t="s">
        <v>386</v>
      </c>
      <c r="AA30" s="4">
        <v>302</v>
      </c>
      <c r="AB30" s="4">
        <v>229</v>
      </c>
      <c r="AC30" s="4">
        <v>231</v>
      </c>
      <c r="AD30" s="4">
        <v>2</v>
      </c>
      <c r="AE30" s="4">
        <v>2</v>
      </c>
      <c r="AF30" s="4">
        <v>18</v>
      </c>
      <c r="AG30" s="4">
        <v>18</v>
      </c>
      <c r="AH30" s="4">
        <v>7</v>
      </c>
      <c r="AI30" s="4">
        <v>7</v>
      </c>
      <c r="AJ30" s="4">
        <v>4</v>
      </c>
      <c r="AK30" s="4">
        <v>4</v>
      </c>
      <c r="AL30" s="4">
        <v>12</v>
      </c>
      <c r="AM30" s="4">
        <v>12</v>
      </c>
      <c r="AN30" s="4">
        <v>1</v>
      </c>
      <c r="AO30" s="4">
        <v>1</v>
      </c>
      <c r="AP30" s="4">
        <v>0</v>
      </c>
      <c r="AQ30" s="4">
        <v>0</v>
      </c>
      <c r="AR30" s="3" t="s">
        <v>62</v>
      </c>
      <c r="AS30" s="3" t="s">
        <v>62</v>
      </c>
      <c r="AU30" s="6" t="str">
        <f>HYPERLINK("https://creighton-primo.hosted.exlibrisgroup.com/primo-explore/search?tab=default_tab&amp;search_scope=EVERYTHING&amp;vid=01CRU&amp;lang=en_US&amp;offset=0&amp;query=any,contains,991005058809702656","Catalog Record")</f>
        <v>Catalog Record</v>
      </c>
      <c r="AV30" s="6" t="str">
        <f>HYPERLINK("http://www.worldcat.org/oclc/6915862","WorldCat Record")</f>
        <v>WorldCat Record</v>
      </c>
      <c r="AW30" s="3" t="s">
        <v>423</v>
      </c>
      <c r="AX30" s="3" t="s">
        <v>424</v>
      </c>
      <c r="AY30" s="3" t="s">
        <v>425</v>
      </c>
      <c r="AZ30" s="3" t="s">
        <v>425</v>
      </c>
      <c r="BA30" s="3" t="s">
        <v>426</v>
      </c>
      <c r="BB30" s="3" t="s">
        <v>77</v>
      </c>
      <c r="BD30" s="3" t="s">
        <v>427</v>
      </c>
      <c r="BE30" s="3" t="s">
        <v>428</v>
      </c>
      <c r="BF30" s="3" t="s">
        <v>429</v>
      </c>
    </row>
    <row r="31" spans="1:58" ht="41.25" customHeight="1" x14ac:dyDescent="0.25">
      <c r="A31" s="7" t="s">
        <v>62</v>
      </c>
      <c r="B31" s="2" t="s">
        <v>57</v>
      </c>
      <c r="C31" s="2" t="s">
        <v>58</v>
      </c>
      <c r="D31" s="2" t="s">
        <v>430</v>
      </c>
      <c r="E31" s="2" t="s">
        <v>431</v>
      </c>
      <c r="F31" s="2" t="s">
        <v>432</v>
      </c>
      <c r="H31" s="3" t="s">
        <v>62</v>
      </c>
      <c r="I31" s="3" t="s">
        <v>63</v>
      </c>
      <c r="J31" s="3" t="s">
        <v>62</v>
      </c>
      <c r="K31" s="3" t="s">
        <v>62</v>
      </c>
      <c r="L31" s="3" t="s">
        <v>64</v>
      </c>
      <c r="M31" s="2" t="s">
        <v>433</v>
      </c>
      <c r="N31" s="2" t="s">
        <v>434</v>
      </c>
      <c r="O31" s="3" t="s">
        <v>233</v>
      </c>
      <c r="Q31" s="3" t="s">
        <v>68</v>
      </c>
      <c r="R31" s="3" t="s">
        <v>435</v>
      </c>
      <c r="S31" s="2" t="s">
        <v>436</v>
      </c>
      <c r="T31" s="3" t="s">
        <v>70</v>
      </c>
      <c r="U31" s="4">
        <v>3</v>
      </c>
      <c r="V31" s="4">
        <v>3</v>
      </c>
      <c r="W31" s="5" t="s">
        <v>437</v>
      </c>
      <c r="X31" s="5" t="s">
        <v>437</v>
      </c>
      <c r="Y31" s="5" t="s">
        <v>386</v>
      </c>
      <c r="Z31" s="5" t="s">
        <v>386</v>
      </c>
      <c r="AA31" s="4">
        <v>380</v>
      </c>
      <c r="AB31" s="4">
        <v>284</v>
      </c>
      <c r="AC31" s="4">
        <v>320</v>
      </c>
      <c r="AD31" s="4">
        <v>4</v>
      </c>
      <c r="AE31" s="4">
        <v>4</v>
      </c>
      <c r="AF31" s="4">
        <v>19</v>
      </c>
      <c r="AG31" s="4">
        <v>21</v>
      </c>
      <c r="AH31" s="4">
        <v>6</v>
      </c>
      <c r="AI31" s="4">
        <v>7</v>
      </c>
      <c r="AJ31" s="4">
        <v>4</v>
      </c>
      <c r="AK31" s="4">
        <v>5</v>
      </c>
      <c r="AL31" s="4">
        <v>11</v>
      </c>
      <c r="AM31" s="4">
        <v>12</v>
      </c>
      <c r="AN31" s="4">
        <v>3</v>
      </c>
      <c r="AO31" s="4">
        <v>3</v>
      </c>
      <c r="AP31" s="4">
        <v>0</v>
      </c>
      <c r="AQ31" s="4">
        <v>0</v>
      </c>
      <c r="AR31" s="3" t="s">
        <v>62</v>
      </c>
      <c r="AS31" s="3" t="s">
        <v>84</v>
      </c>
      <c r="AT31" s="6" t="str">
        <f>HYPERLINK("http://catalog.hathitrust.org/Record/007116232","HathiTrust Record")</f>
        <v>HathiTrust Record</v>
      </c>
      <c r="AU31" s="6" t="str">
        <f>HYPERLINK("https://creighton-primo.hosted.exlibrisgroup.com/primo-explore/search?tab=default_tab&amp;search_scope=EVERYTHING&amp;vid=01CRU&amp;lang=en_US&amp;offset=0&amp;query=any,contains,991004911359702656","Catalog Record")</f>
        <v>Catalog Record</v>
      </c>
      <c r="AV31" s="6" t="str">
        <f>HYPERLINK("http://www.worldcat.org/oclc/5992344","WorldCat Record")</f>
        <v>WorldCat Record</v>
      </c>
      <c r="AW31" s="3" t="s">
        <v>438</v>
      </c>
      <c r="AX31" s="3" t="s">
        <v>439</v>
      </c>
      <c r="AY31" s="3" t="s">
        <v>440</v>
      </c>
      <c r="AZ31" s="3" t="s">
        <v>440</v>
      </c>
      <c r="BA31" s="3" t="s">
        <v>441</v>
      </c>
      <c r="BB31" s="3" t="s">
        <v>77</v>
      </c>
      <c r="BD31" s="3" t="s">
        <v>442</v>
      </c>
      <c r="BE31" s="3" t="s">
        <v>443</v>
      </c>
      <c r="BF31" s="3" t="s">
        <v>444</v>
      </c>
    </row>
    <row r="32" spans="1:58" ht="41.25" customHeight="1" x14ac:dyDescent="0.25">
      <c r="A32" s="7" t="s">
        <v>62</v>
      </c>
      <c r="B32" s="2" t="s">
        <v>57</v>
      </c>
      <c r="C32" s="2" t="s">
        <v>58</v>
      </c>
      <c r="D32" s="2" t="s">
        <v>445</v>
      </c>
      <c r="E32" s="2" t="s">
        <v>446</v>
      </c>
      <c r="F32" s="2" t="s">
        <v>447</v>
      </c>
      <c r="H32" s="3" t="s">
        <v>62</v>
      </c>
      <c r="I32" s="3" t="s">
        <v>63</v>
      </c>
      <c r="J32" s="3" t="s">
        <v>62</v>
      </c>
      <c r="K32" s="3" t="s">
        <v>62</v>
      </c>
      <c r="L32" s="3" t="s">
        <v>64</v>
      </c>
      <c r="M32" s="2" t="s">
        <v>448</v>
      </c>
      <c r="N32" s="2" t="s">
        <v>449</v>
      </c>
      <c r="O32" s="3" t="s">
        <v>137</v>
      </c>
      <c r="Q32" s="3" t="s">
        <v>68</v>
      </c>
      <c r="R32" s="3" t="s">
        <v>420</v>
      </c>
      <c r="T32" s="3" t="s">
        <v>70</v>
      </c>
      <c r="U32" s="4">
        <v>1</v>
      </c>
      <c r="V32" s="4">
        <v>1</v>
      </c>
      <c r="W32" s="5" t="s">
        <v>450</v>
      </c>
      <c r="X32" s="5" t="s">
        <v>450</v>
      </c>
      <c r="Y32" s="5" t="s">
        <v>451</v>
      </c>
      <c r="Z32" s="5" t="s">
        <v>451</v>
      </c>
      <c r="AA32" s="4">
        <v>166</v>
      </c>
      <c r="AB32" s="4">
        <v>142</v>
      </c>
      <c r="AC32" s="4">
        <v>143</v>
      </c>
      <c r="AD32" s="4">
        <v>3</v>
      </c>
      <c r="AE32" s="4">
        <v>3</v>
      </c>
      <c r="AF32" s="4">
        <v>12</v>
      </c>
      <c r="AG32" s="4">
        <v>12</v>
      </c>
      <c r="AH32" s="4">
        <v>4</v>
      </c>
      <c r="AI32" s="4">
        <v>4</v>
      </c>
      <c r="AJ32" s="4">
        <v>2</v>
      </c>
      <c r="AK32" s="4">
        <v>2</v>
      </c>
      <c r="AL32" s="4">
        <v>8</v>
      </c>
      <c r="AM32" s="4">
        <v>8</v>
      </c>
      <c r="AN32" s="4">
        <v>2</v>
      </c>
      <c r="AO32" s="4">
        <v>2</v>
      </c>
      <c r="AP32" s="4">
        <v>0</v>
      </c>
      <c r="AQ32" s="4">
        <v>0</v>
      </c>
      <c r="AR32" s="3" t="s">
        <v>62</v>
      </c>
      <c r="AS32" s="3" t="s">
        <v>84</v>
      </c>
      <c r="AT32" s="6" t="str">
        <f>HYPERLINK("http://catalog.hathitrust.org/Record/007886140","HathiTrust Record")</f>
        <v>HathiTrust Record</v>
      </c>
      <c r="AU32" s="6" t="str">
        <f>HYPERLINK("https://creighton-primo.hosted.exlibrisgroup.com/primo-explore/search?tab=default_tab&amp;search_scope=EVERYTHING&amp;vid=01CRU&amp;lang=en_US&amp;offset=0&amp;query=any,contains,991000025829702656","Catalog Record")</f>
        <v>Catalog Record</v>
      </c>
      <c r="AV32" s="6" t="str">
        <f>HYPERLINK("http://www.worldcat.org/oclc/6943197","WorldCat Record")</f>
        <v>WorldCat Record</v>
      </c>
      <c r="AW32" s="3" t="s">
        <v>452</v>
      </c>
      <c r="AX32" s="3" t="s">
        <v>453</v>
      </c>
      <c r="AY32" s="3" t="s">
        <v>454</v>
      </c>
      <c r="AZ32" s="3" t="s">
        <v>454</v>
      </c>
      <c r="BA32" s="3" t="s">
        <v>455</v>
      </c>
      <c r="BB32" s="3" t="s">
        <v>77</v>
      </c>
      <c r="BD32" s="3" t="s">
        <v>456</v>
      </c>
      <c r="BE32" s="3" t="s">
        <v>457</v>
      </c>
      <c r="BF32" s="3" t="s">
        <v>458</v>
      </c>
    </row>
    <row r="33" spans="1:58" ht="41.25" customHeight="1" x14ac:dyDescent="0.25">
      <c r="A33" s="7" t="s">
        <v>62</v>
      </c>
      <c r="B33" s="2" t="s">
        <v>57</v>
      </c>
      <c r="C33" s="2" t="s">
        <v>58</v>
      </c>
      <c r="D33" s="2" t="s">
        <v>459</v>
      </c>
      <c r="E33" s="2" t="s">
        <v>460</v>
      </c>
      <c r="F33" s="2" t="s">
        <v>461</v>
      </c>
      <c r="H33" s="3" t="s">
        <v>62</v>
      </c>
      <c r="I33" s="3" t="s">
        <v>63</v>
      </c>
      <c r="J33" s="3" t="s">
        <v>62</v>
      </c>
      <c r="K33" s="3" t="s">
        <v>62</v>
      </c>
      <c r="L33" s="3" t="s">
        <v>64</v>
      </c>
      <c r="M33" s="2" t="s">
        <v>462</v>
      </c>
      <c r="N33" s="2" t="s">
        <v>463</v>
      </c>
      <c r="O33" s="3" t="s">
        <v>137</v>
      </c>
      <c r="Q33" s="3" t="s">
        <v>68</v>
      </c>
      <c r="R33" s="3" t="s">
        <v>297</v>
      </c>
      <c r="S33" s="2" t="s">
        <v>464</v>
      </c>
      <c r="T33" s="3" t="s">
        <v>70</v>
      </c>
      <c r="U33" s="4">
        <v>9</v>
      </c>
      <c r="V33" s="4">
        <v>9</v>
      </c>
      <c r="W33" s="5" t="s">
        <v>465</v>
      </c>
      <c r="X33" s="5" t="s">
        <v>465</v>
      </c>
      <c r="Y33" s="5" t="s">
        <v>386</v>
      </c>
      <c r="Z33" s="5" t="s">
        <v>386</v>
      </c>
      <c r="AA33" s="4">
        <v>414</v>
      </c>
      <c r="AB33" s="4">
        <v>291</v>
      </c>
      <c r="AC33" s="4">
        <v>295</v>
      </c>
      <c r="AD33" s="4">
        <v>3</v>
      </c>
      <c r="AE33" s="4">
        <v>3</v>
      </c>
      <c r="AF33" s="4">
        <v>12</v>
      </c>
      <c r="AG33" s="4">
        <v>12</v>
      </c>
      <c r="AH33" s="4">
        <v>2</v>
      </c>
      <c r="AI33" s="4">
        <v>2</v>
      </c>
      <c r="AJ33" s="4">
        <v>5</v>
      </c>
      <c r="AK33" s="4">
        <v>5</v>
      </c>
      <c r="AL33" s="4">
        <v>5</v>
      </c>
      <c r="AM33" s="4">
        <v>5</v>
      </c>
      <c r="AN33" s="4">
        <v>2</v>
      </c>
      <c r="AO33" s="4">
        <v>2</v>
      </c>
      <c r="AP33" s="4">
        <v>0</v>
      </c>
      <c r="AQ33" s="4">
        <v>0</v>
      </c>
      <c r="AR33" s="3" t="s">
        <v>62</v>
      </c>
      <c r="AS33" s="3" t="s">
        <v>62</v>
      </c>
      <c r="AU33" s="6" t="str">
        <f>HYPERLINK("https://creighton-primo.hosted.exlibrisgroup.com/primo-explore/search?tab=default_tab&amp;search_scope=EVERYTHING&amp;vid=01CRU&amp;lang=en_US&amp;offset=0&amp;query=any,contains,991005225019702656","Catalog Record")</f>
        <v>Catalog Record</v>
      </c>
      <c r="AV33" s="6" t="str">
        <f>HYPERLINK("http://www.worldcat.org/oclc/8280429","WorldCat Record")</f>
        <v>WorldCat Record</v>
      </c>
      <c r="AW33" s="3" t="s">
        <v>466</v>
      </c>
      <c r="AX33" s="3" t="s">
        <v>467</v>
      </c>
      <c r="AY33" s="3" t="s">
        <v>468</v>
      </c>
      <c r="AZ33" s="3" t="s">
        <v>468</v>
      </c>
      <c r="BA33" s="3" t="s">
        <v>469</v>
      </c>
      <c r="BB33" s="3" t="s">
        <v>77</v>
      </c>
      <c r="BD33" s="3" t="s">
        <v>470</v>
      </c>
      <c r="BE33" s="3" t="s">
        <v>471</v>
      </c>
      <c r="BF33" s="3" t="s">
        <v>472</v>
      </c>
    </row>
    <row r="34" spans="1:58" ht="41.25" customHeight="1" x14ac:dyDescent="0.25">
      <c r="A34" s="7" t="s">
        <v>62</v>
      </c>
      <c r="B34" s="2" t="s">
        <v>57</v>
      </c>
      <c r="C34" s="2" t="s">
        <v>58</v>
      </c>
      <c r="D34" s="2" t="s">
        <v>473</v>
      </c>
      <c r="E34" s="2" t="s">
        <v>474</v>
      </c>
      <c r="F34" s="2" t="s">
        <v>475</v>
      </c>
      <c r="H34" s="3" t="s">
        <v>62</v>
      </c>
      <c r="I34" s="3" t="s">
        <v>63</v>
      </c>
      <c r="J34" s="3" t="s">
        <v>62</v>
      </c>
      <c r="K34" s="3" t="s">
        <v>62</v>
      </c>
      <c r="L34" s="3" t="s">
        <v>64</v>
      </c>
      <c r="M34" s="2" t="s">
        <v>476</v>
      </c>
      <c r="N34" s="2" t="s">
        <v>477</v>
      </c>
      <c r="O34" s="3" t="s">
        <v>137</v>
      </c>
      <c r="Q34" s="3" t="s">
        <v>68</v>
      </c>
      <c r="R34" s="3" t="s">
        <v>478</v>
      </c>
      <c r="T34" s="3" t="s">
        <v>70</v>
      </c>
      <c r="U34" s="4">
        <v>8</v>
      </c>
      <c r="V34" s="4">
        <v>8</v>
      </c>
      <c r="W34" s="5" t="s">
        <v>479</v>
      </c>
      <c r="X34" s="5" t="s">
        <v>479</v>
      </c>
      <c r="Y34" s="5" t="s">
        <v>480</v>
      </c>
      <c r="Z34" s="5" t="s">
        <v>480</v>
      </c>
      <c r="AA34" s="4">
        <v>159</v>
      </c>
      <c r="AB34" s="4">
        <v>130</v>
      </c>
      <c r="AC34" s="4">
        <v>130</v>
      </c>
      <c r="AD34" s="4">
        <v>2</v>
      </c>
      <c r="AE34" s="4">
        <v>2</v>
      </c>
      <c r="AF34" s="4">
        <v>14</v>
      </c>
      <c r="AG34" s="4">
        <v>14</v>
      </c>
      <c r="AH34" s="4">
        <v>1</v>
      </c>
      <c r="AI34" s="4">
        <v>1</v>
      </c>
      <c r="AJ34" s="4">
        <v>6</v>
      </c>
      <c r="AK34" s="4">
        <v>6</v>
      </c>
      <c r="AL34" s="4">
        <v>9</v>
      </c>
      <c r="AM34" s="4">
        <v>9</v>
      </c>
      <c r="AN34" s="4">
        <v>1</v>
      </c>
      <c r="AO34" s="4">
        <v>1</v>
      </c>
      <c r="AP34" s="4">
        <v>0</v>
      </c>
      <c r="AQ34" s="4">
        <v>0</v>
      </c>
      <c r="AR34" s="3" t="s">
        <v>62</v>
      </c>
      <c r="AS34" s="3" t="s">
        <v>62</v>
      </c>
      <c r="AU34" s="6" t="str">
        <f>HYPERLINK("https://creighton-primo.hosted.exlibrisgroup.com/primo-explore/search?tab=default_tab&amp;search_scope=EVERYTHING&amp;vid=01CRU&amp;lang=en_US&amp;offset=0&amp;query=any,contains,991000103989702656","Catalog Record")</f>
        <v>Catalog Record</v>
      </c>
      <c r="AV34" s="6" t="str">
        <f>HYPERLINK("http://www.worldcat.org/oclc/11727874","WorldCat Record")</f>
        <v>WorldCat Record</v>
      </c>
      <c r="AW34" s="3" t="s">
        <v>481</v>
      </c>
      <c r="AX34" s="3" t="s">
        <v>482</v>
      </c>
      <c r="AY34" s="3" t="s">
        <v>483</v>
      </c>
      <c r="AZ34" s="3" t="s">
        <v>483</v>
      </c>
      <c r="BA34" s="3" t="s">
        <v>484</v>
      </c>
      <c r="BB34" s="3" t="s">
        <v>77</v>
      </c>
      <c r="BE34" s="3" t="s">
        <v>485</v>
      </c>
      <c r="BF34" s="3" t="s">
        <v>486</v>
      </c>
    </row>
    <row r="35" spans="1:58" ht="41.25" customHeight="1" x14ac:dyDescent="0.25">
      <c r="A35" s="7" t="s">
        <v>62</v>
      </c>
      <c r="B35" s="2" t="s">
        <v>57</v>
      </c>
      <c r="C35" s="2" t="s">
        <v>58</v>
      </c>
      <c r="D35" s="2" t="s">
        <v>487</v>
      </c>
      <c r="E35" s="2" t="s">
        <v>488</v>
      </c>
      <c r="F35" s="2" t="s">
        <v>489</v>
      </c>
      <c r="H35" s="3" t="s">
        <v>62</v>
      </c>
      <c r="I35" s="3" t="s">
        <v>63</v>
      </c>
      <c r="J35" s="3" t="s">
        <v>62</v>
      </c>
      <c r="K35" s="3" t="s">
        <v>62</v>
      </c>
      <c r="L35" s="3" t="s">
        <v>64</v>
      </c>
      <c r="M35" s="2" t="s">
        <v>490</v>
      </c>
      <c r="N35" s="2" t="s">
        <v>491</v>
      </c>
      <c r="O35" s="3" t="s">
        <v>404</v>
      </c>
      <c r="Q35" s="3" t="s">
        <v>68</v>
      </c>
      <c r="R35" s="3" t="s">
        <v>69</v>
      </c>
      <c r="T35" s="3" t="s">
        <v>70</v>
      </c>
      <c r="U35" s="4">
        <v>6</v>
      </c>
      <c r="V35" s="4">
        <v>6</v>
      </c>
      <c r="W35" s="5" t="s">
        <v>492</v>
      </c>
      <c r="X35" s="5" t="s">
        <v>492</v>
      </c>
      <c r="Y35" s="5" t="s">
        <v>386</v>
      </c>
      <c r="Z35" s="5" t="s">
        <v>386</v>
      </c>
      <c r="AA35" s="4">
        <v>835</v>
      </c>
      <c r="AB35" s="4">
        <v>730</v>
      </c>
      <c r="AC35" s="4">
        <v>735</v>
      </c>
      <c r="AD35" s="4">
        <v>7</v>
      </c>
      <c r="AE35" s="4">
        <v>7</v>
      </c>
      <c r="AF35" s="4">
        <v>34</v>
      </c>
      <c r="AG35" s="4">
        <v>34</v>
      </c>
      <c r="AH35" s="4">
        <v>14</v>
      </c>
      <c r="AI35" s="4">
        <v>14</v>
      </c>
      <c r="AJ35" s="4">
        <v>8</v>
      </c>
      <c r="AK35" s="4">
        <v>8</v>
      </c>
      <c r="AL35" s="4">
        <v>17</v>
      </c>
      <c r="AM35" s="4">
        <v>17</v>
      </c>
      <c r="AN35" s="4">
        <v>5</v>
      </c>
      <c r="AO35" s="4">
        <v>5</v>
      </c>
      <c r="AP35" s="4">
        <v>0</v>
      </c>
      <c r="AQ35" s="4">
        <v>0</v>
      </c>
      <c r="AR35" s="3" t="s">
        <v>62</v>
      </c>
      <c r="AS35" s="3" t="s">
        <v>84</v>
      </c>
      <c r="AT35" s="6" t="str">
        <f>HYPERLINK("http://catalog.hathitrust.org/Record/001394564","HathiTrust Record")</f>
        <v>HathiTrust Record</v>
      </c>
      <c r="AU35" s="6" t="str">
        <f>HYPERLINK("https://creighton-primo.hosted.exlibrisgroup.com/primo-explore/search?tab=default_tab&amp;search_scope=EVERYTHING&amp;vid=01CRU&amp;lang=en_US&amp;offset=0&amp;query=any,contains,991002738899702656","Catalog Record")</f>
        <v>Catalog Record</v>
      </c>
      <c r="AV35" s="6" t="str">
        <f>HYPERLINK("http://www.worldcat.org/oclc/420322","WorldCat Record")</f>
        <v>WorldCat Record</v>
      </c>
      <c r="AW35" s="3" t="s">
        <v>493</v>
      </c>
      <c r="AX35" s="3" t="s">
        <v>494</v>
      </c>
      <c r="AY35" s="3" t="s">
        <v>495</v>
      </c>
      <c r="AZ35" s="3" t="s">
        <v>495</v>
      </c>
      <c r="BA35" s="3" t="s">
        <v>496</v>
      </c>
      <c r="BB35" s="3" t="s">
        <v>77</v>
      </c>
      <c r="BE35" s="3" t="s">
        <v>497</v>
      </c>
      <c r="BF35" s="3" t="s">
        <v>498</v>
      </c>
    </row>
    <row r="36" spans="1:58" ht="41.25" customHeight="1" x14ac:dyDescent="0.25">
      <c r="A36" s="7" t="s">
        <v>62</v>
      </c>
      <c r="B36" s="2" t="s">
        <v>57</v>
      </c>
      <c r="C36" s="2" t="s">
        <v>58</v>
      </c>
      <c r="D36" s="2" t="s">
        <v>499</v>
      </c>
      <c r="E36" s="2" t="s">
        <v>500</v>
      </c>
      <c r="F36" s="2" t="s">
        <v>501</v>
      </c>
      <c r="H36" s="3" t="s">
        <v>62</v>
      </c>
      <c r="I36" s="3" t="s">
        <v>63</v>
      </c>
      <c r="J36" s="3" t="s">
        <v>62</v>
      </c>
      <c r="K36" s="3" t="s">
        <v>62</v>
      </c>
      <c r="L36" s="3" t="s">
        <v>64</v>
      </c>
      <c r="M36" s="2" t="s">
        <v>502</v>
      </c>
      <c r="N36" s="2" t="s">
        <v>503</v>
      </c>
      <c r="O36" s="3" t="s">
        <v>355</v>
      </c>
      <c r="Q36" s="3" t="s">
        <v>68</v>
      </c>
      <c r="R36" s="3" t="s">
        <v>88</v>
      </c>
      <c r="T36" s="3" t="s">
        <v>70</v>
      </c>
      <c r="U36" s="4">
        <v>4</v>
      </c>
      <c r="V36" s="4">
        <v>4</v>
      </c>
      <c r="W36" s="5" t="s">
        <v>504</v>
      </c>
      <c r="X36" s="5" t="s">
        <v>504</v>
      </c>
      <c r="Y36" s="5" t="s">
        <v>451</v>
      </c>
      <c r="Z36" s="5" t="s">
        <v>451</v>
      </c>
      <c r="AA36" s="4">
        <v>135</v>
      </c>
      <c r="AB36" s="4">
        <v>83</v>
      </c>
      <c r="AC36" s="4">
        <v>95</v>
      </c>
      <c r="AD36" s="4">
        <v>1</v>
      </c>
      <c r="AE36" s="4">
        <v>1</v>
      </c>
      <c r="AF36" s="4">
        <v>5</v>
      </c>
      <c r="AG36" s="4">
        <v>5</v>
      </c>
      <c r="AH36" s="4">
        <v>1</v>
      </c>
      <c r="AI36" s="4">
        <v>1</v>
      </c>
      <c r="AJ36" s="4">
        <v>2</v>
      </c>
      <c r="AK36" s="4">
        <v>2</v>
      </c>
      <c r="AL36" s="4">
        <v>4</v>
      </c>
      <c r="AM36" s="4">
        <v>4</v>
      </c>
      <c r="AN36" s="4">
        <v>0</v>
      </c>
      <c r="AO36" s="4">
        <v>0</v>
      </c>
      <c r="AP36" s="4">
        <v>0</v>
      </c>
      <c r="AQ36" s="4">
        <v>0</v>
      </c>
      <c r="AR36" s="3" t="s">
        <v>62</v>
      </c>
      <c r="AS36" s="3" t="s">
        <v>62</v>
      </c>
      <c r="AU36" s="6" t="str">
        <f>HYPERLINK("https://creighton-primo.hosted.exlibrisgroup.com/primo-explore/search?tab=default_tab&amp;search_scope=EVERYTHING&amp;vid=01CRU&amp;lang=en_US&amp;offset=0&amp;query=any,contains,991003562729702656","Catalog Record")</f>
        <v>Catalog Record</v>
      </c>
      <c r="AV36" s="6" t="str">
        <f>HYPERLINK("http://www.worldcat.org/oclc/1134133","WorldCat Record")</f>
        <v>WorldCat Record</v>
      </c>
      <c r="AW36" s="3" t="s">
        <v>505</v>
      </c>
      <c r="AX36" s="3" t="s">
        <v>506</v>
      </c>
      <c r="AY36" s="3" t="s">
        <v>507</v>
      </c>
      <c r="AZ36" s="3" t="s">
        <v>507</v>
      </c>
      <c r="BA36" s="3" t="s">
        <v>508</v>
      </c>
      <c r="BB36" s="3" t="s">
        <v>77</v>
      </c>
      <c r="BE36" s="3" t="s">
        <v>509</v>
      </c>
      <c r="BF36" s="3" t="s">
        <v>510</v>
      </c>
    </row>
    <row r="37" spans="1:58" ht="41.25" customHeight="1" x14ac:dyDescent="0.25">
      <c r="A37" s="7" t="s">
        <v>62</v>
      </c>
      <c r="B37" s="2" t="s">
        <v>57</v>
      </c>
      <c r="C37" s="2" t="s">
        <v>58</v>
      </c>
      <c r="D37" s="2" t="s">
        <v>511</v>
      </c>
      <c r="E37" s="2" t="s">
        <v>512</v>
      </c>
      <c r="F37" s="2" t="s">
        <v>513</v>
      </c>
      <c r="H37" s="3" t="s">
        <v>62</v>
      </c>
      <c r="I37" s="3" t="s">
        <v>63</v>
      </c>
      <c r="J37" s="3" t="s">
        <v>62</v>
      </c>
      <c r="K37" s="3" t="s">
        <v>62</v>
      </c>
      <c r="L37" s="3" t="s">
        <v>64</v>
      </c>
      <c r="M37" s="2" t="s">
        <v>514</v>
      </c>
      <c r="N37" s="2" t="s">
        <v>515</v>
      </c>
      <c r="O37" s="3" t="s">
        <v>516</v>
      </c>
      <c r="P37" s="2" t="s">
        <v>517</v>
      </c>
      <c r="Q37" s="3" t="s">
        <v>68</v>
      </c>
      <c r="R37" s="3" t="s">
        <v>69</v>
      </c>
      <c r="T37" s="3" t="s">
        <v>70</v>
      </c>
      <c r="U37" s="4">
        <v>2</v>
      </c>
      <c r="V37" s="4">
        <v>2</v>
      </c>
      <c r="W37" s="5" t="s">
        <v>518</v>
      </c>
      <c r="X37" s="5" t="s">
        <v>518</v>
      </c>
      <c r="Y37" s="5" t="s">
        <v>451</v>
      </c>
      <c r="Z37" s="5" t="s">
        <v>451</v>
      </c>
      <c r="AA37" s="4">
        <v>397</v>
      </c>
      <c r="AB37" s="4">
        <v>364</v>
      </c>
      <c r="AC37" s="4">
        <v>662</v>
      </c>
      <c r="AD37" s="4">
        <v>4</v>
      </c>
      <c r="AE37" s="4">
        <v>5</v>
      </c>
      <c r="AF37" s="4">
        <v>24</v>
      </c>
      <c r="AG37" s="4">
        <v>34</v>
      </c>
      <c r="AH37" s="4">
        <v>9</v>
      </c>
      <c r="AI37" s="4">
        <v>13</v>
      </c>
      <c r="AJ37" s="4">
        <v>6</v>
      </c>
      <c r="AK37" s="4">
        <v>8</v>
      </c>
      <c r="AL37" s="4">
        <v>14</v>
      </c>
      <c r="AM37" s="4">
        <v>23</v>
      </c>
      <c r="AN37" s="4">
        <v>3</v>
      </c>
      <c r="AO37" s="4">
        <v>3</v>
      </c>
      <c r="AP37" s="4">
        <v>0</v>
      </c>
      <c r="AQ37" s="4">
        <v>0</v>
      </c>
      <c r="AR37" s="3" t="s">
        <v>62</v>
      </c>
      <c r="AS37" s="3" t="s">
        <v>84</v>
      </c>
      <c r="AT37" s="6" t="str">
        <f>HYPERLINK("http://catalog.hathitrust.org/Record/001391837","HathiTrust Record")</f>
        <v>HathiTrust Record</v>
      </c>
      <c r="AU37" s="6" t="str">
        <f>HYPERLINK("https://creighton-primo.hosted.exlibrisgroup.com/primo-explore/search?tab=default_tab&amp;search_scope=EVERYTHING&amp;vid=01CRU&amp;lang=en_US&amp;offset=0&amp;query=any,contains,991002442529702656","Catalog Record")</f>
        <v>Catalog Record</v>
      </c>
      <c r="AV37" s="6" t="str">
        <f>HYPERLINK("http://www.worldcat.org/oclc/350515","WorldCat Record")</f>
        <v>WorldCat Record</v>
      </c>
      <c r="AW37" s="3" t="s">
        <v>519</v>
      </c>
      <c r="AX37" s="3" t="s">
        <v>520</v>
      </c>
      <c r="AY37" s="3" t="s">
        <v>521</v>
      </c>
      <c r="AZ37" s="3" t="s">
        <v>521</v>
      </c>
      <c r="BA37" s="3" t="s">
        <v>522</v>
      </c>
      <c r="BB37" s="3" t="s">
        <v>77</v>
      </c>
      <c r="BE37" s="3" t="s">
        <v>523</v>
      </c>
      <c r="BF37" s="3" t="s">
        <v>524</v>
      </c>
    </row>
    <row r="38" spans="1:58" ht="41.25" customHeight="1" x14ac:dyDescent="0.25">
      <c r="A38" s="7" t="s">
        <v>62</v>
      </c>
      <c r="B38" s="2" t="s">
        <v>57</v>
      </c>
      <c r="C38" s="2" t="s">
        <v>58</v>
      </c>
      <c r="D38" s="2" t="s">
        <v>525</v>
      </c>
      <c r="E38" s="2" t="s">
        <v>526</v>
      </c>
      <c r="F38" s="2" t="s">
        <v>527</v>
      </c>
      <c r="H38" s="3" t="s">
        <v>62</v>
      </c>
      <c r="I38" s="3" t="s">
        <v>63</v>
      </c>
      <c r="J38" s="3" t="s">
        <v>62</v>
      </c>
      <c r="K38" s="3" t="s">
        <v>62</v>
      </c>
      <c r="L38" s="3" t="s">
        <v>64</v>
      </c>
      <c r="M38" s="2" t="s">
        <v>514</v>
      </c>
      <c r="N38" s="2" t="s">
        <v>528</v>
      </c>
      <c r="O38" s="3" t="s">
        <v>529</v>
      </c>
      <c r="P38" s="2" t="s">
        <v>530</v>
      </c>
      <c r="Q38" s="3" t="s">
        <v>68</v>
      </c>
      <c r="R38" s="3" t="s">
        <v>531</v>
      </c>
      <c r="S38" s="2" t="s">
        <v>532</v>
      </c>
      <c r="T38" s="3" t="s">
        <v>70</v>
      </c>
      <c r="U38" s="4">
        <v>4</v>
      </c>
      <c r="V38" s="4">
        <v>4</v>
      </c>
      <c r="W38" s="5" t="s">
        <v>533</v>
      </c>
      <c r="X38" s="5" t="s">
        <v>533</v>
      </c>
      <c r="Y38" s="5" t="s">
        <v>451</v>
      </c>
      <c r="Z38" s="5" t="s">
        <v>451</v>
      </c>
      <c r="AA38" s="4">
        <v>385</v>
      </c>
      <c r="AB38" s="4">
        <v>335</v>
      </c>
      <c r="AC38" s="4">
        <v>338</v>
      </c>
      <c r="AD38" s="4">
        <v>4</v>
      </c>
      <c r="AE38" s="4">
        <v>4</v>
      </c>
      <c r="AF38" s="4">
        <v>20</v>
      </c>
      <c r="AG38" s="4">
        <v>20</v>
      </c>
      <c r="AH38" s="4">
        <v>10</v>
      </c>
      <c r="AI38" s="4">
        <v>10</v>
      </c>
      <c r="AJ38" s="4">
        <v>2</v>
      </c>
      <c r="AK38" s="4">
        <v>2</v>
      </c>
      <c r="AL38" s="4">
        <v>12</v>
      </c>
      <c r="AM38" s="4">
        <v>12</v>
      </c>
      <c r="AN38" s="4">
        <v>3</v>
      </c>
      <c r="AO38" s="4">
        <v>3</v>
      </c>
      <c r="AP38" s="4">
        <v>0</v>
      </c>
      <c r="AQ38" s="4">
        <v>0</v>
      </c>
      <c r="AR38" s="3" t="s">
        <v>62</v>
      </c>
      <c r="AS38" s="3" t="s">
        <v>84</v>
      </c>
      <c r="AT38" s="6" t="str">
        <f>HYPERLINK("http://catalog.hathitrust.org/Record/000450275","HathiTrust Record")</f>
        <v>HathiTrust Record</v>
      </c>
      <c r="AU38" s="6" t="str">
        <f>HYPERLINK("https://creighton-primo.hosted.exlibrisgroup.com/primo-explore/search?tab=default_tab&amp;search_scope=EVERYTHING&amp;vid=01CRU&amp;lang=en_US&amp;offset=0&amp;query=any,contains,991000331469702656","Catalog Record")</f>
        <v>Catalog Record</v>
      </c>
      <c r="AV38" s="6" t="str">
        <f>HYPERLINK("http://www.worldcat.org/oclc/10207339","WorldCat Record")</f>
        <v>WorldCat Record</v>
      </c>
      <c r="AW38" s="3" t="s">
        <v>534</v>
      </c>
      <c r="AX38" s="3" t="s">
        <v>535</v>
      </c>
      <c r="AY38" s="3" t="s">
        <v>536</v>
      </c>
      <c r="AZ38" s="3" t="s">
        <v>536</v>
      </c>
      <c r="BA38" s="3" t="s">
        <v>537</v>
      </c>
      <c r="BB38" s="3" t="s">
        <v>77</v>
      </c>
      <c r="BD38" s="3" t="s">
        <v>538</v>
      </c>
      <c r="BE38" s="3" t="s">
        <v>539</v>
      </c>
      <c r="BF38" s="3" t="s">
        <v>540</v>
      </c>
    </row>
    <row r="39" spans="1:58" ht="41.25" customHeight="1" x14ac:dyDescent="0.25">
      <c r="A39" s="7" t="s">
        <v>62</v>
      </c>
      <c r="B39" s="2" t="s">
        <v>57</v>
      </c>
      <c r="C39" s="2" t="s">
        <v>58</v>
      </c>
      <c r="D39" s="2" t="s">
        <v>541</v>
      </c>
      <c r="E39" s="2" t="s">
        <v>542</v>
      </c>
      <c r="F39" s="2" t="s">
        <v>543</v>
      </c>
      <c r="H39" s="3" t="s">
        <v>62</v>
      </c>
      <c r="I39" s="3" t="s">
        <v>63</v>
      </c>
      <c r="J39" s="3" t="s">
        <v>84</v>
      </c>
      <c r="K39" s="3" t="s">
        <v>62</v>
      </c>
      <c r="L39" s="3" t="s">
        <v>64</v>
      </c>
      <c r="M39" s="2" t="s">
        <v>544</v>
      </c>
      <c r="N39" s="2" t="s">
        <v>545</v>
      </c>
      <c r="O39" s="3" t="s">
        <v>546</v>
      </c>
      <c r="Q39" s="3" t="s">
        <v>68</v>
      </c>
      <c r="R39" s="3" t="s">
        <v>547</v>
      </c>
      <c r="T39" s="3" t="s">
        <v>70</v>
      </c>
      <c r="U39" s="4">
        <v>1</v>
      </c>
      <c r="V39" s="4">
        <v>1</v>
      </c>
      <c r="W39" s="5" t="s">
        <v>548</v>
      </c>
      <c r="X39" s="5" t="s">
        <v>548</v>
      </c>
      <c r="Y39" s="5" t="s">
        <v>451</v>
      </c>
      <c r="Z39" s="5" t="s">
        <v>549</v>
      </c>
      <c r="AA39" s="4">
        <v>260</v>
      </c>
      <c r="AB39" s="4">
        <v>224</v>
      </c>
      <c r="AC39" s="4">
        <v>246</v>
      </c>
      <c r="AD39" s="4">
        <v>4</v>
      </c>
      <c r="AE39" s="4">
        <v>5</v>
      </c>
      <c r="AF39" s="4">
        <v>27</v>
      </c>
      <c r="AG39" s="4">
        <v>29</v>
      </c>
      <c r="AH39" s="4">
        <v>8</v>
      </c>
      <c r="AI39" s="4">
        <v>9</v>
      </c>
      <c r="AJ39" s="4">
        <v>6</v>
      </c>
      <c r="AK39" s="4">
        <v>7</v>
      </c>
      <c r="AL39" s="4">
        <v>21</v>
      </c>
      <c r="AM39" s="4">
        <v>21</v>
      </c>
      <c r="AN39" s="4">
        <v>2</v>
      </c>
      <c r="AO39" s="4">
        <v>3</v>
      </c>
      <c r="AP39" s="4">
        <v>0</v>
      </c>
      <c r="AQ39" s="4">
        <v>0</v>
      </c>
      <c r="AR39" s="3" t="s">
        <v>62</v>
      </c>
      <c r="AS39" s="3" t="s">
        <v>84</v>
      </c>
      <c r="AT39" s="6" t="str">
        <f>HYPERLINK("http://catalog.hathitrust.org/Record/101870447","HathiTrust Record")</f>
        <v>HathiTrust Record</v>
      </c>
      <c r="AU39" s="6" t="str">
        <f>HYPERLINK("https://creighton-primo.hosted.exlibrisgroup.com/primo-explore/search?tab=default_tab&amp;search_scope=EVERYTHING&amp;vid=01CRU&amp;lang=en_US&amp;offset=0&amp;query=any,contains,991003059609702656","Catalog Record")</f>
        <v>Catalog Record</v>
      </c>
      <c r="AV39" s="6" t="str">
        <f>HYPERLINK("http://www.worldcat.org/oclc/1456734","WorldCat Record")</f>
        <v>WorldCat Record</v>
      </c>
      <c r="AW39" s="3" t="s">
        <v>550</v>
      </c>
      <c r="AX39" s="3" t="s">
        <v>551</v>
      </c>
      <c r="AY39" s="3" t="s">
        <v>552</v>
      </c>
      <c r="AZ39" s="3" t="s">
        <v>552</v>
      </c>
      <c r="BA39" s="3" t="s">
        <v>553</v>
      </c>
      <c r="BB39" s="3" t="s">
        <v>77</v>
      </c>
      <c r="BE39" s="3" t="s">
        <v>554</v>
      </c>
      <c r="BF39" s="3" t="s">
        <v>555</v>
      </c>
    </row>
    <row r="40" spans="1:58" ht="41.25" customHeight="1" x14ac:dyDescent="0.25">
      <c r="A40" s="7" t="s">
        <v>62</v>
      </c>
      <c r="B40" s="2" t="s">
        <v>57</v>
      </c>
      <c r="C40" s="2" t="s">
        <v>58</v>
      </c>
      <c r="D40" s="2" t="s">
        <v>556</v>
      </c>
      <c r="E40" s="2" t="s">
        <v>557</v>
      </c>
      <c r="F40" s="2" t="s">
        <v>558</v>
      </c>
      <c r="H40" s="3" t="s">
        <v>62</v>
      </c>
      <c r="I40" s="3" t="s">
        <v>63</v>
      </c>
      <c r="J40" s="3" t="s">
        <v>62</v>
      </c>
      <c r="K40" s="3" t="s">
        <v>62</v>
      </c>
      <c r="L40" s="3" t="s">
        <v>64</v>
      </c>
      <c r="M40" s="2" t="s">
        <v>559</v>
      </c>
      <c r="N40" s="2" t="s">
        <v>560</v>
      </c>
      <c r="O40" s="3" t="s">
        <v>561</v>
      </c>
      <c r="Q40" s="3" t="s">
        <v>68</v>
      </c>
      <c r="R40" s="3" t="s">
        <v>562</v>
      </c>
      <c r="T40" s="3" t="s">
        <v>70</v>
      </c>
      <c r="U40" s="4">
        <v>2</v>
      </c>
      <c r="V40" s="4">
        <v>2</v>
      </c>
      <c r="W40" s="5" t="s">
        <v>563</v>
      </c>
      <c r="X40" s="5" t="s">
        <v>563</v>
      </c>
      <c r="Y40" s="5" t="s">
        <v>451</v>
      </c>
      <c r="Z40" s="5" t="s">
        <v>451</v>
      </c>
      <c r="AA40" s="4">
        <v>253</v>
      </c>
      <c r="AB40" s="4">
        <v>193</v>
      </c>
      <c r="AC40" s="4">
        <v>210</v>
      </c>
      <c r="AD40" s="4">
        <v>1</v>
      </c>
      <c r="AE40" s="4">
        <v>1</v>
      </c>
      <c r="AF40" s="4">
        <v>15</v>
      </c>
      <c r="AG40" s="4">
        <v>16</v>
      </c>
      <c r="AH40" s="4">
        <v>6</v>
      </c>
      <c r="AI40" s="4">
        <v>6</v>
      </c>
      <c r="AJ40" s="4">
        <v>3</v>
      </c>
      <c r="AK40" s="4">
        <v>4</v>
      </c>
      <c r="AL40" s="4">
        <v>9</v>
      </c>
      <c r="AM40" s="4">
        <v>10</v>
      </c>
      <c r="AN40" s="4">
        <v>0</v>
      </c>
      <c r="AO40" s="4">
        <v>0</v>
      </c>
      <c r="AP40" s="4">
        <v>0</v>
      </c>
      <c r="AQ40" s="4">
        <v>0</v>
      </c>
      <c r="AR40" s="3" t="s">
        <v>62</v>
      </c>
      <c r="AS40" s="3" t="s">
        <v>84</v>
      </c>
      <c r="AT40" s="6" t="str">
        <f>HYPERLINK("http://catalog.hathitrust.org/Record/000814071","HathiTrust Record")</f>
        <v>HathiTrust Record</v>
      </c>
      <c r="AU40" s="6" t="str">
        <f>HYPERLINK("https://creighton-primo.hosted.exlibrisgroup.com/primo-explore/search?tab=default_tab&amp;search_scope=EVERYTHING&amp;vid=01CRU&amp;lang=en_US&amp;offset=0&amp;query=any,contains,991001143659702656","Catalog Record")</f>
        <v>Catalog Record</v>
      </c>
      <c r="AV40" s="6" t="str">
        <f>HYPERLINK("http://www.worldcat.org/oclc/16755968","WorldCat Record")</f>
        <v>WorldCat Record</v>
      </c>
      <c r="AW40" s="3" t="s">
        <v>564</v>
      </c>
      <c r="AX40" s="3" t="s">
        <v>565</v>
      </c>
      <c r="AY40" s="3" t="s">
        <v>566</v>
      </c>
      <c r="AZ40" s="3" t="s">
        <v>566</v>
      </c>
      <c r="BA40" s="3" t="s">
        <v>567</v>
      </c>
      <c r="BB40" s="3" t="s">
        <v>77</v>
      </c>
      <c r="BD40" s="3" t="s">
        <v>568</v>
      </c>
      <c r="BE40" s="3" t="s">
        <v>569</v>
      </c>
      <c r="BF40" s="3" t="s">
        <v>570</v>
      </c>
    </row>
    <row r="41" spans="1:58" ht="41.25" customHeight="1" x14ac:dyDescent="0.25">
      <c r="A41" s="7" t="s">
        <v>62</v>
      </c>
      <c r="B41" s="2" t="s">
        <v>57</v>
      </c>
      <c r="C41" s="2" t="s">
        <v>58</v>
      </c>
      <c r="D41" s="2" t="s">
        <v>571</v>
      </c>
      <c r="E41" s="2" t="s">
        <v>572</v>
      </c>
      <c r="F41" s="2" t="s">
        <v>573</v>
      </c>
      <c r="H41" s="3" t="s">
        <v>62</v>
      </c>
      <c r="I41" s="3" t="s">
        <v>63</v>
      </c>
      <c r="J41" s="3" t="s">
        <v>62</v>
      </c>
      <c r="K41" s="3" t="s">
        <v>62</v>
      </c>
      <c r="L41" s="3" t="s">
        <v>64</v>
      </c>
      <c r="M41" s="2" t="s">
        <v>574</v>
      </c>
      <c r="N41" s="2" t="s">
        <v>575</v>
      </c>
      <c r="O41" s="3" t="s">
        <v>233</v>
      </c>
      <c r="Q41" s="3" t="s">
        <v>68</v>
      </c>
      <c r="R41" s="3" t="s">
        <v>69</v>
      </c>
      <c r="S41" s="2" t="s">
        <v>576</v>
      </c>
      <c r="T41" s="3" t="s">
        <v>70</v>
      </c>
      <c r="U41" s="4">
        <v>2</v>
      </c>
      <c r="V41" s="4">
        <v>2</v>
      </c>
      <c r="W41" s="5" t="s">
        <v>577</v>
      </c>
      <c r="X41" s="5" t="s">
        <v>577</v>
      </c>
      <c r="Y41" s="5" t="s">
        <v>386</v>
      </c>
      <c r="Z41" s="5" t="s">
        <v>386</v>
      </c>
      <c r="AA41" s="4">
        <v>398</v>
      </c>
      <c r="AB41" s="4">
        <v>309</v>
      </c>
      <c r="AC41" s="4">
        <v>314</v>
      </c>
      <c r="AD41" s="4">
        <v>2</v>
      </c>
      <c r="AE41" s="4">
        <v>2</v>
      </c>
      <c r="AF41" s="4">
        <v>14</v>
      </c>
      <c r="AG41" s="4">
        <v>14</v>
      </c>
      <c r="AH41" s="4">
        <v>4</v>
      </c>
      <c r="AI41" s="4">
        <v>4</v>
      </c>
      <c r="AJ41" s="4">
        <v>4</v>
      </c>
      <c r="AK41" s="4">
        <v>4</v>
      </c>
      <c r="AL41" s="4">
        <v>9</v>
      </c>
      <c r="AM41" s="4">
        <v>9</v>
      </c>
      <c r="AN41" s="4">
        <v>1</v>
      </c>
      <c r="AO41" s="4">
        <v>1</v>
      </c>
      <c r="AP41" s="4">
        <v>0</v>
      </c>
      <c r="AQ41" s="4">
        <v>0</v>
      </c>
      <c r="AR41" s="3" t="s">
        <v>62</v>
      </c>
      <c r="AS41" s="3" t="s">
        <v>62</v>
      </c>
      <c r="AU41" s="6" t="str">
        <f>HYPERLINK("https://creighton-primo.hosted.exlibrisgroup.com/primo-explore/search?tab=default_tab&amp;search_scope=EVERYTHING&amp;vid=01CRU&amp;lang=en_US&amp;offset=0&amp;query=any,contains,991004883849702656","Catalog Record")</f>
        <v>Catalog Record</v>
      </c>
      <c r="AV41" s="6" t="str">
        <f>HYPERLINK("http://www.worldcat.org/oclc/5830536","WorldCat Record")</f>
        <v>WorldCat Record</v>
      </c>
      <c r="AW41" s="3" t="s">
        <v>578</v>
      </c>
      <c r="AX41" s="3" t="s">
        <v>579</v>
      </c>
      <c r="AY41" s="3" t="s">
        <v>580</v>
      </c>
      <c r="AZ41" s="3" t="s">
        <v>580</v>
      </c>
      <c r="BA41" s="3" t="s">
        <v>581</v>
      </c>
      <c r="BB41" s="3" t="s">
        <v>77</v>
      </c>
      <c r="BD41" s="3" t="s">
        <v>582</v>
      </c>
      <c r="BE41" s="3" t="s">
        <v>583</v>
      </c>
      <c r="BF41" s="3" t="s">
        <v>584</v>
      </c>
    </row>
    <row r="42" spans="1:58" ht="41.25" customHeight="1" x14ac:dyDescent="0.25">
      <c r="A42" s="7" t="s">
        <v>62</v>
      </c>
      <c r="B42" s="2" t="s">
        <v>57</v>
      </c>
      <c r="C42" s="2" t="s">
        <v>58</v>
      </c>
      <c r="D42" s="2" t="s">
        <v>585</v>
      </c>
      <c r="E42" s="2" t="s">
        <v>586</v>
      </c>
      <c r="F42" s="2" t="s">
        <v>587</v>
      </c>
      <c r="H42" s="3" t="s">
        <v>62</v>
      </c>
      <c r="I42" s="3" t="s">
        <v>63</v>
      </c>
      <c r="J42" s="3" t="s">
        <v>62</v>
      </c>
      <c r="K42" s="3" t="s">
        <v>62</v>
      </c>
      <c r="L42" s="3" t="s">
        <v>64</v>
      </c>
      <c r="M42" s="2" t="s">
        <v>588</v>
      </c>
      <c r="N42" s="2" t="s">
        <v>589</v>
      </c>
      <c r="O42" s="3" t="s">
        <v>590</v>
      </c>
      <c r="Q42" s="3" t="s">
        <v>68</v>
      </c>
      <c r="R42" s="3" t="s">
        <v>88</v>
      </c>
      <c r="T42" s="3" t="s">
        <v>70</v>
      </c>
      <c r="U42" s="4">
        <v>6</v>
      </c>
      <c r="V42" s="4">
        <v>6</v>
      </c>
      <c r="W42" s="5" t="s">
        <v>591</v>
      </c>
      <c r="X42" s="5" t="s">
        <v>591</v>
      </c>
      <c r="Y42" s="5" t="s">
        <v>386</v>
      </c>
      <c r="Z42" s="5" t="s">
        <v>386</v>
      </c>
      <c r="AA42" s="4">
        <v>110</v>
      </c>
      <c r="AB42" s="4">
        <v>103</v>
      </c>
      <c r="AC42" s="4">
        <v>285</v>
      </c>
      <c r="AD42" s="4">
        <v>1</v>
      </c>
      <c r="AE42" s="4">
        <v>2</v>
      </c>
      <c r="AF42" s="4">
        <v>7</v>
      </c>
      <c r="AG42" s="4">
        <v>19</v>
      </c>
      <c r="AH42" s="4">
        <v>2</v>
      </c>
      <c r="AI42" s="4">
        <v>6</v>
      </c>
      <c r="AJ42" s="4">
        <v>3</v>
      </c>
      <c r="AK42" s="4">
        <v>6</v>
      </c>
      <c r="AL42" s="4">
        <v>5</v>
      </c>
      <c r="AM42" s="4">
        <v>10</v>
      </c>
      <c r="AN42" s="4">
        <v>0</v>
      </c>
      <c r="AO42" s="4">
        <v>1</v>
      </c>
      <c r="AP42" s="4">
        <v>0</v>
      </c>
      <c r="AQ42" s="4">
        <v>0</v>
      </c>
      <c r="AR42" s="3" t="s">
        <v>62</v>
      </c>
      <c r="AS42" s="3" t="s">
        <v>62</v>
      </c>
      <c r="AU42" s="6" t="str">
        <f>HYPERLINK("https://creighton-primo.hosted.exlibrisgroup.com/primo-explore/search?tab=default_tab&amp;search_scope=EVERYTHING&amp;vid=01CRU&amp;lang=en_US&amp;offset=0&amp;query=any,contains,991003450069702656","Catalog Record")</f>
        <v>Catalog Record</v>
      </c>
      <c r="AV42" s="6" t="str">
        <f>HYPERLINK("http://www.worldcat.org/oclc/7815528","WorldCat Record")</f>
        <v>WorldCat Record</v>
      </c>
      <c r="AW42" s="3" t="s">
        <v>592</v>
      </c>
      <c r="AX42" s="3" t="s">
        <v>593</v>
      </c>
      <c r="AY42" s="3" t="s">
        <v>594</v>
      </c>
      <c r="AZ42" s="3" t="s">
        <v>594</v>
      </c>
      <c r="BA42" s="3" t="s">
        <v>595</v>
      </c>
      <c r="BB42" s="3" t="s">
        <v>77</v>
      </c>
      <c r="BE42" s="3" t="s">
        <v>596</v>
      </c>
      <c r="BF42" s="3" t="s">
        <v>597</v>
      </c>
    </row>
    <row r="43" spans="1:58" ht="41.25" customHeight="1" x14ac:dyDescent="0.25">
      <c r="A43" s="7" t="s">
        <v>62</v>
      </c>
      <c r="B43" s="2" t="s">
        <v>57</v>
      </c>
      <c r="C43" s="2" t="s">
        <v>58</v>
      </c>
      <c r="D43" s="2" t="s">
        <v>598</v>
      </c>
      <c r="E43" s="2" t="s">
        <v>599</v>
      </c>
      <c r="F43" s="2" t="s">
        <v>600</v>
      </c>
      <c r="H43" s="3" t="s">
        <v>62</v>
      </c>
      <c r="I43" s="3" t="s">
        <v>63</v>
      </c>
      <c r="J43" s="3" t="s">
        <v>62</v>
      </c>
      <c r="K43" s="3" t="s">
        <v>62</v>
      </c>
      <c r="L43" s="3" t="s">
        <v>64</v>
      </c>
      <c r="M43" s="2" t="s">
        <v>601</v>
      </c>
      <c r="N43" s="2" t="s">
        <v>602</v>
      </c>
      <c r="O43" s="3" t="s">
        <v>603</v>
      </c>
      <c r="Q43" s="3" t="s">
        <v>68</v>
      </c>
      <c r="R43" s="3" t="s">
        <v>297</v>
      </c>
      <c r="S43" s="2" t="s">
        <v>604</v>
      </c>
      <c r="T43" s="3" t="s">
        <v>70</v>
      </c>
      <c r="U43" s="4">
        <v>7</v>
      </c>
      <c r="V43" s="4">
        <v>7</v>
      </c>
      <c r="W43" s="5" t="s">
        <v>605</v>
      </c>
      <c r="X43" s="5" t="s">
        <v>605</v>
      </c>
      <c r="Y43" s="5" t="s">
        <v>451</v>
      </c>
      <c r="Z43" s="5" t="s">
        <v>451</v>
      </c>
      <c r="AA43" s="4">
        <v>81</v>
      </c>
      <c r="AB43" s="4">
        <v>58</v>
      </c>
      <c r="AC43" s="4">
        <v>101</v>
      </c>
      <c r="AD43" s="4">
        <v>2</v>
      </c>
      <c r="AE43" s="4">
        <v>2</v>
      </c>
      <c r="AF43" s="4">
        <v>13</v>
      </c>
      <c r="AG43" s="4">
        <v>17</v>
      </c>
      <c r="AH43" s="4">
        <v>3</v>
      </c>
      <c r="AI43" s="4">
        <v>4</v>
      </c>
      <c r="AJ43" s="4">
        <v>2</v>
      </c>
      <c r="AK43" s="4">
        <v>3</v>
      </c>
      <c r="AL43" s="4">
        <v>12</v>
      </c>
      <c r="AM43" s="4">
        <v>15</v>
      </c>
      <c r="AN43" s="4">
        <v>0</v>
      </c>
      <c r="AO43" s="4">
        <v>0</v>
      </c>
      <c r="AP43" s="4">
        <v>0</v>
      </c>
      <c r="AQ43" s="4">
        <v>0</v>
      </c>
      <c r="AR43" s="3" t="s">
        <v>84</v>
      </c>
      <c r="AS43" s="3" t="s">
        <v>62</v>
      </c>
      <c r="AT43" s="6" t="str">
        <f>HYPERLINK("http://catalog.hathitrust.org/Record/008623672","HathiTrust Record")</f>
        <v>HathiTrust Record</v>
      </c>
      <c r="AU43" s="6" t="str">
        <f>HYPERLINK("https://creighton-primo.hosted.exlibrisgroup.com/primo-explore/search?tab=default_tab&amp;search_scope=EVERYTHING&amp;vid=01CRU&amp;lang=en_US&amp;offset=0&amp;query=any,contains,991004468669702656","Catalog Record")</f>
        <v>Catalog Record</v>
      </c>
      <c r="AV43" s="6" t="str">
        <f>HYPERLINK("http://www.worldcat.org/oclc/3584700","WorldCat Record")</f>
        <v>WorldCat Record</v>
      </c>
      <c r="AW43" s="3" t="s">
        <v>606</v>
      </c>
      <c r="AX43" s="3" t="s">
        <v>607</v>
      </c>
      <c r="AY43" s="3" t="s">
        <v>608</v>
      </c>
      <c r="AZ43" s="3" t="s">
        <v>608</v>
      </c>
      <c r="BA43" s="3" t="s">
        <v>609</v>
      </c>
      <c r="BB43" s="3" t="s">
        <v>77</v>
      </c>
      <c r="BE43" s="3" t="s">
        <v>610</v>
      </c>
      <c r="BF43" s="3" t="s">
        <v>611</v>
      </c>
    </row>
    <row r="44" spans="1:58" ht="41.25" customHeight="1" x14ac:dyDescent="0.25">
      <c r="A44" s="7" t="s">
        <v>62</v>
      </c>
      <c r="B44" s="2" t="s">
        <v>57</v>
      </c>
      <c r="C44" s="2" t="s">
        <v>58</v>
      </c>
      <c r="D44" s="2" t="s">
        <v>612</v>
      </c>
      <c r="E44" s="2" t="s">
        <v>613</v>
      </c>
      <c r="F44" s="2" t="s">
        <v>614</v>
      </c>
      <c r="H44" s="3" t="s">
        <v>62</v>
      </c>
      <c r="I44" s="3" t="s">
        <v>63</v>
      </c>
      <c r="J44" s="3" t="s">
        <v>62</v>
      </c>
      <c r="K44" s="3" t="s">
        <v>62</v>
      </c>
      <c r="L44" s="3" t="s">
        <v>64</v>
      </c>
      <c r="M44" s="2" t="s">
        <v>615</v>
      </c>
      <c r="N44" s="2" t="s">
        <v>616</v>
      </c>
      <c r="O44" s="3" t="s">
        <v>340</v>
      </c>
      <c r="Q44" s="3" t="s">
        <v>68</v>
      </c>
      <c r="R44" s="3" t="s">
        <v>88</v>
      </c>
      <c r="T44" s="3" t="s">
        <v>70</v>
      </c>
      <c r="U44" s="4">
        <v>2</v>
      </c>
      <c r="V44" s="4">
        <v>2</v>
      </c>
      <c r="W44" s="5" t="s">
        <v>617</v>
      </c>
      <c r="X44" s="5" t="s">
        <v>617</v>
      </c>
      <c r="Y44" s="5" t="s">
        <v>451</v>
      </c>
      <c r="Z44" s="5" t="s">
        <v>451</v>
      </c>
      <c r="AA44" s="4">
        <v>268</v>
      </c>
      <c r="AB44" s="4">
        <v>234</v>
      </c>
      <c r="AC44" s="4">
        <v>241</v>
      </c>
      <c r="AD44" s="4">
        <v>2</v>
      </c>
      <c r="AE44" s="4">
        <v>2</v>
      </c>
      <c r="AF44" s="4">
        <v>28</v>
      </c>
      <c r="AG44" s="4">
        <v>28</v>
      </c>
      <c r="AH44" s="4">
        <v>9</v>
      </c>
      <c r="AI44" s="4">
        <v>9</v>
      </c>
      <c r="AJ44" s="4">
        <v>6</v>
      </c>
      <c r="AK44" s="4">
        <v>6</v>
      </c>
      <c r="AL44" s="4">
        <v>22</v>
      </c>
      <c r="AM44" s="4">
        <v>22</v>
      </c>
      <c r="AN44" s="4">
        <v>0</v>
      </c>
      <c r="AO44" s="4">
        <v>0</v>
      </c>
      <c r="AP44" s="4">
        <v>0</v>
      </c>
      <c r="AQ44" s="4">
        <v>0</v>
      </c>
      <c r="AR44" s="3" t="s">
        <v>84</v>
      </c>
      <c r="AS44" s="3" t="s">
        <v>62</v>
      </c>
      <c r="AT44" s="6" t="str">
        <f>HYPERLINK("http://catalog.hathitrust.org/Record/001391834","HathiTrust Record")</f>
        <v>HathiTrust Record</v>
      </c>
      <c r="AU44" s="6" t="str">
        <f>HYPERLINK("https://creighton-primo.hosted.exlibrisgroup.com/primo-explore/search?tab=default_tab&amp;search_scope=EVERYTHING&amp;vid=01CRU&amp;lang=en_US&amp;offset=0&amp;query=any,contains,991003772229702656","Catalog Record")</f>
        <v>Catalog Record</v>
      </c>
      <c r="AV44" s="6" t="str">
        <f>HYPERLINK("http://www.worldcat.org/oclc/1474146","WorldCat Record")</f>
        <v>WorldCat Record</v>
      </c>
      <c r="AW44" s="3" t="s">
        <v>618</v>
      </c>
      <c r="AX44" s="3" t="s">
        <v>619</v>
      </c>
      <c r="AY44" s="3" t="s">
        <v>620</v>
      </c>
      <c r="AZ44" s="3" t="s">
        <v>620</v>
      </c>
      <c r="BA44" s="3" t="s">
        <v>621</v>
      </c>
      <c r="BB44" s="3" t="s">
        <v>77</v>
      </c>
      <c r="BE44" s="3" t="s">
        <v>622</v>
      </c>
      <c r="BF44" s="3" t="s">
        <v>623</v>
      </c>
    </row>
    <row r="45" spans="1:58" ht="41.25" customHeight="1" x14ac:dyDescent="0.25">
      <c r="A45" s="7" t="s">
        <v>62</v>
      </c>
      <c r="B45" s="2" t="s">
        <v>57</v>
      </c>
      <c r="C45" s="2" t="s">
        <v>58</v>
      </c>
      <c r="D45" s="2" t="s">
        <v>624</v>
      </c>
      <c r="E45" s="2" t="s">
        <v>625</v>
      </c>
      <c r="F45" s="2" t="s">
        <v>626</v>
      </c>
      <c r="H45" s="3" t="s">
        <v>62</v>
      </c>
      <c r="I45" s="3" t="s">
        <v>63</v>
      </c>
      <c r="J45" s="3" t="s">
        <v>62</v>
      </c>
      <c r="K45" s="3" t="s">
        <v>62</v>
      </c>
      <c r="L45" s="3" t="s">
        <v>64</v>
      </c>
      <c r="M45" s="2" t="s">
        <v>627</v>
      </c>
      <c r="N45" s="2" t="s">
        <v>628</v>
      </c>
      <c r="O45" s="3" t="s">
        <v>629</v>
      </c>
      <c r="Q45" s="3" t="s">
        <v>68</v>
      </c>
      <c r="R45" s="3" t="s">
        <v>630</v>
      </c>
      <c r="S45" s="2" t="s">
        <v>631</v>
      </c>
      <c r="T45" s="3" t="s">
        <v>70</v>
      </c>
      <c r="U45" s="4">
        <v>4</v>
      </c>
      <c r="V45" s="4">
        <v>4</v>
      </c>
      <c r="W45" s="5" t="s">
        <v>632</v>
      </c>
      <c r="X45" s="5" t="s">
        <v>632</v>
      </c>
      <c r="Y45" s="5" t="s">
        <v>451</v>
      </c>
      <c r="Z45" s="5" t="s">
        <v>451</v>
      </c>
      <c r="AA45" s="4">
        <v>498</v>
      </c>
      <c r="AB45" s="4">
        <v>402</v>
      </c>
      <c r="AC45" s="4">
        <v>576</v>
      </c>
      <c r="AD45" s="4">
        <v>3</v>
      </c>
      <c r="AE45" s="4">
        <v>3</v>
      </c>
      <c r="AF45" s="4">
        <v>33</v>
      </c>
      <c r="AG45" s="4">
        <v>35</v>
      </c>
      <c r="AH45" s="4">
        <v>10</v>
      </c>
      <c r="AI45" s="4">
        <v>12</v>
      </c>
      <c r="AJ45" s="4">
        <v>9</v>
      </c>
      <c r="AK45" s="4">
        <v>10</v>
      </c>
      <c r="AL45" s="4">
        <v>25</v>
      </c>
      <c r="AM45" s="4">
        <v>25</v>
      </c>
      <c r="AN45" s="4">
        <v>1</v>
      </c>
      <c r="AO45" s="4">
        <v>1</v>
      </c>
      <c r="AP45" s="4">
        <v>0</v>
      </c>
      <c r="AQ45" s="4">
        <v>0</v>
      </c>
      <c r="AR45" s="3" t="s">
        <v>62</v>
      </c>
      <c r="AS45" s="3" t="s">
        <v>84</v>
      </c>
      <c r="AT45" s="6" t="str">
        <f>HYPERLINK("http://catalog.hathitrust.org/Record/000713867","HathiTrust Record")</f>
        <v>HathiTrust Record</v>
      </c>
      <c r="AU45" s="6" t="str">
        <f>HYPERLINK("https://creighton-primo.hosted.exlibrisgroup.com/primo-explore/search?tab=default_tab&amp;search_scope=EVERYTHING&amp;vid=01CRU&amp;lang=en_US&amp;offset=0&amp;query=any,contains,991004059989702656","Catalog Record")</f>
        <v>Catalog Record</v>
      </c>
      <c r="AV45" s="6" t="str">
        <f>HYPERLINK("http://www.worldcat.org/oclc/2238150","WorldCat Record")</f>
        <v>WorldCat Record</v>
      </c>
      <c r="AW45" s="3" t="s">
        <v>633</v>
      </c>
      <c r="AX45" s="3" t="s">
        <v>634</v>
      </c>
      <c r="AY45" s="3" t="s">
        <v>635</v>
      </c>
      <c r="AZ45" s="3" t="s">
        <v>635</v>
      </c>
      <c r="BA45" s="3" t="s">
        <v>636</v>
      </c>
      <c r="BB45" s="3" t="s">
        <v>77</v>
      </c>
      <c r="BD45" s="3" t="s">
        <v>637</v>
      </c>
      <c r="BE45" s="3" t="s">
        <v>638</v>
      </c>
      <c r="BF45" s="3" t="s">
        <v>639</v>
      </c>
    </row>
    <row r="46" spans="1:58" ht="41.25" customHeight="1" x14ac:dyDescent="0.25">
      <c r="A46" s="7" t="s">
        <v>62</v>
      </c>
      <c r="B46" s="2" t="s">
        <v>57</v>
      </c>
      <c r="C46" s="2" t="s">
        <v>58</v>
      </c>
      <c r="D46" s="2" t="s">
        <v>640</v>
      </c>
      <c r="E46" s="2" t="s">
        <v>641</v>
      </c>
      <c r="F46" s="2" t="s">
        <v>642</v>
      </c>
      <c r="H46" s="3" t="s">
        <v>62</v>
      </c>
      <c r="I46" s="3" t="s">
        <v>63</v>
      </c>
      <c r="J46" s="3" t="s">
        <v>62</v>
      </c>
      <c r="K46" s="3" t="s">
        <v>62</v>
      </c>
      <c r="L46" s="3" t="s">
        <v>64</v>
      </c>
      <c r="M46" s="2" t="s">
        <v>643</v>
      </c>
      <c r="N46" s="2" t="s">
        <v>644</v>
      </c>
      <c r="O46" s="3" t="s">
        <v>383</v>
      </c>
      <c r="Q46" s="3" t="s">
        <v>68</v>
      </c>
      <c r="R46" s="3" t="s">
        <v>69</v>
      </c>
      <c r="S46" s="2" t="s">
        <v>645</v>
      </c>
      <c r="T46" s="3" t="s">
        <v>70</v>
      </c>
      <c r="U46" s="4">
        <v>2</v>
      </c>
      <c r="V46" s="4">
        <v>2</v>
      </c>
      <c r="W46" s="5" t="s">
        <v>646</v>
      </c>
      <c r="X46" s="5" t="s">
        <v>646</v>
      </c>
      <c r="Y46" s="5" t="s">
        <v>451</v>
      </c>
      <c r="Z46" s="5" t="s">
        <v>451</v>
      </c>
      <c r="AA46" s="4">
        <v>217</v>
      </c>
      <c r="AB46" s="4">
        <v>201</v>
      </c>
      <c r="AC46" s="4">
        <v>453</v>
      </c>
      <c r="AD46" s="4">
        <v>1</v>
      </c>
      <c r="AE46" s="4">
        <v>2</v>
      </c>
      <c r="AF46" s="4">
        <v>7</v>
      </c>
      <c r="AG46" s="4">
        <v>18</v>
      </c>
      <c r="AH46" s="4">
        <v>5</v>
      </c>
      <c r="AI46" s="4">
        <v>7</v>
      </c>
      <c r="AJ46" s="4">
        <v>1</v>
      </c>
      <c r="AK46" s="4">
        <v>5</v>
      </c>
      <c r="AL46" s="4">
        <v>3</v>
      </c>
      <c r="AM46" s="4">
        <v>10</v>
      </c>
      <c r="AN46" s="4">
        <v>0</v>
      </c>
      <c r="AO46" s="4">
        <v>1</v>
      </c>
      <c r="AP46" s="4">
        <v>0</v>
      </c>
      <c r="AQ46" s="4">
        <v>0</v>
      </c>
      <c r="AR46" s="3" t="s">
        <v>62</v>
      </c>
      <c r="AS46" s="3" t="s">
        <v>62</v>
      </c>
      <c r="AU46" s="6" t="str">
        <f>HYPERLINK("https://creighton-primo.hosted.exlibrisgroup.com/primo-explore/search?tab=default_tab&amp;search_scope=EVERYTHING&amp;vid=01CRU&amp;lang=en_US&amp;offset=0&amp;query=any,contains,991000074049702656","Catalog Record")</f>
        <v>Catalog Record</v>
      </c>
      <c r="AV46" s="6" t="str">
        <f>HYPERLINK("http://www.worldcat.org/oclc/29356","WorldCat Record")</f>
        <v>WorldCat Record</v>
      </c>
      <c r="AW46" s="3" t="s">
        <v>647</v>
      </c>
      <c r="AX46" s="3" t="s">
        <v>648</v>
      </c>
      <c r="AY46" s="3" t="s">
        <v>649</v>
      </c>
      <c r="AZ46" s="3" t="s">
        <v>649</v>
      </c>
      <c r="BA46" s="3" t="s">
        <v>650</v>
      </c>
      <c r="BB46" s="3" t="s">
        <v>77</v>
      </c>
      <c r="BD46" s="3" t="s">
        <v>651</v>
      </c>
      <c r="BE46" s="3" t="s">
        <v>652</v>
      </c>
      <c r="BF46" s="3" t="s">
        <v>653</v>
      </c>
    </row>
    <row r="47" spans="1:58" ht="41.25" customHeight="1" x14ac:dyDescent="0.25">
      <c r="A47" s="7" t="s">
        <v>62</v>
      </c>
      <c r="B47" s="2" t="s">
        <v>57</v>
      </c>
      <c r="C47" s="2" t="s">
        <v>58</v>
      </c>
      <c r="D47" s="2" t="s">
        <v>654</v>
      </c>
      <c r="E47" s="2" t="s">
        <v>655</v>
      </c>
      <c r="F47" s="2" t="s">
        <v>656</v>
      </c>
      <c r="H47" s="3" t="s">
        <v>62</v>
      </c>
      <c r="I47" s="3" t="s">
        <v>63</v>
      </c>
      <c r="J47" s="3" t="s">
        <v>62</v>
      </c>
      <c r="K47" s="3" t="s">
        <v>62</v>
      </c>
      <c r="L47" s="3" t="s">
        <v>64</v>
      </c>
      <c r="M47" s="2" t="s">
        <v>657</v>
      </c>
      <c r="N47" s="2" t="s">
        <v>658</v>
      </c>
      <c r="O47" s="3" t="s">
        <v>355</v>
      </c>
      <c r="Q47" s="3" t="s">
        <v>68</v>
      </c>
      <c r="R47" s="3" t="s">
        <v>138</v>
      </c>
      <c r="T47" s="3" t="s">
        <v>70</v>
      </c>
      <c r="U47" s="4">
        <v>3</v>
      </c>
      <c r="V47" s="4">
        <v>3</v>
      </c>
      <c r="W47" s="5" t="s">
        <v>659</v>
      </c>
      <c r="X47" s="5" t="s">
        <v>659</v>
      </c>
      <c r="Y47" s="5" t="s">
        <v>451</v>
      </c>
      <c r="Z47" s="5" t="s">
        <v>451</v>
      </c>
      <c r="AA47" s="4">
        <v>299</v>
      </c>
      <c r="AB47" s="4">
        <v>282</v>
      </c>
      <c r="AC47" s="4">
        <v>529</v>
      </c>
      <c r="AD47" s="4">
        <v>3</v>
      </c>
      <c r="AE47" s="4">
        <v>4</v>
      </c>
      <c r="AF47" s="4">
        <v>16</v>
      </c>
      <c r="AG47" s="4">
        <v>36</v>
      </c>
      <c r="AH47" s="4">
        <v>3</v>
      </c>
      <c r="AI47" s="4">
        <v>10</v>
      </c>
      <c r="AJ47" s="4">
        <v>4</v>
      </c>
      <c r="AK47" s="4">
        <v>9</v>
      </c>
      <c r="AL47" s="4">
        <v>10</v>
      </c>
      <c r="AM47" s="4">
        <v>25</v>
      </c>
      <c r="AN47" s="4">
        <v>2</v>
      </c>
      <c r="AO47" s="4">
        <v>2</v>
      </c>
      <c r="AP47" s="4">
        <v>0</v>
      </c>
      <c r="AQ47" s="4">
        <v>0</v>
      </c>
      <c r="AR47" s="3" t="s">
        <v>62</v>
      </c>
      <c r="AS47" s="3" t="s">
        <v>84</v>
      </c>
      <c r="AT47" s="6" t="str">
        <f>HYPERLINK("http://catalog.hathitrust.org/Record/004479675","HathiTrust Record")</f>
        <v>HathiTrust Record</v>
      </c>
      <c r="AU47" s="6" t="str">
        <f>HYPERLINK("https://creighton-primo.hosted.exlibrisgroup.com/primo-explore/search?tab=default_tab&amp;search_scope=EVERYTHING&amp;vid=01CRU&amp;lang=en_US&amp;offset=0&amp;query=any,contains,991003331159702656","Catalog Record")</f>
        <v>Catalog Record</v>
      </c>
      <c r="AV47" s="6" t="str">
        <f>HYPERLINK("http://www.worldcat.org/oclc/862153","WorldCat Record")</f>
        <v>WorldCat Record</v>
      </c>
      <c r="AW47" s="3" t="s">
        <v>660</v>
      </c>
      <c r="AX47" s="3" t="s">
        <v>661</v>
      </c>
      <c r="AY47" s="3" t="s">
        <v>662</v>
      </c>
      <c r="AZ47" s="3" t="s">
        <v>662</v>
      </c>
      <c r="BA47" s="3" t="s">
        <v>663</v>
      </c>
      <c r="BB47" s="3" t="s">
        <v>77</v>
      </c>
      <c r="BE47" s="3" t="s">
        <v>664</v>
      </c>
      <c r="BF47" s="3" t="s">
        <v>665</v>
      </c>
    </row>
    <row r="48" spans="1:58" ht="41.25" customHeight="1" x14ac:dyDescent="0.25">
      <c r="A48" s="7" t="s">
        <v>62</v>
      </c>
      <c r="B48" s="2" t="s">
        <v>57</v>
      </c>
      <c r="C48" s="2" t="s">
        <v>58</v>
      </c>
      <c r="D48" s="2" t="s">
        <v>666</v>
      </c>
      <c r="E48" s="2" t="s">
        <v>667</v>
      </c>
      <c r="F48" s="2" t="s">
        <v>668</v>
      </c>
      <c r="H48" s="3" t="s">
        <v>62</v>
      </c>
      <c r="I48" s="3" t="s">
        <v>63</v>
      </c>
      <c r="J48" s="3" t="s">
        <v>62</v>
      </c>
      <c r="K48" s="3" t="s">
        <v>62</v>
      </c>
      <c r="L48" s="3" t="s">
        <v>64</v>
      </c>
      <c r="M48" s="2" t="s">
        <v>669</v>
      </c>
      <c r="N48" s="2" t="s">
        <v>670</v>
      </c>
      <c r="O48" s="3" t="s">
        <v>312</v>
      </c>
      <c r="Q48" s="3" t="s">
        <v>68</v>
      </c>
      <c r="R48" s="3" t="s">
        <v>69</v>
      </c>
      <c r="S48" s="2" t="s">
        <v>671</v>
      </c>
      <c r="T48" s="3" t="s">
        <v>70</v>
      </c>
      <c r="U48" s="4">
        <v>3</v>
      </c>
      <c r="V48" s="4">
        <v>3</v>
      </c>
      <c r="W48" s="5" t="s">
        <v>672</v>
      </c>
      <c r="X48" s="5" t="s">
        <v>672</v>
      </c>
      <c r="Y48" s="5" t="s">
        <v>451</v>
      </c>
      <c r="Z48" s="5" t="s">
        <v>451</v>
      </c>
      <c r="AA48" s="4">
        <v>260</v>
      </c>
      <c r="AB48" s="4">
        <v>242</v>
      </c>
      <c r="AC48" s="4">
        <v>358</v>
      </c>
      <c r="AD48" s="4">
        <v>1</v>
      </c>
      <c r="AE48" s="4">
        <v>2</v>
      </c>
      <c r="AF48" s="4">
        <v>21</v>
      </c>
      <c r="AG48" s="4">
        <v>26</v>
      </c>
      <c r="AH48" s="4">
        <v>8</v>
      </c>
      <c r="AI48" s="4">
        <v>10</v>
      </c>
      <c r="AJ48" s="4">
        <v>6</v>
      </c>
      <c r="AK48" s="4">
        <v>8</v>
      </c>
      <c r="AL48" s="4">
        <v>14</v>
      </c>
      <c r="AM48" s="4">
        <v>17</v>
      </c>
      <c r="AN48" s="4">
        <v>0</v>
      </c>
      <c r="AO48" s="4">
        <v>1</v>
      </c>
      <c r="AP48" s="4">
        <v>0</v>
      </c>
      <c r="AQ48" s="4">
        <v>0</v>
      </c>
      <c r="AR48" s="3" t="s">
        <v>62</v>
      </c>
      <c r="AS48" s="3" t="s">
        <v>62</v>
      </c>
      <c r="AU48" s="6" t="str">
        <f>HYPERLINK("https://creighton-primo.hosted.exlibrisgroup.com/primo-explore/search?tab=default_tab&amp;search_scope=EVERYTHING&amp;vid=01CRU&amp;lang=en_US&amp;offset=0&amp;query=any,contains,991000905139702656","Catalog Record")</f>
        <v>Catalog Record</v>
      </c>
      <c r="AV48" s="6" t="str">
        <f>HYPERLINK("http://www.worldcat.org/oclc/156716","WorldCat Record")</f>
        <v>WorldCat Record</v>
      </c>
      <c r="AW48" s="3" t="s">
        <v>673</v>
      </c>
      <c r="AX48" s="3" t="s">
        <v>674</v>
      </c>
      <c r="AY48" s="3" t="s">
        <v>675</v>
      </c>
      <c r="AZ48" s="3" t="s">
        <v>675</v>
      </c>
      <c r="BA48" s="3" t="s">
        <v>676</v>
      </c>
      <c r="BB48" s="3" t="s">
        <v>77</v>
      </c>
      <c r="BE48" s="3" t="s">
        <v>677</v>
      </c>
      <c r="BF48" s="3" t="s">
        <v>678</v>
      </c>
    </row>
    <row r="49" spans="1:58" ht="41.25" customHeight="1" x14ac:dyDescent="0.25">
      <c r="A49" s="7" t="s">
        <v>62</v>
      </c>
      <c r="B49" s="2" t="s">
        <v>57</v>
      </c>
      <c r="C49" s="2" t="s">
        <v>58</v>
      </c>
      <c r="D49" s="2" t="s">
        <v>679</v>
      </c>
      <c r="E49" s="2" t="s">
        <v>680</v>
      </c>
      <c r="F49" s="2" t="s">
        <v>681</v>
      </c>
      <c r="H49" s="3" t="s">
        <v>62</v>
      </c>
      <c r="I49" s="3" t="s">
        <v>63</v>
      </c>
      <c r="J49" s="3" t="s">
        <v>62</v>
      </c>
      <c r="K49" s="3" t="s">
        <v>62</v>
      </c>
      <c r="L49" s="3" t="s">
        <v>64</v>
      </c>
      <c r="M49" s="2" t="s">
        <v>682</v>
      </c>
      <c r="N49" s="2" t="s">
        <v>683</v>
      </c>
      <c r="O49" s="3" t="s">
        <v>684</v>
      </c>
      <c r="Q49" s="3" t="s">
        <v>68</v>
      </c>
      <c r="R49" s="3" t="s">
        <v>88</v>
      </c>
      <c r="S49" s="2" t="s">
        <v>685</v>
      </c>
      <c r="T49" s="3" t="s">
        <v>70</v>
      </c>
      <c r="U49" s="4">
        <v>5</v>
      </c>
      <c r="V49" s="4">
        <v>5</v>
      </c>
      <c r="W49" s="5" t="s">
        <v>686</v>
      </c>
      <c r="X49" s="5" t="s">
        <v>686</v>
      </c>
      <c r="Y49" s="5" t="s">
        <v>451</v>
      </c>
      <c r="Z49" s="5" t="s">
        <v>451</v>
      </c>
      <c r="AA49" s="4">
        <v>216</v>
      </c>
      <c r="AB49" s="4">
        <v>185</v>
      </c>
      <c r="AC49" s="4">
        <v>185</v>
      </c>
      <c r="AD49" s="4">
        <v>2</v>
      </c>
      <c r="AE49" s="4">
        <v>2</v>
      </c>
      <c r="AF49" s="4">
        <v>28</v>
      </c>
      <c r="AG49" s="4">
        <v>28</v>
      </c>
      <c r="AH49" s="4">
        <v>9</v>
      </c>
      <c r="AI49" s="4">
        <v>9</v>
      </c>
      <c r="AJ49" s="4">
        <v>8</v>
      </c>
      <c r="AK49" s="4">
        <v>8</v>
      </c>
      <c r="AL49" s="4">
        <v>22</v>
      </c>
      <c r="AM49" s="4">
        <v>22</v>
      </c>
      <c r="AN49" s="4">
        <v>0</v>
      </c>
      <c r="AO49" s="4">
        <v>0</v>
      </c>
      <c r="AP49" s="4">
        <v>0</v>
      </c>
      <c r="AQ49" s="4">
        <v>0</v>
      </c>
      <c r="AR49" s="3" t="s">
        <v>62</v>
      </c>
      <c r="AS49" s="3" t="s">
        <v>62</v>
      </c>
      <c r="AU49" s="6" t="str">
        <f>HYPERLINK("https://creighton-primo.hosted.exlibrisgroup.com/primo-explore/search?tab=default_tab&amp;search_scope=EVERYTHING&amp;vid=01CRU&amp;lang=en_US&amp;offset=0&amp;query=any,contains,991002673279702656","Catalog Record")</f>
        <v>Catalog Record</v>
      </c>
      <c r="AV49" s="6" t="str">
        <f>HYPERLINK("http://www.worldcat.org/oclc/396103","WorldCat Record")</f>
        <v>WorldCat Record</v>
      </c>
      <c r="AW49" s="3" t="s">
        <v>687</v>
      </c>
      <c r="AX49" s="3" t="s">
        <v>688</v>
      </c>
      <c r="AY49" s="3" t="s">
        <v>689</v>
      </c>
      <c r="AZ49" s="3" t="s">
        <v>689</v>
      </c>
      <c r="BA49" s="3" t="s">
        <v>690</v>
      </c>
      <c r="BB49" s="3" t="s">
        <v>77</v>
      </c>
      <c r="BE49" s="3" t="s">
        <v>691</v>
      </c>
      <c r="BF49" s="3" t="s">
        <v>692</v>
      </c>
    </row>
    <row r="50" spans="1:58" ht="41.25" customHeight="1" x14ac:dyDescent="0.25">
      <c r="A50" s="7" t="s">
        <v>62</v>
      </c>
      <c r="B50" s="2" t="s">
        <v>57</v>
      </c>
      <c r="C50" s="2" t="s">
        <v>58</v>
      </c>
      <c r="D50" s="2" t="s">
        <v>693</v>
      </c>
      <c r="E50" s="2" t="s">
        <v>694</v>
      </c>
      <c r="F50" s="2" t="s">
        <v>695</v>
      </c>
      <c r="H50" s="3" t="s">
        <v>62</v>
      </c>
      <c r="I50" s="3" t="s">
        <v>63</v>
      </c>
      <c r="J50" s="3" t="s">
        <v>62</v>
      </c>
      <c r="K50" s="3" t="s">
        <v>62</v>
      </c>
      <c r="L50" s="3" t="s">
        <v>64</v>
      </c>
      <c r="M50" s="2" t="s">
        <v>696</v>
      </c>
      <c r="N50" s="2" t="s">
        <v>697</v>
      </c>
      <c r="O50" s="3" t="s">
        <v>165</v>
      </c>
      <c r="Q50" s="3" t="s">
        <v>68</v>
      </c>
      <c r="R50" s="3" t="s">
        <v>698</v>
      </c>
      <c r="S50" s="2" t="s">
        <v>699</v>
      </c>
      <c r="T50" s="3" t="s">
        <v>70</v>
      </c>
      <c r="U50" s="4">
        <v>7</v>
      </c>
      <c r="V50" s="4">
        <v>7</v>
      </c>
      <c r="W50" s="5" t="s">
        <v>700</v>
      </c>
      <c r="X50" s="5" t="s">
        <v>700</v>
      </c>
      <c r="Y50" s="5" t="s">
        <v>451</v>
      </c>
      <c r="Z50" s="5" t="s">
        <v>451</v>
      </c>
      <c r="AA50" s="4">
        <v>502</v>
      </c>
      <c r="AB50" s="4">
        <v>380</v>
      </c>
      <c r="AC50" s="4">
        <v>408</v>
      </c>
      <c r="AD50" s="4">
        <v>4</v>
      </c>
      <c r="AE50" s="4">
        <v>4</v>
      </c>
      <c r="AF50" s="4">
        <v>20</v>
      </c>
      <c r="AG50" s="4">
        <v>22</v>
      </c>
      <c r="AH50" s="4">
        <v>3</v>
      </c>
      <c r="AI50" s="4">
        <v>5</v>
      </c>
      <c r="AJ50" s="4">
        <v>6</v>
      </c>
      <c r="AK50" s="4">
        <v>7</v>
      </c>
      <c r="AL50" s="4">
        <v>14</v>
      </c>
      <c r="AM50" s="4">
        <v>15</v>
      </c>
      <c r="AN50" s="4">
        <v>2</v>
      </c>
      <c r="AO50" s="4">
        <v>2</v>
      </c>
      <c r="AP50" s="4">
        <v>0</v>
      </c>
      <c r="AQ50" s="4">
        <v>0</v>
      </c>
      <c r="AR50" s="3" t="s">
        <v>62</v>
      </c>
      <c r="AS50" s="3" t="s">
        <v>84</v>
      </c>
      <c r="AT50" s="6" t="str">
        <f>HYPERLINK("http://catalog.hathitrust.org/Record/004479676","HathiTrust Record")</f>
        <v>HathiTrust Record</v>
      </c>
      <c r="AU50" s="6" t="str">
        <f>HYPERLINK("https://creighton-primo.hosted.exlibrisgroup.com/primo-explore/search?tab=default_tab&amp;search_scope=EVERYTHING&amp;vid=01CRU&amp;lang=en_US&amp;offset=0&amp;query=any,contains,991004361199702656","Catalog Record")</f>
        <v>Catalog Record</v>
      </c>
      <c r="AV50" s="6" t="str">
        <f>HYPERLINK("http://www.worldcat.org/oclc/3167467","WorldCat Record")</f>
        <v>WorldCat Record</v>
      </c>
      <c r="AW50" s="3" t="s">
        <v>701</v>
      </c>
      <c r="AX50" s="3" t="s">
        <v>702</v>
      </c>
      <c r="AY50" s="3" t="s">
        <v>703</v>
      </c>
      <c r="AZ50" s="3" t="s">
        <v>703</v>
      </c>
      <c r="BA50" s="3" t="s">
        <v>704</v>
      </c>
      <c r="BB50" s="3" t="s">
        <v>77</v>
      </c>
      <c r="BD50" s="3" t="s">
        <v>705</v>
      </c>
      <c r="BE50" s="3" t="s">
        <v>706</v>
      </c>
      <c r="BF50" s="3" t="s">
        <v>707</v>
      </c>
    </row>
    <row r="51" spans="1:58" ht="41.25" customHeight="1" x14ac:dyDescent="0.25">
      <c r="A51" s="7" t="s">
        <v>62</v>
      </c>
      <c r="B51" s="2" t="s">
        <v>57</v>
      </c>
      <c r="C51" s="2" t="s">
        <v>58</v>
      </c>
      <c r="D51" s="2" t="s">
        <v>708</v>
      </c>
      <c r="E51" s="2" t="s">
        <v>709</v>
      </c>
      <c r="F51" s="2" t="s">
        <v>710</v>
      </c>
      <c r="H51" s="3" t="s">
        <v>62</v>
      </c>
      <c r="I51" s="3" t="s">
        <v>63</v>
      </c>
      <c r="J51" s="3" t="s">
        <v>62</v>
      </c>
      <c r="K51" s="3" t="s">
        <v>62</v>
      </c>
      <c r="L51" s="3" t="s">
        <v>64</v>
      </c>
      <c r="M51" s="2" t="s">
        <v>711</v>
      </c>
      <c r="N51" s="2" t="s">
        <v>712</v>
      </c>
      <c r="O51" s="3" t="s">
        <v>590</v>
      </c>
      <c r="Q51" s="3" t="s">
        <v>68</v>
      </c>
      <c r="R51" s="3" t="s">
        <v>88</v>
      </c>
      <c r="S51" s="2" t="s">
        <v>713</v>
      </c>
      <c r="T51" s="3" t="s">
        <v>70</v>
      </c>
      <c r="U51" s="4">
        <v>4</v>
      </c>
      <c r="V51" s="4">
        <v>4</v>
      </c>
      <c r="W51" s="5" t="s">
        <v>714</v>
      </c>
      <c r="X51" s="5" t="s">
        <v>714</v>
      </c>
      <c r="Y51" s="5" t="s">
        <v>451</v>
      </c>
      <c r="Z51" s="5" t="s">
        <v>451</v>
      </c>
      <c r="AA51" s="4">
        <v>104</v>
      </c>
      <c r="AB51" s="4">
        <v>85</v>
      </c>
      <c r="AC51" s="4">
        <v>85</v>
      </c>
      <c r="AD51" s="4">
        <v>2</v>
      </c>
      <c r="AE51" s="4">
        <v>2</v>
      </c>
      <c r="AF51" s="4">
        <v>14</v>
      </c>
      <c r="AG51" s="4">
        <v>14</v>
      </c>
      <c r="AH51" s="4">
        <v>5</v>
      </c>
      <c r="AI51" s="4">
        <v>5</v>
      </c>
      <c r="AJ51" s="4">
        <v>2</v>
      </c>
      <c r="AK51" s="4">
        <v>2</v>
      </c>
      <c r="AL51" s="4">
        <v>12</v>
      </c>
      <c r="AM51" s="4">
        <v>12</v>
      </c>
      <c r="AN51" s="4">
        <v>1</v>
      </c>
      <c r="AO51" s="4">
        <v>1</v>
      </c>
      <c r="AP51" s="4">
        <v>0</v>
      </c>
      <c r="AQ51" s="4">
        <v>0</v>
      </c>
      <c r="AR51" s="3" t="s">
        <v>62</v>
      </c>
      <c r="AS51" s="3" t="s">
        <v>62</v>
      </c>
      <c r="AU51" s="6" t="str">
        <f>HYPERLINK("https://creighton-primo.hosted.exlibrisgroup.com/primo-explore/search?tab=default_tab&amp;search_scope=EVERYTHING&amp;vid=01CRU&amp;lang=en_US&amp;offset=0&amp;query=any,contains,991003475969702656","Catalog Record")</f>
        <v>Catalog Record</v>
      </c>
      <c r="AV51" s="6" t="str">
        <f>HYPERLINK("http://www.worldcat.org/oclc/1020577","WorldCat Record")</f>
        <v>WorldCat Record</v>
      </c>
      <c r="AW51" s="3" t="s">
        <v>715</v>
      </c>
      <c r="AX51" s="3" t="s">
        <v>716</v>
      </c>
      <c r="AY51" s="3" t="s">
        <v>717</v>
      </c>
      <c r="AZ51" s="3" t="s">
        <v>717</v>
      </c>
      <c r="BA51" s="3" t="s">
        <v>718</v>
      </c>
      <c r="BB51" s="3" t="s">
        <v>77</v>
      </c>
      <c r="BE51" s="3" t="s">
        <v>719</v>
      </c>
      <c r="BF51" s="3" t="s">
        <v>720</v>
      </c>
    </row>
    <row r="52" spans="1:58" ht="41.25" customHeight="1" x14ac:dyDescent="0.25">
      <c r="A52" s="7" t="s">
        <v>62</v>
      </c>
      <c r="B52" s="2" t="s">
        <v>57</v>
      </c>
      <c r="C52" s="2" t="s">
        <v>58</v>
      </c>
      <c r="D52" s="2" t="s">
        <v>721</v>
      </c>
      <c r="E52" s="2" t="s">
        <v>722</v>
      </c>
      <c r="F52" s="2" t="s">
        <v>723</v>
      </c>
      <c r="H52" s="3" t="s">
        <v>62</v>
      </c>
      <c r="I52" s="3" t="s">
        <v>63</v>
      </c>
      <c r="J52" s="3" t="s">
        <v>62</v>
      </c>
      <c r="K52" s="3" t="s">
        <v>62</v>
      </c>
      <c r="L52" s="3" t="s">
        <v>64</v>
      </c>
      <c r="M52" s="2" t="s">
        <v>724</v>
      </c>
      <c r="N52" s="2" t="s">
        <v>725</v>
      </c>
      <c r="O52" s="3" t="s">
        <v>726</v>
      </c>
      <c r="Q52" s="3" t="s">
        <v>68</v>
      </c>
      <c r="R52" s="3" t="s">
        <v>69</v>
      </c>
      <c r="T52" s="3" t="s">
        <v>70</v>
      </c>
      <c r="U52" s="4">
        <v>2</v>
      </c>
      <c r="V52" s="4">
        <v>2</v>
      </c>
      <c r="W52" s="5" t="s">
        <v>727</v>
      </c>
      <c r="X52" s="5" t="s">
        <v>727</v>
      </c>
      <c r="Y52" s="5" t="s">
        <v>451</v>
      </c>
      <c r="Z52" s="5" t="s">
        <v>451</v>
      </c>
      <c r="AA52" s="4">
        <v>75</v>
      </c>
      <c r="AB52" s="4">
        <v>58</v>
      </c>
      <c r="AC52" s="4">
        <v>60</v>
      </c>
      <c r="AD52" s="4">
        <v>2</v>
      </c>
      <c r="AE52" s="4">
        <v>2</v>
      </c>
      <c r="AF52" s="4">
        <v>18</v>
      </c>
      <c r="AG52" s="4">
        <v>18</v>
      </c>
      <c r="AH52" s="4">
        <v>4</v>
      </c>
      <c r="AI52" s="4">
        <v>4</v>
      </c>
      <c r="AJ52" s="4">
        <v>3</v>
      </c>
      <c r="AK52" s="4">
        <v>3</v>
      </c>
      <c r="AL52" s="4">
        <v>17</v>
      </c>
      <c r="AM52" s="4">
        <v>17</v>
      </c>
      <c r="AN52" s="4">
        <v>0</v>
      </c>
      <c r="AO52" s="4">
        <v>0</v>
      </c>
      <c r="AP52" s="4">
        <v>0</v>
      </c>
      <c r="AQ52" s="4">
        <v>0</v>
      </c>
      <c r="AR52" s="3" t="s">
        <v>62</v>
      </c>
      <c r="AS52" s="3" t="s">
        <v>62</v>
      </c>
      <c r="AU52" s="6" t="str">
        <f>HYPERLINK("https://creighton-primo.hosted.exlibrisgroup.com/primo-explore/search?tab=default_tab&amp;search_scope=EVERYTHING&amp;vid=01CRU&amp;lang=en_US&amp;offset=0&amp;query=any,contains,991004554509702656","Catalog Record")</f>
        <v>Catalog Record</v>
      </c>
      <c r="AV52" s="6" t="str">
        <f>HYPERLINK("http://www.worldcat.org/oclc/3962024","WorldCat Record")</f>
        <v>WorldCat Record</v>
      </c>
      <c r="AW52" s="3" t="s">
        <v>728</v>
      </c>
      <c r="AX52" s="3" t="s">
        <v>729</v>
      </c>
      <c r="AY52" s="3" t="s">
        <v>730</v>
      </c>
      <c r="AZ52" s="3" t="s">
        <v>730</v>
      </c>
      <c r="BA52" s="3" t="s">
        <v>731</v>
      </c>
      <c r="BB52" s="3" t="s">
        <v>77</v>
      </c>
      <c r="BE52" s="3" t="s">
        <v>732</v>
      </c>
      <c r="BF52" s="3" t="s">
        <v>733</v>
      </c>
    </row>
    <row r="53" spans="1:58" ht="41.25" customHeight="1" x14ac:dyDescent="0.25">
      <c r="A53" s="7" t="s">
        <v>62</v>
      </c>
      <c r="B53" s="2" t="s">
        <v>57</v>
      </c>
      <c r="C53" s="2" t="s">
        <v>58</v>
      </c>
      <c r="D53" s="2" t="s">
        <v>734</v>
      </c>
      <c r="E53" s="2" t="s">
        <v>735</v>
      </c>
      <c r="F53" s="2" t="s">
        <v>736</v>
      </c>
      <c r="H53" s="3" t="s">
        <v>62</v>
      </c>
      <c r="I53" s="3" t="s">
        <v>63</v>
      </c>
      <c r="J53" s="3" t="s">
        <v>62</v>
      </c>
      <c r="K53" s="3" t="s">
        <v>62</v>
      </c>
      <c r="L53" s="3" t="s">
        <v>64</v>
      </c>
      <c r="M53" s="2" t="s">
        <v>737</v>
      </c>
      <c r="N53" s="2" t="s">
        <v>738</v>
      </c>
      <c r="O53" s="3" t="s">
        <v>739</v>
      </c>
      <c r="Q53" s="3" t="s">
        <v>68</v>
      </c>
      <c r="R53" s="3" t="s">
        <v>88</v>
      </c>
      <c r="T53" s="3" t="s">
        <v>70</v>
      </c>
      <c r="U53" s="4">
        <v>3</v>
      </c>
      <c r="V53" s="4">
        <v>3</v>
      </c>
      <c r="W53" s="5" t="s">
        <v>740</v>
      </c>
      <c r="X53" s="5" t="s">
        <v>740</v>
      </c>
      <c r="Y53" s="5" t="s">
        <v>451</v>
      </c>
      <c r="Z53" s="5" t="s">
        <v>451</v>
      </c>
      <c r="AA53" s="4">
        <v>242</v>
      </c>
      <c r="AB53" s="4">
        <v>215</v>
      </c>
      <c r="AC53" s="4">
        <v>359</v>
      </c>
      <c r="AD53" s="4">
        <v>2</v>
      </c>
      <c r="AE53" s="4">
        <v>4</v>
      </c>
      <c r="AF53" s="4">
        <v>19</v>
      </c>
      <c r="AG53" s="4">
        <v>35</v>
      </c>
      <c r="AH53" s="4">
        <v>5</v>
      </c>
      <c r="AI53" s="4">
        <v>11</v>
      </c>
      <c r="AJ53" s="4">
        <v>5</v>
      </c>
      <c r="AK53" s="4">
        <v>8</v>
      </c>
      <c r="AL53" s="4">
        <v>15</v>
      </c>
      <c r="AM53" s="4">
        <v>25</v>
      </c>
      <c r="AN53" s="4">
        <v>0</v>
      </c>
      <c r="AO53" s="4">
        <v>2</v>
      </c>
      <c r="AP53" s="4">
        <v>0</v>
      </c>
      <c r="AQ53" s="4">
        <v>0</v>
      </c>
      <c r="AR53" s="3" t="s">
        <v>62</v>
      </c>
      <c r="AS53" s="3" t="s">
        <v>84</v>
      </c>
      <c r="AT53" s="6" t="str">
        <f>HYPERLINK("http://catalog.hathitrust.org/Record/001411886","HathiTrust Record")</f>
        <v>HathiTrust Record</v>
      </c>
      <c r="AU53" s="6" t="str">
        <f>HYPERLINK("https://creighton-primo.hosted.exlibrisgroup.com/primo-explore/search?tab=default_tab&amp;search_scope=EVERYTHING&amp;vid=01CRU&amp;lang=en_US&amp;offset=0&amp;query=any,contains,991003029889702656","Catalog Record")</f>
        <v>Catalog Record</v>
      </c>
      <c r="AV53" s="6" t="str">
        <f>HYPERLINK("http://www.worldcat.org/oclc/593160","WorldCat Record")</f>
        <v>WorldCat Record</v>
      </c>
      <c r="AW53" s="3" t="s">
        <v>741</v>
      </c>
      <c r="AX53" s="3" t="s">
        <v>742</v>
      </c>
      <c r="AY53" s="3" t="s">
        <v>743</v>
      </c>
      <c r="AZ53" s="3" t="s">
        <v>743</v>
      </c>
      <c r="BA53" s="3" t="s">
        <v>744</v>
      </c>
      <c r="BB53" s="3" t="s">
        <v>77</v>
      </c>
      <c r="BE53" s="3" t="s">
        <v>745</v>
      </c>
      <c r="BF53" s="3" t="s">
        <v>746</v>
      </c>
    </row>
    <row r="54" spans="1:58" ht="41.25" customHeight="1" x14ac:dyDescent="0.25">
      <c r="A54" s="7" t="s">
        <v>62</v>
      </c>
      <c r="B54" s="2" t="s">
        <v>57</v>
      </c>
      <c r="C54" s="2" t="s">
        <v>58</v>
      </c>
      <c r="D54" s="2" t="s">
        <v>747</v>
      </c>
      <c r="E54" s="2" t="s">
        <v>748</v>
      </c>
      <c r="F54" s="2" t="s">
        <v>749</v>
      </c>
      <c r="H54" s="3" t="s">
        <v>62</v>
      </c>
      <c r="I54" s="3" t="s">
        <v>63</v>
      </c>
      <c r="J54" s="3" t="s">
        <v>62</v>
      </c>
      <c r="K54" s="3" t="s">
        <v>62</v>
      </c>
      <c r="L54" s="3" t="s">
        <v>64</v>
      </c>
      <c r="M54" s="2" t="s">
        <v>750</v>
      </c>
      <c r="N54" s="2" t="s">
        <v>751</v>
      </c>
      <c r="O54" s="3" t="s">
        <v>233</v>
      </c>
      <c r="Q54" s="3" t="s">
        <v>68</v>
      </c>
      <c r="R54" s="3" t="s">
        <v>531</v>
      </c>
      <c r="T54" s="3" t="s">
        <v>70</v>
      </c>
      <c r="U54" s="4">
        <v>7</v>
      </c>
      <c r="V54" s="4">
        <v>7</v>
      </c>
      <c r="W54" s="5" t="s">
        <v>752</v>
      </c>
      <c r="X54" s="5" t="s">
        <v>752</v>
      </c>
      <c r="Y54" s="5" t="s">
        <v>386</v>
      </c>
      <c r="Z54" s="5" t="s">
        <v>386</v>
      </c>
      <c r="AA54" s="4">
        <v>644</v>
      </c>
      <c r="AB54" s="4">
        <v>512</v>
      </c>
      <c r="AC54" s="4">
        <v>616</v>
      </c>
      <c r="AD54" s="4">
        <v>4</v>
      </c>
      <c r="AE54" s="4">
        <v>4</v>
      </c>
      <c r="AF54" s="4">
        <v>23</v>
      </c>
      <c r="AG54" s="4">
        <v>31</v>
      </c>
      <c r="AH54" s="4">
        <v>5</v>
      </c>
      <c r="AI54" s="4">
        <v>11</v>
      </c>
      <c r="AJ54" s="4">
        <v>9</v>
      </c>
      <c r="AK54" s="4">
        <v>10</v>
      </c>
      <c r="AL54" s="4">
        <v>14</v>
      </c>
      <c r="AM54" s="4">
        <v>17</v>
      </c>
      <c r="AN54" s="4">
        <v>3</v>
      </c>
      <c r="AO54" s="4">
        <v>3</v>
      </c>
      <c r="AP54" s="4">
        <v>0</v>
      </c>
      <c r="AQ54" s="4">
        <v>0</v>
      </c>
      <c r="AR54" s="3" t="s">
        <v>62</v>
      </c>
      <c r="AS54" s="3" t="s">
        <v>62</v>
      </c>
      <c r="AU54" s="6" t="str">
        <f>HYPERLINK("https://creighton-primo.hosted.exlibrisgroup.com/primo-explore/search?tab=default_tab&amp;search_scope=EVERYTHING&amp;vid=01CRU&amp;lang=en_US&amp;offset=0&amp;query=any,contains,991004783459702656","Catalog Record")</f>
        <v>Catalog Record</v>
      </c>
      <c r="AV54" s="6" t="str">
        <f>HYPERLINK("http://www.worldcat.org/oclc/5126272","WorldCat Record")</f>
        <v>WorldCat Record</v>
      </c>
      <c r="AW54" s="3" t="s">
        <v>753</v>
      </c>
      <c r="AX54" s="3" t="s">
        <v>754</v>
      </c>
      <c r="AY54" s="3" t="s">
        <v>755</v>
      </c>
      <c r="AZ54" s="3" t="s">
        <v>755</v>
      </c>
      <c r="BA54" s="3" t="s">
        <v>756</v>
      </c>
      <c r="BB54" s="3" t="s">
        <v>77</v>
      </c>
      <c r="BD54" s="3" t="s">
        <v>757</v>
      </c>
      <c r="BE54" s="3" t="s">
        <v>758</v>
      </c>
      <c r="BF54" s="3" t="s">
        <v>759</v>
      </c>
    </row>
    <row r="55" spans="1:58" ht="41.25" customHeight="1" x14ac:dyDescent="0.25">
      <c r="A55" s="7" t="s">
        <v>62</v>
      </c>
      <c r="B55" s="2" t="s">
        <v>57</v>
      </c>
      <c r="C55" s="2" t="s">
        <v>58</v>
      </c>
      <c r="D55" s="2" t="s">
        <v>760</v>
      </c>
      <c r="E55" s="2" t="s">
        <v>761</v>
      </c>
      <c r="F55" s="2" t="s">
        <v>762</v>
      </c>
      <c r="H55" s="3" t="s">
        <v>84</v>
      </c>
      <c r="I55" s="3" t="s">
        <v>63</v>
      </c>
      <c r="J55" s="3" t="s">
        <v>62</v>
      </c>
      <c r="K55" s="3" t="s">
        <v>62</v>
      </c>
      <c r="L55" s="3" t="s">
        <v>64</v>
      </c>
      <c r="M55" s="2" t="s">
        <v>763</v>
      </c>
      <c r="N55" s="2" t="s">
        <v>764</v>
      </c>
      <c r="O55" s="3" t="s">
        <v>267</v>
      </c>
      <c r="P55" s="2" t="s">
        <v>765</v>
      </c>
      <c r="Q55" s="3" t="s">
        <v>68</v>
      </c>
      <c r="R55" s="3" t="s">
        <v>281</v>
      </c>
      <c r="T55" s="3" t="s">
        <v>70</v>
      </c>
      <c r="U55" s="4">
        <v>2</v>
      </c>
      <c r="V55" s="4">
        <v>2</v>
      </c>
      <c r="W55" s="5" t="s">
        <v>766</v>
      </c>
      <c r="X55" s="5" t="s">
        <v>766</v>
      </c>
      <c r="Y55" s="5" t="s">
        <v>767</v>
      </c>
      <c r="Z55" s="5" t="s">
        <v>767</v>
      </c>
      <c r="AA55" s="4">
        <v>308</v>
      </c>
      <c r="AB55" s="4">
        <v>285</v>
      </c>
      <c r="AC55" s="4">
        <v>322</v>
      </c>
      <c r="AD55" s="4">
        <v>3</v>
      </c>
      <c r="AE55" s="4">
        <v>3</v>
      </c>
      <c r="AF55" s="4">
        <v>13</v>
      </c>
      <c r="AG55" s="4">
        <v>15</v>
      </c>
      <c r="AH55" s="4">
        <v>1</v>
      </c>
      <c r="AI55" s="4">
        <v>2</v>
      </c>
      <c r="AJ55" s="4">
        <v>4</v>
      </c>
      <c r="AK55" s="4">
        <v>6</v>
      </c>
      <c r="AL55" s="4">
        <v>9</v>
      </c>
      <c r="AM55" s="4">
        <v>9</v>
      </c>
      <c r="AN55" s="4">
        <v>2</v>
      </c>
      <c r="AO55" s="4">
        <v>2</v>
      </c>
      <c r="AP55" s="4">
        <v>0</v>
      </c>
      <c r="AQ55" s="4">
        <v>0</v>
      </c>
      <c r="AR55" s="3" t="s">
        <v>62</v>
      </c>
      <c r="AS55" s="3" t="s">
        <v>62</v>
      </c>
      <c r="AU55" s="6" t="str">
        <f>HYPERLINK("https://creighton-primo.hosted.exlibrisgroup.com/primo-explore/search?tab=default_tab&amp;search_scope=EVERYTHING&amp;vid=01CRU&amp;lang=en_US&amp;offset=0&amp;query=any,contains,991002610309702656","Catalog Record")</f>
        <v>Catalog Record</v>
      </c>
      <c r="AV55" s="6" t="str">
        <f>HYPERLINK("http://www.worldcat.org/oclc/377644","WorldCat Record")</f>
        <v>WorldCat Record</v>
      </c>
      <c r="AW55" s="3" t="s">
        <v>768</v>
      </c>
      <c r="AX55" s="3" t="s">
        <v>769</v>
      </c>
      <c r="AY55" s="3" t="s">
        <v>770</v>
      </c>
      <c r="AZ55" s="3" t="s">
        <v>770</v>
      </c>
      <c r="BA55" s="3" t="s">
        <v>771</v>
      </c>
      <c r="BB55" s="3" t="s">
        <v>77</v>
      </c>
      <c r="BE55" s="3" t="s">
        <v>772</v>
      </c>
      <c r="BF55" s="3" t="s">
        <v>773</v>
      </c>
    </row>
    <row r="56" spans="1:58" ht="41.25" customHeight="1" x14ac:dyDescent="0.25">
      <c r="A56" s="7" t="s">
        <v>62</v>
      </c>
      <c r="B56" s="2" t="s">
        <v>57</v>
      </c>
      <c r="C56" s="2" t="s">
        <v>58</v>
      </c>
      <c r="D56" s="2" t="s">
        <v>774</v>
      </c>
      <c r="E56" s="2" t="s">
        <v>775</v>
      </c>
      <c r="F56" s="2" t="s">
        <v>776</v>
      </c>
      <c r="H56" s="3" t="s">
        <v>62</v>
      </c>
      <c r="I56" s="3" t="s">
        <v>63</v>
      </c>
      <c r="J56" s="3" t="s">
        <v>62</v>
      </c>
      <c r="K56" s="3" t="s">
        <v>62</v>
      </c>
      <c r="L56" s="3" t="s">
        <v>64</v>
      </c>
      <c r="M56" s="2" t="s">
        <v>777</v>
      </c>
      <c r="N56" s="2" t="s">
        <v>778</v>
      </c>
      <c r="O56" s="3" t="s">
        <v>355</v>
      </c>
      <c r="Q56" s="3" t="s">
        <v>68</v>
      </c>
      <c r="R56" s="3" t="s">
        <v>297</v>
      </c>
      <c r="T56" s="3" t="s">
        <v>70</v>
      </c>
      <c r="U56" s="4">
        <v>3</v>
      </c>
      <c r="V56" s="4">
        <v>3</v>
      </c>
      <c r="W56" s="5" t="s">
        <v>779</v>
      </c>
      <c r="X56" s="5" t="s">
        <v>779</v>
      </c>
      <c r="Y56" s="5" t="s">
        <v>386</v>
      </c>
      <c r="Z56" s="5" t="s">
        <v>386</v>
      </c>
      <c r="AA56" s="4">
        <v>1321</v>
      </c>
      <c r="AB56" s="4">
        <v>1170</v>
      </c>
      <c r="AC56" s="4">
        <v>1958</v>
      </c>
      <c r="AD56" s="4">
        <v>11</v>
      </c>
      <c r="AE56" s="4">
        <v>17</v>
      </c>
      <c r="AF56" s="4">
        <v>29</v>
      </c>
      <c r="AG56" s="4">
        <v>42</v>
      </c>
      <c r="AH56" s="4">
        <v>11</v>
      </c>
      <c r="AI56" s="4">
        <v>15</v>
      </c>
      <c r="AJ56" s="4">
        <v>5</v>
      </c>
      <c r="AK56" s="4">
        <v>8</v>
      </c>
      <c r="AL56" s="4">
        <v>18</v>
      </c>
      <c r="AM56" s="4">
        <v>22</v>
      </c>
      <c r="AN56" s="4">
        <v>5</v>
      </c>
      <c r="AO56" s="4">
        <v>7</v>
      </c>
      <c r="AP56" s="4">
        <v>0</v>
      </c>
      <c r="AQ56" s="4">
        <v>2</v>
      </c>
      <c r="AR56" s="3" t="s">
        <v>62</v>
      </c>
      <c r="AS56" s="3" t="s">
        <v>84</v>
      </c>
      <c r="AT56" s="6" t="str">
        <f>HYPERLINK("http://catalog.hathitrust.org/Record/001394674","HathiTrust Record")</f>
        <v>HathiTrust Record</v>
      </c>
      <c r="AU56" s="6" t="str">
        <f>HYPERLINK("https://creighton-primo.hosted.exlibrisgroup.com/primo-explore/search?tab=default_tab&amp;search_scope=EVERYTHING&amp;vid=01CRU&amp;lang=en_US&amp;offset=0&amp;query=any,contains,991002651819702656","Catalog Record")</f>
        <v>Catalog Record</v>
      </c>
      <c r="AV56" s="6" t="str">
        <f>HYPERLINK("http://www.worldcat.org/oclc/387304","WorldCat Record")</f>
        <v>WorldCat Record</v>
      </c>
      <c r="AW56" s="3" t="s">
        <v>780</v>
      </c>
      <c r="AX56" s="3" t="s">
        <v>781</v>
      </c>
      <c r="AY56" s="3" t="s">
        <v>782</v>
      </c>
      <c r="AZ56" s="3" t="s">
        <v>782</v>
      </c>
      <c r="BA56" s="3" t="s">
        <v>783</v>
      </c>
      <c r="BB56" s="3" t="s">
        <v>77</v>
      </c>
      <c r="BE56" s="3" t="s">
        <v>784</v>
      </c>
      <c r="BF56" s="3" t="s">
        <v>785</v>
      </c>
    </row>
    <row r="57" spans="1:58" ht="41.25" customHeight="1" x14ac:dyDescent="0.25">
      <c r="A57" s="7" t="s">
        <v>62</v>
      </c>
      <c r="B57" s="2" t="s">
        <v>57</v>
      </c>
      <c r="C57" s="2" t="s">
        <v>58</v>
      </c>
      <c r="D57" s="2" t="s">
        <v>786</v>
      </c>
      <c r="E57" s="2" t="s">
        <v>787</v>
      </c>
      <c r="F57" s="2" t="s">
        <v>788</v>
      </c>
      <c r="H57" s="3" t="s">
        <v>62</v>
      </c>
      <c r="I57" s="3" t="s">
        <v>63</v>
      </c>
      <c r="J57" s="3" t="s">
        <v>62</v>
      </c>
      <c r="K57" s="3" t="s">
        <v>62</v>
      </c>
      <c r="L57" s="3" t="s">
        <v>64</v>
      </c>
      <c r="M57" s="2" t="s">
        <v>789</v>
      </c>
      <c r="N57" s="2" t="s">
        <v>790</v>
      </c>
      <c r="O57" s="3" t="s">
        <v>791</v>
      </c>
      <c r="Q57" s="3" t="s">
        <v>68</v>
      </c>
      <c r="R57" s="3" t="s">
        <v>69</v>
      </c>
      <c r="S57" s="2" t="s">
        <v>792</v>
      </c>
      <c r="T57" s="3" t="s">
        <v>70</v>
      </c>
      <c r="U57" s="4">
        <v>12</v>
      </c>
      <c r="V57" s="4">
        <v>12</v>
      </c>
      <c r="W57" s="5" t="s">
        <v>793</v>
      </c>
      <c r="X57" s="5" t="s">
        <v>793</v>
      </c>
      <c r="Y57" s="5" t="s">
        <v>386</v>
      </c>
      <c r="Z57" s="5" t="s">
        <v>386</v>
      </c>
      <c r="AA57" s="4">
        <v>955</v>
      </c>
      <c r="AB57" s="4">
        <v>859</v>
      </c>
      <c r="AC57" s="4">
        <v>1574</v>
      </c>
      <c r="AD57" s="4">
        <v>5</v>
      </c>
      <c r="AE57" s="4">
        <v>5</v>
      </c>
      <c r="AF57" s="4">
        <v>30</v>
      </c>
      <c r="AG57" s="4">
        <v>53</v>
      </c>
      <c r="AH57" s="4">
        <v>12</v>
      </c>
      <c r="AI57" s="4">
        <v>27</v>
      </c>
      <c r="AJ57" s="4">
        <v>6</v>
      </c>
      <c r="AK57" s="4">
        <v>10</v>
      </c>
      <c r="AL57" s="4">
        <v>15</v>
      </c>
      <c r="AM57" s="4">
        <v>27</v>
      </c>
      <c r="AN57" s="4">
        <v>3</v>
      </c>
      <c r="AO57" s="4">
        <v>3</v>
      </c>
      <c r="AP57" s="4">
        <v>0</v>
      </c>
      <c r="AQ57" s="4">
        <v>0</v>
      </c>
      <c r="AR57" s="3" t="s">
        <v>62</v>
      </c>
      <c r="AS57" s="3" t="s">
        <v>84</v>
      </c>
      <c r="AT57" s="6" t="str">
        <f>HYPERLINK("http://catalog.hathitrust.org/Record/001394685","HathiTrust Record")</f>
        <v>HathiTrust Record</v>
      </c>
      <c r="AU57" s="6" t="str">
        <f>HYPERLINK("https://creighton-primo.hosted.exlibrisgroup.com/primo-explore/search?tab=default_tab&amp;search_scope=EVERYTHING&amp;vid=01CRU&amp;lang=en_US&amp;offset=0&amp;query=any,contains,991002611019702656","Catalog Record")</f>
        <v>Catalog Record</v>
      </c>
      <c r="AV57" s="6" t="str">
        <f>HYPERLINK("http://www.worldcat.org/oclc/377871","WorldCat Record")</f>
        <v>WorldCat Record</v>
      </c>
      <c r="AW57" s="3" t="s">
        <v>794</v>
      </c>
      <c r="AX57" s="3" t="s">
        <v>795</v>
      </c>
      <c r="AY57" s="3" t="s">
        <v>796</v>
      </c>
      <c r="AZ57" s="3" t="s">
        <v>796</v>
      </c>
      <c r="BA57" s="3" t="s">
        <v>797</v>
      </c>
      <c r="BB57" s="3" t="s">
        <v>77</v>
      </c>
      <c r="BE57" s="3" t="s">
        <v>798</v>
      </c>
      <c r="BF57" s="3" t="s">
        <v>799</v>
      </c>
    </row>
    <row r="58" spans="1:58" ht="41.25" customHeight="1" x14ac:dyDescent="0.25">
      <c r="A58" s="7" t="s">
        <v>62</v>
      </c>
      <c r="B58" s="2" t="s">
        <v>57</v>
      </c>
      <c r="C58" s="2" t="s">
        <v>58</v>
      </c>
      <c r="D58" s="2" t="s">
        <v>800</v>
      </c>
      <c r="E58" s="2" t="s">
        <v>801</v>
      </c>
      <c r="F58" s="2" t="s">
        <v>802</v>
      </c>
      <c r="H58" s="3" t="s">
        <v>62</v>
      </c>
      <c r="I58" s="3" t="s">
        <v>63</v>
      </c>
      <c r="J58" s="3" t="s">
        <v>62</v>
      </c>
      <c r="K58" s="3" t="s">
        <v>62</v>
      </c>
      <c r="L58" s="3" t="s">
        <v>64</v>
      </c>
      <c r="N58" s="2" t="s">
        <v>803</v>
      </c>
      <c r="O58" s="3" t="s">
        <v>804</v>
      </c>
      <c r="Q58" s="3" t="s">
        <v>68</v>
      </c>
      <c r="R58" s="3" t="s">
        <v>805</v>
      </c>
      <c r="S58" s="2" t="s">
        <v>806</v>
      </c>
      <c r="T58" s="3" t="s">
        <v>70</v>
      </c>
      <c r="U58" s="4">
        <v>2</v>
      </c>
      <c r="V58" s="4">
        <v>2</v>
      </c>
      <c r="W58" s="5" t="s">
        <v>807</v>
      </c>
      <c r="X58" s="5" t="s">
        <v>807</v>
      </c>
      <c r="Y58" s="5" t="s">
        <v>808</v>
      </c>
      <c r="Z58" s="5" t="s">
        <v>808</v>
      </c>
      <c r="AA58" s="4">
        <v>194</v>
      </c>
      <c r="AB58" s="4">
        <v>134</v>
      </c>
      <c r="AC58" s="4">
        <v>842</v>
      </c>
      <c r="AD58" s="4">
        <v>2</v>
      </c>
      <c r="AE58" s="4">
        <v>12</v>
      </c>
      <c r="AF58" s="4">
        <v>9</v>
      </c>
      <c r="AG58" s="4">
        <v>43</v>
      </c>
      <c r="AH58" s="4">
        <v>3</v>
      </c>
      <c r="AI58" s="4">
        <v>14</v>
      </c>
      <c r="AJ58" s="4">
        <v>3</v>
      </c>
      <c r="AK58" s="4">
        <v>11</v>
      </c>
      <c r="AL58" s="4">
        <v>5</v>
      </c>
      <c r="AM58" s="4">
        <v>14</v>
      </c>
      <c r="AN58" s="4">
        <v>1</v>
      </c>
      <c r="AO58" s="4">
        <v>10</v>
      </c>
      <c r="AP58" s="4">
        <v>0</v>
      </c>
      <c r="AQ58" s="4">
        <v>2</v>
      </c>
      <c r="AR58" s="3" t="s">
        <v>62</v>
      </c>
      <c r="AS58" s="3" t="s">
        <v>84</v>
      </c>
      <c r="AT58" s="6" t="str">
        <f>HYPERLINK("http://catalog.hathitrust.org/Record/000912877","HathiTrust Record")</f>
        <v>HathiTrust Record</v>
      </c>
      <c r="AU58" s="6" t="str">
        <f>HYPERLINK("https://creighton-primo.hosted.exlibrisgroup.com/primo-explore/search?tab=default_tab&amp;search_scope=EVERYTHING&amp;vid=01CRU&amp;lang=en_US&amp;offset=0&amp;query=any,contains,991001238509702656","Catalog Record")</f>
        <v>Catalog Record</v>
      </c>
      <c r="AV58" s="6" t="str">
        <f>HYPERLINK("http://www.worldcat.org/oclc/17584290","WorldCat Record")</f>
        <v>WorldCat Record</v>
      </c>
      <c r="AW58" s="3" t="s">
        <v>809</v>
      </c>
      <c r="AX58" s="3" t="s">
        <v>810</v>
      </c>
      <c r="AY58" s="3" t="s">
        <v>811</v>
      </c>
      <c r="AZ58" s="3" t="s">
        <v>811</v>
      </c>
      <c r="BA58" s="3" t="s">
        <v>812</v>
      </c>
      <c r="BB58" s="3" t="s">
        <v>77</v>
      </c>
      <c r="BD58" s="3" t="s">
        <v>813</v>
      </c>
      <c r="BE58" s="3" t="s">
        <v>814</v>
      </c>
      <c r="BF58" s="3" t="s">
        <v>815</v>
      </c>
    </row>
    <row r="59" spans="1:58" ht="41.25" customHeight="1" x14ac:dyDescent="0.25">
      <c r="A59" s="7" t="s">
        <v>62</v>
      </c>
      <c r="B59" s="2" t="s">
        <v>57</v>
      </c>
      <c r="C59" s="2" t="s">
        <v>58</v>
      </c>
      <c r="D59" s="2" t="s">
        <v>816</v>
      </c>
      <c r="E59" s="2" t="s">
        <v>817</v>
      </c>
      <c r="F59" s="2" t="s">
        <v>818</v>
      </c>
      <c r="H59" s="3" t="s">
        <v>62</v>
      </c>
      <c r="I59" s="3" t="s">
        <v>63</v>
      </c>
      <c r="J59" s="3" t="s">
        <v>62</v>
      </c>
      <c r="K59" s="3" t="s">
        <v>62</v>
      </c>
      <c r="L59" s="3" t="s">
        <v>64</v>
      </c>
      <c r="N59" s="2" t="s">
        <v>819</v>
      </c>
      <c r="O59" s="3" t="s">
        <v>820</v>
      </c>
      <c r="Q59" s="3" t="s">
        <v>68</v>
      </c>
      <c r="R59" s="3" t="s">
        <v>435</v>
      </c>
      <c r="S59" s="2" t="s">
        <v>821</v>
      </c>
      <c r="T59" s="3" t="s">
        <v>70</v>
      </c>
      <c r="U59" s="4">
        <v>2</v>
      </c>
      <c r="V59" s="4">
        <v>2</v>
      </c>
      <c r="W59" s="5" t="s">
        <v>822</v>
      </c>
      <c r="X59" s="5" t="s">
        <v>822</v>
      </c>
      <c r="Y59" s="5" t="s">
        <v>808</v>
      </c>
      <c r="Z59" s="5" t="s">
        <v>808</v>
      </c>
      <c r="AA59" s="4">
        <v>222</v>
      </c>
      <c r="AB59" s="4">
        <v>171</v>
      </c>
      <c r="AC59" s="4">
        <v>172</v>
      </c>
      <c r="AD59" s="4">
        <v>2</v>
      </c>
      <c r="AE59" s="4">
        <v>2</v>
      </c>
      <c r="AF59" s="4">
        <v>8</v>
      </c>
      <c r="AG59" s="4">
        <v>8</v>
      </c>
      <c r="AH59" s="4">
        <v>1</v>
      </c>
      <c r="AI59" s="4">
        <v>1</v>
      </c>
      <c r="AJ59" s="4">
        <v>4</v>
      </c>
      <c r="AK59" s="4">
        <v>4</v>
      </c>
      <c r="AL59" s="4">
        <v>5</v>
      </c>
      <c r="AM59" s="4">
        <v>5</v>
      </c>
      <c r="AN59" s="4">
        <v>1</v>
      </c>
      <c r="AO59" s="4">
        <v>1</v>
      </c>
      <c r="AP59" s="4">
        <v>0</v>
      </c>
      <c r="AQ59" s="4">
        <v>0</v>
      </c>
      <c r="AR59" s="3" t="s">
        <v>62</v>
      </c>
      <c r="AS59" s="3" t="s">
        <v>84</v>
      </c>
      <c r="AT59" s="6" t="str">
        <f>HYPERLINK("http://catalog.hathitrust.org/Record/102064865","HathiTrust Record")</f>
        <v>HathiTrust Record</v>
      </c>
      <c r="AU59" s="6" t="str">
        <f>HYPERLINK("https://creighton-primo.hosted.exlibrisgroup.com/primo-explore/search?tab=default_tab&amp;search_scope=EVERYTHING&amp;vid=01CRU&amp;lang=en_US&amp;offset=0&amp;query=any,contains,991003871749702656","Catalog Record")</f>
        <v>Catalog Record</v>
      </c>
      <c r="AV59" s="6" t="str">
        <f>HYPERLINK("http://www.worldcat.org/oclc/1693981","WorldCat Record")</f>
        <v>WorldCat Record</v>
      </c>
      <c r="AW59" s="3" t="s">
        <v>823</v>
      </c>
      <c r="AX59" s="3" t="s">
        <v>824</v>
      </c>
      <c r="AY59" s="3" t="s">
        <v>825</v>
      </c>
      <c r="AZ59" s="3" t="s">
        <v>825</v>
      </c>
      <c r="BA59" s="3" t="s">
        <v>826</v>
      </c>
      <c r="BB59" s="3" t="s">
        <v>77</v>
      </c>
      <c r="BD59" s="3" t="s">
        <v>827</v>
      </c>
      <c r="BE59" s="3" t="s">
        <v>828</v>
      </c>
      <c r="BF59" s="3" t="s">
        <v>829</v>
      </c>
    </row>
    <row r="60" spans="1:58" ht="41.25" customHeight="1" x14ac:dyDescent="0.25">
      <c r="A60" s="7" t="s">
        <v>62</v>
      </c>
      <c r="B60" s="2" t="s">
        <v>57</v>
      </c>
      <c r="C60" s="2" t="s">
        <v>58</v>
      </c>
      <c r="D60" s="2" t="s">
        <v>830</v>
      </c>
      <c r="E60" s="2" t="s">
        <v>831</v>
      </c>
      <c r="F60" s="2" t="s">
        <v>832</v>
      </c>
      <c r="H60" s="3" t="s">
        <v>62</v>
      </c>
      <c r="I60" s="3" t="s">
        <v>63</v>
      </c>
      <c r="J60" s="3" t="s">
        <v>62</v>
      </c>
      <c r="K60" s="3" t="s">
        <v>62</v>
      </c>
      <c r="L60" s="3" t="s">
        <v>64</v>
      </c>
      <c r="N60" s="2" t="s">
        <v>833</v>
      </c>
      <c r="O60" s="3" t="s">
        <v>137</v>
      </c>
      <c r="P60" s="2" t="s">
        <v>834</v>
      </c>
      <c r="Q60" s="3" t="s">
        <v>68</v>
      </c>
      <c r="R60" s="3" t="s">
        <v>69</v>
      </c>
      <c r="S60" s="2" t="s">
        <v>835</v>
      </c>
      <c r="T60" s="3" t="s">
        <v>70</v>
      </c>
      <c r="U60" s="4">
        <v>7</v>
      </c>
      <c r="V60" s="4">
        <v>7</v>
      </c>
      <c r="W60" s="5" t="s">
        <v>836</v>
      </c>
      <c r="X60" s="5" t="s">
        <v>836</v>
      </c>
      <c r="Y60" s="5" t="s">
        <v>808</v>
      </c>
      <c r="Z60" s="5" t="s">
        <v>808</v>
      </c>
      <c r="AA60" s="4">
        <v>309</v>
      </c>
      <c r="AB60" s="4">
        <v>234</v>
      </c>
      <c r="AC60" s="4">
        <v>240</v>
      </c>
      <c r="AD60" s="4">
        <v>2</v>
      </c>
      <c r="AE60" s="4">
        <v>2</v>
      </c>
      <c r="AF60" s="4">
        <v>13</v>
      </c>
      <c r="AG60" s="4">
        <v>13</v>
      </c>
      <c r="AH60" s="4">
        <v>3</v>
      </c>
      <c r="AI60" s="4">
        <v>3</v>
      </c>
      <c r="AJ60" s="4">
        <v>5</v>
      </c>
      <c r="AK60" s="4">
        <v>5</v>
      </c>
      <c r="AL60" s="4">
        <v>9</v>
      </c>
      <c r="AM60" s="4">
        <v>9</v>
      </c>
      <c r="AN60" s="4">
        <v>1</v>
      </c>
      <c r="AO60" s="4">
        <v>1</v>
      </c>
      <c r="AP60" s="4">
        <v>0</v>
      </c>
      <c r="AQ60" s="4">
        <v>0</v>
      </c>
      <c r="AR60" s="3" t="s">
        <v>62</v>
      </c>
      <c r="AS60" s="3" t="s">
        <v>84</v>
      </c>
      <c r="AT60" s="6" t="str">
        <f>HYPERLINK("http://catalog.hathitrust.org/Record/006020969","HathiTrust Record")</f>
        <v>HathiTrust Record</v>
      </c>
      <c r="AU60" s="6" t="str">
        <f>HYPERLINK("https://creighton-primo.hosted.exlibrisgroup.com/primo-explore/search?tab=default_tab&amp;search_scope=EVERYTHING&amp;vid=01CRU&amp;lang=en_US&amp;offset=0&amp;query=any,contains,991005145879702656","Catalog Record")</f>
        <v>Catalog Record</v>
      </c>
      <c r="AV60" s="6" t="str">
        <f>HYPERLINK("http://www.worldcat.org/oclc/7669119","WorldCat Record")</f>
        <v>WorldCat Record</v>
      </c>
      <c r="AW60" s="3" t="s">
        <v>837</v>
      </c>
      <c r="AX60" s="3" t="s">
        <v>838</v>
      </c>
      <c r="AY60" s="3" t="s">
        <v>839</v>
      </c>
      <c r="AZ60" s="3" t="s">
        <v>839</v>
      </c>
      <c r="BA60" s="3" t="s">
        <v>840</v>
      </c>
      <c r="BB60" s="3" t="s">
        <v>77</v>
      </c>
      <c r="BD60" s="3" t="s">
        <v>841</v>
      </c>
      <c r="BE60" s="3" t="s">
        <v>842</v>
      </c>
      <c r="BF60" s="3" t="s">
        <v>843</v>
      </c>
    </row>
    <row r="61" spans="1:58" ht="41.25" customHeight="1" x14ac:dyDescent="0.25">
      <c r="A61" s="7" t="s">
        <v>62</v>
      </c>
      <c r="B61" s="2" t="s">
        <v>57</v>
      </c>
      <c r="C61" s="2" t="s">
        <v>58</v>
      </c>
      <c r="D61" s="2" t="s">
        <v>844</v>
      </c>
      <c r="E61" s="2" t="s">
        <v>845</v>
      </c>
      <c r="F61" s="2" t="s">
        <v>846</v>
      </c>
      <c r="H61" s="3" t="s">
        <v>62</v>
      </c>
      <c r="I61" s="3" t="s">
        <v>63</v>
      </c>
      <c r="J61" s="3" t="s">
        <v>62</v>
      </c>
      <c r="K61" s="3" t="s">
        <v>62</v>
      </c>
      <c r="L61" s="3" t="s">
        <v>64</v>
      </c>
      <c r="M61" s="2" t="s">
        <v>847</v>
      </c>
      <c r="N61" s="2" t="s">
        <v>848</v>
      </c>
      <c r="O61" s="3" t="s">
        <v>340</v>
      </c>
      <c r="Q61" s="3" t="s">
        <v>68</v>
      </c>
      <c r="R61" s="3" t="s">
        <v>88</v>
      </c>
      <c r="T61" s="3" t="s">
        <v>70</v>
      </c>
      <c r="U61" s="4">
        <v>5</v>
      </c>
      <c r="V61" s="4">
        <v>5</v>
      </c>
      <c r="W61" s="5" t="s">
        <v>659</v>
      </c>
      <c r="X61" s="5" t="s">
        <v>659</v>
      </c>
      <c r="Y61" s="5" t="s">
        <v>451</v>
      </c>
      <c r="Z61" s="5" t="s">
        <v>451</v>
      </c>
      <c r="AA61" s="4">
        <v>308</v>
      </c>
      <c r="AB61" s="4">
        <v>246</v>
      </c>
      <c r="AC61" s="4">
        <v>341</v>
      </c>
      <c r="AD61" s="4">
        <v>2</v>
      </c>
      <c r="AE61" s="4">
        <v>2</v>
      </c>
      <c r="AF61" s="4">
        <v>23</v>
      </c>
      <c r="AG61" s="4">
        <v>27</v>
      </c>
      <c r="AH61" s="4">
        <v>7</v>
      </c>
      <c r="AI61" s="4">
        <v>9</v>
      </c>
      <c r="AJ61" s="4">
        <v>7</v>
      </c>
      <c r="AK61" s="4">
        <v>8</v>
      </c>
      <c r="AL61" s="4">
        <v>18</v>
      </c>
      <c r="AM61" s="4">
        <v>20</v>
      </c>
      <c r="AN61" s="4">
        <v>1</v>
      </c>
      <c r="AO61" s="4">
        <v>1</v>
      </c>
      <c r="AP61" s="4">
        <v>0</v>
      </c>
      <c r="AQ61" s="4">
        <v>0</v>
      </c>
      <c r="AR61" s="3" t="s">
        <v>62</v>
      </c>
      <c r="AS61" s="3" t="s">
        <v>62</v>
      </c>
      <c r="AU61" s="6" t="str">
        <f>HYPERLINK("https://creighton-primo.hosted.exlibrisgroup.com/primo-explore/search?tab=default_tab&amp;search_scope=EVERYTHING&amp;vid=01CRU&amp;lang=en_US&amp;offset=0&amp;query=any,contains,991003556109702656","Catalog Record")</f>
        <v>Catalog Record</v>
      </c>
      <c r="AV61" s="6" t="str">
        <f>HYPERLINK("http://www.worldcat.org/oclc/1124340","WorldCat Record")</f>
        <v>WorldCat Record</v>
      </c>
      <c r="AW61" s="3" t="s">
        <v>849</v>
      </c>
      <c r="AX61" s="3" t="s">
        <v>850</v>
      </c>
      <c r="AY61" s="3" t="s">
        <v>851</v>
      </c>
      <c r="AZ61" s="3" t="s">
        <v>851</v>
      </c>
      <c r="BA61" s="3" t="s">
        <v>852</v>
      </c>
      <c r="BB61" s="3" t="s">
        <v>77</v>
      </c>
      <c r="BE61" s="3" t="s">
        <v>853</v>
      </c>
      <c r="BF61" s="3" t="s">
        <v>854</v>
      </c>
    </row>
    <row r="62" spans="1:58" ht="41.25" customHeight="1" x14ac:dyDescent="0.25">
      <c r="A62" s="7" t="s">
        <v>62</v>
      </c>
      <c r="B62" s="2" t="s">
        <v>57</v>
      </c>
      <c r="C62" s="2" t="s">
        <v>58</v>
      </c>
      <c r="D62" s="2" t="s">
        <v>855</v>
      </c>
      <c r="E62" s="2" t="s">
        <v>856</v>
      </c>
      <c r="F62" s="2" t="s">
        <v>857</v>
      </c>
      <c r="H62" s="3" t="s">
        <v>62</v>
      </c>
      <c r="I62" s="3" t="s">
        <v>63</v>
      </c>
      <c r="J62" s="3" t="s">
        <v>62</v>
      </c>
      <c r="K62" s="3" t="s">
        <v>62</v>
      </c>
      <c r="L62" s="3" t="s">
        <v>64</v>
      </c>
      <c r="M62" s="2" t="s">
        <v>858</v>
      </c>
      <c r="N62" s="2" t="s">
        <v>859</v>
      </c>
      <c r="O62" s="3" t="s">
        <v>218</v>
      </c>
      <c r="Q62" s="3" t="s">
        <v>860</v>
      </c>
      <c r="R62" s="3" t="s">
        <v>698</v>
      </c>
      <c r="S62" s="2" t="s">
        <v>861</v>
      </c>
      <c r="T62" s="3" t="s">
        <v>70</v>
      </c>
      <c r="U62" s="4">
        <v>4</v>
      </c>
      <c r="V62" s="4">
        <v>4</v>
      </c>
      <c r="W62" s="5" t="s">
        <v>862</v>
      </c>
      <c r="X62" s="5" t="s">
        <v>862</v>
      </c>
      <c r="Y62" s="5" t="s">
        <v>451</v>
      </c>
      <c r="Z62" s="5" t="s">
        <v>451</v>
      </c>
      <c r="AA62" s="4">
        <v>257</v>
      </c>
      <c r="AB62" s="4">
        <v>172</v>
      </c>
      <c r="AC62" s="4">
        <v>192</v>
      </c>
      <c r="AD62" s="4">
        <v>2</v>
      </c>
      <c r="AE62" s="4">
        <v>2</v>
      </c>
      <c r="AF62" s="4">
        <v>10</v>
      </c>
      <c r="AG62" s="4">
        <v>10</v>
      </c>
      <c r="AH62" s="4">
        <v>1</v>
      </c>
      <c r="AI62" s="4">
        <v>1</v>
      </c>
      <c r="AJ62" s="4">
        <v>3</v>
      </c>
      <c r="AK62" s="4">
        <v>3</v>
      </c>
      <c r="AL62" s="4">
        <v>6</v>
      </c>
      <c r="AM62" s="4">
        <v>6</v>
      </c>
      <c r="AN62" s="4">
        <v>1</v>
      </c>
      <c r="AO62" s="4">
        <v>1</v>
      </c>
      <c r="AP62" s="4">
        <v>0</v>
      </c>
      <c r="AQ62" s="4">
        <v>0</v>
      </c>
      <c r="AR62" s="3" t="s">
        <v>62</v>
      </c>
      <c r="AS62" s="3" t="s">
        <v>84</v>
      </c>
      <c r="AT62" s="6" t="str">
        <f>HYPERLINK("http://catalog.hathitrust.org/Record/000775930","HathiTrust Record")</f>
        <v>HathiTrust Record</v>
      </c>
      <c r="AU62" s="6" t="str">
        <f>HYPERLINK("https://creighton-primo.hosted.exlibrisgroup.com/primo-explore/search?tab=default_tab&amp;search_scope=EVERYTHING&amp;vid=01CRU&amp;lang=en_US&amp;offset=0&amp;query=any,contains,991004685649702656","Catalog Record")</f>
        <v>Catalog Record</v>
      </c>
      <c r="AV62" s="6" t="str">
        <f>HYPERLINK("http://www.worldcat.org/oclc/4592228","WorldCat Record")</f>
        <v>WorldCat Record</v>
      </c>
      <c r="AW62" s="3" t="s">
        <v>863</v>
      </c>
      <c r="AX62" s="3" t="s">
        <v>864</v>
      </c>
      <c r="AY62" s="3" t="s">
        <v>865</v>
      </c>
      <c r="AZ62" s="3" t="s">
        <v>865</v>
      </c>
      <c r="BA62" s="3" t="s">
        <v>866</v>
      </c>
      <c r="BB62" s="3" t="s">
        <v>77</v>
      </c>
      <c r="BD62" s="3" t="s">
        <v>867</v>
      </c>
      <c r="BE62" s="3" t="s">
        <v>868</v>
      </c>
      <c r="BF62" s="3" t="s">
        <v>869</v>
      </c>
    </row>
    <row r="63" spans="1:58" ht="41.25" customHeight="1" x14ac:dyDescent="0.25">
      <c r="A63" s="7" t="s">
        <v>62</v>
      </c>
      <c r="B63" s="2" t="s">
        <v>57</v>
      </c>
      <c r="C63" s="2" t="s">
        <v>58</v>
      </c>
      <c r="D63" s="2" t="s">
        <v>870</v>
      </c>
      <c r="E63" s="2" t="s">
        <v>871</v>
      </c>
      <c r="F63" s="2" t="s">
        <v>872</v>
      </c>
      <c r="H63" s="3" t="s">
        <v>62</v>
      </c>
      <c r="I63" s="3" t="s">
        <v>63</v>
      </c>
      <c r="J63" s="3" t="s">
        <v>62</v>
      </c>
      <c r="K63" s="3" t="s">
        <v>62</v>
      </c>
      <c r="L63" s="3" t="s">
        <v>64</v>
      </c>
      <c r="M63" s="2" t="s">
        <v>873</v>
      </c>
      <c r="N63" s="2" t="s">
        <v>874</v>
      </c>
      <c r="O63" s="3" t="s">
        <v>340</v>
      </c>
      <c r="P63" s="2" t="s">
        <v>268</v>
      </c>
      <c r="Q63" s="3" t="s">
        <v>68</v>
      </c>
      <c r="R63" s="3" t="s">
        <v>875</v>
      </c>
      <c r="T63" s="3" t="s">
        <v>70</v>
      </c>
      <c r="U63" s="4">
        <v>1</v>
      </c>
      <c r="V63" s="4">
        <v>1</v>
      </c>
      <c r="W63" s="5" t="s">
        <v>876</v>
      </c>
      <c r="X63" s="5" t="s">
        <v>876</v>
      </c>
      <c r="Y63" s="5" t="s">
        <v>386</v>
      </c>
      <c r="Z63" s="5" t="s">
        <v>386</v>
      </c>
      <c r="AA63" s="4">
        <v>672</v>
      </c>
      <c r="AB63" s="4">
        <v>588</v>
      </c>
      <c r="AC63" s="4">
        <v>664</v>
      </c>
      <c r="AD63" s="4">
        <v>5</v>
      </c>
      <c r="AE63" s="4">
        <v>5</v>
      </c>
      <c r="AF63" s="4">
        <v>21</v>
      </c>
      <c r="AG63" s="4">
        <v>23</v>
      </c>
      <c r="AH63" s="4">
        <v>9</v>
      </c>
      <c r="AI63" s="4">
        <v>11</v>
      </c>
      <c r="AJ63" s="4">
        <v>3</v>
      </c>
      <c r="AK63" s="4">
        <v>3</v>
      </c>
      <c r="AL63" s="4">
        <v>10</v>
      </c>
      <c r="AM63" s="4">
        <v>12</v>
      </c>
      <c r="AN63" s="4">
        <v>3</v>
      </c>
      <c r="AO63" s="4">
        <v>3</v>
      </c>
      <c r="AP63" s="4">
        <v>0</v>
      </c>
      <c r="AQ63" s="4">
        <v>0</v>
      </c>
      <c r="AR63" s="3" t="s">
        <v>62</v>
      </c>
      <c r="AS63" s="3" t="s">
        <v>84</v>
      </c>
      <c r="AT63" s="6" t="str">
        <f>HYPERLINK("http://catalog.hathitrust.org/Record/007125173","HathiTrust Record")</f>
        <v>HathiTrust Record</v>
      </c>
      <c r="AU63" s="6" t="str">
        <f>HYPERLINK("https://creighton-primo.hosted.exlibrisgroup.com/primo-explore/search?tab=default_tab&amp;search_scope=EVERYTHING&amp;vid=01CRU&amp;lang=en_US&amp;offset=0&amp;query=any,contains,991000956329702656","Catalog Record")</f>
        <v>Catalog Record</v>
      </c>
      <c r="AV63" s="6" t="str">
        <f>HYPERLINK("http://www.worldcat.org/oclc/168039","WorldCat Record")</f>
        <v>WorldCat Record</v>
      </c>
      <c r="AW63" s="3" t="s">
        <v>877</v>
      </c>
      <c r="AX63" s="3" t="s">
        <v>878</v>
      </c>
      <c r="AY63" s="3" t="s">
        <v>879</v>
      </c>
      <c r="AZ63" s="3" t="s">
        <v>879</v>
      </c>
      <c r="BA63" s="3" t="s">
        <v>880</v>
      </c>
      <c r="BB63" s="3" t="s">
        <v>77</v>
      </c>
      <c r="BE63" s="3" t="s">
        <v>881</v>
      </c>
      <c r="BF63" s="3" t="s">
        <v>882</v>
      </c>
    </row>
    <row r="64" spans="1:58" ht="41.25" customHeight="1" x14ac:dyDescent="0.25">
      <c r="A64" s="7" t="s">
        <v>62</v>
      </c>
      <c r="B64" s="2" t="s">
        <v>57</v>
      </c>
      <c r="C64" s="2" t="s">
        <v>58</v>
      </c>
      <c r="D64" s="2" t="s">
        <v>883</v>
      </c>
      <c r="E64" s="2" t="s">
        <v>884</v>
      </c>
      <c r="F64" s="2" t="s">
        <v>885</v>
      </c>
      <c r="H64" s="3" t="s">
        <v>62</v>
      </c>
      <c r="I64" s="3" t="s">
        <v>63</v>
      </c>
      <c r="J64" s="3" t="s">
        <v>62</v>
      </c>
      <c r="K64" s="3" t="s">
        <v>62</v>
      </c>
      <c r="L64" s="3" t="s">
        <v>64</v>
      </c>
      <c r="M64" s="2" t="s">
        <v>886</v>
      </c>
      <c r="N64" s="2" t="s">
        <v>887</v>
      </c>
      <c r="O64" s="3" t="s">
        <v>383</v>
      </c>
      <c r="Q64" s="3" t="s">
        <v>68</v>
      </c>
      <c r="R64" s="3" t="s">
        <v>888</v>
      </c>
      <c r="S64" s="2" t="s">
        <v>889</v>
      </c>
      <c r="T64" s="3" t="s">
        <v>70</v>
      </c>
      <c r="U64" s="4">
        <v>4</v>
      </c>
      <c r="V64" s="4">
        <v>4</v>
      </c>
      <c r="W64" s="5" t="s">
        <v>890</v>
      </c>
      <c r="X64" s="5" t="s">
        <v>890</v>
      </c>
      <c r="Y64" s="5" t="s">
        <v>451</v>
      </c>
      <c r="Z64" s="5" t="s">
        <v>451</v>
      </c>
      <c r="AA64" s="4">
        <v>453</v>
      </c>
      <c r="AB64" s="4">
        <v>385</v>
      </c>
      <c r="AC64" s="4">
        <v>391</v>
      </c>
      <c r="AD64" s="4">
        <v>2</v>
      </c>
      <c r="AE64" s="4">
        <v>2</v>
      </c>
      <c r="AF64" s="4">
        <v>18</v>
      </c>
      <c r="AG64" s="4">
        <v>18</v>
      </c>
      <c r="AH64" s="4">
        <v>7</v>
      </c>
      <c r="AI64" s="4">
        <v>7</v>
      </c>
      <c r="AJ64" s="4">
        <v>4</v>
      </c>
      <c r="AK64" s="4">
        <v>4</v>
      </c>
      <c r="AL64" s="4">
        <v>11</v>
      </c>
      <c r="AM64" s="4">
        <v>11</v>
      </c>
      <c r="AN64" s="4">
        <v>1</v>
      </c>
      <c r="AO64" s="4">
        <v>1</v>
      </c>
      <c r="AP64" s="4">
        <v>0</v>
      </c>
      <c r="AQ64" s="4">
        <v>0</v>
      </c>
      <c r="AR64" s="3" t="s">
        <v>62</v>
      </c>
      <c r="AS64" s="3" t="s">
        <v>84</v>
      </c>
      <c r="AT64" s="6" t="str">
        <f>HYPERLINK("http://catalog.hathitrust.org/Record/006604550","HathiTrust Record")</f>
        <v>HathiTrust Record</v>
      </c>
      <c r="AU64" s="6" t="str">
        <f>HYPERLINK("https://creighton-primo.hosted.exlibrisgroup.com/primo-explore/search?tab=default_tab&amp;search_scope=EVERYTHING&amp;vid=01CRU&amp;lang=en_US&amp;offset=0&amp;query=any,contains,991005431309702656","Catalog Record")</f>
        <v>Catalog Record</v>
      </c>
      <c r="AV64" s="6" t="str">
        <f>HYPERLINK("http://www.worldcat.org/oclc/512","WorldCat Record")</f>
        <v>WorldCat Record</v>
      </c>
      <c r="AW64" s="3" t="s">
        <v>891</v>
      </c>
      <c r="AX64" s="3" t="s">
        <v>892</v>
      </c>
      <c r="AY64" s="3" t="s">
        <v>893</v>
      </c>
      <c r="AZ64" s="3" t="s">
        <v>893</v>
      </c>
      <c r="BA64" s="3" t="s">
        <v>894</v>
      </c>
      <c r="BB64" s="3" t="s">
        <v>77</v>
      </c>
      <c r="BE64" s="3" t="s">
        <v>895</v>
      </c>
      <c r="BF64" s="3" t="s">
        <v>896</v>
      </c>
    </row>
    <row r="65" spans="1:58" ht="41.25" customHeight="1" x14ac:dyDescent="0.25">
      <c r="A65" s="7" t="s">
        <v>62</v>
      </c>
      <c r="B65" s="2" t="s">
        <v>57</v>
      </c>
      <c r="C65" s="2" t="s">
        <v>58</v>
      </c>
      <c r="D65" s="2" t="s">
        <v>897</v>
      </c>
      <c r="E65" s="2" t="s">
        <v>898</v>
      </c>
      <c r="F65" s="2" t="s">
        <v>899</v>
      </c>
      <c r="H65" s="3" t="s">
        <v>62</v>
      </c>
      <c r="I65" s="3" t="s">
        <v>63</v>
      </c>
      <c r="J65" s="3" t="s">
        <v>62</v>
      </c>
      <c r="K65" s="3" t="s">
        <v>62</v>
      </c>
      <c r="L65" s="3" t="s">
        <v>64</v>
      </c>
      <c r="M65" s="2" t="s">
        <v>900</v>
      </c>
      <c r="N65" s="2" t="s">
        <v>901</v>
      </c>
      <c r="O65" s="3" t="s">
        <v>902</v>
      </c>
      <c r="Q65" s="3" t="s">
        <v>68</v>
      </c>
      <c r="R65" s="3" t="s">
        <v>69</v>
      </c>
      <c r="T65" s="3" t="s">
        <v>70</v>
      </c>
      <c r="U65" s="4">
        <v>5</v>
      </c>
      <c r="V65" s="4">
        <v>5</v>
      </c>
      <c r="W65" s="5" t="s">
        <v>903</v>
      </c>
      <c r="X65" s="5" t="s">
        <v>903</v>
      </c>
      <c r="Y65" s="5" t="s">
        <v>386</v>
      </c>
      <c r="Z65" s="5" t="s">
        <v>386</v>
      </c>
      <c r="AA65" s="4">
        <v>844</v>
      </c>
      <c r="AB65" s="4">
        <v>682</v>
      </c>
      <c r="AC65" s="4">
        <v>796</v>
      </c>
      <c r="AD65" s="4">
        <v>3</v>
      </c>
      <c r="AE65" s="4">
        <v>4</v>
      </c>
      <c r="AF65" s="4">
        <v>35</v>
      </c>
      <c r="AG65" s="4">
        <v>38</v>
      </c>
      <c r="AH65" s="4">
        <v>17</v>
      </c>
      <c r="AI65" s="4">
        <v>18</v>
      </c>
      <c r="AJ65" s="4">
        <v>7</v>
      </c>
      <c r="AK65" s="4">
        <v>7</v>
      </c>
      <c r="AL65" s="4">
        <v>17</v>
      </c>
      <c r="AM65" s="4">
        <v>18</v>
      </c>
      <c r="AN65" s="4">
        <v>2</v>
      </c>
      <c r="AO65" s="4">
        <v>3</v>
      </c>
      <c r="AP65" s="4">
        <v>1</v>
      </c>
      <c r="AQ65" s="4">
        <v>1</v>
      </c>
      <c r="AR65" s="3" t="s">
        <v>62</v>
      </c>
      <c r="AS65" s="3" t="s">
        <v>84</v>
      </c>
      <c r="AT65" s="6" t="str">
        <f>HYPERLINK("http://catalog.hathitrust.org/Record/001394917","HathiTrust Record")</f>
        <v>HathiTrust Record</v>
      </c>
      <c r="AU65" s="6" t="str">
        <f>HYPERLINK("https://creighton-primo.hosted.exlibrisgroup.com/primo-explore/search?tab=default_tab&amp;search_scope=EVERYTHING&amp;vid=01CRU&amp;lang=en_US&amp;offset=0&amp;query=any,contains,991005129779702656","Catalog Record")</f>
        <v>Catalog Record</v>
      </c>
      <c r="AV65" s="6" t="str">
        <f>HYPERLINK("http://www.worldcat.org/oclc/374866","WorldCat Record")</f>
        <v>WorldCat Record</v>
      </c>
      <c r="AW65" s="3" t="s">
        <v>904</v>
      </c>
      <c r="AX65" s="3" t="s">
        <v>905</v>
      </c>
      <c r="AY65" s="3" t="s">
        <v>906</v>
      </c>
      <c r="AZ65" s="3" t="s">
        <v>906</v>
      </c>
      <c r="BA65" s="3" t="s">
        <v>907</v>
      </c>
      <c r="BB65" s="3" t="s">
        <v>77</v>
      </c>
      <c r="BE65" s="3" t="s">
        <v>908</v>
      </c>
      <c r="BF65" s="3" t="s">
        <v>909</v>
      </c>
    </row>
    <row r="66" spans="1:58" ht="41.25" customHeight="1" x14ac:dyDescent="0.25">
      <c r="A66" s="7" t="s">
        <v>62</v>
      </c>
      <c r="B66" s="2" t="s">
        <v>57</v>
      </c>
      <c r="C66" s="2" t="s">
        <v>58</v>
      </c>
      <c r="D66" s="2" t="s">
        <v>910</v>
      </c>
      <c r="E66" s="2" t="s">
        <v>911</v>
      </c>
      <c r="F66" s="2" t="s">
        <v>912</v>
      </c>
      <c r="H66" s="3" t="s">
        <v>62</v>
      </c>
      <c r="I66" s="3" t="s">
        <v>63</v>
      </c>
      <c r="J66" s="3" t="s">
        <v>62</v>
      </c>
      <c r="K66" s="3" t="s">
        <v>62</v>
      </c>
      <c r="L66" s="3" t="s">
        <v>64</v>
      </c>
      <c r="M66" s="2" t="s">
        <v>913</v>
      </c>
      <c r="N66" s="2" t="s">
        <v>914</v>
      </c>
      <c r="O66" s="3" t="s">
        <v>820</v>
      </c>
      <c r="Q66" s="3" t="s">
        <v>68</v>
      </c>
      <c r="R66" s="3" t="s">
        <v>297</v>
      </c>
      <c r="T66" s="3" t="s">
        <v>70</v>
      </c>
      <c r="U66" s="4">
        <v>3</v>
      </c>
      <c r="V66" s="4">
        <v>3</v>
      </c>
      <c r="W66" s="5" t="s">
        <v>915</v>
      </c>
      <c r="X66" s="5" t="s">
        <v>915</v>
      </c>
      <c r="Y66" s="5" t="s">
        <v>386</v>
      </c>
      <c r="Z66" s="5" t="s">
        <v>386</v>
      </c>
      <c r="AA66" s="4">
        <v>484</v>
      </c>
      <c r="AB66" s="4">
        <v>345</v>
      </c>
      <c r="AC66" s="4">
        <v>421</v>
      </c>
      <c r="AD66" s="4">
        <v>3</v>
      </c>
      <c r="AE66" s="4">
        <v>3</v>
      </c>
      <c r="AF66" s="4">
        <v>18</v>
      </c>
      <c r="AG66" s="4">
        <v>24</v>
      </c>
      <c r="AH66" s="4">
        <v>4</v>
      </c>
      <c r="AI66" s="4">
        <v>7</v>
      </c>
      <c r="AJ66" s="4">
        <v>6</v>
      </c>
      <c r="AK66" s="4">
        <v>8</v>
      </c>
      <c r="AL66" s="4">
        <v>10</v>
      </c>
      <c r="AM66" s="4">
        <v>13</v>
      </c>
      <c r="AN66" s="4">
        <v>2</v>
      </c>
      <c r="AO66" s="4">
        <v>2</v>
      </c>
      <c r="AP66" s="4">
        <v>0</v>
      </c>
      <c r="AQ66" s="4">
        <v>0</v>
      </c>
      <c r="AR66" s="3" t="s">
        <v>62</v>
      </c>
      <c r="AS66" s="3" t="s">
        <v>62</v>
      </c>
      <c r="AU66" s="6" t="str">
        <f>HYPERLINK("https://creighton-primo.hosted.exlibrisgroup.com/primo-explore/search?tab=default_tab&amp;search_scope=EVERYTHING&amp;vid=01CRU&amp;lang=en_US&amp;offset=0&amp;query=any,contains,991004000949702656","Catalog Record")</f>
        <v>Catalog Record</v>
      </c>
      <c r="AV66" s="6" t="str">
        <f>HYPERLINK("http://www.worldcat.org/oclc/2073229","WorldCat Record")</f>
        <v>WorldCat Record</v>
      </c>
      <c r="AW66" s="3" t="s">
        <v>916</v>
      </c>
      <c r="AX66" s="3" t="s">
        <v>917</v>
      </c>
      <c r="AY66" s="3" t="s">
        <v>918</v>
      </c>
      <c r="AZ66" s="3" t="s">
        <v>918</v>
      </c>
      <c r="BA66" s="3" t="s">
        <v>919</v>
      </c>
      <c r="BB66" s="3" t="s">
        <v>77</v>
      </c>
      <c r="BD66" s="3" t="s">
        <v>920</v>
      </c>
      <c r="BE66" s="3" t="s">
        <v>921</v>
      </c>
      <c r="BF66" s="3" t="s">
        <v>922</v>
      </c>
    </row>
    <row r="67" spans="1:58" ht="41.25" customHeight="1" x14ac:dyDescent="0.25">
      <c r="A67" s="7" t="s">
        <v>62</v>
      </c>
      <c r="B67" s="2" t="s">
        <v>57</v>
      </c>
      <c r="C67" s="2" t="s">
        <v>58</v>
      </c>
      <c r="D67" s="2" t="s">
        <v>923</v>
      </c>
      <c r="E67" s="2" t="s">
        <v>924</v>
      </c>
      <c r="F67" s="2" t="s">
        <v>925</v>
      </c>
      <c r="H67" s="3" t="s">
        <v>62</v>
      </c>
      <c r="I67" s="3" t="s">
        <v>63</v>
      </c>
      <c r="J67" s="3" t="s">
        <v>62</v>
      </c>
      <c r="K67" s="3" t="s">
        <v>62</v>
      </c>
      <c r="L67" s="3" t="s">
        <v>64</v>
      </c>
      <c r="M67" s="2" t="s">
        <v>926</v>
      </c>
      <c r="N67" s="2" t="s">
        <v>927</v>
      </c>
      <c r="O67" s="3" t="s">
        <v>561</v>
      </c>
      <c r="Q67" s="3" t="s">
        <v>68</v>
      </c>
      <c r="R67" s="3" t="s">
        <v>698</v>
      </c>
      <c r="T67" s="3" t="s">
        <v>70</v>
      </c>
      <c r="U67" s="4">
        <v>1</v>
      </c>
      <c r="V67" s="4">
        <v>1</v>
      </c>
      <c r="W67" s="5" t="s">
        <v>928</v>
      </c>
      <c r="X67" s="5" t="s">
        <v>928</v>
      </c>
      <c r="Y67" s="5" t="s">
        <v>928</v>
      </c>
      <c r="Z67" s="5" t="s">
        <v>928</v>
      </c>
      <c r="AA67" s="4">
        <v>196</v>
      </c>
      <c r="AB67" s="4">
        <v>134</v>
      </c>
      <c r="AC67" s="4">
        <v>139</v>
      </c>
      <c r="AD67" s="4">
        <v>2</v>
      </c>
      <c r="AE67" s="4">
        <v>2</v>
      </c>
      <c r="AF67" s="4">
        <v>8</v>
      </c>
      <c r="AG67" s="4">
        <v>8</v>
      </c>
      <c r="AH67" s="4">
        <v>1</v>
      </c>
      <c r="AI67" s="4">
        <v>1</v>
      </c>
      <c r="AJ67" s="4">
        <v>3</v>
      </c>
      <c r="AK67" s="4">
        <v>3</v>
      </c>
      <c r="AL67" s="4">
        <v>5</v>
      </c>
      <c r="AM67" s="4">
        <v>5</v>
      </c>
      <c r="AN67" s="4">
        <v>1</v>
      </c>
      <c r="AO67" s="4">
        <v>1</v>
      </c>
      <c r="AP67" s="4">
        <v>0</v>
      </c>
      <c r="AQ67" s="4">
        <v>0</v>
      </c>
      <c r="AR67" s="3" t="s">
        <v>62</v>
      </c>
      <c r="AS67" s="3" t="s">
        <v>62</v>
      </c>
      <c r="AU67" s="6" t="str">
        <f>HYPERLINK("https://creighton-primo.hosted.exlibrisgroup.com/primo-explore/search?tab=default_tab&amp;search_scope=EVERYTHING&amp;vid=01CRU&amp;lang=en_US&amp;offset=0&amp;query=any,contains,991003946859702656","Catalog Record")</f>
        <v>Catalog Record</v>
      </c>
      <c r="AV67" s="6" t="str">
        <f>HYPERLINK("http://www.worldcat.org/oclc/17441703","WorldCat Record")</f>
        <v>WorldCat Record</v>
      </c>
      <c r="AW67" s="3" t="s">
        <v>929</v>
      </c>
      <c r="AX67" s="3" t="s">
        <v>930</v>
      </c>
      <c r="AY67" s="3" t="s">
        <v>931</v>
      </c>
      <c r="AZ67" s="3" t="s">
        <v>931</v>
      </c>
      <c r="BA67" s="3" t="s">
        <v>932</v>
      </c>
      <c r="BB67" s="3" t="s">
        <v>77</v>
      </c>
      <c r="BD67" s="3" t="s">
        <v>933</v>
      </c>
      <c r="BE67" s="3" t="s">
        <v>934</v>
      </c>
      <c r="BF67" s="3" t="s">
        <v>935</v>
      </c>
    </row>
    <row r="68" spans="1:58" ht="41.25" customHeight="1" x14ac:dyDescent="0.25">
      <c r="A68" s="7" t="s">
        <v>62</v>
      </c>
      <c r="B68" s="2" t="s">
        <v>57</v>
      </c>
      <c r="C68" s="2" t="s">
        <v>58</v>
      </c>
      <c r="D68" s="2" t="s">
        <v>936</v>
      </c>
      <c r="E68" s="2" t="s">
        <v>937</v>
      </c>
      <c r="F68" s="2" t="s">
        <v>938</v>
      </c>
      <c r="H68" s="3" t="s">
        <v>62</v>
      </c>
      <c r="I68" s="3" t="s">
        <v>63</v>
      </c>
      <c r="J68" s="3" t="s">
        <v>62</v>
      </c>
      <c r="K68" s="3" t="s">
        <v>62</v>
      </c>
      <c r="L68" s="3" t="s">
        <v>64</v>
      </c>
      <c r="N68" s="2" t="s">
        <v>939</v>
      </c>
      <c r="O68" s="3" t="s">
        <v>940</v>
      </c>
      <c r="P68" s="2" t="s">
        <v>941</v>
      </c>
      <c r="Q68" s="3" t="s">
        <v>68</v>
      </c>
      <c r="R68" s="3" t="s">
        <v>942</v>
      </c>
      <c r="T68" s="3" t="s">
        <v>70</v>
      </c>
      <c r="U68" s="4">
        <v>1</v>
      </c>
      <c r="V68" s="4">
        <v>1</v>
      </c>
      <c r="W68" s="5" t="s">
        <v>943</v>
      </c>
      <c r="X68" s="5" t="s">
        <v>943</v>
      </c>
      <c r="Y68" s="5" t="s">
        <v>944</v>
      </c>
      <c r="Z68" s="5" t="s">
        <v>944</v>
      </c>
      <c r="AA68" s="4">
        <v>91</v>
      </c>
      <c r="AB68" s="4">
        <v>62</v>
      </c>
      <c r="AC68" s="4">
        <v>113</v>
      </c>
      <c r="AD68" s="4">
        <v>2</v>
      </c>
      <c r="AE68" s="4">
        <v>2</v>
      </c>
      <c r="AF68" s="4">
        <v>4</v>
      </c>
      <c r="AG68" s="4">
        <v>5</v>
      </c>
      <c r="AH68" s="4">
        <v>2</v>
      </c>
      <c r="AI68" s="4">
        <v>2</v>
      </c>
      <c r="AJ68" s="4">
        <v>1</v>
      </c>
      <c r="AK68" s="4">
        <v>2</v>
      </c>
      <c r="AL68" s="4">
        <v>1</v>
      </c>
      <c r="AM68" s="4">
        <v>1</v>
      </c>
      <c r="AN68" s="4">
        <v>1</v>
      </c>
      <c r="AO68" s="4">
        <v>1</v>
      </c>
      <c r="AP68" s="4">
        <v>0</v>
      </c>
      <c r="AQ68" s="4">
        <v>0</v>
      </c>
      <c r="AR68" s="3" t="s">
        <v>62</v>
      </c>
      <c r="AS68" s="3" t="s">
        <v>84</v>
      </c>
      <c r="AT68" s="6" t="str">
        <f>HYPERLINK("http://catalog.hathitrust.org/Record/003313878","HathiTrust Record")</f>
        <v>HathiTrust Record</v>
      </c>
      <c r="AU68" s="6" t="str">
        <f>HYPERLINK("https://creighton-primo.hosted.exlibrisgroup.com/primo-explore/search?tab=default_tab&amp;search_scope=EVERYTHING&amp;vid=01CRU&amp;lang=en_US&amp;offset=0&amp;query=any,contains,991002939859702656","Catalog Record")</f>
        <v>Catalog Record</v>
      </c>
      <c r="AV68" s="6" t="str">
        <f>HYPERLINK("http://www.worldcat.org/oclc/39117578","WorldCat Record")</f>
        <v>WorldCat Record</v>
      </c>
      <c r="AW68" s="3" t="s">
        <v>945</v>
      </c>
      <c r="AX68" s="3" t="s">
        <v>946</v>
      </c>
      <c r="AY68" s="3" t="s">
        <v>947</v>
      </c>
      <c r="AZ68" s="3" t="s">
        <v>947</v>
      </c>
      <c r="BA68" s="3" t="s">
        <v>948</v>
      </c>
      <c r="BB68" s="3" t="s">
        <v>77</v>
      </c>
      <c r="BE68" s="3" t="s">
        <v>949</v>
      </c>
      <c r="BF68" s="3" t="s">
        <v>950</v>
      </c>
    </row>
    <row r="69" spans="1:58" ht="41.25" customHeight="1" x14ac:dyDescent="0.25">
      <c r="A69" s="7" t="s">
        <v>62</v>
      </c>
      <c r="B69" s="2" t="s">
        <v>57</v>
      </c>
      <c r="C69" s="2" t="s">
        <v>58</v>
      </c>
      <c r="D69" s="2" t="s">
        <v>951</v>
      </c>
      <c r="E69" s="2" t="s">
        <v>952</v>
      </c>
      <c r="F69" s="2" t="s">
        <v>953</v>
      </c>
      <c r="H69" s="3" t="s">
        <v>62</v>
      </c>
      <c r="I69" s="3" t="s">
        <v>63</v>
      </c>
      <c r="J69" s="3" t="s">
        <v>62</v>
      </c>
      <c r="K69" s="3" t="s">
        <v>62</v>
      </c>
      <c r="L69" s="3" t="s">
        <v>64</v>
      </c>
      <c r="M69" s="2" t="s">
        <v>954</v>
      </c>
      <c r="N69" s="2" t="s">
        <v>955</v>
      </c>
      <c r="O69" s="3" t="s">
        <v>940</v>
      </c>
      <c r="P69" s="2" t="s">
        <v>956</v>
      </c>
      <c r="Q69" s="3" t="s">
        <v>68</v>
      </c>
      <c r="R69" s="3" t="s">
        <v>942</v>
      </c>
      <c r="T69" s="3" t="s">
        <v>70</v>
      </c>
      <c r="U69" s="4">
        <v>1</v>
      </c>
      <c r="V69" s="4">
        <v>1</v>
      </c>
      <c r="W69" s="5" t="s">
        <v>957</v>
      </c>
      <c r="X69" s="5" t="s">
        <v>957</v>
      </c>
      <c r="Y69" s="5" t="s">
        <v>958</v>
      </c>
      <c r="Z69" s="5" t="s">
        <v>958</v>
      </c>
      <c r="AA69" s="4">
        <v>98</v>
      </c>
      <c r="AB69" s="4">
        <v>61</v>
      </c>
      <c r="AC69" s="4">
        <v>75</v>
      </c>
      <c r="AD69" s="4">
        <v>3</v>
      </c>
      <c r="AE69" s="4">
        <v>3</v>
      </c>
      <c r="AF69" s="4">
        <v>4</v>
      </c>
      <c r="AG69" s="4">
        <v>4</v>
      </c>
      <c r="AH69" s="4">
        <v>1</v>
      </c>
      <c r="AI69" s="4">
        <v>1</v>
      </c>
      <c r="AJ69" s="4">
        <v>2</v>
      </c>
      <c r="AK69" s="4">
        <v>2</v>
      </c>
      <c r="AL69" s="4">
        <v>2</v>
      </c>
      <c r="AM69" s="4">
        <v>2</v>
      </c>
      <c r="AN69" s="4">
        <v>1</v>
      </c>
      <c r="AO69" s="4">
        <v>1</v>
      </c>
      <c r="AP69" s="4">
        <v>0</v>
      </c>
      <c r="AQ69" s="4">
        <v>0</v>
      </c>
      <c r="AR69" s="3" t="s">
        <v>62</v>
      </c>
      <c r="AS69" s="3" t="s">
        <v>84</v>
      </c>
      <c r="AT69" s="6" t="str">
        <f>HYPERLINK("http://catalog.hathitrust.org/Record/005992745","HathiTrust Record")</f>
        <v>HathiTrust Record</v>
      </c>
      <c r="AU69" s="6" t="str">
        <f>HYPERLINK("https://creighton-primo.hosted.exlibrisgroup.com/primo-explore/search?tab=default_tab&amp;search_scope=EVERYTHING&amp;vid=01CRU&amp;lang=en_US&amp;offset=0&amp;query=any,contains,991002430439702656","Catalog Record")</f>
        <v>Catalog Record</v>
      </c>
      <c r="AV69" s="6" t="str">
        <f>HYPERLINK("http://www.worldcat.org/oclc/40334068","WorldCat Record")</f>
        <v>WorldCat Record</v>
      </c>
      <c r="AW69" s="3" t="s">
        <v>959</v>
      </c>
      <c r="AX69" s="3" t="s">
        <v>960</v>
      </c>
      <c r="AY69" s="3" t="s">
        <v>961</v>
      </c>
      <c r="AZ69" s="3" t="s">
        <v>961</v>
      </c>
      <c r="BA69" s="3" t="s">
        <v>962</v>
      </c>
      <c r="BB69" s="3" t="s">
        <v>77</v>
      </c>
      <c r="BE69" s="3" t="s">
        <v>963</v>
      </c>
      <c r="BF69" s="3" t="s">
        <v>964</v>
      </c>
    </row>
    <row r="70" spans="1:58" ht="41.25" customHeight="1" x14ac:dyDescent="0.25">
      <c r="A70" s="7" t="s">
        <v>62</v>
      </c>
      <c r="B70" s="2" t="s">
        <v>57</v>
      </c>
      <c r="C70" s="2" t="s">
        <v>58</v>
      </c>
      <c r="D70" s="2" t="s">
        <v>965</v>
      </c>
      <c r="E70" s="2" t="s">
        <v>966</v>
      </c>
      <c r="F70" s="2" t="s">
        <v>967</v>
      </c>
      <c r="H70" s="3" t="s">
        <v>62</v>
      </c>
      <c r="I70" s="3" t="s">
        <v>63</v>
      </c>
      <c r="J70" s="3" t="s">
        <v>62</v>
      </c>
      <c r="K70" s="3" t="s">
        <v>62</v>
      </c>
      <c r="L70" s="3" t="s">
        <v>64</v>
      </c>
      <c r="M70" s="2" t="s">
        <v>968</v>
      </c>
      <c r="N70" s="2" t="s">
        <v>969</v>
      </c>
      <c r="O70" s="3" t="s">
        <v>970</v>
      </c>
      <c r="Q70" s="3" t="s">
        <v>68</v>
      </c>
      <c r="R70" s="3" t="s">
        <v>166</v>
      </c>
      <c r="T70" s="3" t="s">
        <v>70</v>
      </c>
      <c r="U70" s="4">
        <v>1</v>
      </c>
      <c r="V70" s="4">
        <v>1</v>
      </c>
      <c r="W70" s="5" t="s">
        <v>971</v>
      </c>
      <c r="X70" s="5" t="s">
        <v>971</v>
      </c>
      <c r="Y70" s="5" t="s">
        <v>972</v>
      </c>
      <c r="Z70" s="5" t="s">
        <v>972</v>
      </c>
      <c r="AA70" s="4">
        <v>320</v>
      </c>
      <c r="AB70" s="4">
        <v>250</v>
      </c>
      <c r="AC70" s="4">
        <v>250</v>
      </c>
      <c r="AD70" s="4">
        <v>2</v>
      </c>
      <c r="AE70" s="4">
        <v>2</v>
      </c>
      <c r="AF70" s="4">
        <v>21</v>
      </c>
      <c r="AG70" s="4">
        <v>21</v>
      </c>
      <c r="AH70" s="4">
        <v>10</v>
      </c>
      <c r="AI70" s="4">
        <v>10</v>
      </c>
      <c r="AJ70" s="4">
        <v>6</v>
      </c>
      <c r="AK70" s="4">
        <v>6</v>
      </c>
      <c r="AL70" s="4">
        <v>12</v>
      </c>
      <c r="AM70" s="4">
        <v>12</v>
      </c>
      <c r="AN70" s="4">
        <v>1</v>
      </c>
      <c r="AO70" s="4">
        <v>1</v>
      </c>
      <c r="AP70" s="4">
        <v>0</v>
      </c>
      <c r="AQ70" s="4">
        <v>0</v>
      </c>
      <c r="AR70" s="3" t="s">
        <v>62</v>
      </c>
      <c r="AS70" s="3" t="s">
        <v>62</v>
      </c>
      <c r="AU70" s="6" t="str">
        <f>HYPERLINK("https://creighton-primo.hosted.exlibrisgroup.com/primo-explore/search?tab=default_tab&amp;search_scope=EVERYTHING&amp;vid=01CRU&amp;lang=en_US&amp;offset=0&amp;query=any,contains,991001668049702656","Catalog Record")</f>
        <v>Catalog Record</v>
      </c>
      <c r="AV70" s="6" t="str">
        <f>HYPERLINK("http://www.worldcat.org/oclc/21229205","WorldCat Record")</f>
        <v>WorldCat Record</v>
      </c>
      <c r="AW70" s="3" t="s">
        <v>973</v>
      </c>
      <c r="AX70" s="3" t="s">
        <v>974</v>
      </c>
      <c r="AY70" s="3" t="s">
        <v>975</v>
      </c>
      <c r="AZ70" s="3" t="s">
        <v>975</v>
      </c>
      <c r="BA70" s="3" t="s">
        <v>976</v>
      </c>
      <c r="BB70" s="3" t="s">
        <v>77</v>
      </c>
      <c r="BD70" s="3" t="s">
        <v>977</v>
      </c>
      <c r="BE70" s="3" t="s">
        <v>978</v>
      </c>
      <c r="BF70" s="3" t="s">
        <v>979</v>
      </c>
    </row>
    <row r="71" spans="1:58" ht="41.25" customHeight="1" x14ac:dyDescent="0.25">
      <c r="A71" s="7" t="s">
        <v>62</v>
      </c>
      <c r="B71" s="2" t="s">
        <v>57</v>
      </c>
      <c r="C71" s="2" t="s">
        <v>58</v>
      </c>
      <c r="D71" s="2" t="s">
        <v>980</v>
      </c>
      <c r="E71" s="2" t="s">
        <v>981</v>
      </c>
      <c r="F71" s="2" t="s">
        <v>982</v>
      </c>
      <c r="H71" s="3" t="s">
        <v>62</v>
      </c>
      <c r="I71" s="3" t="s">
        <v>63</v>
      </c>
      <c r="J71" s="3" t="s">
        <v>62</v>
      </c>
      <c r="K71" s="3" t="s">
        <v>62</v>
      </c>
      <c r="L71" s="3" t="s">
        <v>64</v>
      </c>
      <c r="M71" s="2" t="s">
        <v>983</v>
      </c>
      <c r="N71" s="2" t="s">
        <v>984</v>
      </c>
      <c r="O71" s="3" t="s">
        <v>970</v>
      </c>
      <c r="Q71" s="3" t="s">
        <v>68</v>
      </c>
      <c r="R71" s="3" t="s">
        <v>562</v>
      </c>
      <c r="S71" s="2" t="s">
        <v>985</v>
      </c>
      <c r="T71" s="3" t="s">
        <v>70</v>
      </c>
      <c r="U71" s="4">
        <v>2</v>
      </c>
      <c r="V71" s="4">
        <v>2</v>
      </c>
      <c r="W71" s="5" t="s">
        <v>986</v>
      </c>
      <c r="X71" s="5" t="s">
        <v>986</v>
      </c>
      <c r="Y71" s="5" t="s">
        <v>987</v>
      </c>
      <c r="Z71" s="5" t="s">
        <v>987</v>
      </c>
      <c r="AA71" s="4">
        <v>154</v>
      </c>
      <c r="AB71" s="4">
        <v>108</v>
      </c>
      <c r="AC71" s="4">
        <v>110</v>
      </c>
      <c r="AD71" s="4">
        <v>2</v>
      </c>
      <c r="AE71" s="4">
        <v>2</v>
      </c>
      <c r="AF71" s="4">
        <v>9</v>
      </c>
      <c r="AG71" s="4">
        <v>9</v>
      </c>
      <c r="AH71" s="4">
        <v>0</v>
      </c>
      <c r="AI71" s="4">
        <v>0</v>
      </c>
      <c r="AJ71" s="4">
        <v>3</v>
      </c>
      <c r="AK71" s="4">
        <v>3</v>
      </c>
      <c r="AL71" s="4">
        <v>7</v>
      </c>
      <c r="AM71" s="4">
        <v>7</v>
      </c>
      <c r="AN71" s="4">
        <v>1</v>
      </c>
      <c r="AO71" s="4">
        <v>1</v>
      </c>
      <c r="AP71" s="4">
        <v>0</v>
      </c>
      <c r="AQ71" s="4">
        <v>0</v>
      </c>
      <c r="AR71" s="3" t="s">
        <v>62</v>
      </c>
      <c r="AS71" s="3" t="s">
        <v>84</v>
      </c>
      <c r="AT71" s="6" t="str">
        <f>HYPERLINK("http://catalog.hathitrust.org/Record/002425959","HathiTrust Record")</f>
        <v>HathiTrust Record</v>
      </c>
      <c r="AU71" s="6" t="str">
        <f>HYPERLINK("https://creighton-primo.hosted.exlibrisgroup.com/primo-explore/search?tab=default_tab&amp;search_scope=EVERYTHING&amp;vid=01CRU&amp;lang=en_US&amp;offset=0&amp;query=any,contains,991001584559702656","Catalog Record")</f>
        <v>Catalog Record</v>
      </c>
      <c r="AV71" s="6" t="str">
        <f>HYPERLINK("http://www.worldcat.org/oclc/37132704","WorldCat Record")</f>
        <v>WorldCat Record</v>
      </c>
      <c r="AW71" s="3" t="s">
        <v>988</v>
      </c>
      <c r="AX71" s="3" t="s">
        <v>989</v>
      </c>
      <c r="AY71" s="3" t="s">
        <v>990</v>
      </c>
      <c r="AZ71" s="3" t="s">
        <v>990</v>
      </c>
      <c r="BA71" s="3" t="s">
        <v>991</v>
      </c>
      <c r="BB71" s="3" t="s">
        <v>77</v>
      </c>
      <c r="BD71" s="3" t="s">
        <v>992</v>
      </c>
      <c r="BE71" s="3" t="s">
        <v>993</v>
      </c>
      <c r="BF71" s="3" t="s">
        <v>994</v>
      </c>
    </row>
    <row r="72" spans="1:58" ht="41.25" customHeight="1" x14ac:dyDescent="0.25">
      <c r="A72" s="7" t="s">
        <v>62</v>
      </c>
      <c r="B72" s="2" t="s">
        <v>57</v>
      </c>
      <c r="C72" s="2" t="s">
        <v>58</v>
      </c>
      <c r="D72" s="2" t="s">
        <v>995</v>
      </c>
      <c r="E72" s="2" t="s">
        <v>996</v>
      </c>
      <c r="F72" s="2" t="s">
        <v>997</v>
      </c>
      <c r="H72" s="3" t="s">
        <v>62</v>
      </c>
      <c r="I72" s="3" t="s">
        <v>63</v>
      </c>
      <c r="J72" s="3" t="s">
        <v>62</v>
      </c>
      <c r="K72" s="3" t="s">
        <v>62</v>
      </c>
      <c r="L72" s="3" t="s">
        <v>64</v>
      </c>
      <c r="N72" s="2" t="s">
        <v>998</v>
      </c>
      <c r="O72" s="3" t="s">
        <v>629</v>
      </c>
      <c r="P72" s="2" t="s">
        <v>834</v>
      </c>
      <c r="Q72" s="3" t="s">
        <v>68</v>
      </c>
      <c r="R72" s="3" t="s">
        <v>69</v>
      </c>
      <c r="T72" s="3" t="s">
        <v>70</v>
      </c>
      <c r="U72" s="4">
        <v>2</v>
      </c>
      <c r="V72" s="4">
        <v>2</v>
      </c>
      <c r="W72" s="5" t="s">
        <v>999</v>
      </c>
      <c r="X72" s="5" t="s">
        <v>999</v>
      </c>
      <c r="Y72" s="5" t="s">
        <v>451</v>
      </c>
      <c r="Z72" s="5" t="s">
        <v>451</v>
      </c>
      <c r="AA72" s="4">
        <v>629</v>
      </c>
      <c r="AB72" s="4">
        <v>554</v>
      </c>
      <c r="AC72" s="4">
        <v>561</v>
      </c>
      <c r="AD72" s="4">
        <v>8</v>
      </c>
      <c r="AE72" s="4">
        <v>8</v>
      </c>
      <c r="AF72" s="4">
        <v>25</v>
      </c>
      <c r="AG72" s="4">
        <v>25</v>
      </c>
      <c r="AH72" s="4">
        <v>9</v>
      </c>
      <c r="AI72" s="4">
        <v>9</v>
      </c>
      <c r="AJ72" s="4">
        <v>3</v>
      </c>
      <c r="AK72" s="4">
        <v>3</v>
      </c>
      <c r="AL72" s="4">
        <v>9</v>
      </c>
      <c r="AM72" s="4">
        <v>9</v>
      </c>
      <c r="AN72" s="4">
        <v>7</v>
      </c>
      <c r="AO72" s="4">
        <v>7</v>
      </c>
      <c r="AP72" s="4">
        <v>0</v>
      </c>
      <c r="AQ72" s="4">
        <v>0</v>
      </c>
      <c r="AR72" s="3" t="s">
        <v>62</v>
      </c>
      <c r="AS72" s="3" t="s">
        <v>84</v>
      </c>
      <c r="AT72" s="6" t="str">
        <f>HYPERLINK("http://catalog.hathitrust.org/Record/006229110","HathiTrust Record")</f>
        <v>HathiTrust Record</v>
      </c>
      <c r="AU72" s="6" t="str">
        <f>HYPERLINK("https://creighton-primo.hosted.exlibrisgroup.com/primo-explore/search?tab=default_tab&amp;search_scope=EVERYTHING&amp;vid=01CRU&amp;lang=en_US&amp;offset=0&amp;query=any,contains,991003967959702656","Catalog Record")</f>
        <v>Catalog Record</v>
      </c>
      <c r="AV72" s="6" t="str">
        <f>HYPERLINK("http://www.worldcat.org/oclc/1990727","WorldCat Record")</f>
        <v>WorldCat Record</v>
      </c>
      <c r="AW72" s="3" t="s">
        <v>1000</v>
      </c>
      <c r="AX72" s="3" t="s">
        <v>1001</v>
      </c>
      <c r="AY72" s="3" t="s">
        <v>1002</v>
      </c>
      <c r="AZ72" s="3" t="s">
        <v>1002</v>
      </c>
      <c r="BA72" s="3" t="s">
        <v>1003</v>
      </c>
      <c r="BB72" s="3" t="s">
        <v>77</v>
      </c>
      <c r="BD72" s="3" t="s">
        <v>1004</v>
      </c>
      <c r="BE72" s="3" t="s">
        <v>1005</v>
      </c>
      <c r="BF72" s="3" t="s">
        <v>1006</v>
      </c>
    </row>
    <row r="73" spans="1:58" ht="41.25" customHeight="1" x14ac:dyDescent="0.25">
      <c r="A73" s="7" t="s">
        <v>62</v>
      </c>
      <c r="B73" s="2" t="s">
        <v>57</v>
      </c>
      <c r="C73" s="2" t="s">
        <v>58</v>
      </c>
      <c r="D73" s="2" t="s">
        <v>1007</v>
      </c>
      <c r="E73" s="2" t="s">
        <v>1008</v>
      </c>
      <c r="F73" s="2" t="s">
        <v>1009</v>
      </c>
      <c r="H73" s="3" t="s">
        <v>62</v>
      </c>
      <c r="I73" s="3" t="s">
        <v>63</v>
      </c>
      <c r="J73" s="3" t="s">
        <v>62</v>
      </c>
      <c r="K73" s="3" t="s">
        <v>62</v>
      </c>
      <c r="L73" s="3" t="s">
        <v>64</v>
      </c>
      <c r="M73" s="2" t="s">
        <v>1010</v>
      </c>
      <c r="N73" s="2" t="s">
        <v>1011</v>
      </c>
      <c r="O73" s="3" t="s">
        <v>1012</v>
      </c>
      <c r="P73" s="2" t="s">
        <v>268</v>
      </c>
      <c r="Q73" s="3" t="s">
        <v>68</v>
      </c>
      <c r="R73" s="3" t="s">
        <v>88</v>
      </c>
      <c r="T73" s="3" t="s">
        <v>70</v>
      </c>
      <c r="U73" s="4">
        <v>4</v>
      </c>
      <c r="V73" s="4">
        <v>4</v>
      </c>
      <c r="W73" s="5" t="s">
        <v>1013</v>
      </c>
      <c r="X73" s="5" t="s">
        <v>1013</v>
      </c>
      <c r="Y73" s="5" t="s">
        <v>386</v>
      </c>
      <c r="Z73" s="5" t="s">
        <v>386</v>
      </c>
      <c r="AA73" s="4">
        <v>314</v>
      </c>
      <c r="AB73" s="4">
        <v>288</v>
      </c>
      <c r="AC73" s="4">
        <v>377</v>
      </c>
      <c r="AD73" s="4">
        <v>4</v>
      </c>
      <c r="AE73" s="4">
        <v>4</v>
      </c>
      <c r="AF73" s="4">
        <v>13</v>
      </c>
      <c r="AG73" s="4">
        <v>18</v>
      </c>
      <c r="AH73" s="4">
        <v>5</v>
      </c>
      <c r="AI73" s="4">
        <v>7</v>
      </c>
      <c r="AJ73" s="4">
        <v>1</v>
      </c>
      <c r="AK73" s="4">
        <v>1</v>
      </c>
      <c r="AL73" s="4">
        <v>7</v>
      </c>
      <c r="AM73" s="4">
        <v>11</v>
      </c>
      <c r="AN73" s="4">
        <v>3</v>
      </c>
      <c r="AO73" s="4">
        <v>3</v>
      </c>
      <c r="AP73" s="4">
        <v>0</v>
      </c>
      <c r="AQ73" s="4">
        <v>0</v>
      </c>
      <c r="AR73" s="3" t="s">
        <v>62</v>
      </c>
      <c r="AS73" s="3" t="s">
        <v>84</v>
      </c>
      <c r="AT73" s="6" t="str">
        <f>HYPERLINK("http://catalog.hathitrust.org/Record/009456664","HathiTrust Record")</f>
        <v>HathiTrust Record</v>
      </c>
      <c r="AU73" s="6" t="str">
        <f>HYPERLINK("https://creighton-primo.hosted.exlibrisgroup.com/primo-explore/search?tab=default_tab&amp;search_scope=EVERYTHING&amp;vid=01CRU&amp;lang=en_US&amp;offset=0&amp;query=any,contains,991003748719702656","Catalog Record")</f>
        <v>Catalog Record</v>
      </c>
      <c r="AV73" s="6" t="str">
        <f>HYPERLINK("http://www.worldcat.org/oclc/1422140","WorldCat Record")</f>
        <v>WorldCat Record</v>
      </c>
      <c r="AW73" s="3" t="s">
        <v>1014</v>
      </c>
      <c r="AX73" s="3" t="s">
        <v>1015</v>
      </c>
      <c r="AY73" s="3" t="s">
        <v>1016</v>
      </c>
      <c r="AZ73" s="3" t="s">
        <v>1016</v>
      </c>
      <c r="BA73" s="3" t="s">
        <v>1017</v>
      </c>
      <c r="BB73" s="3" t="s">
        <v>77</v>
      </c>
      <c r="BE73" s="3" t="s">
        <v>1018</v>
      </c>
      <c r="BF73" s="3" t="s">
        <v>1019</v>
      </c>
    </row>
    <row r="74" spans="1:58" ht="41.25" customHeight="1" x14ac:dyDescent="0.25">
      <c r="A74" s="7" t="s">
        <v>62</v>
      </c>
      <c r="B74" s="2" t="s">
        <v>57</v>
      </c>
      <c r="C74" s="2" t="s">
        <v>58</v>
      </c>
      <c r="D74" s="2" t="s">
        <v>1020</v>
      </c>
      <c r="E74" s="2" t="s">
        <v>1021</v>
      </c>
      <c r="F74" s="2" t="s">
        <v>1022</v>
      </c>
      <c r="H74" s="3" t="s">
        <v>62</v>
      </c>
      <c r="I74" s="3" t="s">
        <v>63</v>
      </c>
      <c r="J74" s="3" t="s">
        <v>62</v>
      </c>
      <c r="K74" s="3" t="s">
        <v>62</v>
      </c>
      <c r="L74" s="3" t="s">
        <v>64</v>
      </c>
      <c r="M74" s="2" t="s">
        <v>1023</v>
      </c>
      <c r="N74" s="2" t="s">
        <v>1024</v>
      </c>
      <c r="O74" s="3" t="s">
        <v>340</v>
      </c>
      <c r="Q74" s="3" t="s">
        <v>68</v>
      </c>
      <c r="R74" s="3" t="s">
        <v>69</v>
      </c>
      <c r="T74" s="3" t="s">
        <v>70</v>
      </c>
      <c r="U74" s="4">
        <v>4</v>
      </c>
      <c r="V74" s="4">
        <v>4</v>
      </c>
      <c r="W74" s="5" t="s">
        <v>1025</v>
      </c>
      <c r="X74" s="5" t="s">
        <v>1025</v>
      </c>
      <c r="Y74" s="5" t="s">
        <v>1026</v>
      </c>
      <c r="Z74" s="5" t="s">
        <v>1026</v>
      </c>
      <c r="AA74" s="4">
        <v>474</v>
      </c>
      <c r="AB74" s="4">
        <v>435</v>
      </c>
      <c r="AC74" s="4">
        <v>599</v>
      </c>
      <c r="AD74" s="4">
        <v>5</v>
      </c>
      <c r="AE74" s="4">
        <v>5</v>
      </c>
      <c r="AF74" s="4">
        <v>15</v>
      </c>
      <c r="AG74" s="4">
        <v>21</v>
      </c>
      <c r="AH74" s="4">
        <v>5</v>
      </c>
      <c r="AI74" s="4">
        <v>7</v>
      </c>
      <c r="AJ74" s="4">
        <v>3</v>
      </c>
      <c r="AK74" s="4">
        <v>4</v>
      </c>
      <c r="AL74" s="4">
        <v>6</v>
      </c>
      <c r="AM74" s="4">
        <v>10</v>
      </c>
      <c r="AN74" s="4">
        <v>4</v>
      </c>
      <c r="AO74" s="4">
        <v>4</v>
      </c>
      <c r="AP74" s="4">
        <v>0</v>
      </c>
      <c r="AQ74" s="4">
        <v>0</v>
      </c>
      <c r="AR74" s="3" t="s">
        <v>62</v>
      </c>
      <c r="AS74" s="3" t="s">
        <v>84</v>
      </c>
      <c r="AT74" s="6" t="str">
        <f>HYPERLINK("http://catalog.hathitrust.org/Record/001394973","HathiTrust Record")</f>
        <v>HathiTrust Record</v>
      </c>
      <c r="AU74" s="6" t="str">
        <f>HYPERLINK("https://creighton-primo.hosted.exlibrisgroup.com/primo-explore/search?tab=default_tab&amp;search_scope=EVERYTHING&amp;vid=01CRU&amp;lang=en_US&amp;offset=0&amp;query=any,contains,991002576739702656","Catalog Record")</f>
        <v>Catalog Record</v>
      </c>
      <c r="AV74" s="6" t="str">
        <f>HYPERLINK("http://www.worldcat.org/oclc/374887","WorldCat Record")</f>
        <v>WorldCat Record</v>
      </c>
      <c r="AW74" s="3" t="s">
        <v>1027</v>
      </c>
      <c r="AX74" s="3" t="s">
        <v>1028</v>
      </c>
      <c r="AY74" s="3" t="s">
        <v>1029</v>
      </c>
      <c r="AZ74" s="3" t="s">
        <v>1029</v>
      </c>
      <c r="BA74" s="3" t="s">
        <v>1030</v>
      </c>
      <c r="BB74" s="3" t="s">
        <v>77</v>
      </c>
      <c r="BE74" s="3" t="s">
        <v>1031</v>
      </c>
      <c r="BF74" s="3" t="s">
        <v>1032</v>
      </c>
    </row>
    <row r="75" spans="1:58" ht="41.25" customHeight="1" x14ac:dyDescent="0.25">
      <c r="A75" s="7" t="s">
        <v>62</v>
      </c>
      <c r="B75" s="2" t="s">
        <v>57</v>
      </c>
      <c r="C75" s="2" t="s">
        <v>58</v>
      </c>
      <c r="D75" s="2" t="s">
        <v>1033</v>
      </c>
      <c r="E75" s="2" t="s">
        <v>1034</v>
      </c>
      <c r="F75" s="2" t="s">
        <v>1035</v>
      </c>
      <c r="H75" s="3" t="s">
        <v>62</v>
      </c>
      <c r="I75" s="3" t="s">
        <v>63</v>
      </c>
      <c r="J75" s="3" t="s">
        <v>62</v>
      </c>
      <c r="K75" s="3" t="s">
        <v>62</v>
      </c>
      <c r="L75" s="3" t="s">
        <v>64</v>
      </c>
      <c r="M75" s="2" t="s">
        <v>1036</v>
      </c>
      <c r="N75" s="2" t="s">
        <v>1037</v>
      </c>
      <c r="O75" s="3" t="s">
        <v>1038</v>
      </c>
      <c r="Q75" s="3" t="s">
        <v>68</v>
      </c>
      <c r="R75" s="3" t="s">
        <v>110</v>
      </c>
      <c r="T75" s="3" t="s">
        <v>70</v>
      </c>
      <c r="U75" s="4">
        <v>2</v>
      </c>
      <c r="V75" s="4">
        <v>2</v>
      </c>
      <c r="W75" s="5" t="s">
        <v>1039</v>
      </c>
      <c r="X75" s="5" t="s">
        <v>1039</v>
      </c>
      <c r="Y75" s="5" t="s">
        <v>1040</v>
      </c>
      <c r="Z75" s="5" t="s">
        <v>1040</v>
      </c>
      <c r="AA75" s="4">
        <v>30</v>
      </c>
      <c r="AB75" s="4">
        <v>30</v>
      </c>
      <c r="AC75" s="4">
        <v>31</v>
      </c>
      <c r="AD75" s="4">
        <v>1</v>
      </c>
      <c r="AE75" s="4">
        <v>1</v>
      </c>
      <c r="AF75" s="4">
        <v>11</v>
      </c>
      <c r="AG75" s="4">
        <v>11</v>
      </c>
      <c r="AH75" s="4">
        <v>3</v>
      </c>
      <c r="AI75" s="4">
        <v>3</v>
      </c>
      <c r="AJ75" s="4">
        <v>0</v>
      </c>
      <c r="AK75" s="4">
        <v>0</v>
      </c>
      <c r="AL75" s="4">
        <v>11</v>
      </c>
      <c r="AM75" s="4">
        <v>11</v>
      </c>
      <c r="AN75" s="4">
        <v>0</v>
      </c>
      <c r="AO75" s="4">
        <v>0</v>
      </c>
      <c r="AP75" s="4">
        <v>0</v>
      </c>
      <c r="AQ75" s="4">
        <v>0</v>
      </c>
      <c r="AR75" s="3" t="s">
        <v>62</v>
      </c>
      <c r="AS75" s="3" t="s">
        <v>84</v>
      </c>
      <c r="AT75" s="6" t="str">
        <f>HYPERLINK("http://catalog.hathitrust.org/Record/101673389","HathiTrust Record")</f>
        <v>HathiTrust Record</v>
      </c>
      <c r="AU75" s="6" t="str">
        <f>HYPERLINK("https://creighton-primo.hosted.exlibrisgroup.com/primo-explore/search?tab=default_tab&amp;search_scope=EVERYTHING&amp;vid=01CRU&amp;lang=en_US&amp;offset=0&amp;query=any,contains,991004235039702656","Catalog Record")</f>
        <v>Catalog Record</v>
      </c>
      <c r="AV75" s="6" t="str">
        <f>HYPERLINK("http://www.worldcat.org/oclc/2762747","WorldCat Record")</f>
        <v>WorldCat Record</v>
      </c>
      <c r="AW75" s="3" t="s">
        <v>1041</v>
      </c>
      <c r="AX75" s="3" t="s">
        <v>1042</v>
      </c>
      <c r="AY75" s="3" t="s">
        <v>1043</v>
      </c>
      <c r="AZ75" s="3" t="s">
        <v>1043</v>
      </c>
      <c r="BA75" s="3" t="s">
        <v>1044</v>
      </c>
      <c r="BB75" s="3" t="s">
        <v>77</v>
      </c>
      <c r="BE75" s="3" t="s">
        <v>1045</v>
      </c>
      <c r="BF75" s="3" t="s">
        <v>1046</v>
      </c>
    </row>
    <row r="76" spans="1:58" ht="41.25" customHeight="1" x14ac:dyDescent="0.25">
      <c r="A76" s="7" t="s">
        <v>62</v>
      </c>
      <c r="B76" s="2" t="s">
        <v>57</v>
      </c>
      <c r="C76" s="2" t="s">
        <v>58</v>
      </c>
      <c r="D76" s="2" t="s">
        <v>1047</v>
      </c>
      <c r="E76" s="2" t="s">
        <v>1048</v>
      </c>
      <c r="F76" s="2" t="s">
        <v>1049</v>
      </c>
      <c r="H76" s="3" t="s">
        <v>62</v>
      </c>
      <c r="I76" s="3" t="s">
        <v>63</v>
      </c>
      <c r="J76" s="3" t="s">
        <v>62</v>
      </c>
      <c r="K76" s="3" t="s">
        <v>62</v>
      </c>
      <c r="L76" s="3" t="s">
        <v>64</v>
      </c>
      <c r="M76" s="2" t="s">
        <v>1050</v>
      </c>
      <c r="N76" s="2" t="s">
        <v>1051</v>
      </c>
      <c r="O76" s="3" t="s">
        <v>1052</v>
      </c>
      <c r="Q76" s="3" t="s">
        <v>68</v>
      </c>
      <c r="R76" s="3" t="s">
        <v>110</v>
      </c>
      <c r="T76" s="3" t="s">
        <v>70</v>
      </c>
      <c r="U76" s="4">
        <v>5</v>
      </c>
      <c r="V76" s="4">
        <v>5</v>
      </c>
      <c r="W76" s="5" t="s">
        <v>1053</v>
      </c>
      <c r="X76" s="5" t="s">
        <v>1053</v>
      </c>
      <c r="Y76" s="5" t="s">
        <v>1040</v>
      </c>
      <c r="Z76" s="5" t="s">
        <v>1040</v>
      </c>
      <c r="AA76" s="4">
        <v>73</v>
      </c>
      <c r="AB76" s="4">
        <v>61</v>
      </c>
      <c r="AC76" s="4">
        <v>98</v>
      </c>
      <c r="AD76" s="4">
        <v>1</v>
      </c>
      <c r="AE76" s="4">
        <v>1</v>
      </c>
      <c r="AF76" s="4">
        <v>15</v>
      </c>
      <c r="AG76" s="4">
        <v>16</v>
      </c>
      <c r="AH76" s="4">
        <v>2</v>
      </c>
      <c r="AI76" s="4">
        <v>3</v>
      </c>
      <c r="AJ76" s="4">
        <v>6</v>
      </c>
      <c r="AK76" s="4">
        <v>6</v>
      </c>
      <c r="AL76" s="4">
        <v>11</v>
      </c>
      <c r="AM76" s="4">
        <v>11</v>
      </c>
      <c r="AN76" s="4">
        <v>0</v>
      </c>
      <c r="AO76" s="4">
        <v>0</v>
      </c>
      <c r="AP76" s="4">
        <v>0</v>
      </c>
      <c r="AQ76" s="4">
        <v>0</v>
      </c>
      <c r="AR76" s="3" t="s">
        <v>84</v>
      </c>
      <c r="AS76" s="3" t="s">
        <v>62</v>
      </c>
      <c r="AT76" s="6" t="str">
        <f>HYPERLINK("http://catalog.hathitrust.org/Record/001921994","HathiTrust Record")</f>
        <v>HathiTrust Record</v>
      </c>
      <c r="AU76" s="6" t="str">
        <f>HYPERLINK("https://creighton-primo.hosted.exlibrisgroup.com/primo-explore/search?tab=default_tab&amp;search_scope=EVERYTHING&amp;vid=01CRU&amp;lang=en_US&amp;offset=0&amp;query=any,contains,991004283789702656","Catalog Record")</f>
        <v>Catalog Record</v>
      </c>
      <c r="AV76" s="6" t="str">
        <f>HYPERLINK("http://www.worldcat.org/oclc/2917315","WorldCat Record")</f>
        <v>WorldCat Record</v>
      </c>
      <c r="AW76" s="3" t="s">
        <v>1054</v>
      </c>
      <c r="AX76" s="3" t="s">
        <v>1055</v>
      </c>
      <c r="AY76" s="3" t="s">
        <v>1056</v>
      </c>
      <c r="AZ76" s="3" t="s">
        <v>1056</v>
      </c>
      <c r="BA76" s="3" t="s">
        <v>1057</v>
      </c>
      <c r="BB76" s="3" t="s">
        <v>77</v>
      </c>
      <c r="BE76" s="3" t="s">
        <v>1058</v>
      </c>
      <c r="BF76" s="3" t="s">
        <v>1059</v>
      </c>
    </row>
    <row r="77" spans="1:58" ht="41.25" customHeight="1" x14ac:dyDescent="0.25">
      <c r="A77" s="7" t="s">
        <v>62</v>
      </c>
      <c r="B77" s="2" t="s">
        <v>57</v>
      </c>
      <c r="C77" s="2" t="s">
        <v>58</v>
      </c>
      <c r="D77" s="2" t="s">
        <v>1060</v>
      </c>
      <c r="E77" s="2" t="s">
        <v>1061</v>
      </c>
      <c r="F77" s="2" t="s">
        <v>1062</v>
      </c>
      <c r="H77" s="3" t="s">
        <v>62</v>
      </c>
      <c r="I77" s="3" t="s">
        <v>63</v>
      </c>
      <c r="J77" s="3" t="s">
        <v>62</v>
      </c>
      <c r="K77" s="3" t="s">
        <v>62</v>
      </c>
      <c r="L77" s="3" t="s">
        <v>64</v>
      </c>
      <c r="M77" s="2" t="s">
        <v>1063</v>
      </c>
      <c r="N77" s="2" t="s">
        <v>1064</v>
      </c>
      <c r="O77" s="3" t="s">
        <v>1065</v>
      </c>
      <c r="Q77" s="3" t="s">
        <v>68</v>
      </c>
      <c r="R77" s="3" t="s">
        <v>297</v>
      </c>
      <c r="T77" s="3" t="s">
        <v>70</v>
      </c>
      <c r="U77" s="4">
        <v>5</v>
      </c>
      <c r="V77" s="4">
        <v>5</v>
      </c>
      <c r="W77" s="5" t="s">
        <v>1066</v>
      </c>
      <c r="X77" s="5" t="s">
        <v>1066</v>
      </c>
      <c r="Y77" s="5" t="s">
        <v>1040</v>
      </c>
      <c r="Z77" s="5" t="s">
        <v>1040</v>
      </c>
      <c r="AA77" s="4">
        <v>66</v>
      </c>
      <c r="AB77" s="4">
        <v>46</v>
      </c>
      <c r="AC77" s="4">
        <v>46</v>
      </c>
      <c r="AD77" s="4">
        <v>1</v>
      </c>
      <c r="AE77" s="4">
        <v>1</v>
      </c>
      <c r="AF77" s="4">
        <v>11</v>
      </c>
      <c r="AG77" s="4">
        <v>11</v>
      </c>
      <c r="AH77" s="4">
        <v>2</v>
      </c>
      <c r="AI77" s="4">
        <v>2</v>
      </c>
      <c r="AJ77" s="4">
        <v>4</v>
      </c>
      <c r="AK77" s="4">
        <v>4</v>
      </c>
      <c r="AL77" s="4">
        <v>8</v>
      </c>
      <c r="AM77" s="4">
        <v>8</v>
      </c>
      <c r="AN77" s="4">
        <v>0</v>
      </c>
      <c r="AO77" s="4">
        <v>0</v>
      </c>
      <c r="AP77" s="4">
        <v>0</v>
      </c>
      <c r="AQ77" s="4">
        <v>0</v>
      </c>
      <c r="AR77" s="3" t="s">
        <v>62</v>
      </c>
      <c r="AS77" s="3" t="s">
        <v>62</v>
      </c>
      <c r="AU77" s="6" t="str">
        <f>HYPERLINK("https://creighton-primo.hosted.exlibrisgroup.com/primo-explore/search?tab=default_tab&amp;search_scope=EVERYTHING&amp;vid=01CRU&amp;lang=en_US&amp;offset=0&amp;query=any,contains,991004548379702656","Catalog Record")</f>
        <v>Catalog Record</v>
      </c>
      <c r="AV77" s="6" t="str">
        <f>HYPERLINK("http://www.worldcat.org/oclc/3923607","WorldCat Record")</f>
        <v>WorldCat Record</v>
      </c>
      <c r="AW77" s="3" t="s">
        <v>1067</v>
      </c>
      <c r="AX77" s="3" t="s">
        <v>1068</v>
      </c>
      <c r="AY77" s="3" t="s">
        <v>1069</v>
      </c>
      <c r="AZ77" s="3" t="s">
        <v>1069</v>
      </c>
      <c r="BA77" s="3" t="s">
        <v>1070</v>
      </c>
      <c r="BB77" s="3" t="s">
        <v>77</v>
      </c>
      <c r="BE77" s="3" t="s">
        <v>1071</v>
      </c>
      <c r="BF77" s="3" t="s">
        <v>1072</v>
      </c>
    </row>
    <row r="78" spans="1:58" ht="41.25" customHeight="1" x14ac:dyDescent="0.25">
      <c r="A78" s="7" t="s">
        <v>62</v>
      </c>
      <c r="B78" s="2" t="s">
        <v>57</v>
      </c>
      <c r="C78" s="2" t="s">
        <v>58</v>
      </c>
      <c r="D78" s="2" t="s">
        <v>1073</v>
      </c>
      <c r="E78" s="2" t="s">
        <v>1074</v>
      </c>
      <c r="F78" s="2" t="s">
        <v>1075</v>
      </c>
      <c r="H78" s="3" t="s">
        <v>62</v>
      </c>
      <c r="I78" s="3" t="s">
        <v>63</v>
      </c>
      <c r="J78" s="3" t="s">
        <v>62</v>
      </c>
      <c r="K78" s="3" t="s">
        <v>62</v>
      </c>
      <c r="L78" s="3" t="s">
        <v>64</v>
      </c>
      <c r="M78" s="2" t="s">
        <v>1076</v>
      </c>
      <c r="N78" s="2" t="s">
        <v>1077</v>
      </c>
      <c r="O78" s="3" t="s">
        <v>355</v>
      </c>
      <c r="Q78" s="3" t="s">
        <v>68</v>
      </c>
      <c r="R78" s="3" t="s">
        <v>369</v>
      </c>
      <c r="T78" s="3" t="s">
        <v>70</v>
      </c>
      <c r="U78" s="4">
        <v>1</v>
      </c>
      <c r="V78" s="4">
        <v>1</v>
      </c>
      <c r="W78" s="5" t="s">
        <v>269</v>
      </c>
      <c r="X78" s="5" t="s">
        <v>269</v>
      </c>
      <c r="Y78" s="5" t="s">
        <v>1078</v>
      </c>
      <c r="Z78" s="5" t="s">
        <v>1078</v>
      </c>
      <c r="AA78" s="4">
        <v>163</v>
      </c>
      <c r="AB78" s="4">
        <v>138</v>
      </c>
      <c r="AC78" s="4">
        <v>139</v>
      </c>
      <c r="AD78" s="4">
        <v>1</v>
      </c>
      <c r="AE78" s="4">
        <v>1</v>
      </c>
      <c r="AF78" s="4">
        <v>15</v>
      </c>
      <c r="AG78" s="4">
        <v>15</v>
      </c>
      <c r="AH78" s="4">
        <v>3</v>
      </c>
      <c r="AI78" s="4">
        <v>3</v>
      </c>
      <c r="AJ78" s="4">
        <v>4</v>
      </c>
      <c r="AK78" s="4">
        <v>4</v>
      </c>
      <c r="AL78" s="4">
        <v>12</v>
      </c>
      <c r="AM78" s="4">
        <v>12</v>
      </c>
      <c r="AN78" s="4">
        <v>0</v>
      </c>
      <c r="AO78" s="4">
        <v>0</v>
      </c>
      <c r="AP78" s="4">
        <v>0</v>
      </c>
      <c r="AQ78" s="4">
        <v>0</v>
      </c>
      <c r="AR78" s="3" t="s">
        <v>62</v>
      </c>
      <c r="AS78" s="3" t="s">
        <v>62</v>
      </c>
      <c r="AU78" s="6" t="str">
        <f>HYPERLINK("https://creighton-primo.hosted.exlibrisgroup.com/primo-explore/search?tab=default_tab&amp;search_scope=EVERYTHING&amp;vid=01CRU&amp;lang=en_US&amp;offset=0&amp;query=any,contains,991003958529702656","Catalog Record")</f>
        <v>Catalog Record</v>
      </c>
      <c r="AV78" s="6" t="str">
        <f>HYPERLINK("http://www.worldcat.org/oclc/1973700","WorldCat Record")</f>
        <v>WorldCat Record</v>
      </c>
      <c r="AW78" s="3" t="s">
        <v>1079</v>
      </c>
      <c r="AX78" s="3" t="s">
        <v>1080</v>
      </c>
      <c r="AY78" s="3" t="s">
        <v>1081</v>
      </c>
      <c r="AZ78" s="3" t="s">
        <v>1081</v>
      </c>
      <c r="BA78" s="3" t="s">
        <v>1082</v>
      </c>
      <c r="BB78" s="3" t="s">
        <v>77</v>
      </c>
      <c r="BE78" s="3" t="s">
        <v>1083</v>
      </c>
      <c r="BF78" s="3" t="s">
        <v>1084</v>
      </c>
    </row>
    <row r="79" spans="1:58" ht="41.25" customHeight="1" x14ac:dyDescent="0.25">
      <c r="A79" s="7" t="s">
        <v>62</v>
      </c>
      <c r="B79" s="2" t="s">
        <v>57</v>
      </c>
      <c r="C79" s="2" t="s">
        <v>58</v>
      </c>
      <c r="D79" s="2" t="s">
        <v>1085</v>
      </c>
      <c r="E79" s="2" t="s">
        <v>1086</v>
      </c>
      <c r="F79" s="2" t="s">
        <v>1087</v>
      </c>
      <c r="H79" s="3" t="s">
        <v>62</v>
      </c>
      <c r="I79" s="3" t="s">
        <v>63</v>
      </c>
      <c r="J79" s="3" t="s">
        <v>62</v>
      </c>
      <c r="K79" s="3" t="s">
        <v>62</v>
      </c>
      <c r="L79" s="3" t="s">
        <v>64</v>
      </c>
      <c r="M79" s="2" t="s">
        <v>1088</v>
      </c>
      <c r="N79" s="2" t="s">
        <v>1089</v>
      </c>
      <c r="O79" s="3" t="s">
        <v>629</v>
      </c>
      <c r="Q79" s="3" t="s">
        <v>68</v>
      </c>
      <c r="R79" s="3" t="s">
        <v>69</v>
      </c>
      <c r="S79" s="2" t="s">
        <v>1090</v>
      </c>
      <c r="T79" s="3" t="s">
        <v>70</v>
      </c>
      <c r="U79" s="4">
        <v>3</v>
      </c>
      <c r="V79" s="4">
        <v>3</v>
      </c>
      <c r="W79" s="5" t="s">
        <v>1091</v>
      </c>
      <c r="X79" s="5" t="s">
        <v>1091</v>
      </c>
      <c r="Y79" s="5" t="s">
        <v>1078</v>
      </c>
      <c r="Z79" s="5" t="s">
        <v>1078</v>
      </c>
      <c r="AA79" s="4">
        <v>289</v>
      </c>
      <c r="AB79" s="4">
        <v>264</v>
      </c>
      <c r="AC79" s="4">
        <v>361</v>
      </c>
      <c r="AD79" s="4">
        <v>2</v>
      </c>
      <c r="AE79" s="4">
        <v>2</v>
      </c>
      <c r="AF79" s="4">
        <v>16</v>
      </c>
      <c r="AG79" s="4">
        <v>20</v>
      </c>
      <c r="AH79" s="4">
        <v>5</v>
      </c>
      <c r="AI79" s="4">
        <v>5</v>
      </c>
      <c r="AJ79" s="4">
        <v>5</v>
      </c>
      <c r="AK79" s="4">
        <v>7</v>
      </c>
      <c r="AL79" s="4">
        <v>11</v>
      </c>
      <c r="AM79" s="4">
        <v>13</v>
      </c>
      <c r="AN79" s="4">
        <v>1</v>
      </c>
      <c r="AO79" s="4">
        <v>1</v>
      </c>
      <c r="AP79" s="4">
        <v>0</v>
      </c>
      <c r="AQ79" s="4">
        <v>0</v>
      </c>
      <c r="AR79" s="3" t="s">
        <v>62</v>
      </c>
      <c r="AS79" s="3" t="s">
        <v>62</v>
      </c>
      <c r="AU79" s="6" t="str">
        <f>HYPERLINK("https://creighton-primo.hosted.exlibrisgroup.com/primo-explore/search?tab=default_tab&amp;search_scope=EVERYTHING&amp;vid=01CRU&amp;lang=en_US&amp;offset=0&amp;query=any,contains,991004134549702656","Catalog Record")</f>
        <v>Catalog Record</v>
      </c>
      <c r="AV79" s="6" t="str">
        <f>HYPERLINK("http://www.worldcat.org/oclc/2481519","WorldCat Record")</f>
        <v>WorldCat Record</v>
      </c>
      <c r="AW79" s="3" t="s">
        <v>1092</v>
      </c>
      <c r="AX79" s="3" t="s">
        <v>1093</v>
      </c>
      <c r="AY79" s="3" t="s">
        <v>1094</v>
      </c>
      <c r="AZ79" s="3" t="s">
        <v>1094</v>
      </c>
      <c r="BA79" s="3" t="s">
        <v>1095</v>
      </c>
      <c r="BB79" s="3" t="s">
        <v>77</v>
      </c>
      <c r="BD79" s="3" t="s">
        <v>1096</v>
      </c>
      <c r="BE79" s="3" t="s">
        <v>1097</v>
      </c>
      <c r="BF79" s="3" t="s">
        <v>1098</v>
      </c>
    </row>
    <row r="80" spans="1:58" ht="41.25" customHeight="1" x14ac:dyDescent="0.25">
      <c r="A80" s="7" t="s">
        <v>62</v>
      </c>
      <c r="B80" s="2" t="s">
        <v>57</v>
      </c>
      <c r="C80" s="2" t="s">
        <v>58</v>
      </c>
      <c r="D80" s="2" t="s">
        <v>1099</v>
      </c>
      <c r="E80" s="2" t="s">
        <v>1100</v>
      </c>
      <c r="F80" s="2" t="s">
        <v>1101</v>
      </c>
      <c r="H80" s="3" t="s">
        <v>62</v>
      </c>
      <c r="I80" s="3" t="s">
        <v>63</v>
      </c>
      <c r="J80" s="3" t="s">
        <v>62</v>
      </c>
      <c r="K80" s="3" t="s">
        <v>62</v>
      </c>
      <c r="L80" s="3" t="s">
        <v>64</v>
      </c>
      <c r="M80" s="2" t="s">
        <v>1102</v>
      </c>
      <c r="N80" s="2" t="s">
        <v>1103</v>
      </c>
      <c r="O80" s="3" t="s">
        <v>267</v>
      </c>
      <c r="P80" s="2" t="s">
        <v>268</v>
      </c>
      <c r="Q80" s="3" t="s">
        <v>68</v>
      </c>
      <c r="R80" s="3" t="s">
        <v>69</v>
      </c>
      <c r="S80" s="2" t="s">
        <v>1104</v>
      </c>
      <c r="T80" s="3" t="s">
        <v>70</v>
      </c>
      <c r="U80" s="4">
        <v>5</v>
      </c>
      <c r="V80" s="4">
        <v>5</v>
      </c>
      <c r="W80" s="5" t="s">
        <v>1105</v>
      </c>
      <c r="X80" s="5" t="s">
        <v>1105</v>
      </c>
      <c r="Y80" s="5" t="s">
        <v>1078</v>
      </c>
      <c r="Z80" s="5" t="s">
        <v>1078</v>
      </c>
      <c r="AA80" s="4">
        <v>602</v>
      </c>
      <c r="AB80" s="4">
        <v>542</v>
      </c>
      <c r="AC80" s="4">
        <v>578</v>
      </c>
      <c r="AD80" s="4">
        <v>5</v>
      </c>
      <c r="AE80" s="4">
        <v>5</v>
      </c>
      <c r="AF80" s="4">
        <v>31</v>
      </c>
      <c r="AG80" s="4">
        <v>34</v>
      </c>
      <c r="AH80" s="4">
        <v>16</v>
      </c>
      <c r="AI80" s="4">
        <v>17</v>
      </c>
      <c r="AJ80" s="4">
        <v>4</v>
      </c>
      <c r="AK80" s="4">
        <v>5</v>
      </c>
      <c r="AL80" s="4">
        <v>18</v>
      </c>
      <c r="AM80" s="4">
        <v>20</v>
      </c>
      <c r="AN80" s="4">
        <v>2</v>
      </c>
      <c r="AO80" s="4">
        <v>2</v>
      </c>
      <c r="AP80" s="4">
        <v>0</v>
      </c>
      <c r="AQ80" s="4">
        <v>0</v>
      </c>
      <c r="AR80" s="3" t="s">
        <v>62</v>
      </c>
      <c r="AS80" s="3" t="s">
        <v>84</v>
      </c>
      <c r="AT80" s="6" t="str">
        <f>HYPERLINK("http://catalog.hathitrust.org/Record/001391950","HathiTrust Record")</f>
        <v>HathiTrust Record</v>
      </c>
      <c r="AU80" s="6" t="str">
        <f>HYPERLINK("https://creighton-primo.hosted.exlibrisgroup.com/primo-explore/search?tab=default_tab&amp;search_scope=EVERYTHING&amp;vid=01CRU&amp;lang=en_US&amp;offset=0&amp;query=any,contains,991000958319702656","Catalog Record")</f>
        <v>Catalog Record</v>
      </c>
      <c r="AV80" s="6" t="str">
        <f>HYPERLINK("http://www.worldcat.org/oclc/168521","WorldCat Record")</f>
        <v>WorldCat Record</v>
      </c>
      <c r="AW80" s="3" t="s">
        <v>1106</v>
      </c>
      <c r="AX80" s="3" t="s">
        <v>1107</v>
      </c>
      <c r="AY80" s="3" t="s">
        <v>1108</v>
      </c>
      <c r="AZ80" s="3" t="s">
        <v>1108</v>
      </c>
      <c r="BA80" s="3" t="s">
        <v>1109</v>
      </c>
      <c r="BB80" s="3" t="s">
        <v>77</v>
      </c>
      <c r="BE80" s="3" t="s">
        <v>1110</v>
      </c>
      <c r="BF80" s="3" t="s">
        <v>1111</v>
      </c>
    </row>
    <row r="81" spans="1:58" ht="41.25" customHeight="1" x14ac:dyDescent="0.25">
      <c r="A81" s="7" t="s">
        <v>62</v>
      </c>
      <c r="B81" s="2" t="s">
        <v>57</v>
      </c>
      <c r="C81" s="2" t="s">
        <v>58</v>
      </c>
      <c r="D81" s="2" t="s">
        <v>1112</v>
      </c>
      <c r="E81" s="2" t="s">
        <v>1113</v>
      </c>
      <c r="F81" s="2" t="s">
        <v>1114</v>
      </c>
      <c r="H81" s="3" t="s">
        <v>62</v>
      </c>
      <c r="I81" s="3" t="s">
        <v>63</v>
      </c>
      <c r="J81" s="3" t="s">
        <v>62</v>
      </c>
      <c r="K81" s="3" t="s">
        <v>62</v>
      </c>
      <c r="L81" s="3" t="s">
        <v>64</v>
      </c>
      <c r="M81" s="2" t="s">
        <v>1115</v>
      </c>
      <c r="N81" s="2" t="s">
        <v>1116</v>
      </c>
      <c r="O81" s="3" t="s">
        <v>529</v>
      </c>
      <c r="Q81" s="3" t="s">
        <v>68</v>
      </c>
      <c r="R81" s="3" t="s">
        <v>1117</v>
      </c>
      <c r="T81" s="3" t="s">
        <v>70</v>
      </c>
      <c r="U81" s="4">
        <v>1</v>
      </c>
      <c r="V81" s="4">
        <v>1</v>
      </c>
      <c r="W81" s="5" t="s">
        <v>1118</v>
      </c>
      <c r="X81" s="5" t="s">
        <v>1118</v>
      </c>
      <c r="Y81" s="5" t="s">
        <v>1119</v>
      </c>
      <c r="Z81" s="5" t="s">
        <v>1119</v>
      </c>
      <c r="AA81" s="4">
        <v>550</v>
      </c>
      <c r="AB81" s="4">
        <v>483</v>
      </c>
      <c r="AC81" s="4">
        <v>486</v>
      </c>
      <c r="AD81" s="4">
        <v>5</v>
      </c>
      <c r="AE81" s="4">
        <v>5</v>
      </c>
      <c r="AF81" s="4">
        <v>29</v>
      </c>
      <c r="AG81" s="4">
        <v>29</v>
      </c>
      <c r="AH81" s="4">
        <v>8</v>
      </c>
      <c r="AI81" s="4">
        <v>8</v>
      </c>
      <c r="AJ81" s="4">
        <v>6</v>
      </c>
      <c r="AK81" s="4">
        <v>6</v>
      </c>
      <c r="AL81" s="4">
        <v>17</v>
      </c>
      <c r="AM81" s="4">
        <v>17</v>
      </c>
      <c r="AN81" s="4">
        <v>4</v>
      </c>
      <c r="AO81" s="4">
        <v>4</v>
      </c>
      <c r="AP81" s="4">
        <v>0</v>
      </c>
      <c r="AQ81" s="4">
        <v>0</v>
      </c>
      <c r="AR81" s="3" t="s">
        <v>62</v>
      </c>
      <c r="AS81" s="3" t="s">
        <v>84</v>
      </c>
      <c r="AT81" s="6" t="str">
        <f>HYPERLINK("http://catalog.hathitrust.org/Record/000780522","HathiTrust Record")</f>
        <v>HathiTrust Record</v>
      </c>
      <c r="AU81" s="6" t="str">
        <f>HYPERLINK("https://creighton-primo.hosted.exlibrisgroup.com/primo-explore/search?tab=default_tab&amp;search_scope=EVERYTHING&amp;vid=01CRU&amp;lang=en_US&amp;offset=0&amp;query=any,contains,991000273899702656","Catalog Record")</f>
        <v>Catalog Record</v>
      </c>
      <c r="AV81" s="6" t="str">
        <f>HYPERLINK("http://www.worldcat.org/oclc/9893505","WorldCat Record")</f>
        <v>WorldCat Record</v>
      </c>
      <c r="AW81" s="3" t="s">
        <v>1120</v>
      </c>
      <c r="AX81" s="3" t="s">
        <v>1121</v>
      </c>
      <c r="AY81" s="3" t="s">
        <v>1122</v>
      </c>
      <c r="AZ81" s="3" t="s">
        <v>1122</v>
      </c>
      <c r="BA81" s="3" t="s">
        <v>1123</v>
      </c>
      <c r="BB81" s="3" t="s">
        <v>77</v>
      </c>
      <c r="BD81" s="3" t="s">
        <v>1124</v>
      </c>
      <c r="BE81" s="3" t="s">
        <v>1125</v>
      </c>
      <c r="BF81" s="3" t="s">
        <v>1126</v>
      </c>
    </row>
    <row r="82" spans="1:58" ht="41.25" customHeight="1" x14ac:dyDescent="0.25">
      <c r="A82" s="7" t="s">
        <v>62</v>
      </c>
      <c r="B82" s="2" t="s">
        <v>57</v>
      </c>
      <c r="C82" s="2" t="s">
        <v>58</v>
      </c>
      <c r="D82" s="2" t="s">
        <v>1127</v>
      </c>
      <c r="E82" s="2" t="s">
        <v>1128</v>
      </c>
      <c r="F82" s="2" t="s">
        <v>1129</v>
      </c>
      <c r="H82" s="3" t="s">
        <v>62</v>
      </c>
      <c r="I82" s="3" t="s">
        <v>63</v>
      </c>
      <c r="J82" s="3" t="s">
        <v>62</v>
      </c>
      <c r="K82" s="3" t="s">
        <v>62</v>
      </c>
      <c r="L82" s="3" t="s">
        <v>64</v>
      </c>
      <c r="M82" s="2" t="s">
        <v>1130</v>
      </c>
      <c r="N82" s="2" t="s">
        <v>1131</v>
      </c>
      <c r="O82" s="3" t="s">
        <v>67</v>
      </c>
      <c r="P82" s="2" t="s">
        <v>268</v>
      </c>
      <c r="Q82" s="3" t="s">
        <v>68</v>
      </c>
      <c r="R82" s="3" t="s">
        <v>69</v>
      </c>
      <c r="S82" s="2" t="s">
        <v>1132</v>
      </c>
      <c r="T82" s="3" t="s">
        <v>70</v>
      </c>
      <c r="U82" s="4">
        <v>2</v>
      </c>
      <c r="V82" s="4">
        <v>2</v>
      </c>
      <c r="W82" s="5" t="s">
        <v>1066</v>
      </c>
      <c r="X82" s="5" t="s">
        <v>1066</v>
      </c>
      <c r="Y82" s="5" t="s">
        <v>1078</v>
      </c>
      <c r="Z82" s="5" t="s">
        <v>1078</v>
      </c>
      <c r="AA82" s="4">
        <v>723</v>
      </c>
      <c r="AB82" s="4">
        <v>650</v>
      </c>
      <c r="AC82" s="4">
        <v>726</v>
      </c>
      <c r="AD82" s="4">
        <v>5</v>
      </c>
      <c r="AE82" s="4">
        <v>6</v>
      </c>
      <c r="AF82" s="4">
        <v>37</v>
      </c>
      <c r="AG82" s="4">
        <v>40</v>
      </c>
      <c r="AH82" s="4">
        <v>14</v>
      </c>
      <c r="AI82" s="4">
        <v>15</v>
      </c>
      <c r="AJ82" s="4">
        <v>7</v>
      </c>
      <c r="AK82" s="4">
        <v>8</v>
      </c>
      <c r="AL82" s="4">
        <v>21</v>
      </c>
      <c r="AM82" s="4">
        <v>21</v>
      </c>
      <c r="AN82" s="4">
        <v>3</v>
      </c>
      <c r="AO82" s="4">
        <v>4</v>
      </c>
      <c r="AP82" s="4">
        <v>0</v>
      </c>
      <c r="AQ82" s="4">
        <v>0</v>
      </c>
      <c r="AR82" s="3" t="s">
        <v>62</v>
      </c>
      <c r="AS82" s="3" t="s">
        <v>84</v>
      </c>
      <c r="AT82" s="6" t="str">
        <f>HYPERLINK("http://catalog.hathitrust.org/Record/001391956","HathiTrust Record")</f>
        <v>HathiTrust Record</v>
      </c>
      <c r="AU82" s="6" t="str">
        <f>HYPERLINK("https://creighton-primo.hosted.exlibrisgroup.com/primo-explore/search?tab=default_tab&amp;search_scope=EVERYTHING&amp;vid=01CRU&amp;lang=en_US&amp;offset=0&amp;query=any,contains,991000453599702656","Catalog Record")</f>
        <v>Catalog Record</v>
      </c>
      <c r="AV82" s="6" t="str">
        <f>HYPERLINK("http://www.worldcat.org/oclc/77193","WorldCat Record")</f>
        <v>WorldCat Record</v>
      </c>
      <c r="AW82" s="3" t="s">
        <v>1133</v>
      </c>
      <c r="AX82" s="3" t="s">
        <v>1134</v>
      </c>
      <c r="AY82" s="3" t="s">
        <v>1135</v>
      </c>
      <c r="AZ82" s="3" t="s">
        <v>1135</v>
      </c>
      <c r="BA82" s="3" t="s">
        <v>1136</v>
      </c>
      <c r="BB82" s="3" t="s">
        <v>77</v>
      </c>
      <c r="BE82" s="3" t="s">
        <v>1137</v>
      </c>
      <c r="BF82" s="3" t="s">
        <v>1138</v>
      </c>
    </row>
    <row r="83" spans="1:58" ht="41.25" customHeight="1" x14ac:dyDescent="0.25">
      <c r="A83" s="7" t="s">
        <v>62</v>
      </c>
      <c r="B83" s="2" t="s">
        <v>57</v>
      </c>
      <c r="C83" s="2" t="s">
        <v>58</v>
      </c>
      <c r="D83" s="2" t="s">
        <v>1139</v>
      </c>
      <c r="E83" s="2" t="s">
        <v>1140</v>
      </c>
      <c r="F83" s="2" t="s">
        <v>1141</v>
      </c>
      <c r="H83" s="3" t="s">
        <v>62</v>
      </c>
      <c r="I83" s="3" t="s">
        <v>63</v>
      </c>
      <c r="J83" s="3" t="s">
        <v>62</v>
      </c>
      <c r="K83" s="3" t="s">
        <v>62</v>
      </c>
      <c r="L83" s="3" t="s">
        <v>64</v>
      </c>
      <c r="M83" s="2" t="s">
        <v>1142</v>
      </c>
      <c r="N83" s="2" t="s">
        <v>1143</v>
      </c>
      <c r="O83" s="3" t="s">
        <v>561</v>
      </c>
      <c r="Q83" s="3" t="s">
        <v>68</v>
      </c>
      <c r="R83" s="3" t="s">
        <v>1144</v>
      </c>
      <c r="T83" s="3" t="s">
        <v>70</v>
      </c>
      <c r="U83" s="4">
        <v>2</v>
      </c>
      <c r="V83" s="4">
        <v>2</v>
      </c>
      <c r="W83" s="5" t="s">
        <v>1145</v>
      </c>
      <c r="X83" s="5" t="s">
        <v>1145</v>
      </c>
      <c r="Y83" s="5" t="s">
        <v>1145</v>
      </c>
      <c r="Z83" s="5" t="s">
        <v>1145</v>
      </c>
      <c r="AA83" s="4">
        <v>500</v>
      </c>
      <c r="AB83" s="4">
        <v>442</v>
      </c>
      <c r="AC83" s="4">
        <v>448</v>
      </c>
      <c r="AD83" s="4">
        <v>5</v>
      </c>
      <c r="AE83" s="4">
        <v>5</v>
      </c>
      <c r="AF83" s="4">
        <v>25</v>
      </c>
      <c r="AG83" s="4">
        <v>25</v>
      </c>
      <c r="AH83" s="4">
        <v>11</v>
      </c>
      <c r="AI83" s="4">
        <v>11</v>
      </c>
      <c r="AJ83" s="4">
        <v>3</v>
      </c>
      <c r="AK83" s="4">
        <v>3</v>
      </c>
      <c r="AL83" s="4">
        <v>17</v>
      </c>
      <c r="AM83" s="4">
        <v>17</v>
      </c>
      <c r="AN83" s="4">
        <v>3</v>
      </c>
      <c r="AO83" s="4">
        <v>3</v>
      </c>
      <c r="AP83" s="4">
        <v>0</v>
      </c>
      <c r="AQ83" s="4">
        <v>0</v>
      </c>
      <c r="AR83" s="3" t="s">
        <v>62</v>
      </c>
      <c r="AS83" s="3" t="s">
        <v>84</v>
      </c>
      <c r="AT83" s="6" t="str">
        <f>HYPERLINK("http://catalog.hathitrust.org/Record/000539366","HathiTrust Record")</f>
        <v>HathiTrust Record</v>
      </c>
      <c r="AU83" s="6" t="str">
        <f>HYPERLINK("https://creighton-primo.hosted.exlibrisgroup.com/primo-explore/search?tab=default_tab&amp;search_scope=EVERYTHING&amp;vid=01CRU&amp;lang=en_US&amp;offset=0&amp;query=any,contains,991004399879702656","Catalog Record")</f>
        <v>Catalog Record</v>
      </c>
      <c r="AV83" s="6" t="str">
        <f>HYPERLINK("http://www.worldcat.org/oclc/12668138","WorldCat Record")</f>
        <v>WorldCat Record</v>
      </c>
      <c r="AW83" s="3" t="s">
        <v>1146</v>
      </c>
      <c r="AX83" s="3" t="s">
        <v>1147</v>
      </c>
      <c r="AY83" s="3" t="s">
        <v>1148</v>
      </c>
      <c r="AZ83" s="3" t="s">
        <v>1148</v>
      </c>
      <c r="BA83" s="3" t="s">
        <v>1149</v>
      </c>
      <c r="BB83" s="3" t="s">
        <v>77</v>
      </c>
      <c r="BD83" s="3" t="s">
        <v>1150</v>
      </c>
      <c r="BE83" s="3" t="s">
        <v>1151</v>
      </c>
      <c r="BF83" s="3" t="s">
        <v>1152</v>
      </c>
    </row>
    <row r="84" spans="1:58" ht="41.25" customHeight="1" x14ac:dyDescent="0.25">
      <c r="A84" s="7" t="s">
        <v>62</v>
      </c>
      <c r="B84" s="2" t="s">
        <v>57</v>
      </c>
      <c r="C84" s="2" t="s">
        <v>58</v>
      </c>
      <c r="D84" s="2" t="s">
        <v>1153</v>
      </c>
      <c r="E84" s="2" t="s">
        <v>1154</v>
      </c>
      <c r="F84" s="2" t="s">
        <v>1155</v>
      </c>
      <c r="H84" s="3" t="s">
        <v>62</v>
      </c>
      <c r="I84" s="3" t="s">
        <v>63</v>
      </c>
      <c r="J84" s="3" t="s">
        <v>62</v>
      </c>
      <c r="K84" s="3" t="s">
        <v>62</v>
      </c>
      <c r="L84" s="3" t="s">
        <v>64</v>
      </c>
      <c r="M84" s="2" t="s">
        <v>1156</v>
      </c>
      <c r="N84" s="2" t="s">
        <v>1157</v>
      </c>
      <c r="O84" s="3" t="s">
        <v>1158</v>
      </c>
      <c r="Q84" s="3" t="s">
        <v>68</v>
      </c>
      <c r="R84" s="3" t="s">
        <v>166</v>
      </c>
      <c r="T84" s="3" t="s">
        <v>70</v>
      </c>
      <c r="U84" s="4">
        <v>4</v>
      </c>
      <c r="V84" s="4">
        <v>4</v>
      </c>
      <c r="W84" s="5" t="s">
        <v>1159</v>
      </c>
      <c r="X84" s="5" t="s">
        <v>1159</v>
      </c>
      <c r="Y84" s="5" t="s">
        <v>1078</v>
      </c>
      <c r="Z84" s="5" t="s">
        <v>1078</v>
      </c>
      <c r="AA84" s="4">
        <v>510</v>
      </c>
      <c r="AB84" s="4">
        <v>426</v>
      </c>
      <c r="AC84" s="4">
        <v>532</v>
      </c>
      <c r="AD84" s="4">
        <v>4</v>
      </c>
      <c r="AE84" s="4">
        <v>6</v>
      </c>
      <c r="AF84" s="4">
        <v>27</v>
      </c>
      <c r="AG84" s="4">
        <v>34</v>
      </c>
      <c r="AH84" s="4">
        <v>8</v>
      </c>
      <c r="AI84" s="4">
        <v>12</v>
      </c>
      <c r="AJ84" s="4">
        <v>6</v>
      </c>
      <c r="AK84" s="4">
        <v>6</v>
      </c>
      <c r="AL84" s="4">
        <v>15</v>
      </c>
      <c r="AM84" s="4">
        <v>19</v>
      </c>
      <c r="AN84" s="4">
        <v>3</v>
      </c>
      <c r="AO84" s="4">
        <v>5</v>
      </c>
      <c r="AP84" s="4">
        <v>0</v>
      </c>
      <c r="AQ84" s="4">
        <v>0</v>
      </c>
      <c r="AR84" s="3" t="s">
        <v>62</v>
      </c>
      <c r="AS84" s="3" t="s">
        <v>84</v>
      </c>
      <c r="AT84" s="6" t="str">
        <f>HYPERLINK("http://catalog.hathitrust.org/Record/009492925","HathiTrust Record")</f>
        <v>HathiTrust Record</v>
      </c>
      <c r="AU84" s="6" t="str">
        <f>HYPERLINK("https://creighton-primo.hosted.exlibrisgroup.com/primo-explore/search?tab=default_tab&amp;search_scope=EVERYTHING&amp;vid=01CRU&amp;lang=en_US&amp;offset=0&amp;query=any,contains,991002864879702656","Catalog Record")</f>
        <v>Catalog Record</v>
      </c>
      <c r="AV84" s="6" t="str">
        <f>HYPERLINK("http://www.worldcat.org/oclc/495219","WorldCat Record")</f>
        <v>WorldCat Record</v>
      </c>
      <c r="AW84" s="3" t="s">
        <v>1160</v>
      </c>
      <c r="AX84" s="3" t="s">
        <v>1161</v>
      </c>
      <c r="AY84" s="3" t="s">
        <v>1162</v>
      </c>
      <c r="AZ84" s="3" t="s">
        <v>1162</v>
      </c>
      <c r="BA84" s="3" t="s">
        <v>1163</v>
      </c>
      <c r="BB84" s="3" t="s">
        <v>77</v>
      </c>
      <c r="BD84" s="3" t="s">
        <v>1164</v>
      </c>
      <c r="BE84" s="3" t="s">
        <v>1165</v>
      </c>
      <c r="BF84" s="3" t="s">
        <v>1166</v>
      </c>
    </row>
    <row r="85" spans="1:58" ht="41.25" customHeight="1" x14ac:dyDescent="0.25">
      <c r="A85" s="7" t="s">
        <v>62</v>
      </c>
      <c r="B85" s="2" t="s">
        <v>57</v>
      </c>
      <c r="C85" s="2" t="s">
        <v>58</v>
      </c>
      <c r="D85" s="2" t="s">
        <v>1167</v>
      </c>
      <c r="E85" s="2" t="s">
        <v>1168</v>
      </c>
      <c r="F85" s="2" t="s">
        <v>1169</v>
      </c>
      <c r="H85" s="3" t="s">
        <v>62</v>
      </c>
      <c r="I85" s="3" t="s">
        <v>63</v>
      </c>
      <c r="J85" s="3" t="s">
        <v>62</v>
      </c>
      <c r="K85" s="3" t="s">
        <v>62</v>
      </c>
      <c r="L85" s="3" t="s">
        <v>64</v>
      </c>
      <c r="M85" s="2" t="s">
        <v>1170</v>
      </c>
      <c r="N85" s="2" t="s">
        <v>1171</v>
      </c>
      <c r="O85" s="3" t="s">
        <v>546</v>
      </c>
      <c r="Q85" s="3" t="s">
        <v>68</v>
      </c>
      <c r="R85" s="3" t="s">
        <v>88</v>
      </c>
      <c r="T85" s="3" t="s">
        <v>70</v>
      </c>
      <c r="U85" s="4">
        <v>4</v>
      </c>
      <c r="V85" s="4">
        <v>4</v>
      </c>
      <c r="W85" s="5" t="s">
        <v>1172</v>
      </c>
      <c r="X85" s="5" t="s">
        <v>1172</v>
      </c>
      <c r="Y85" s="5" t="s">
        <v>1078</v>
      </c>
      <c r="Z85" s="5" t="s">
        <v>1078</v>
      </c>
      <c r="AA85" s="4">
        <v>394</v>
      </c>
      <c r="AB85" s="4">
        <v>290</v>
      </c>
      <c r="AC85" s="4">
        <v>292</v>
      </c>
      <c r="AD85" s="4">
        <v>2</v>
      </c>
      <c r="AE85" s="4">
        <v>2</v>
      </c>
      <c r="AF85" s="4">
        <v>16</v>
      </c>
      <c r="AG85" s="4">
        <v>16</v>
      </c>
      <c r="AH85" s="4">
        <v>6</v>
      </c>
      <c r="AI85" s="4">
        <v>6</v>
      </c>
      <c r="AJ85" s="4">
        <v>3</v>
      </c>
      <c r="AK85" s="4">
        <v>3</v>
      </c>
      <c r="AL85" s="4">
        <v>9</v>
      </c>
      <c r="AM85" s="4">
        <v>9</v>
      </c>
      <c r="AN85" s="4">
        <v>1</v>
      </c>
      <c r="AO85" s="4">
        <v>1</v>
      </c>
      <c r="AP85" s="4">
        <v>0</v>
      </c>
      <c r="AQ85" s="4">
        <v>0</v>
      </c>
      <c r="AR85" s="3" t="s">
        <v>62</v>
      </c>
      <c r="AS85" s="3" t="s">
        <v>84</v>
      </c>
      <c r="AT85" s="6" t="str">
        <f>HYPERLINK("http://catalog.hathitrust.org/Record/006756435","HathiTrust Record")</f>
        <v>HathiTrust Record</v>
      </c>
      <c r="AU85" s="6" t="str">
        <f>HYPERLINK("https://creighton-primo.hosted.exlibrisgroup.com/primo-explore/search?tab=default_tab&amp;search_scope=EVERYTHING&amp;vid=01CRU&amp;lang=en_US&amp;offset=0&amp;query=any,contains,991003104929702656","Catalog Record")</f>
        <v>Catalog Record</v>
      </c>
      <c r="AV85" s="6" t="str">
        <f>HYPERLINK("http://www.worldcat.org/oclc/653532","WorldCat Record")</f>
        <v>WorldCat Record</v>
      </c>
      <c r="AW85" s="3" t="s">
        <v>1173</v>
      </c>
      <c r="AX85" s="3" t="s">
        <v>1174</v>
      </c>
      <c r="AY85" s="3" t="s">
        <v>1175</v>
      </c>
      <c r="AZ85" s="3" t="s">
        <v>1175</v>
      </c>
      <c r="BA85" s="3" t="s">
        <v>1176</v>
      </c>
      <c r="BB85" s="3" t="s">
        <v>77</v>
      </c>
      <c r="BE85" s="3" t="s">
        <v>1177</v>
      </c>
      <c r="BF85" s="3" t="s">
        <v>1178</v>
      </c>
    </row>
    <row r="86" spans="1:58" ht="41.25" customHeight="1" x14ac:dyDescent="0.25">
      <c r="A86" s="7" t="s">
        <v>62</v>
      </c>
      <c r="B86" s="2" t="s">
        <v>57</v>
      </c>
      <c r="C86" s="2" t="s">
        <v>58</v>
      </c>
      <c r="D86" s="2" t="s">
        <v>1179</v>
      </c>
      <c r="E86" s="2" t="s">
        <v>1180</v>
      </c>
      <c r="F86" s="2" t="s">
        <v>1181</v>
      </c>
      <c r="H86" s="3" t="s">
        <v>62</v>
      </c>
      <c r="I86" s="3" t="s">
        <v>63</v>
      </c>
      <c r="J86" s="3" t="s">
        <v>62</v>
      </c>
      <c r="K86" s="3" t="s">
        <v>62</v>
      </c>
      <c r="L86" s="3" t="s">
        <v>64</v>
      </c>
      <c r="M86" s="2" t="s">
        <v>1182</v>
      </c>
      <c r="N86" s="2" t="s">
        <v>1183</v>
      </c>
      <c r="O86" s="3" t="s">
        <v>295</v>
      </c>
      <c r="Q86" s="3" t="s">
        <v>68</v>
      </c>
      <c r="R86" s="3" t="s">
        <v>1184</v>
      </c>
      <c r="T86" s="3" t="s">
        <v>70</v>
      </c>
      <c r="U86" s="4">
        <v>1</v>
      </c>
      <c r="V86" s="4">
        <v>1</v>
      </c>
      <c r="W86" s="5" t="s">
        <v>1185</v>
      </c>
      <c r="X86" s="5" t="s">
        <v>1185</v>
      </c>
      <c r="Y86" s="5" t="s">
        <v>1185</v>
      </c>
      <c r="Z86" s="5" t="s">
        <v>1185</v>
      </c>
      <c r="AA86" s="4">
        <v>264</v>
      </c>
      <c r="AB86" s="4">
        <v>231</v>
      </c>
      <c r="AC86" s="4">
        <v>289</v>
      </c>
      <c r="AD86" s="4">
        <v>3</v>
      </c>
      <c r="AE86" s="4">
        <v>4</v>
      </c>
      <c r="AF86" s="4">
        <v>6</v>
      </c>
      <c r="AG86" s="4">
        <v>9</v>
      </c>
      <c r="AH86" s="4">
        <v>3</v>
      </c>
      <c r="AI86" s="4">
        <v>4</v>
      </c>
      <c r="AJ86" s="4">
        <v>0</v>
      </c>
      <c r="AK86" s="4">
        <v>2</v>
      </c>
      <c r="AL86" s="4">
        <v>3</v>
      </c>
      <c r="AM86" s="4">
        <v>4</v>
      </c>
      <c r="AN86" s="4">
        <v>1</v>
      </c>
      <c r="AO86" s="4">
        <v>2</v>
      </c>
      <c r="AP86" s="4">
        <v>0</v>
      </c>
      <c r="AQ86" s="4">
        <v>0</v>
      </c>
      <c r="AR86" s="3" t="s">
        <v>62</v>
      </c>
      <c r="AS86" s="3" t="s">
        <v>62</v>
      </c>
      <c r="AU86" s="6" t="str">
        <f>HYPERLINK("https://creighton-primo.hosted.exlibrisgroup.com/primo-explore/search?tab=default_tab&amp;search_scope=EVERYTHING&amp;vid=01CRU&amp;lang=en_US&amp;offset=0&amp;query=any,contains,991005283159702656","Catalog Record")</f>
        <v>Catalog Record</v>
      </c>
      <c r="AV86" s="6" t="str">
        <f>HYPERLINK("http://www.worldcat.org/oclc/19556070","WorldCat Record")</f>
        <v>WorldCat Record</v>
      </c>
      <c r="AW86" s="3" t="s">
        <v>1186</v>
      </c>
      <c r="AX86" s="3" t="s">
        <v>1187</v>
      </c>
      <c r="AY86" s="3" t="s">
        <v>1188</v>
      </c>
      <c r="AZ86" s="3" t="s">
        <v>1188</v>
      </c>
      <c r="BA86" s="3" t="s">
        <v>1189</v>
      </c>
      <c r="BB86" s="3" t="s">
        <v>77</v>
      </c>
      <c r="BD86" s="3" t="s">
        <v>1190</v>
      </c>
      <c r="BE86" s="3" t="s">
        <v>1191</v>
      </c>
      <c r="BF86" s="3" t="s">
        <v>1192</v>
      </c>
    </row>
    <row r="87" spans="1:58" ht="41.25" customHeight="1" x14ac:dyDescent="0.25">
      <c r="A87" s="7" t="s">
        <v>62</v>
      </c>
      <c r="B87" s="2" t="s">
        <v>57</v>
      </c>
      <c r="C87" s="2" t="s">
        <v>58</v>
      </c>
      <c r="D87" s="2" t="s">
        <v>1193</v>
      </c>
      <c r="E87" s="2" t="s">
        <v>1194</v>
      </c>
      <c r="F87" s="2" t="s">
        <v>1195</v>
      </c>
      <c r="H87" s="3" t="s">
        <v>62</v>
      </c>
      <c r="I87" s="3" t="s">
        <v>63</v>
      </c>
      <c r="J87" s="3" t="s">
        <v>62</v>
      </c>
      <c r="K87" s="3" t="s">
        <v>62</v>
      </c>
      <c r="L87" s="3" t="s">
        <v>64</v>
      </c>
      <c r="M87" s="2" t="s">
        <v>1196</v>
      </c>
      <c r="N87" s="2" t="s">
        <v>1197</v>
      </c>
      <c r="O87" s="3" t="s">
        <v>253</v>
      </c>
      <c r="Q87" s="3" t="s">
        <v>68</v>
      </c>
      <c r="R87" s="3" t="s">
        <v>562</v>
      </c>
      <c r="S87" s="2" t="s">
        <v>1198</v>
      </c>
      <c r="T87" s="3" t="s">
        <v>70</v>
      </c>
      <c r="U87" s="4">
        <v>1</v>
      </c>
      <c r="V87" s="4">
        <v>1</v>
      </c>
      <c r="W87" s="5" t="s">
        <v>1199</v>
      </c>
      <c r="X87" s="5" t="s">
        <v>1199</v>
      </c>
      <c r="Y87" s="5" t="s">
        <v>1200</v>
      </c>
      <c r="Z87" s="5" t="s">
        <v>1200</v>
      </c>
      <c r="AA87" s="4">
        <v>269</v>
      </c>
      <c r="AB87" s="4">
        <v>185</v>
      </c>
      <c r="AC87" s="4">
        <v>186</v>
      </c>
      <c r="AD87" s="4">
        <v>4</v>
      </c>
      <c r="AE87" s="4">
        <v>4</v>
      </c>
      <c r="AF87" s="4">
        <v>7</v>
      </c>
      <c r="AG87" s="4">
        <v>7</v>
      </c>
      <c r="AH87" s="4">
        <v>0</v>
      </c>
      <c r="AI87" s="4">
        <v>0</v>
      </c>
      <c r="AJ87" s="4">
        <v>1</v>
      </c>
      <c r="AK87" s="4">
        <v>1</v>
      </c>
      <c r="AL87" s="4">
        <v>4</v>
      </c>
      <c r="AM87" s="4">
        <v>4</v>
      </c>
      <c r="AN87" s="4">
        <v>3</v>
      </c>
      <c r="AO87" s="4">
        <v>3</v>
      </c>
      <c r="AP87" s="4">
        <v>0</v>
      </c>
      <c r="AQ87" s="4">
        <v>0</v>
      </c>
      <c r="AR87" s="3" t="s">
        <v>62</v>
      </c>
      <c r="AS87" s="3" t="s">
        <v>84</v>
      </c>
      <c r="AT87" s="6" t="str">
        <f>HYPERLINK("http://catalog.hathitrust.org/Record/000437390","HathiTrust Record")</f>
        <v>HathiTrust Record</v>
      </c>
      <c r="AU87" s="6" t="str">
        <f>HYPERLINK("https://creighton-primo.hosted.exlibrisgroup.com/primo-explore/search?tab=default_tab&amp;search_scope=EVERYTHING&amp;vid=01CRU&amp;lang=en_US&amp;offset=0&amp;query=any,contains,991000862989702656","Catalog Record")</f>
        <v>Catalog Record</v>
      </c>
      <c r="AV87" s="6" t="str">
        <f>HYPERLINK("http://www.worldcat.org/oclc/13701181","WorldCat Record")</f>
        <v>WorldCat Record</v>
      </c>
      <c r="AW87" s="3" t="s">
        <v>1201</v>
      </c>
      <c r="AX87" s="3" t="s">
        <v>1202</v>
      </c>
      <c r="AY87" s="3" t="s">
        <v>1203</v>
      </c>
      <c r="AZ87" s="3" t="s">
        <v>1203</v>
      </c>
      <c r="BA87" s="3" t="s">
        <v>1204</v>
      </c>
      <c r="BB87" s="3" t="s">
        <v>77</v>
      </c>
      <c r="BD87" s="3" t="s">
        <v>1205</v>
      </c>
      <c r="BE87" s="3" t="s">
        <v>1206</v>
      </c>
      <c r="BF87" s="3" t="s">
        <v>1207</v>
      </c>
    </row>
    <row r="88" spans="1:58" ht="41.25" customHeight="1" x14ac:dyDescent="0.25">
      <c r="A88" s="7" t="s">
        <v>62</v>
      </c>
      <c r="B88" s="2" t="s">
        <v>57</v>
      </c>
      <c r="C88" s="2" t="s">
        <v>58</v>
      </c>
      <c r="D88" s="2" t="s">
        <v>1208</v>
      </c>
      <c r="E88" s="2" t="s">
        <v>1209</v>
      </c>
      <c r="F88" s="2" t="s">
        <v>1210</v>
      </c>
      <c r="H88" s="3" t="s">
        <v>62</v>
      </c>
      <c r="I88" s="3" t="s">
        <v>63</v>
      </c>
      <c r="J88" s="3" t="s">
        <v>62</v>
      </c>
      <c r="K88" s="3" t="s">
        <v>62</v>
      </c>
      <c r="L88" s="3" t="s">
        <v>64</v>
      </c>
      <c r="M88" s="2" t="s">
        <v>1211</v>
      </c>
      <c r="N88" s="2" t="s">
        <v>1212</v>
      </c>
      <c r="O88" s="3" t="s">
        <v>233</v>
      </c>
      <c r="Q88" s="3" t="s">
        <v>68</v>
      </c>
      <c r="R88" s="3" t="s">
        <v>219</v>
      </c>
      <c r="T88" s="3" t="s">
        <v>70</v>
      </c>
      <c r="U88" s="4">
        <v>1</v>
      </c>
      <c r="V88" s="4">
        <v>1</v>
      </c>
      <c r="W88" s="5" t="s">
        <v>269</v>
      </c>
      <c r="X88" s="5" t="s">
        <v>269</v>
      </c>
      <c r="Y88" s="5" t="s">
        <v>1078</v>
      </c>
      <c r="Z88" s="5" t="s">
        <v>1078</v>
      </c>
      <c r="AA88" s="4">
        <v>440</v>
      </c>
      <c r="AB88" s="4">
        <v>394</v>
      </c>
      <c r="AC88" s="4">
        <v>396</v>
      </c>
      <c r="AD88" s="4">
        <v>3</v>
      </c>
      <c r="AE88" s="4">
        <v>3</v>
      </c>
      <c r="AF88" s="4">
        <v>20</v>
      </c>
      <c r="AG88" s="4">
        <v>20</v>
      </c>
      <c r="AH88" s="4">
        <v>4</v>
      </c>
      <c r="AI88" s="4">
        <v>4</v>
      </c>
      <c r="AJ88" s="4">
        <v>4</v>
      </c>
      <c r="AK88" s="4">
        <v>4</v>
      </c>
      <c r="AL88" s="4">
        <v>14</v>
      </c>
      <c r="AM88" s="4">
        <v>14</v>
      </c>
      <c r="AN88" s="4">
        <v>2</v>
      </c>
      <c r="AO88" s="4">
        <v>2</v>
      </c>
      <c r="AP88" s="4">
        <v>0</v>
      </c>
      <c r="AQ88" s="4">
        <v>0</v>
      </c>
      <c r="AR88" s="3" t="s">
        <v>62</v>
      </c>
      <c r="AS88" s="3" t="s">
        <v>84</v>
      </c>
      <c r="AT88" s="6" t="str">
        <f>HYPERLINK("http://catalog.hathitrust.org/Record/008010775","HathiTrust Record")</f>
        <v>HathiTrust Record</v>
      </c>
      <c r="AU88" s="6" t="str">
        <f>HYPERLINK("https://creighton-primo.hosted.exlibrisgroup.com/primo-explore/search?tab=default_tab&amp;search_scope=EVERYTHING&amp;vid=01CRU&amp;lang=en_US&amp;offset=0&amp;query=any,contains,991004986039702656","Catalog Record")</f>
        <v>Catalog Record</v>
      </c>
      <c r="AV88" s="6" t="str">
        <f>HYPERLINK("http://www.worldcat.org/oclc/6448359","WorldCat Record")</f>
        <v>WorldCat Record</v>
      </c>
      <c r="AW88" s="3" t="s">
        <v>1213</v>
      </c>
      <c r="AX88" s="3" t="s">
        <v>1214</v>
      </c>
      <c r="AY88" s="3" t="s">
        <v>1215</v>
      </c>
      <c r="AZ88" s="3" t="s">
        <v>1215</v>
      </c>
      <c r="BA88" s="3" t="s">
        <v>1216</v>
      </c>
      <c r="BB88" s="3" t="s">
        <v>77</v>
      </c>
      <c r="BD88" s="3" t="s">
        <v>1217</v>
      </c>
      <c r="BE88" s="3" t="s">
        <v>1218</v>
      </c>
      <c r="BF88" s="3" t="s">
        <v>1219</v>
      </c>
    </row>
    <row r="89" spans="1:58" ht="41.25" customHeight="1" x14ac:dyDescent="0.25">
      <c r="A89" s="7" t="s">
        <v>62</v>
      </c>
      <c r="B89" s="2" t="s">
        <v>57</v>
      </c>
      <c r="C89" s="2" t="s">
        <v>58</v>
      </c>
      <c r="D89" s="2" t="s">
        <v>1220</v>
      </c>
      <c r="E89" s="2" t="s">
        <v>1221</v>
      </c>
      <c r="F89" s="2" t="s">
        <v>1222</v>
      </c>
      <c r="H89" s="3" t="s">
        <v>62</v>
      </c>
      <c r="I89" s="3" t="s">
        <v>63</v>
      </c>
      <c r="J89" s="3" t="s">
        <v>62</v>
      </c>
      <c r="K89" s="3" t="s">
        <v>62</v>
      </c>
      <c r="L89" s="3" t="s">
        <v>64</v>
      </c>
      <c r="M89" s="2" t="s">
        <v>1223</v>
      </c>
      <c r="N89" s="2" t="s">
        <v>1224</v>
      </c>
      <c r="O89" s="3" t="s">
        <v>253</v>
      </c>
      <c r="Q89" s="3" t="s">
        <v>68</v>
      </c>
      <c r="R89" s="3" t="s">
        <v>1225</v>
      </c>
      <c r="T89" s="3" t="s">
        <v>70</v>
      </c>
      <c r="U89" s="4">
        <v>2</v>
      </c>
      <c r="V89" s="4">
        <v>2</v>
      </c>
      <c r="W89" s="5" t="s">
        <v>1039</v>
      </c>
      <c r="X89" s="5" t="s">
        <v>1039</v>
      </c>
      <c r="Y89" s="5" t="s">
        <v>1078</v>
      </c>
      <c r="Z89" s="5" t="s">
        <v>1078</v>
      </c>
      <c r="AA89" s="4">
        <v>422</v>
      </c>
      <c r="AB89" s="4">
        <v>372</v>
      </c>
      <c r="AC89" s="4">
        <v>378</v>
      </c>
      <c r="AD89" s="4">
        <v>2</v>
      </c>
      <c r="AE89" s="4">
        <v>2</v>
      </c>
      <c r="AF89" s="4">
        <v>17</v>
      </c>
      <c r="AG89" s="4">
        <v>17</v>
      </c>
      <c r="AH89" s="4">
        <v>5</v>
      </c>
      <c r="AI89" s="4">
        <v>5</v>
      </c>
      <c r="AJ89" s="4">
        <v>5</v>
      </c>
      <c r="AK89" s="4">
        <v>5</v>
      </c>
      <c r="AL89" s="4">
        <v>12</v>
      </c>
      <c r="AM89" s="4">
        <v>12</v>
      </c>
      <c r="AN89" s="4">
        <v>1</v>
      </c>
      <c r="AO89" s="4">
        <v>1</v>
      </c>
      <c r="AP89" s="4">
        <v>0</v>
      </c>
      <c r="AQ89" s="4">
        <v>0</v>
      </c>
      <c r="AR89" s="3" t="s">
        <v>62</v>
      </c>
      <c r="AS89" s="3" t="s">
        <v>84</v>
      </c>
      <c r="AT89" s="6" t="str">
        <f>HYPERLINK("http://catalog.hathitrust.org/Record/000607087","HathiTrust Record")</f>
        <v>HathiTrust Record</v>
      </c>
      <c r="AU89" s="6" t="str">
        <f>HYPERLINK("https://creighton-primo.hosted.exlibrisgroup.com/primo-explore/search?tab=default_tab&amp;search_scope=EVERYTHING&amp;vid=01CRU&amp;lang=en_US&amp;offset=0&amp;query=any,contains,991000523169702656","Catalog Record")</f>
        <v>Catalog Record</v>
      </c>
      <c r="AV89" s="6" t="str">
        <f>HYPERLINK("http://www.worldcat.org/oclc/11346332","WorldCat Record")</f>
        <v>WorldCat Record</v>
      </c>
      <c r="AW89" s="3" t="s">
        <v>1226</v>
      </c>
      <c r="AX89" s="3" t="s">
        <v>1227</v>
      </c>
      <c r="AY89" s="3" t="s">
        <v>1228</v>
      </c>
      <c r="AZ89" s="3" t="s">
        <v>1228</v>
      </c>
      <c r="BA89" s="3" t="s">
        <v>1229</v>
      </c>
      <c r="BB89" s="3" t="s">
        <v>77</v>
      </c>
      <c r="BD89" s="3" t="s">
        <v>1230</v>
      </c>
      <c r="BE89" s="3" t="s">
        <v>1231</v>
      </c>
      <c r="BF89" s="3" t="s">
        <v>1232</v>
      </c>
    </row>
    <row r="90" spans="1:58" ht="41.25" customHeight="1" x14ac:dyDescent="0.25">
      <c r="A90" s="7" t="s">
        <v>62</v>
      </c>
      <c r="B90" s="2" t="s">
        <v>57</v>
      </c>
      <c r="C90" s="2" t="s">
        <v>58</v>
      </c>
      <c r="D90" s="2" t="s">
        <v>1233</v>
      </c>
      <c r="E90" s="2" t="s">
        <v>1234</v>
      </c>
      <c r="F90" s="2" t="s">
        <v>1235</v>
      </c>
      <c r="H90" s="3" t="s">
        <v>62</v>
      </c>
      <c r="I90" s="3" t="s">
        <v>63</v>
      </c>
      <c r="J90" s="3" t="s">
        <v>62</v>
      </c>
      <c r="K90" s="3" t="s">
        <v>62</v>
      </c>
      <c r="L90" s="3" t="s">
        <v>64</v>
      </c>
      <c r="M90" s="2" t="s">
        <v>1236</v>
      </c>
      <c r="N90" s="2" t="s">
        <v>1237</v>
      </c>
      <c r="O90" s="3" t="s">
        <v>516</v>
      </c>
      <c r="P90" s="2" t="s">
        <v>268</v>
      </c>
      <c r="Q90" s="3" t="s">
        <v>68</v>
      </c>
      <c r="R90" s="3" t="s">
        <v>1238</v>
      </c>
      <c r="T90" s="3" t="s">
        <v>70</v>
      </c>
      <c r="U90" s="4">
        <v>6</v>
      </c>
      <c r="V90" s="4">
        <v>6</v>
      </c>
      <c r="W90" s="5" t="s">
        <v>1239</v>
      </c>
      <c r="X90" s="5" t="s">
        <v>1239</v>
      </c>
      <c r="Y90" s="5" t="s">
        <v>1078</v>
      </c>
      <c r="Z90" s="5" t="s">
        <v>1078</v>
      </c>
      <c r="AA90" s="4">
        <v>548</v>
      </c>
      <c r="AB90" s="4">
        <v>524</v>
      </c>
      <c r="AC90" s="4">
        <v>527</v>
      </c>
      <c r="AD90" s="4">
        <v>4</v>
      </c>
      <c r="AE90" s="4">
        <v>4</v>
      </c>
      <c r="AF90" s="4">
        <v>27</v>
      </c>
      <c r="AG90" s="4">
        <v>27</v>
      </c>
      <c r="AH90" s="4">
        <v>11</v>
      </c>
      <c r="AI90" s="4">
        <v>11</v>
      </c>
      <c r="AJ90" s="4">
        <v>6</v>
      </c>
      <c r="AK90" s="4">
        <v>6</v>
      </c>
      <c r="AL90" s="4">
        <v>15</v>
      </c>
      <c r="AM90" s="4">
        <v>15</v>
      </c>
      <c r="AN90" s="4">
        <v>2</v>
      </c>
      <c r="AO90" s="4">
        <v>2</v>
      </c>
      <c r="AP90" s="4">
        <v>0</v>
      </c>
      <c r="AQ90" s="4">
        <v>0</v>
      </c>
      <c r="AR90" s="3" t="s">
        <v>62</v>
      </c>
      <c r="AS90" s="3" t="s">
        <v>62</v>
      </c>
      <c r="AU90" s="6" t="str">
        <f>HYPERLINK("https://creighton-primo.hosted.exlibrisgroup.com/primo-explore/search?tab=default_tab&amp;search_scope=EVERYTHING&amp;vid=01CRU&amp;lang=en_US&amp;offset=0&amp;query=any,contains,991002569379702656","Catalog Record")</f>
        <v>Catalog Record</v>
      </c>
      <c r="AV90" s="6" t="str">
        <f>HYPERLINK("http://www.worldcat.org/oclc/373307","WorldCat Record")</f>
        <v>WorldCat Record</v>
      </c>
      <c r="AW90" s="3" t="s">
        <v>1240</v>
      </c>
      <c r="AX90" s="3" t="s">
        <v>1241</v>
      </c>
      <c r="AY90" s="3" t="s">
        <v>1242</v>
      </c>
      <c r="AZ90" s="3" t="s">
        <v>1242</v>
      </c>
      <c r="BA90" s="3" t="s">
        <v>1243</v>
      </c>
      <c r="BB90" s="3" t="s">
        <v>77</v>
      </c>
      <c r="BE90" s="3" t="s">
        <v>1244</v>
      </c>
      <c r="BF90" s="3" t="s">
        <v>1245</v>
      </c>
    </row>
    <row r="91" spans="1:58" ht="41.25" customHeight="1" x14ac:dyDescent="0.25">
      <c r="A91" s="7" t="s">
        <v>62</v>
      </c>
      <c r="B91" s="2" t="s">
        <v>57</v>
      </c>
      <c r="C91" s="2" t="s">
        <v>58</v>
      </c>
      <c r="D91" s="2" t="s">
        <v>1246</v>
      </c>
      <c r="E91" s="2" t="s">
        <v>1247</v>
      </c>
      <c r="F91" s="2" t="s">
        <v>1248</v>
      </c>
      <c r="H91" s="3" t="s">
        <v>62</v>
      </c>
      <c r="I91" s="3" t="s">
        <v>63</v>
      </c>
      <c r="J91" s="3" t="s">
        <v>62</v>
      </c>
      <c r="K91" s="3" t="s">
        <v>62</v>
      </c>
      <c r="L91" s="3" t="s">
        <v>64</v>
      </c>
      <c r="M91" s="2" t="s">
        <v>1249</v>
      </c>
      <c r="N91" s="2" t="s">
        <v>1250</v>
      </c>
      <c r="O91" s="3" t="s">
        <v>1251</v>
      </c>
      <c r="Q91" s="3" t="s">
        <v>68</v>
      </c>
      <c r="R91" s="3" t="s">
        <v>297</v>
      </c>
      <c r="T91" s="3" t="s">
        <v>70</v>
      </c>
      <c r="U91" s="4">
        <v>4</v>
      </c>
      <c r="V91" s="4">
        <v>4</v>
      </c>
      <c r="W91" s="5" t="s">
        <v>1252</v>
      </c>
      <c r="X91" s="5" t="s">
        <v>1252</v>
      </c>
      <c r="Y91" s="5" t="s">
        <v>1253</v>
      </c>
      <c r="Z91" s="5" t="s">
        <v>1253</v>
      </c>
      <c r="AA91" s="4">
        <v>164</v>
      </c>
      <c r="AB91" s="4">
        <v>97</v>
      </c>
      <c r="AC91" s="4">
        <v>669</v>
      </c>
      <c r="AD91" s="4">
        <v>1</v>
      </c>
      <c r="AE91" s="4">
        <v>6</v>
      </c>
      <c r="AF91" s="4">
        <v>10</v>
      </c>
      <c r="AG91" s="4">
        <v>33</v>
      </c>
      <c r="AH91" s="4">
        <v>4</v>
      </c>
      <c r="AI91" s="4">
        <v>12</v>
      </c>
      <c r="AJ91" s="4">
        <v>1</v>
      </c>
      <c r="AK91" s="4">
        <v>8</v>
      </c>
      <c r="AL91" s="4">
        <v>6</v>
      </c>
      <c r="AM91" s="4">
        <v>13</v>
      </c>
      <c r="AN91" s="4">
        <v>0</v>
      </c>
      <c r="AO91" s="4">
        <v>5</v>
      </c>
      <c r="AP91" s="4">
        <v>0</v>
      </c>
      <c r="AQ91" s="4">
        <v>1</v>
      </c>
      <c r="AR91" s="3" t="s">
        <v>62</v>
      </c>
      <c r="AS91" s="3" t="s">
        <v>62</v>
      </c>
      <c r="AU91" s="6" t="str">
        <f>HYPERLINK("https://creighton-primo.hosted.exlibrisgroup.com/primo-explore/search?tab=default_tab&amp;search_scope=EVERYTHING&amp;vid=01CRU&amp;lang=en_US&amp;offset=0&amp;query=any,contains,991001328619702656","Catalog Record")</f>
        <v>Catalog Record</v>
      </c>
      <c r="AV91" s="6" t="str">
        <f>HYPERLINK("http://www.worldcat.org/oclc/18292171","WorldCat Record")</f>
        <v>WorldCat Record</v>
      </c>
      <c r="AW91" s="3" t="s">
        <v>1254</v>
      </c>
      <c r="AX91" s="3" t="s">
        <v>1255</v>
      </c>
      <c r="AY91" s="3" t="s">
        <v>1256</v>
      </c>
      <c r="AZ91" s="3" t="s">
        <v>1256</v>
      </c>
      <c r="BA91" s="3" t="s">
        <v>1257</v>
      </c>
      <c r="BB91" s="3" t="s">
        <v>77</v>
      </c>
      <c r="BD91" s="3" t="s">
        <v>1258</v>
      </c>
      <c r="BE91" s="3" t="s">
        <v>1259</v>
      </c>
      <c r="BF91" s="3" t="s">
        <v>1260</v>
      </c>
    </row>
    <row r="92" spans="1:58" ht="41.25" customHeight="1" x14ac:dyDescent="0.25">
      <c r="A92" s="7" t="s">
        <v>62</v>
      </c>
      <c r="B92" s="2" t="s">
        <v>57</v>
      </c>
      <c r="C92" s="2" t="s">
        <v>58</v>
      </c>
      <c r="D92" s="2" t="s">
        <v>1261</v>
      </c>
      <c r="E92" s="2" t="s">
        <v>1262</v>
      </c>
      <c r="F92" s="2" t="s">
        <v>1263</v>
      </c>
      <c r="H92" s="3" t="s">
        <v>62</v>
      </c>
      <c r="I92" s="3" t="s">
        <v>63</v>
      </c>
      <c r="J92" s="3" t="s">
        <v>62</v>
      </c>
      <c r="K92" s="3" t="s">
        <v>62</v>
      </c>
      <c r="L92" s="3" t="s">
        <v>64</v>
      </c>
      <c r="M92" s="2" t="s">
        <v>1264</v>
      </c>
      <c r="N92" s="2" t="s">
        <v>1265</v>
      </c>
      <c r="O92" s="3" t="s">
        <v>295</v>
      </c>
      <c r="P92" s="2" t="s">
        <v>834</v>
      </c>
      <c r="Q92" s="3" t="s">
        <v>68</v>
      </c>
      <c r="R92" s="3" t="s">
        <v>204</v>
      </c>
      <c r="T92" s="3" t="s">
        <v>70</v>
      </c>
      <c r="U92" s="4">
        <v>2</v>
      </c>
      <c r="V92" s="4">
        <v>2</v>
      </c>
      <c r="W92" s="5" t="s">
        <v>1266</v>
      </c>
      <c r="X92" s="5" t="s">
        <v>1266</v>
      </c>
      <c r="Y92" s="5" t="s">
        <v>1267</v>
      </c>
      <c r="Z92" s="5" t="s">
        <v>1267</v>
      </c>
      <c r="AA92" s="4">
        <v>392</v>
      </c>
      <c r="AB92" s="4">
        <v>337</v>
      </c>
      <c r="AC92" s="4">
        <v>719</v>
      </c>
      <c r="AD92" s="4">
        <v>3</v>
      </c>
      <c r="AE92" s="4">
        <v>9</v>
      </c>
      <c r="AF92" s="4">
        <v>22</v>
      </c>
      <c r="AG92" s="4">
        <v>38</v>
      </c>
      <c r="AH92" s="4">
        <v>8</v>
      </c>
      <c r="AI92" s="4">
        <v>15</v>
      </c>
      <c r="AJ92" s="4">
        <v>5</v>
      </c>
      <c r="AK92" s="4">
        <v>7</v>
      </c>
      <c r="AL92" s="4">
        <v>11</v>
      </c>
      <c r="AM92" s="4">
        <v>15</v>
      </c>
      <c r="AN92" s="4">
        <v>1</v>
      </c>
      <c r="AO92" s="4">
        <v>6</v>
      </c>
      <c r="AP92" s="4">
        <v>0</v>
      </c>
      <c r="AQ92" s="4">
        <v>1</v>
      </c>
      <c r="AR92" s="3" t="s">
        <v>62</v>
      </c>
      <c r="AS92" s="3" t="s">
        <v>84</v>
      </c>
      <c r="AT92" s="6" t="str">
        <f>HYPERLINK("http://catalog.hathitrust.org/Record/004542691","HathiTrust Record")</f>
        <v>HathiTrust Record</v>
      </c>
      <c r="AU92" s="6" t="str">
        <f>HYPERLINK("https://creighton-primo.hosted.exlibrisgroup.com/primo-explore/search?tab=default_tab&amp;search_scope=EVERYTHING&amp;vid=01CRU&amp;lang=en_US&amp;offset=0&amp;query=any,contains,991001411089702656","Catalog Record")</f>
        <v>Catalog Record</v>
      </c>
      <c r="AV92" s="6" t="str">
        <f>HYPERLINK("http://www.worldcat.org/oclc/18907464","WorldCat Record")</f>
        <v>WorldCat Record</v>
      </c>
      <c r="AW92" s="3" t="s">
        <v>1268</v>
      </c>
      <c r="AX92" s="3" t="s">
        <v>1269</v>
      </c>
      <c r="AY92" s="3" t="s">
        <v>1270</v>
      </c>
      <c r="AZ92" s="3" t="s">
        <v>1270</v>
      </c>
      <c r="BA92" s="3" t="s">
        <v>1271</v>
      </c>
      <c r="BB92" s="3" t="s">
        <v>77</v>
      </c>
      <c r="BD92" s="3" t="s">
        <v>1272</v>
      </c>
      <c r="BE92" s="3" t="s">
        <v>1273</v>
      </c>
      <c r="BF92" s="3" t="s">
        <v>1274</v>
      </c>
    </row>
    <row r="93" spans="1:58" ht="41.25" customHeight="1" x14ac:dyDescent="0.25">
      <c r="A93" s="7" t="s">
        <v>62</v>
      </c>
      <c r="B93" s="2" t="s">
        <v>57</v>
      </c>
      <c r="C93" s="2" t="s">
        <v>58</v>
      </c>
      <c r="D93" s="2" t="s">
        <v>1275</v>
      </c>
      <c r="E93" s="2" t="s">
        <v>1276</v>
      </c>
      <c r="F93" s="2" t="s">
        <v>1277</v>
      </c>
      <c r="G93" s="3" t="s">
        <v>83</v>
      </c>
      <c r="H93" s="3" t="s">
        <v>84</v>
      </c>
      <c r="I93" s="3" t="s">
        <v>63</v>
      </c>
      <c r="J93" s="3" t="s">
        <v>62</v>
      </c>
      <c r="K93" s="3" t="s">
        <v>62</v>
      </c>
      <c r="L93" s="3" t="s">
        <v>64</v>
      </c>
      <c r="N93" s="2" t="s">
        <v>1212</v>
      </c>
      <c r="O93" s="3" t="s">
        <v>233</v>
      </c>
      <c r="Q93" s="3" t="s">
        <v>68</v>
      </c>
      <c r="R93" s="3" t="s">
        <v>219</v>
      </c>
      <c r="T93" s="3" t="s">
        <v>70</v>
      </c>
      <c r="U93" s="4">
        <v>4</v>
      </c>
      <c r="V93" s="4">
        <v>9</v>
      </c>
      <c r="W93" s="5" t="s">
        <v>1278</v>
      </c>
      <c r="X93" s="5" t="s">
        <v>1278</v>
      </c>
      <c r="Y93" s="5" t="s">
        <v>1078</v>
      </c>
      <c r="Z93" s="5" t="s">
        <v>1078</v>
      </c>
      <c r="AA93" s="4">
        <v>325</v>
      </c>
      <c r="AB93" s="4">
        <v>302</v>
      </c>
      <c r="AC93" s="4">
        <v>457</v>
      </c>
      <c r="AD93" s="4">
        <v>2</v>
      </c>
      <c r="AE93" s="4">
        <v>3</v>
      </c>
      <c r="AF93" s="4">
        <v>21</v>
      </c>
      <c r="AG93" s="4">
        <v>32</v>
      </c>
      <c r="AH93" s="4">
        <v>8</v>
      </c>
      <c r="AI93" s="4">
        <v>13</v>
      </c>
      <c r="AJ93" s="4">
        <v>8</v>
      </c>
      <c r="AK93" s="4">
        <v>9</v>
      </c>
      <c r="AL93" s="4">
        <v>11</v>
      </c>
      <c r="AM93" s="4">
        <v>18</v>
      </c>
      <c r="AN93" s="4">
        <v>1</v>
      </c>
      <c r="AO93" s="4">
        <v>2</v>
      </c>
      <c r="AP93" s="4">
        <v>0</v>
      </c>
      <c r="AQ93" s="4">
        <v>0</v>
      </c>
      <c r="AR93" s="3" t="s">
        <v>62</v>
      </c>
      <c r="AS93" s="3" t="s">
        <v>84</v>
      </c>
      <c r="AT93" s="6" t="str">
        <f>HYPERLINK("http://catalog.hathitrust.org/Record/004479707","HathiTrust Record")</f>
        <v>HathiTrust Record</v>
      </c>
      <c r="AU93" s="6" t="str">
        <f>HYPERLINK("https://creighton-primo.hosted.exlibrisgroup.com/primo-explore/search?tab=default_tab&amp;search_scope=EVERYTHING&amp;vid=01CRU&amp;lang=en_US&amp;offset=0&amp;query=any,contains,991004995289702656","Catalog Record")</f>
        <v>Catalog Record</v>
      </c>
      <c r="AV93" s="6" t="str">
        <f>HYPERLINK("http://www.worldcat.org/oclc/6510515","WorldCat Record")</f>
        <v>WorldCat Record</v>
      </c>
      <c r="AW93" s="3" t="s">
        <v>1279</v>
      </c>
      <c r="AX93" s="3" t="s">
        <v>1280</v>
      </c>
      <c r="AY93" s="3" t="s">
        <v>1281</v>
      </c>
      <c r="AZ93" s="3" t="s">
        <v>1281</v>
      </c>
      <c r="BA93" s="3" t="s">
        <v>1282</v>
      </c>
      <c r="BB93" s="3" t="s">
        <v>77</v>
      </c>
      <c r="BE93" s="3" t="s">
        <v>1283</v>
      </c>
      <c r="BF93" s="3" t="s">
        <v>1284</v>
      </c>
    </row>
    <row r="94" spans="1:58" ht="41.25" customHeight="1" x14ac:dyDescent="0.25">
      <c r="A94" s="7" t="s">
        <v>62</v>
      </c>
      <c r="B94" s="2" t="s">
        <v>57</v>
      </c>
      <c r="C94" s="2" t="s">
        <v>58</v>
      </c>
      <c r="D94" s="2" t="s">
        <v>1275</v>
      </c>
      <c r="E94" s="2" t="s">
        <v>1276</v>
      </c>
      <c r="F94" s="2" t="s">
        <v>1277</v>
      </c>
      <c r="G94" s="3" t="s">
        <v>100</v>
      </c>
      <c r="H94" s="3" t="s">
        <v>84</v>
      </c>
      <c r="I94" s="3" t="s">
        <v>63</v>
      </c>
      <c r="J94" s="3" t="s">
        <v>62</v>
      </c>
      <c r="K94" s="3" t="s">
        <v>62</v>
      </c>
      <c r="L94" s="3" t="s">
        <v>64</v>
      </c>
      <c r="N94" s="2" t="s">
        <v>1212</v>
      </c>
      <c r="O94" s="3" t="s">
        <v>233</v>
      </c>
      <c r="Q94" s="3" t="s">
        <v>68</v>
      </c>
      <c r="R94" s="3" t="s">
        <v>219</v>
      </c>
      <c r="T94" s="3" t="s">
        <v>70</v>
      </c>
      <c r="U94" s="4">
        <v>5</v>
      </c>
      <c r="V94" s="4">
        <v>9</v>
      </c>
      <c r="W94" s="5" t="s">
        <v>1285</v>
      </c>
      <c r="X94" s="5" t="s">
        <v>1278</v>
      </c>
      <c r="Y94" s="5" t="s">
        <v>1078</v>
      </c>
      <c r="Z94" s="5" t="s">
        <v>1078</v>
      </c>
      <c r="AA94" s="4">
        <v>325</v>
      </c>
      <c r="AB94" s="4">
        <v>302</v>
      </c>
      <c r="AC94" s="4">
        <v>457</v>
      </c>
      <c r="AD94" s="4">
        <v>2</v>
      </c>
      <c r="AE94" s="4">
        <v>3</v>
      </c>
      <c r="AF94" s="4">
        <v>21</v>
      </c>
      <c r="AG94" s="4">
        <v>32</v>
      </c>
      <c r="AH94" s="4">
        <v>8</v>
      </c>
      <c r="AI94" s="4">
        <v>13</v>
      </c>
      <c r="AJ94" s="4">
        <v>8</v>
      </c>
      <c r="AK94" s="4">
        <v>9</v>
      </c>
      <c r="AL94" s="4">
        <v>11</v>
      </c>
      <c r="AM94" s="4">
        <v>18</v>
      </c>
      <c r="AN94" s="4">
        <v>1</v>
      </c>
      <c r="AO94" s="4">
        <v>2</v>
      </c>
      <c r="AP94" s="4">
        <v>0</v>
      </c>
      <c r="AQ94" s="4">
        <v>0</v>
      </c>
      <c r="AR94" s="3" t="s">
        <v>62</v>
      </c>
      <c r="AS94" s="3" t="s">
        <v>84</v>
      </c>
      <c r="AT94" s="6" t="str">
        <f>HYPERLINK("http://catalog.hathitrust.org/Record/004479707","HathiTrust Record")</f>
        <v>HathiTrust Record</v>
      </c>
      <c r="AU94" s="6" t="str">
        <f>HYPERLINK("https://creighton-primo.hosted.exlibrisgroup.com/primo-explore/search?tab=default_tab&amp;search_scope=EVERYTHING&amp;vid=01CRU&amp;lang=en_US&amp;offset=0&amp;query=any,contains,991004995289702656","Catalog Record")</f>
        <v>Catalog Record</v>
      </c>
      <c r="AV94" s="6" t="str">
        <f>HYPERLINK("http://www.worldcat.org/oclc/6510515","WorldCat Record")</f>
        <v>WorldCat Record</v>
      </c>
      <c r="AW94" s="3" t="s">
        <v>1279</v>
      </c>
      <c r="AX94" s="3" t="s">
        <v>1280</v>
      </c>
      <c r="AY94" s="3" t="s">
        <v>1281</v>
      </c>
      <c r="AZ94" s="3" t="s">
        <v>1281</v>
      </c>
      <c r="BA94" s="3" t="s">
        <v>1282</v>
      </c>
      <c r="BB94" s="3" t="s">
        <v>77</v>
      </c>
      <c r="BE94" s="3" t="s">
        <v>1286</v>
      </c>
      <c r="BF94" s="3" t="s">
        <v>1287</v>
      </c>
    </row>
    <row r="95" spans="1:58" ht="41.25" customHeight="1" x14ac:dyDescent="0.25">
      <c r="A95" s="7" t="s">
        <v>62</v>
      </c>
      <c r="B95" s="2" t="s">
        <v>57</v>
      </c>
      <c r="C95" s="2" t="s">
        <v>58</v>
      </c>
      <c r="D95" s="2" t="s">
        <v>1288</v>
      </c>
      <c r="E95" s="2" t="s">
        <v>1289</v>
      </c>
      <c r="F95" s="2" t="s">
        <v>1290</v>
      </c>
      <c r="H95" s="3" t="s">
        <v>62</v>
      </c>
      <c r="I95" s="3" t="s">
        <v>63</v>
      </c>
      <c r="J95" s="3" t="s">
        <v>84</v>
      </c>
      <c r="K95" s="3" t="s">
        <v>62</v>
      </c>
      <c r="L95" s="3" t="s">
        <v>64</v>
      </c>
      <c r="M95" s="2" t="s">
        <v>1291</v>
      </c>
      <c r="N95" s="2" t="s">
        <v>1292</v>
      </c>
      <c r="O95" s="3" t="s">
        <v>1293</v>
      </c>
      <c r="Q95" s="3" t="s">
        <v>68</v>
      </c>
      <c r="R95" s="3" t="s">
        <v>110</v>
      </c>
      <c r="T95" s="3" t="s">
        <v>70</v>
      </c>
      <c r="U95" s="4">
        <v>1</v>
      </c>
      <c r="V95" s="4">
        <v>1</v>
      </c>
      <c r="W95" s="5" t="s">
        <v>1294</v>
      </c>
      <c r="X95" s="5" t="s">
        <v>1294</v>
      </c>
      <c r="Y95" s="5" t="s">
        <v>1040</v>
      </c>
      <c r="Z95" s="5" t="s">
        <v>549</v>
      </c>
      <c r="AA95" s="4">
        <v>51</v>
      </c>
      <c r="AB95" s="4">
        <v>49</v>
      </c>
      <c r="AC95" s="4">
        <v>101</v>
      </c>
      <c r="AD95" s="4">
        <v>2</v>
      </c>
      <c r="AE95" s="4">
        <v>3</v>
      </c>
      <c r="AF95" s="4">
        <v>8</v>
      </c>
      <c r="AG95" s="4">
        <v>12</v>
      </c>
      <c r="AH95" s="4">
        <v>2</v>
      </c>
      <c r="AI95" s="4">
        <v>2</v>
      </c>
      <c r="AJ95" s="4">
        <v>3</v>
      </c>
      <c r="AK95" s="4">
        <v>5</v>
      </c>
      <c r="AL95" s="4">
        <v>5</v>
      </c>
      <c r="AM95" s="4">
        <v>6</v>
      </c>
      <c r="AN95" s="4">
        <v>0</v>
      </c>
      <c r="AO95" s="4">
        <v>1</v>
      </c>
      <c r="AP95" s="4">
        <v>0</v>
      </c>
      <c r="AQ95" s="4">
        <v>0</v>
      </c>
      <c r="AR95" s="3" t="s">
        <v>84</v>
      </c>
      <c r="AS95" s="3" t="s">
        <v>62</v>
      </c>
      <c r="AT95" s="6" t="str">
        <f>HYPERLINK("http://catalog.hathitrust.org/Record/100761100","HathiTrust Record")</f>
        <v>HathiTrust Record</v>
      </c>
      <c r="AU95" s="6" t="str">
        <f>HYPERLINK("https://creighton-primo.hosted.exlibrisgroup.com/primo-explore/search?tab=default_tab&amp;search_scope=EVERYTHING&amp;vid=01CRU&amp;lang=en_US&amp;offset=0&amp;query=any,contains,991003067509702656","Catalog Record")</f>
        <v>Catalog Record</v>
      </c>
      <c r="AV95" s="6" t="str">
        <f>HYPERLINK("http://www.worldcat.org/oclc/3626375","WorldCat Record")</f>
        <v>WorldCat Record</v>
      </c>
      <c r="AW95" s="3" t="s">
        <v>1295</v>
      </c>
      <c r="AX95" s="3" t="s">
        <v>1296</v>
      </c>
      <c r="AY95" s="3" t="s">
        <v>1297</v>
      </c>
      <c r="AZ95" s="3" t="s">
        <v>1297</v>
      </c>
      <c r="BA95" s="3" t="s">
        <v>1298</v>
      </c>
      <c r="BB95" s="3" t="s">
        <v>77</v>
      </c>
      <c r="BE95" s="3" t="s">
        <v>1299</v>
      </c>
      <c r="BF95" s="3" t="s">
        <v>1300</v>
      </c>
    </row>
    <row r="96" spans="1:58" ht="41.25" customHeight="1" x14ac:dyDescent="0.25">
      <c r="A96" s="7" t="s">
        <v>62</v>
      </c>
      <c r="B96" s="2" t="s">
        <v>57</v>
      </c>
      <c r="C96" s="2" t="s">
        <v>58</v>
      </c>
      <c r="D96" s="2" t="s">
        <v>1301</v>
      </c>
      <c r="E96" s="2" t="s">
        <v>1302</v>
      </c>
      <c r="F96" s="2" t="s">
        <v>1303</v>
      </c>
      <c r="H96" s="3" t="s">
        <v>62</v>
      </c>
      <c r="I96" s="3" t="s">
        <v>63</v>
      </c>
      <c r="J96" s="3" t="s">
        <v>62</v>
      </c>
      <c r="K96" s="3" t="s">
        <v>62</v>
      </c>
      <c r="L96" s="3" t="s">
        <v>64</v>
      </c>
      <c r="M96" s="2" t="s">
        <v>1304</v>
      </c>
      <c r="N96" s="2" t="s">
        <v>1305</v>
      </c>
      <c r="O96" s="3" t="s">
        <v>1306</v>
      </c>
      <c r="Q96" s="3" t="s">
        <v>68</v>
      </c>
      <c r="R96" s="3" t="s">
        <v>88</v>
      </c>
      <c r="S96" s="2" t="s">
        <v>1307</v>
      </c>
      <c r="T96" s="3" t="s">
        <v>70</v>
      </c>
      <c r="U96" s="4">
        <v>3</v>
      </c>
      <c r="V96" s="4">
        <v>3</v>
      </c>
      <c r="W96" s="5" t="s">
        <v>1308</v>
      </c>
      <c r="X96" s="5" t="s">
        <v>1308</v>
      </c>
      <c r="Y96" s="5" t="s">
        <v>1078</v>
      </c>
      <c r="Z96" s="5" t="s">
        <v>1078</v>
      </c>
      <c r="AA96" s="4">
        <v>453</v>
      </c>
      <c r="AB96" s="4">
        <v>432</v>
      </c>
      <c r="AC96" s="4">
        <v>725</v>
      </c>
      <c r="AD96" s="4">
        <v>2</v>
      </c>
      <c r="AE96" s="4">
        <v>5</v>
      </c>
      <c r="AF96" s="4">
        <v>24</v>
      </c>
      <c r="AG96" s="4">
        <v>38</v>
      </c>
      <c r="AH96" s="4">
        <v>11</v>
      </c>
      <c r="AI96" s="4">
        <v>16</v>
      </c>
      <c r="AJ96" s="4">
        <v>5</v>
      </c>
      <c r="AK96" s="4">
        <v>10</v>
      </c>
      <c r="AL96" s="4">
        <v>14</v>
      </c>
      <c r="AM96" s="4">
        <v>16</v>
      </c>
      <c r="AN96" s="4">
        <v>1</v>
      </c>
      <c r="AO96" s="4">
        <v>4</v>
      </c>
      <c r="AP96" s="4">
        <v>0</v>
      </c>
      <c r="AQ96" s="4">
        <v>2</v>
      </c>
      <c r="AR96" s="3" t="s">
        <v>62</v>
      </c>
      <c r="AS96" s="3" t="s">
        <v>62</v>
      </c>
      <c r="AT96" s="6" t="str">
        <f>HYPERLINK("http://catalog.hathitrust.org/Record/001391981","HathiTrust Record")</f>
        <v>HathiTrust Record</v>
      </c>
      <c r="AU96" s="6" t="str">
        <f>HYPERLINK("https://creighton-primo.hosted.exlibrisgroup.com/primo-explore/search?tab=default_tab&amp;search_scope=EVERYTHING&amp;vid=01CRU&amp;lang=en_US&amp;offset=0&amp;query=any,contains,991003147809702656","Catalog Record")</f>
        <v>Catalog Record</v>
      </c>
      <c r="AV96" s="6" t="str">
        <f>HYPERLINK("http://www.worldcat.org/oclc/687997","WorldCat Record")</f>
        <v>WorldCat Record</v>
      </c>
      <c r="AW96" s="3" t="s">
        <v>1309</v>
      </c>
      <c r="AX96" s="3" t="s">
        <v>1310</v>
      </c>
      <c r="AY96" s="3" t="s">
        <v>1311</v>
      </c>
      <c r="AZ96" s="3" t="s">
        <v>1311</v>
      </c>
      <c r="BA96" s="3" t="s">
        <v>1312</v>
      </c>
      <c r="BB96" s="3" t="s">
        <v>77</v>
      </c>
      <c r="BE96" s="3" t="s">
        <v>1313</v>
      </c>
      <c r="BF96" s="3" t="s">
        <v>1314</v>
      </c>
    </row>
    <row r="97" spans="1:58" ht="41.25" customHeight="1" x14ac:dyDescent="0.25">
      <c r="A97" s="7" t="s">
        <v>62</v>
      </c>
      <c r="B97" s="2" t="s">
        <v>57</v>
      </c>
      <c r="C97" s="2" t="s">
        <v>58</v>
      </c>
      <c r="D97" s="2" t="s">
        <v>1315</v>
      </c>
      <c r="E97" s="2" t="s">
        <v>1316</v>
      </c>
      <c r="F97" s="2" t="s">
        <v>1317</v>
      </c>
      <c r="H97" s="3" t="s">
        <v>62</v>
      </c>
      <c r="I97" s="3" t="s">
        <v>63</v>
      </c>
      <c r="J97" s="3" t="s">
        <v>62</v>
      </c>
      <c r="K97" s="3" t="s">
        <v>62</v>
      </c>
      <c r="L97" s="3" t="s">
        <v>64</v>
      </c>
      <c r="M97" s="2" t="s">
        <v>1318</v>
      </c>
      <c r="N97" s="2" t="s">
        <v>1319</v>
      </c>
      <c r="O97" s="3" t="s">
        <v>218</v>
      </c>
      <c r="Q97" s="3" t="s">
        <v>68</v>
      </c>
      <c r="R97" s="3" t="s">
        <v>297</v>
      </c>
      <c r="S97" s="2" t="s">
        <v>1320</v>
      </c>
      <c r="T97" s="3" t="s">
        <v>70</v>
      </c>
      <c r="U97" s="4">
        <v>4</v>
      </c>
      <c r="V97" s="4">
        <v>4</v>
      </c>
      <c r="W97" s="5" t="s">
        <v>1321</v>
      </c>
      <c r="X97" s="5" t="s">
        <v>1321</v>
      </c>
      <c r="Y97" s="5" t="s">
        <v>1078</v>
      </c>
      <c r="Z97" s="5" t="s">
        <v>1078</v>
      </c>
      <c r="AA97" s="4">
        <v>383</v>
      </c>
      <c r="AB97" s="4">
        <v>297</v>
      </c>
      <c r="AC97" s="4">
        <v>304</v>
      </c>
      <c r="AD97" s="4">
        <v>2</v>
      </c>
      <c r="AE97" s="4">
        <v>2</v>
      </c>
      <c r="AF97" s="4">
        <v>17</v>
      </c>
      <c r="AG97" s="4">
        <v>17</v>
      </c>
      <c r="AH97" s="4">
        <v>5</v>
      </c>
      <c r="AI97" s="4">
        <v>5</v>
      </c>
      <c r="AJ97" s="4">
        <v>4</v>
      </c>
      <c r="AK97" s="4">
        <v>4</v>
      </c>
      <c r="AL97" s="4">
        <v>12</v>
      </c>
      <c r="AM97" s="4">
        <v>12</v>
      </c>
      <c r="AN97" s="4">
        <v>1</v>
      </c>
      <c r="AO97" s="4">
        <v>1</v>
      </c>
      <c r="AP97" s="4">
        <v>0</v>
      </c>
      <c r="AQ97" s="4">
        <v>0</v>
      </c>
      <c r="AR97" s="3" t="s">
        <v>62</v>
      </c>
      <c r="AS97" s="3" t="s">
        <v>84</v>
      </c>
      <c r="AT97" s="6" t="str">
        <f>HYPERLINK("http://catalog.hathitrust.org/Record/000091390","HathiTrust Record")</f>
        <v>HathiTrust Record</v>
      </c>
      <c r="AU97" s="6" t="str">
        <f>HYPERLINK("https://creighton-primo.hosted.exlibrisgroup.com/primo-explore/search?tab=default_tab&amp;search_scope=EVERYTHING&amp;vid=01CRU&amp;lang=en_US&amp;offset=0&amp;query=any,contains,991004473609702656","Catalog Record")</f>
        <v>Catalog Record</v>
      </c>
      <c r="AV97" s="6" t="str">
        <f>HYPERLINK("http://www.worldcat.org/oclc/3608286","WorldCat Record")</f>
        <v>WorldCat Record</v>
      </c>
      <c r="AW97" s="3" t="s">
        <v>1322</v>
      </c>
      <c r="AX97" s="3" t="s">
        <v>1323</v>
      </c>
      <c r="AY97" s="3" t="s">
        <v>1324</v>
      </c>
      <c r="AZ97" s="3" t="s">
        <v>1324</v>
      </c>
      <c r="BA97" s="3" t="s">
        <v>1325</v>
      </c>
      <c r="BB97" s="3" t="s">
        <v>77</v>
      </c>
      <c r="BD97" s="3" t="s">
        <v>1326</v>
      </c>
      <c r="BE97" s="3" t="s">
        <v>1327</v>
      </c>
      <c r="BF97" s="3" t="s">
        <v>1328</v>
      </c>
    </row>
    <row r="98" spans="1:58" ht="41.25" customHeight="1" x14ac:dyDescent="0.25">
      <c r="A98" s="7" t="s">
        <v>62</v>
      </c>
      <c r="B98" s="2" t="s">
        <v>57</v>
      </c>
      <c r="C98" s="2" t="s">
        <v>58</v>
      </c>
      <c r="D98" s="2" t="s">
        <v>1329</v>
      </c>
      <c r="E98" s="2" t="s">
        <v>1330</v>
      </c>
      <c r="F98" s="2" t="s">
        <v>1331</v>
      </c>
      <c r="H98" s="3" t="s">
        <v>62</v>
      </c>
      <c r="I98" s="3" t="s">
        <v>63</v>
      </c>
      <c r="J98" s="3" t="s">
        <v>62</v>
      </c>
      <c r="K98" s="3" t="s">
        <v>62</v>
      </c>
      <c r="L98" s="3" t="s">
        <v>64</v>
      </c>
      <c r="N98" s="2" t="s">
        <v>1332</v>
      </c>
      <c r="O98" s="3" t="s">
        <v>1333</v>
      </c>
      <c r="Q98" s="3" t="s">
        <v>68</v>
      </c>
      <c r="R98" s="3" t="s">
        <v>369</v>
      </c>
      <c r="T98" s="3" t="s">
        <v>70</v>
      </c>
      <c r="U98" s="4">
        <v>2</v>
      </c>
      <c r="V98" s="4">
        <v>2</v>
      </c>
      <c r="W98" s="5" t="s">
        <v>1334</v>
      </c>
      <c r="X98" s="5" t="s">
        <v>1334</v>
      </c>
      <c r="Y98" s="5" t="s">
        <v>1335</v>
      </c>
      <c r="Z98" s="5" t="s">
        <v>1335</v>
      </c>
      <c r="AA98" s="4">
        <v>171</v>
      </c>
      <c r="AB98" s="4">
        <v>150</v>
      </c>
      <c r="AC98" s="4">
        <v>152</v>
      </c>
      <c r="AD98" s="4">
        <v>3</v>
      </c>
      <c r="AE98" s="4">
        <v>3</v>
      </c>
      <c r="AF98" s="4">
        <v>16</v>
      </c>
      <c r="AG98" s="4">
        <v>16</v>
      </c>
      <c r="AH98" s="4">
        <v>6</v>
      </c>
      <c r="AI98" s="4">
        <v>6</v>
      </c>
      <c r="AJ98" s="4">
        <v>4</v>
      </c>
      <c r="AK98" s="4">
        <v>4</v>
      </c>
      <c r="AL98" s="4">
        <v>11</v>
      </c>
      <c r="AM98" s="4">
        <v>11</v>
      </c>
      <c r="AN98" s="4">
        <v>2</v>
      </c>
      <c r="AO98" s="4">
        <v>2</v>
      </c>
      <c r="AP98" s="4">
        <v>0</v>
      </c>
      <c r="AQ98" s="4">
        <v>0</v>
      </c>
      <c r="AR98" s="3" t="s">
        <v>62</v>
      </c>
      <c r="AS98" s="3" t="s">
        <v>84</v>
      </c>
      <c r="AT98" s="6" t="str">
        <f>HYPERLINK("http://catalog.hathitrust.org/Record/002817993","HathiTrust Record")</f>
        <v>HathiTrust Record</v>
      </c>
      <c r="AU98" s="6" t="str">
        <f>HYPERLINK("https://creighton-primo.hosted.exlibrisgroup.com/primo-explore/search?tab=default_tab&amp;search_scope=EVERYTHING&amp;vid=01CRU&amp;lang=en_US&amp;offset=0&amp;query=any,contains,991002249169702656","Catalog Record")</f>
        <v>Catalog Record</v>
      </c>
      <c r="AV98" s="6" t="str">
        <f>HYPERLINK("http://www.worldcat.org/oclc/29028322","WorldCat Record")</f>
        <v>WorldCat Record</v>
      </c>
      <c r="AW98" s="3" t="s">
        <v>1336</v>
      </c>
      <c r="AX98" s="3" t="s">
        <v>1337</v>
      </c>
      <c r="AY98" s="3" t="s">
        <v>1338</v>
      </c>
      <c r="AZ98" s="3" t="s">
        <v>1338</v>
      </c>
      <c r="BA98" s="3" t="s">
        <v>1339</v>
      </c>
      <c r="BB98" s="3" t="s">
        <v>77</v>
      </c>
      <c r="BD98" s="3" t="s">
        <v>1340</v>
      </c>
      <c r="BE98" s="3" t="s">
        <v>1341</v>
      </c>
      <c r="BF98" s="3" t="s">
        <v>1342</v>
      </c>
    </row>
    <row r="99" spans="1:58" ht="41.25" customHeight="1" x14ac:dyDescent="0.25">
      <c r="A99" s="7" t="s">
        <v>62</v>
      </c>
      <c r="B99" s="2" t="s">
        <v>57</v>
      </c>
      <c r="C99" s="2" t="s">
        <v>58</v>
      </c>
      <c r="D99" s="2" t="s">
        <v>1343</v>
      </c>
      <c r="E99" s="2" t="s">
        <v>1344</v>
      </c>
      <c r="F99" s="2" t="s">
        <v>1345</v>
      </c>
      <c r="H99" s="3" t="s">
        <v>62</v>
      </c>
      <c r="I99" s="3" t="s">
        <v>63</v>
      </c>
      <c r="J99" s="3" t="s">
        <v>62</v>
      </c>
      <c r="K99" s="3" t="s">
        <v>62</v>
      </c>
      <c r="L99" s="3" t="s">
        <v>64</v>
      </c>
      <c r="M99" s="2" t="s">
        <v>1346</v>
      </c>
      <c r="N99" s="2" t="s">
        <v>1347</v>
      </c>
      <c r="O99" s="3" t="s">
        <v>295</v>
      </c>
      <c r="P99" s="2" t="s">
        <v>1348</v>
      </c>
      <c r="Q99" s="3" t="s">
        <v>68</v>
      </c>
      <c r="R99" s="3" t="s">
        <v>1349</v>
      </c>
      <c r="T99" s="3" t="s">
        <v>70</v>
      </c>
      <c r="U99" s="4">
        <v>7</v>
      </c>
      <c r="V99" s="4">
        <v>7</v>
      </c>
      <c r="W99" s="5" t="s">
        <v>1350</v>
      </c>
      <c r="X99" s="5" t="s">
        <v>1350</v>
      </c>
      <c r="Y99" s="5" t="s">
        <v>1351</v>
      </c>
      <c r="Z99" s="5" t="s">
        <v>1351</v>
      </c>
      <c r="AA99" s="4">
        <v>226</v>
      </c>
      <c r="AB99" s="4">
        <v>206</v>
      </c>
      <c r="AC99" s="4">
        <v>262</v>
      </c>
      <c r="AD99" s="4">
        <v>4</v>
      </c>
      <c r="AE99" s="4">
        <v>4</v>
      </c>
      <c r="AF99" s="4">
        <v>13</v>
      </c>
      <c r="AG99" s="4">
        <v>15</v>
      </c>
      <c r="AH99" s="4">
        <v>3</v>
      </c>
      <c r="AI99" s="4">
        <v>3</v>
      </c>
      <c r="AJ99" s="4">
        <v>5</v>
      </c>
      <c r="AK99" s="4">
        <v>5</v>
      </c>
      <c r="AL99" s="4">
        <v>7</v>
      </c>
      <c r="AM99" s="4">
        <v>9</v>
      </c>
      <c r="AN99" s="4">
        <v>2</v>
      </c>
      <c r="AO99" s="4">
        <v>2</v>
      </c>
      <c r="AP99" s="4">
        <v>0</v>
      </c>
      <c r="AQ99" s="4">
        <v>0</v>
      </c>
      <c r="AR99" s="3" t="s">
        <v>62</v>
      </c>
      <c r="AS99" s="3" t="s">
        <v>84</v>
      </c>
      <c r="AT99" s="6" t="str">
        <f>HYPERLINK("http://catalog.hathitrust.org/Record/001529681","HathiTrust Record")</f>
        <v>HathiTrust Record</v>
      </c>
      <c r="AU99" s="6" t="str">
        <f>HYPERLINK("https://creighton-primo.hosted.exlibrisgroup.com/primo-explore/search?tab=default_tab&amp;search_scope=EVERYTHING&amp;vid=01CRU&amp;lang=en_US&amp;offset=0&amp;query=any,contains,991001457799702656","Catalog Record")</f>
        <v>Catalog Record</v>
      </c>
      <c r="AV99" s="6" t="str">
        <f>HYPERLINK("http://www.worldcat.org/oclc/19391393","WorldCat Record")</f>
        <v>WorldCat Record</v>
      </c>
      <c r="AW99" s="3" t="s">
        <v>1352</v>
      </c>
      <c r="AX99" s="3" t="s">
        <v>1353</v>
      </c>
      <c r="AY99" s="3" t="s">
        <v>1354</v>
      </c>
      <c r="AZ99" s="3" t="s">
        <v>1354</v>
      </c>
      <c r="BA99" s="3" t="s">
        <v>1355</v>
      </c>
      <c r="BB99" s="3" t="s">
        <v>77</v>
      </c>
      <c r="BD99" s="3" t="s">
        <v>1356</v>
      </c>
      <c r="BE99" s="3" t="s">
        <v>1357</v>
      </c>
      <c r="BF99" s="3" t="s">
        <v>1358</v>
      </c>
    </row>
    <row r="100" spans="1:58" ht="41.25" customHeight="1" x14ac:dyDescent="0.25">
      <c r="A100" s="7" t="s">
        <v>62</v>
      </c>
      <c r="B100" s="2" t="s">
        <v>57</v>
      </c>
      <c r="C100" s="2" t="s">
        <v>58</v>
      </c>
      <c r="D100" s="2" t="s">
        <v>1359</v>
      </c>
      <c r="E100" s="2" t="s">
        <v>1360</v>
      </c>
      <c r="F100" s="2" t="s">
        <v>1361</v>
      </c>
      <c r="H100" s="3" t="s">
        <v>62</v>
      </c>
      <c r="I100" s="3" t="s">
        <v>63</v>
      </c>
      <c r="J100" s="3" t="s">
        <v>62</v>
      </c>
      <c r="K100" s="3" t="s">
        <v>62</v>
      </c>
      <c r="L100" s="3" t="s">
        <v>64</v>
      </c>
      <c r="M100" s="2" t="s">
        <v>1346</v>
      </c>
      <c r="N100" s="2" t="s">
        <v>1362</v>
      </c>
      <c r="O100" s="3" t="s">
        <v>137</v>
      </c>
      <c r="Q100" s="3" t="s">
        <v>68</v>
      </c>
      <c r="R100" s="3" t="s">
        <v>69</v>
      </c>
      <c r="T100" s="3" t="s">
        <v>70</v>
      </c>
      <c r="U100" s="4">
        <v>6</v>
      </c>
      <c r="V100" s="4">
        <v>6</v>
      </c>
      <c r="W100" s="5" t="s">
        <v>1363</v>
      </c>
      <c r="X100" s="5" t="s">
        <v>1363</v>
      </c>
      <c r="Y100" s="5" t="s">
        <v>1078</v>
      </c>
      <c r="Z100" s="5" t="s">
        <v>1078</v>
      </c>
      <c r="AA100" s="4">
        <v>417</v>
      </c>
      <c r="AB100" s="4">
        <v>378</v>
      </c>
      <c r="AC100" s="4">
        <v>393</v>
      </c>
      <c r="AD100" s="4">
        <v>2</v>
      </c>
      <c r="AE100" s="4">
        <v>2</v>
      </c>
      <c r="AF100" s="4">
        <v>24</v>
      </c>
      <c r="AG100" s="4">
        <v>24</v>
      </c>
      <c r="AH100" s="4">
        <v>8</v>
      </c>
      <c r="AI100" s="4">
        <v>8</v>
      </c>
      <c r="AJ100" s="4">
        <v>6</v>
      </c>
      <c r="AK100" s="4">
        <v>6</v>
      </c>
      <c r="AL100" s="4">
        <v>16</v>
      </c>
      <c r="AM100" s="4">
        <v>16</v>
      </c>
      <c r="AN100" s="4">
        <v>1</v>
      </c>
      <c r="AO100" s="4">
        <v>1</v>
      </c>
      <c r="AP100" s="4">
        <v>0</v>
      </c>
      <c r="AQ100" s="4">
        <v>0</v>
      </c>
      <c r="AR100" s="3" t="s">
        <v>62</v>
      </c>
      <c r="AS100" s="3" t="s">
        <v>84</v>
      </c>
      <c r="AT100" s="6" t="str">
        <f>HYPERLINK("http://catalog.hathitrust.org/Record/000267522","HathiTrust Record")</f>
        <v>HathiTrust Record</v>
      </c>
      <c r="AU100" s="6" t="str">
        <f>HYPERLINK("https://creighton-primo.hosted.exlibrisgroup.com/primo-explore/search?tab=default_tab&amp;search_scope=EVERYTHING&amp;vid=01CRU&amp;lang=en_US&amp;offset=0&amp;query=any,contains,991005169109702656","Catalog Record")</f>
        <v>Catalog Record</v>
      </c>
      <c r="AV100" s="6" t="str">
        <f>HYPERLINK("http://www.worldcat.org/oclc/7837844","WorldCat Record")</f>
        <v>WorldCat Record</v>
      </c>
      <c r="AW100" s="3" t="s">
        <v>1364</v>
      </c>
      <c r="AX100" s="3" t="s">
        <v>1365</v>
      </c>
      <c r="AY100" s="3" t="s">
        <v>1366</v>
      </c>
      <c r="AZ100" s="3" t="s">
        <v>1366</v>
      </c>
      <c r="BA100" s="3" t="s">
        <v>1367</v>
      </c>
      <c r="BB100" s="3" t="s">
        <v>77</v>
      </c>
      <c r="BD100" s="3" t="s">
        <v>1368</v>
      </c>
      <c r="BE100" s="3" t="s">
        <v>1369</v>
      </c>
      <c r="BF100" s="3" t="s">
        <v>1370</v>
      </c>
    </row>
    <row r="101" spans="1:58" ht="41.25" customHeight="1" x14ac:dyDescent="0.25">
      <c r="A101" s="7" t="s">
        <v>62</v>
      </c>
      <c r="B101" s="2" t="s">
        <v>57</v>
      </c>
      <c r="C101" s="2" t="s">
        <v>58</v>
      </c>
      <c r="D101" s="2" t="s">
        <v>1371</v>
      </c>
      <c r="E101" s="2" t="s">
        <v>1372</v>
      </c>
      <c r="F101" s="2" t="s">
        <v>1373</v>
      </c>
      <c r="H101" s="3" t="s">
        <v>62</v>
      </c>
      <c r="I101" s="3" t="s">
        <v>63</v>
      </c>
      <c r="J101" s="3" t="s">
        <v>62</v>
      </c>
      <c r="K101" s="3" t="s">
        <v>62</v>
      </c>
      <c r="L101" s="3" t="s">
        <v>64</v>
      </c>
      <c r="M101" s="2" t="s">
        <v>1374</v>
      </c>
      <c r="N101" s="2" t="s">
        <v>1375</v>
      </c>
      <c r="O101" s="3" t="s">
        <v>312</v>
      </c>
      <c r="Q101" s="3" t="s">
        <v>68</v>
      </c>
      <c r="R101" s="3" t="s">
        <v>1184</v>
      </c>
      <c r="T101" s="3" t="s">
        <v>70</v>
      </c>
      <c r="U101" s="4">
        <v>4</v>
      </c>
      <c r="V101" s="4">
        <v>4</v>
      </c>
      <c r="W101" s="5" t="s">
        <v>1376</v>
      </c>
      <c r="X101" s="5" t="s">
        <v>1376</v>
      </c>
      <c r="Y101" s="5" t="s">
        <v>1078</v>
      </c>
      <c r="Z101" s="5" t="s">
        <v>1078</v>
      </c>
      <c r="AA101" s="4">
        <v>295</v>
      </c>
      <c r="AB101" s="4">
        <v>267</v>
      </c>
      <c r="AC101" s="4">
        <v>270</v>
      </c>
      <c r="AD101" s="4">
        <v>5</v>
      </c>
      <c r="AE101" s="4">
        <v>5</v>
      </c>
      <c r="AF101" s="4">
        <v>19</v>
      </c>
      <c r="AG101" s="4">
        <v>19</v>
      </c>
      <c r="AH101" s="4">
        <v>8</v>
      </c>
      <c r="AI101" s="4">
        <v>8</v>
      </c>
      <c r="AJ101" s="4">
        <v>3</v>
      </c>
      <c r="AK101" s="4">
        <v>3</v>
      </c>
      <c r="AL101" s="4">
        <v>9</v>
      </c>
      <c r="AM101" s="4">
        <v>9</v>
      </c>
      <c r="AN101" s="4">
        <v>4</v>
      </c>
      <c r="AO101" s="4">
        <v>4</v>
      </c>
      <c r="AP101" s="4">
        <v>0</v>
      </c>
      <c r="AQ101" s="4">
        <v>0</v>
      </c>
      <c r="AR101" s="3" t="s">
        <v>62</v>
      </c>
      <c r="AS101" s="3" t="s">
        <v>84</v>
      </c>
      <c r="AT101" s="6" t="str">
        <f>HYPERLINK("http://catalog.hathitrust.org/Record/005717800","HathiTrust Record")</f>
        <v>HathiTrust Record</v>
      </c>
      <c r="AU101" s="6" t="str">
        <f>HYPERLINK("https://creighton-primo.hosted.exlibrisgroup.com/primo-explore/search?tab=default_tab&amp;search_scope=EVERYTHING&amp;vid=01CRU&amp;lang=en_US&amp;offset=0&amp;query=any,contains,991001905869702656","Catalog Record")</f>
        <v>Catalog Record</v>
      </c>
      <c r="AV101" s="6" t="str">
        <f>HYPERLINK("http://www.worldcat.org/oclc/240379","WorldCat Record")</f>
        <v>WorldCat Record</v>
      </c>
      <c r="AW101" s="3" t="s">
        <v>1377</v>
      </c>
      <c r="AX101" s="3" t="s">
        <v>1378</v>
      </c>
      <c r="AY101" s="3" t="s">
        <v>1379</v>
      </c>
      <c r="AZ101" s="3" t="s">
        <v>1379</v>
      </c>
      <c r="BA101" s="3" t="s">
        <v>1380</v>
      </c>
      <c r="BB101" s="3" t="s">
        <v>77</v>
      </c>
      <c r="BE101" s="3" t="s">
        <v>1381</v>
      </c>
      <c r="BF101" s="3" t="s">
        <v>1382</v>
      </c>
    </row>
    <row r="102" spans="1:58" ht="41.25" customHeight="1" x14ac:dyDescent="0.25">
      <c r="A102" s="7" t="s">
        <v>62</v>
      </c>
      <c r="B102" s="2" t="s">
        <v>57</v>
      </c>
      <c r="C102" s="2" t="s">
        <v>58</v>
      </c>
      <c r="D102" s="2" t="s">
        <v>1383</v>
      </c>
      <c r="E102" s="2" t="s">
        <v>1384</v>
      </c>
      <c r="F102" s="2" t="s">
        <v>1385</v>
      </c>
      <c r="H102" s="3" t="s">
        <v>62</v>
      </c>
      <c r="I102" s="3" t="s">
        <v>63</v>
      </c>
      <c r="J102" s="3" t="s">
        <v>62</v>
      </c>
      <c r="K102" s="3" t="s">
        <v>62</v>
      </c>
      <c r="L102" s="3" t="s">
        <v>64</v>
      </c>
      <c r="M102" s="2" t="s">
        <v>1386</v>
      </c>
      <c r="N102" s="2" t="s">
        <v>1387</v>
      </c>
      <c r="O102" s="3" t="s">
        <v>404</v>
      </c>
      <c r="P102" s="2" t="s">
        <v>1388</v>
      </c>
      <c r="Q102" s="3" t="s">
        <v>68</v>
      </c>
      <c r="R102" s="3" t="s">
        <v>219</v>
      </c>
      <c r="T102" s="3" t="s">
        <v>70</v>
      </c>
      <c r="U102" s="4">
        <v>2</v>
      </c>
      <c r="V102" s="4">
        <v>2</v>
      </c>
      <c r="W102" s="5" t="s">
        <v>1389</v>
      </c>
      <c r="X102" s="5" t="s">
        <v>1389</v>
      </c>
      <c r="Y102" s="5" t="s">
        <v>1390</v>
      </c>
      <c r="Z102" s="5" t="s">
        <v>1390</v>
      </c>
      <c r="AA102" s="4">
        <v>235</v>
      </c>
      <c r="AB102" s="4">
        <v>202</v>
      </c>
      <c r="AC102" s="4">
        <v>939</v>
      </c>
      <c r="AD102" s="4">
        <v>1</v>
      </c>
      <c r="AE102" s="4">
        <v>7</v>
      </c>
      <c r="AF102" s="4">
        <v>10</v>
      </c>
      <c r="AG102" s="4">
        <v>45</v>
      </c>
      <c r="AH102" s="4">
        <v>9</v>
      </c>
      <c r="AI102" s="4">
        <v>21</v>
      </c>
      <c r="AJ102" s="4">
        <v>1</v>
      </c>
      <c r="AK102" s="4">
        <v>9</v>
      </c>
      <c r="AL102" s="4">
        <v>4</v>
      </c>
      <c r="AM102" s="4">
        <v>23</v>
      </c>
      <c r="AN102" s="4">
        <v>0</v>
      </c>
      <c r="AO102" s="4">
        <v>5</v>
      </c>
      <c r="AP102" s="4">
        <v>0</v>
      </c>
      <c r="AQ102" s="4">
        <v>0</v>
      </c>
      <c r="AR102" s="3" t="s">
        <v>62</v>
      </c>
      <c r="AS102" s="3" t="s">
        <v>62</v>
      </c>
      <c r="AU102" s="6" t="str">
        <f>HYPERLINK("https://creighton-primo.hosted.exlibrisgroup.com/primo-explore/search?tab=default_tab&amp;search_scope=EVERYTHING&amp;vid=01CRU&amp;lang=en_US&amp;offset=0&amp;query=any,contains,991004375039702656","Catalog Record")</f>
        <v>Catalog Record</v>
      </c>
      <c r="AV102" s="6" t="str">
        <f>HYPERLINK("http://www.worldcat.org/oclc/645503","WorldCat Record")</f>
        <v>WorldCat Record</v>
      </c>
      <c r="AW102" s="3" t="s">
        <v>1391</v>
      </c>
      <c r="AX102" s="3" t="s">
        <v>1392</v>
      </c>
      <c r="AY102" s="3" t="s">
        <v>1393</v>
      </c>
      <c r="AZ102" s="3" t="s">
        <v>1393</v>
      </c>
      <c r="BA102" s="3" t="s">
        <v>1394</v>
      </c>
      <c r="BB102" s="3" t="s">
        <v>77</v>
      </c>
      <c r="BD102" s="3" t="s">
        <v>1395</v>
      </c>
      <c r="BE102" s="3" t="s">
        <v>1396</v>
      </c>
      <c r="BF102" s="3" t="s">
        <v>1397</v>
      </c>
    </row>
    <row r="103" spans="1:58" ht="41.25" customHeight="1" x14ac:dyDescent="0.25">
      <c r="A103" s="7" t="s">
        <v>62</v>
      </c>
      <c r="B103" s="2" t="s">
        <v>57</v>
      </c>
      <c r="C103" s="2" t="s">
        <v>58</v>
      </c>
      <c r="D103" s="2" t="s">
        <v>1398</v>
      </c>
      <c r="E103" s="2" t="s">
        <v>1399</v>
      </c>
      <c r="F103" s="2" t="s">
        <v>1400</v>
      </c>
      <c r="H103" s="3" t="s">
        <v>62</v>
      </c>
      <c r="I103" s="3" t="s">
        <v>63</v>
      </c>
      <c r="J103" s="3" t="s">
        <v>62</v>
      </c>
      <c r="K103" s="3" t="s">
        <v>62</v>
      </c>
      <c r="L103" s="3" t="s">
        <v>64</v>
      </c>
      <c r="M103" s="2" t="s">
        <v>1401</v>
      </c>
      <c r="N103" s="2" t="s">
        <v>1402</v>
      </c>
      <c r="O103" s="3" t="s">
        <v>1251</v>
      </c>
      <c r="Q103" s="3" t="s">
        <v>68</v>
      </c>
      <c r="R103" s="3" t="s">
        <v>297</v>
      </c>
      <c r="T103" s="3" t="s">
        <v>70</v>
      </c>
      <c r="U103" s="4">
        <v>2</v>
      </c>
      <c r="V103" s="4">
        <v>2</v>
      </c>
      <c r="W103" s="5" t="s">
        <v>1403</v>
      </c>
      <c r="X103" s="5" t="s">
        <v>1403</v>
      </c>
      <c r="Y103" s="5" t="s">
        <v>1404</v>
      </c>
      <c r="Z103" s="5" t="s">
        <v>1404</v>
      </c>
      <c r="AA103" s="4">
        <v>350</v>
      </c>
      <c r="AB103" s="4">
        <v>244</v>
      </c>
      <c r="AC103" s="4">
        <v>253</v>
      </c>
      <c r="AD103" s="4">
        <v>3</v>
      </c>
      <c r="AE103" s="4">
        <v>3</v>
      </c>
      <c r="AF103" s="4">
        <v>10</v>
      </c>
      <c r="AG103" s="4">
        <v>10</v>
      </c>
      <c r="AH103" s="4">
        <v>0</v>
      </c>
      <c r="AI103" s="4">
        <v>0</v>
      </c>
      <c r="AJ103" s="4">
        <v>3</v>
      </c>
      <c r="AK103" s="4">
        <v>3</v>
      </c>
      <c r="AL103" s="4">
        <v>7</v>
      </c>
      <c r="AM103" s="4">
        <v>7</v>
      </c>
      <c r="AN103" s="4">
        <v>2</v>
      </c>
      <c r="AO103" s="4">
        <v>2</v>
      </c>
      <c r="AP103" s="4">
        <v>0</v>
      </c>
      <c r="AQ103" s="4">
        <v>0</v>
      </c>
      <c r="AR103" s="3" t="s">
        <v>62</v>
      </c>
      <c r="AS103" s="3" t="s">
        <v>84</v>
      </c>
      <c r="AT103" s="6" t="str">
        <f>HYPERLINK("http://catalog.hathitrust.org/Record/000919688","HathiTrust Record")</f>
        <v>HathiTrust Record</v>
      </c>
      <c r="AU103" s="6" t="str">
        <f>HYPERLINK("https://creighton-primo.hosted.exlibrisgroup.com/primo-explore/search?tab=default_tab&amp;search_scope=EVERYTHING&amp;vid=01CRU&amp;lang=en_US&amp;offset=0&amp;query=any,contains,991001063549702656","Catalog Record")</f>
        <v>Catalog Record</v>
      </c>
      <c r="AV103" s="6" t="str">
        <f>HYPERLINK("http://www.worldcat.org/oclc/15791932","WorldCat Record")</f>
        <v>WorldCat Record</v>
      </c>
      <c r="AW103" s="3" t="s">
        <v>1405</v>
      </c>
      <c r="AX103" s="3" t="s">
        <v>1406</v>
      </c>
      <c r="AY103" s="3" t="s">
        <v>1407</v>
      </c>
      <c r="AZ103" s="3" t="s">
        <v>1407</v>
      </c>
      <c r="BA103" s="3" t="s">
        <v>1408</v>
      </c>
      <c r="BB103" s="3" t="s">
        <v>77</v>
      </c>
      <c r="BD103" s="3" t="s">
        <v>1409</v>
      </c>
      <c r="BE103" s="3" t="s">
        <v>1410</v>
      </c>
      <c r="BF103" s="3" t="s">
        <v>1411</v>
      </c>
    </row>
    <row r="104" spans="1:58" ht="41.25" customHeight="1" x14ac:dyDescent="0.25">
      <c r="A104" s="7" t="s">
        <v>62</v>
      </c>
      <c r="B104" s="2" t="s">
        <v>57</v>
      </c>
      <c r="C104" s="2" t="s">
        <v>58</v>
      </c>
      <c r="D104" s="2" t="s">
        <v>1412</v>
      </c>
      <c r="E104" s="2" t="s">
        <v>1413</v>
      </c>
      <c r="F104" s="2" t="s">
        <v>1414</v>
      </c>
      <c r="H104" s="3" t="s">
        <v>62</v>
      </c>
      <c r="I104" s="3" t="s">
        <v>63</v>
      </c>
      <c r="J104" s="3" t="s">
        <v>62</v>
      </c>
      <c r="K104" s="3" t="s">
        <v>62</v>
      </c>
      <c r="L104" s="3" t="s">
        <v>64</v>
      </c>
      <c r="M104" s="2" t="s">
        <v>1415</v>
      </c>
      <c r="N104" s="2" t="s">
        <v>1416</v>
      </c>
      <c r="O104" s="3" t="s">
        <v>1417</v>
      </c>
      <c r="Q104" s="3" t="s">
        <v>68</v>
      </c>
      <c r="R104" s="3" t="s">
        <v>110</v>
      </c>
      <c r="S104" s="2" t="s">
        <v>1418</v>
      </c>
      <c r="T104" s="3" t="s">
        <v>70</v>
      </c>
      <c r="U104" s="4">
        <v>8</v>
      </c>
      <c r="V104" s="4">
        <v>8</v>
      </c>
      <c r="W104" s="5" t="s">
        <v>269</v>
      </c>
      <c r="X104" s="5" t="s">
        <v>269</v>
      </c>
      <c r="Y104" s="5" t="s">
        <v>1078</v>
      </c>
      <c r="Z104" s="5" t="s">
        <v>1078</v>
      </c>
      <c r="AA104" s="4">
        <v>37</v>
      </c>
      <c r="AB104" s="4">
        <v>27</v>
      </c>
      <c r="AC104" s="4">
        <v>34</v>
      </c>
      <c r="AD104" s="4">
        <v>1</v>
      </c>
      <c r="AE104" s="4">
        <v>1</v>
      </c>
      <c r="AF104" s="4">
        <v>8</v>
      </c>
      <c r="AG104" s="4">
        <v>8</v>
      </c>
      <c r="AH104" s="4">
        <v>1</v>
      </c>
      <c r="AI104" s="4">
        <v>1</v>
      </c>
      <c r="AJ104" s="4">
        <v>2</v>
      </c>
      <c r="AK104" s="4">
        <v>2</v>
      </c>
      <c r="AL104" s="4">
        <v>6</v>
      </c>
      <c r="AM104" s="4">
        <v>6</v>
      </c>
      <c r="AN104" s="4">
        <v>0</v>
      </c>
      <c r="AO104" s="4">
        <v>0</v>
      </c>
      <c r="AP104" s="4">
        <v>0</v>
      </c>
      <c r="AQ104" s="4">
        <v>0</v>
      </c>
      <c r="AR104" s="3" t="s">
        <v>84</v>
      </c>
      <c r="AS104" s="3" t="s">
        <v>62</v>
      </c>
      <c r="AT104" s="6" t="str">
        <f>HYPERLINK("http://catalog.hathitrust.org/Record/100164131","HathiTrust Record")</f>
        <v>HathiTrust Record</v>
      </c>
      <c r="AU104" s="6" t="str">
        <f>HYPERLINK("https://creighton-primo.hosted.exlibrisgroup.com/primo-explore/search?tab=default_tab&amp;search_scope=EVERYTHING&amp;vid=01CRU&amp;lang=en_US&amp;offset=0&amp;query=any,contains,991004279819702656","Catalog Record")</f>
        <v>Catalog Record</v>
      </c>
      <c r="AV104" s="6" t="str">
        <f>HYPERLINK("http://www.worldcat.org/oclc/2906376","WorldCat Record")</f>
        <v>WorldCat Record</v>
      </c>
      <c r="AW104" s="3" t="s">
        <v>1419</v>
      </c>
      <c r="AX104" s="3" t="s">
        <v>1420</v>
      </c>
      <c r="AY104" s="3" t="s">
        <v>1421</v>
      </c>
      <c r="AZ104" s="3" t="s">
        <v>1421</v>
      </c>
      <c r="BA104" s="3" t="s">
        <v>1422</v>
      </c>
      <c r="BB104" s="3" t="s">
        <v>77</v>
      </c>
      <c r="BE104" s="3" t="s">
        <v>1423</v>
      </c>
      <c r="BF104" s="3" t="s">
        <v>1424</v>
      </c>
    </row>
    <row r="105" spans="1:58" ht="41.25" customHeight="1" x14ac:dyDescent="0.25">
      <c r="A105" s="7" t="s">
        <v>62</v>
      </c>
      <c r="B105" s="2" t="s">
        <v>57</v>
      </c>
      <c r="C105" s="2" t="s">
        <v>58</v>
      </c>
      <c r="D105" s="2" t="s">
        <v>1425</v>
      </c>
      <c r="E105" s="2" t="s">
        <v>1426</v>
      </c>
      <c r="F105" s="2" t="s">
        <v>1427</v>
      </c>
      <c r="H105" s="3" t="s">
        <v>62</v>
      </c>
      <c r="I105" s="3" t="s">
        <v>63</v>
      </c>
      <c r="J105" s="3" t="s">
        <v>62</v>
      </c>
      <c r="K105" s="3" t="s">
        <v>62</v>
      </c>
      <c r="L105" s="3" t="s">
        <v>64</v>
      </c>
      <c r="M105" s="2" t="s">
        <v>1428</v>
      </c>
      <c r="N105" s="2" t="s">
        <v>1429</v>
      </c>
      <c r="O105" s="3" t="s">
        <v>404</v>
      </c>
      <c r="P105" s="2" t="s">
        <v>517</v>
      </c>
      <c r="Q105" s="3" t="s">
        <v>68</v>
      </c>
      <c r="R105" s="3" t="s">
        <v>1184</v>
      </c>
      <c r="T105" s="3" t="s">
        <v>70</v>
      </c>
      <c r="U105" s="4">
        <v>1</v>
      </c>
      <c r="V105" s="4">
        <v>1</v>
      </c>
      <c r="W105" s="5" t="s">
        <v>1430</v>
      </c>
      <c r="X105" s="5" t="s">
        <v>1430</v>
      </c>
      <c r="Y105" s="5" t="s">
        <v>1078</v>
      </c>
      <c r="Z105" s="5" t="s">
        <v>1078</v>
      </c>
      <c r="AA105" s="4">
        <v>461</v>
      </c>
      <c r="AB105" s="4">
        <v>403</v>
      </c>
      <c r="AC105" s="4">
        <v>559</v>
      </c>
      <c r="AD105" s="4">
        <v>2</v>
      </c>
      <c r="AE105" s="4">
        <v>2</v>
      </c>
      <c r="AF105" s="4">
        <v>18</v>
      </c>
      <c r="AG105" s="4">
        <v>30</v>
      </c>
      <c r="AH105" s="4">
        <v>8</v>
      </c>
      <c r="AI105" s="4">
        <v>12</v>
      </c>
      <c r="AJ105" s="4">
        <v>2</v>
      </c>
      <c r="AK105" s="4">
        <v>7</v>
      </c>
      <c r="AL105" s="4">
        <v>11</v>
      </c>
      <c r="AM105" s="4">
        <v>16</v>
      </c>
      <c r="AN105" s="4">
        <v>1</v>
      </c>
      <c r="AO105" s="4">
        <v>1</v>
      </c>
      <c r="AP105" s="4">
        <v>0</v>
      </c>
      <c r="AQ105" s="4">
        <v>0</v>
      </c>
      <c r="AR105" s="3" t="s">
        <v>62</v>
      </c>
      <c r="AS105" s="3" t="s">
        <v>84</v>
      </c>
      <c r="AT105" s="6" t="str">
        <f>HYPERLINK("http://catalog.hathitrust.org/Record/101870856","HathiTrust Record")</f>
        <v>HathiTrust Record</v>
      </c>
      <c r="AU105" s="6" t="str">
        <f>HYPERLINK("https://creighton-primo.hosted.exlibrisgroup.com/primo-explore/search?tab=default_tab&amp;search_scope=EVERYTHING&amp;vid=01CRU&amp;lang=en_US&amp;offset=0&amp;query=any,contains,991003008239702656","Catalog Record")</f>
        <v>Catalog Record</v>
      </c>
      <c r="AV105" s="6" t="str">
        <f>HYPERLINK("http://www.worldcat.org/oclc/575335","WorldCat Record")</f>
        <v>WorldCat Record</v>
      </c>
      <c r="AW105" s="3" t="s">
        <v>1431</v>
      </c>
      <c r="AX105" s="3" t="s">
        <v>1432</v>
      </c>
      <c r="AY105" s="3" t="s">
        <v>1433</v>
      </c>
      <c r="AZ105" s="3" t="s">
        <v>1433</v>
      </c>
      <c r="BA105" s="3" t="s">
        <v>1434</v>
      </c>
      <c r="BB105" s="3" t="s">
        <v>77</v>
      </c>
      <c r="BD105" s="3" t="s">
        <v>1435</v>
      </c>
      <c r="BE105" s="3" t="s">
        <v>1436</v>
      </c>
      <c r="BF105" s="3" t="s">
        <v>1437</v>
      </c>
    </row>
    <row r="106" spans="1:58" ht="41.25" customHeight="1" x14ac:dyDescent="0.25">
      <c r="A106" s="7" t="s">
        <v>62</v>
      </c>
      <c r="B106" s="2" t="s">
        <v>57</v>
      </c>
      <c r="C106" s="2" t="s">
        <v>58</v>
      </c>
      <c r="D106" s="2" t="s">
        <v>1438</v>
      </c>
      <c r="E106" s="2" t="s">
        <v>1439</v>
      </c>
      <c r="F106" s="2" t="s">
        <v>1440</v>
      </c>
      <c r="H106" s="3" t="s">
        <v>62</v>
      </c>
      <c r="I106" s="3" t="s">
        <v>63</v>
      </c>
      <c r="J106" s="3" t="s">
        <v>62</v>
      </c>
      <c r="K106" s="3" t="s">
        <v>62</v>
      </c>
      <c r="L106" s="3" t="s">
        <v>64</v>
      </c>
      <c r="M106" s="2" t="s">
        <v>1441</v>
      </c>
      <c r="N106" s="2" t="s">
        <v>1442</v>
      </c>
      <c r="O106" s="3" t="s">
        <v>629</v>
      </c>
      <c r="Q106" s="3" t="s">
        <v>68</v>
      </c>
      <c r="R106" s="3" t="s">
        <v>69</v>
      </c>
      <c r="T106" s="3" t="s">
        <v>70</v>
      </c>
      <c r="U106" s="4">
        <v>3</v>
      </c>
      <c r="V106" s="4">
        <v>3</v>
      </c>
      <c r="W106" s="5" t="s">
        <v>1443</v>
      </c>
      <c r="X106" s="5" t="s">
        <v>1443</v>
      </c>
      <c r="Y106" s="5" t="s">
        <v>1078</v>
      </c>
      <c r="Z106" s="5" t="s">
        <v>1078</v>
      </c>
      <c r="AA106" s="4">
        <v>565</v>
      </c>
      <c r="AB106" s="4">
        <v>479</v>
      </c>
      <c r="AC106" s="4">
        <v>683</v>
      </c>
      <c r="AD106" s="4">
        <v>3</v>
      </c>
      <c r="AE106" s="4">
        <v>3</v>
      </c>
      <c r="AF106" s="4">
        <v>22</v>
      </c>
      <c r="AG106" s="4">
        <v>30</v>
      </c>
      <c r="AH106" s="4">
        <v>6</v>
      </c>
      <c r="AI106" s="4">
        <v>12</v>
      </c>
      <c r="AJ106" s="4">
        <v>7</v>
      </c>
      <c r="AK106" s="4">
        <v>9</v>
      </c>
      <c r="AL106" s="4">
        <v>12</v>
      </c>
      <c r="AM106" s="4">
        <v>16</v>
      </c>
      <c r="AN106" s="4">
        <v>2</v>
      </c>
      <c r="AO106" s="4">
        <v>2</v>
      </c>
      <c r="AP106" s="4">
        <v>0</v>
      </c>
      <c r="AQ106" s="4">
        <v>0</v>
      </c>
      <c r="AR106" s="3" t="s">
        <v>62</v>
      </c>
      <c r="AS106" s="3" t="s">
        <v>84</v>
      </c>
      <c r="AT106" s="6" t="str">
        <f>HYPERLINK("http://catalog.hathitrust.org/Record/000701985","HathiTrust Record")</f>
        <v>HathiTrust Record</v>
      </c>
      <c r="AU106" s="6" t="str">
        <f>HYPERLINK("https://creighton-primo.hosted.exlibrisgroup.com/primo-explore/search?tab=default_tab&amp;search_scope=EVERYTHING&amp;vid=01CRU&amp;lang=en_US&amp;offset=0&amp;query=any,contains,991004001399702656","Catalog Record")</f>
        <v>Catalog Record</v>
      </c>
      <c r="AV106" s="6" t="str">
        <f>HYPERLINK("http://www.worldcat.org/oclc/2073982","WorldCat Record")</f>
        <v>WorldCat Record</v>
      </c>
      <c r="AW106" s="3" t="s">
        <v>1444</v>
      </c>
      <c r="AX106" s="3" t="s">
        <v>1445</v>
      </c>
      <c r="AY106" s="3" t="s">
        <v>1446</v>
      </c>
      <c r="AZ106" s="3" t="s">
        <v>1446</v>
      </c>
      <c r="BA106" s="3" t="s">
        <v>1447</v>
      </c>
      <c r="BB106" s="3" t="s">
        <v>77</v>
      </c>
      <c r="BD106" s="3" t="s">
        <v>1448</v>
      </c>
      <c r="BE106" s="3" t="s">
        <v>1449</v>
      </c>
      <c r="BF106" s="3" t="s">
        <v>1450</v>
      </c>
    </row>
    <row r="107" spans="1:58" ht="41.25" customHeight="1" x14ac:dyDescent="0.25">
      <c r="A107" s="7" t="s">
        <v>62</v>
      </c>
      <c r="B107" s="2" t="s">
        <v>57</v>
      </c>
      <c r="C107" s="2" t="s">
        <v>58</v>
      </c>
      <c r="D107" s="2" t="s">
        <v>1451</v>
      </c>
      <c r="E107" s="2" t="s">
        <v>1452</v>
      </c>
      <c r="F107" s="2" t="s">
        <v>1453</v>
      </c>
      <c r="H107" s="3" t="s">
        <v>62</v>
      </c>
      <c r="I107" s="3" t="s">
        <v>63</v>
      </c>
      <c r="J107" s="3" t="s">
        <v>62</v>
      </c>
      <c r="K107" s="3" t="s">
        <v>62</v>
      </c>
      <c r="L107" s="3" t="s">
        <v>64</v>
      </c>
      <c r="M107" s="2" t="s">
        <v>1454</v>
      </c>
      <c r="N107" s="2" t="s">
        <v>1455</v>
      </c>
      <c r="O107" s="3" t="s">
        <v>529</v>
      </c>
      <c r="Q107" s="3" t="s">
        <v>68</v>
      </c>
      <c r="R107" s="3" t="s">
        <v>369</v>
      </c>
      <c r="T107" s="3" t="s">
        <v>70</v>
      </c>
      <c r="U107" s="4">
        <v>3</v>
      </c>
      <c r="V107" s="4">
        <v>3</v>
      </c>
      <c r="W107" s="5" t="s">
        <v>1456</v>
      </c>
      <c r="X107" s="5" t="s">
        <v>1456</v>
      </c>
      <c r="Y107" s="5" t="s">
        <v>1078</v>
      </c>
      <c r="Z107" s="5" t="s">
        <v>1078</v>
      </c>
      <c r="AA107" s="4">
        <v>227</v>
      </c>
      <c r="AB107" s="4">
        <v>185</v>
      </c>
      <c r="AC107" s="4">
        <v>186</v>
      </c>
      <c r="AD107" s="4">
        <v>2</v>
      </c>
      <c r="AE107" s="4">
        <v>2</v>
      </c>
      <c r="AF107" s="4">
        <v>8</v>
      </c>
      <c r="AG107" s="4">
        <v>8</v>
      </c>
      <c r="AH107" s="4">
        <v>1</v>
      </c>
      <c r="AI107" s="4">
        <v>1</v>
      </c>
      <c r="AJ107" s="4">
        <v>2</v>
      </c>
      <c r="AK107" s="4">
        <v>2</v>
      </c>
      <c r="AL107" s="4">
        <v>6</v>
      </c>
      <c r="AM107" s="4">
        <v>6</v>
      </c>
      <c r="AN107" s="4">
        <v>1</v>
      </c>
      <c r="AO107" s="4">
        <v>1</v>
      </c>
      <c r="AP107" s="4">
        <v>0</v>
      </c>
      <c r="AQ107" s="4">
        <v>0</v>
      </c>
      <c r="AR107" s="3" t="s">
        <v>62</v>
      </c>
      <c r="AS107" s="3" t="s">
        <v>84</v>
      </c>
      <c r="AT107" s="6" t="str">
        <f>HYPERLINK("http://catalog.hathitrust.org/Record/101934099","HathiTrust Record")</f>
        <v>HathiTrust Record</v>
      </c>
      <c r="AU107" s="6" t="str">
        <f>HYPERLINK("https://creighton-primo.hosted.exlibrisgroup.com/primo-explore/search?tab=default_tab&amp;search_scope=EVERYTHING&amp;vid=01CRU&amp;lang=en_US&amp;offset=0&amp;query=any,contains,991000313019702656","Catalog Record")</f>
        <v>Catalog Record</v>
      </c>
      <c r="AV107" s="6" t="str">
        <f>HYPERLINK("http://www.worldcat.org/oclc/10100800","WorldCat Record")</f>
        <v>WorldCat Record</v>
      </c>
      <c r="AW107" s="3" t="s">
        <v>1457</v>
      </c>
      <c r="AX107" s="3" t="s">
        <v>1458</v>
      </c>
      <c r="AY107" s="3" t="s">
        <v>1459</v>
      </c>
      <c r="AZ107" s="3" t="s">
        <v>1459</v>
      </c>
      <c r="BA107" s="3" t="s">
        <v>1460</v>
      </c>
      <c r="BB107" s="3" t="s">
        <v>77</v>
      </c>
      <c r="BD107" s="3" t="s">
        <v>1461</v>
      </c>
      <c r="BE107" s="3" t="s">
        <v>1462</v>
      </c>
      <c r="BF107" s="3" t="s">
        <v>1463</v>
      </c>
    </row>
    <row r="108" spans="1:58" ht="41.25" customHeight="1" x14ac:dyDescent="0.25">
      <c r="A108" s="7" t="s">
        <v>62</v>
      </c>
      <c r="B108" s="2" t="s">
        <v>57</v>
      </c>
      <c r="C108" s="2" t="s">
        <v>58</v>
      </c>
      <c r="D108" s="2" t="s">
        <v>1464</v>
      </c>
      <c r="E108" s="2" t="s">
        <v>1465</v>
      </c>
      <c r="F108" s="2" t="s">
        <v>1466</v>
      </c>
      <c r="H108" s="3" t="s">
        <v>62</v>
      </c>
      <c r="I108" s="3" t="s">
        <v>63</v>
      </c>
      <c r="J108" s="3" t="s">
        <v>62</v>
      </c>
      <c r="K108" s="3" t="s">
        <v>62</v>
      </c>
      <c r="L108" s="3" t="s">
        <v>64</v>
      </c>
      <c r="M108" s="2" t="s">
        <v>1467</v>
      </c>
      <c r="N108" s="2" t="s">
        <v>1468</v>
      </c>
      <c r="O108" s="3" t="s">
        <v>165</v>
      </c>
      <c r="Q108" s="3" t="s">
        <v>68</v>
      </c>
      <c r="R108" s="3" t="s">
        <v>1184</v>
      </c>
      <c r="T108" s="3" t="s">
        <v>70</v>
      </c>
      <c r="U108" s="4">
        <v>8</v>
      </c>
      <c r="V108" s="4">
        <v>8</v>
      </c>
      <c r="W108" s="5" t="s">
        <v>1469</v>
      </c>
      <c r="X108" s="5" t="s">
        <v>1469</v>
      </c>
      <c r="Y108" s="5" t="s">
        <v>1078</v>
      </c>
      <c r="Z108" s="5" t="s">
        <v>1078</v>
      </c>
      <c r="AA108" s="4">
        <v>729</v>
      </c>
      <c r="AB108" s="4">
        <v>625</v>
      </c>
      <c r="AC108" s="4">
        <v>666</v>
      </c>
      <c r="AD108" s="4">
        <v>7</v>
      </c>
      <c r="AE108" s="4">
        <v>8</v>
      </c>
      <c r="AF108" s="4">
        <v>36</v>
      </c>
      <c r="AG108" s="4">
        <v>38</v>
      </c>
      <c r="AH108" s="4">
        <v>14</v>
      </c>
      <c r="AI108" s="4">
        <v>14</v>
      </c>
      <c r="AJ108" s="4">
        <v>9</v>
      </c>
      <c r="AK108" s="4">
        <v>10</v>
      </c>
      <c r="AL108" s="4">
        <v>17</v>
      </c>
      <c r="AM108" s="4">
        <v>18</v>
      </c>
      <c r="AN108" s="4">
        <v>5</v>
      </c>
      <c r="AO108" s="4">
        <v>6</v>
      </c>
      <c r="AP108" s="4">
        <v>0</v>
      </c>
      <c r="AQ108" s="4">
        <v>0</v>
      </c>
      <c r="AR108" s="3" t="s">
        <v>62</v>
      </c>
      <c r="AS108" s="3" t="s">
        <v>84</v>
      </c>
      <c r="AT108" s="6" t="str">
        <f>HYPERLINK("http://catalog.hathitrust.org/Record/000127489","HathiTrust Record")</f>
        <v>HathiTrust Record</v>
      </c>
      <c r="AU108" s="6" t="str">
        <f>HYPERLINK("https://creighton-primo.hosted.exlibrisgroup.com/primo-explore/search?tab=default_tab&amp;search_scope=EVERYTHING&amp;vid=01CRU&amp;lang=en_US&amp;offset=0&amp;query=any,contains,991005253949702656","Catalog Record")</f>
        <v>Catalog Record</v>
      </c>
      <c r="AV108" s="6" t="str">
        <f>HYPERLINK("http://www.worldcat.org/oclc/2614227","WorldCat Record")</f>
        <v>WorldCat Record</v>
      </c>
      <c r="AW108" s="3" t="s">
        <v>1470</v>
      </c>
      <c r="AX108" s="3" t="s">
        <v>1471</v>
      </c>
      <c r="AY108" s="3" t="s">
        <v>1472</v>
      </c>
      <c r="AZ108" s="3" t="s">
        <v>1472</v>
      </c>
      <c r="BA108" s="3" t="s">
        <v>1473</v>
      </c>
      <c r="BB108" s="3" t="s">
        <v>77</v>
      </c>
      <c r="BD108" s="3" t="s">
        <v>1474</v>
      </c>
      <c r="BE108" s="3" t="s">
        <v>1475</v>
      </c>
      <c r="BF108" s="3" t="s">
        <v>1476</v>
      </c>
    </row>
    <row r="109" spans="1:58" ht="41.25" customHeight="1" x14ac:dyDescent="0.25">
      <c r="A109" s="7" t="s">
        <v>62</v>
      </c>
      <c r="B109" s="2" t="s">
        <v>57</v>
      </c>
      <c r="C109" s="2" t="s">
        <v>58</v>
      </c>
      <c r="D109" s="2" t="s">
        <v>1477</v>
      </c>
      <c r="E109" s="2" t="s">
        <v>1478</v>
      </c>
      <c r="F109" s="2" t="s">
        <v>1479</v>
      </c>
      <c r="H109" s="3" t="s">
        <v>62</v>
      </c>
      <c r="I109" s="3" t="s">
        <v>63</v>
      </c>
      <c r="J109" s="3" t="s">
        <v>62</v>
      </c>
      <c r="K109" s="3" t="s">
        <v>62</v>
      </c>
      <c r="L109" s="3" t="s">
        <v>64</v>
      </c>
      <c r="M109" s="2" t="s">
        <v>1480</v>
      </c>
      <c r="N109" s="2" t="s">
        <v>1481</v>
      </c>
      <c r="O109" s="3" t="s">
        <v>1482</v>
      </c>
      <c r="Q109" s="3" t="s">
        <v>68</v>
      </c>
      <c r="R109" s="3" t="s">
        <v>88</v>
      </c>
      <c r="S109" s="2" t="s">
        <v>1483</v>
      </c>
      <c r="T109" s="3" t="s">
        <v>70</v>
      </c>
      <c r="U109" s="4">
        <v>2</v>
      </c>
      <c r="V109" s="4">
        <v>2</v>
      </c>
      <c r="W109" s="5" t="s">
        <v>1484</v>
      </c>
      <c r="X109" s="5" t="s">
        <v>1484</v>
      </c>
      <c r="Y109" s="5" t="s">
        <v>1078</v>
      </c>
      <c r="Z109" s="5" t="s">
        <v>1078</v>
      </c>
      <c r="AA109" s="4">
        <v>425</v>
      </c>
      <c r="AB109" s="4">
        <v>358</v>
      </c>
      <c r="AC109" s="4">
        <v>653</v>
      </c>
      <c r="AD109" s="4">
        <v>4</v>
      </c>
      <c r="AE109" s="4">
        <v>4</v>
      </c>
      <c r="AF109" s="4">
        <v>24</v>
      </c>
      <c r="AG109" s="4">
        <v>34</v>
      </c>
      <c r="AH109" s="4">
        <v>9</v>
      </c>
      <c r="AI109" s="4">
        <v>14</v>
      </c>
      <c r="AJ109" s="4">
        <v>5</v>
      </c>
      <c r="AK109" s="4">
        <v>8</v>
      </c>
      <c r="AL109" s="4">
        <v>13</v>
      </c>
      <c r="AM109" s="4">
        <v>19</v>
      </c>
      <c r="AN109" s="4">
        <v>3</v>
      </c>
      <c r="AO109" s="4">
        <v>3</v>
      </c>
      <c r="AP109" s="4">
        <v>0</v>
      </c>
      <c r="AQ109" s="4">
        <v>0</v>
      </c>
      <c r="AR109" s="3" t="s">
        <v>84</v>
      </c>
      <c r="AS109" s="3" t="s">
        <v>62</v>
      </c>
      <c r="AT109" s="6" t="str">
        <f>HYPERLINK("http://catalog.hathitrust.org/Record/001392002","HathiTrust Record")</f>
        <v>HathiTrust Record</v>
      </c>
      <c r="AU109" s="6" t="str">
        <f>HYPERLINK("https://creighton-primo.hosted.exlibrisgroup.com/primo-explore/search?tab=default_tab&amp;search_scope=EVERYTHING&amp;vid=01CRU&amp;lang=en_US&amp;offset=0&amp;query=any,contains,991003561189702656","Catalog Record")</f>
        <v>Catalog Record</v>
      </c>
      <c r="AV109" s="6" t="str">
        <f>HYPERLINK("http://www.worldcat.org/oclc/1131847","WorldCat Record")</f>
        <v>WorldCat Record</v>
      </c>
      <c r="AW109" s="3" t="s">
        <v>1485</v>
      </c>
      <c r="AX109" s="3" t="s">
        <v>1486</v>
      </c>
      <c r="AY109" s="3" t="s">
        <v>1487</v>
      </c>
      <c r="AZ109" s="3" t="s">
        <v>1487</v>
      </c>
      <c r="BA109" s="3" t="s">
        <v>1488</v>
      </c>
      <c r="BB109" s="3" t="s">
        <v>77</v>
      </c>
      <c r="BE109" s="3" t="s">
        <v>1489</v>
      </c>
      <c r="BF109" s="3" t="s">
        <v>1490</v>
      </c>
    </row>
    <row r="110" spans="1:58" ht="41.25" customHeight="1" x14ac:dyDescent="0.25">
      <c r="A110" s="7" t="s">
        <v>62</v>
      </c>
      <c r="B110" s="2" t="s">
        <v>57</v>
      </c>
      <c r="C110" s="2" t="s">
        <v>58</v>
      </c>
      <c r="D110" s="2" t="s">
        <v>1491</v>
      </c>
      <c r="E110" s="2" t="s">
        <v>1492</v>
      </c>
      <c r="F110" s="2" t="s">
        <v>1493</v>
      </c>
      <c r="H110" s="3" t="s">
        <v>62</v>
      </c>
      <c r="I110" s="3" t="s">
        <v>63</v>
      </c>
      <c r="J110" s="3" t="s">
        <v>62</v>
      </c>
      <c r="K110" s="3" t="s">
        <v>62</v>
      </c>
      <c r="L110" s="3" t="s">
        <v>64</v>
      </c>
      <c r="M110" s="2" t="s">
        <v>1494</v>
      </c>
      <c r="N110" s="2" t="s">
        <v>1495</v>
      </c>
      <c r="O110" s="3" t="s">
        <v>267</v>
      </c>
      <c r="P110" s="2" t="s">
        <v>517</v>
      </c>
      <c r="Q110" s="3" t="s">
        <v>68</v>
      </c>
      <c r="R110" s="3" t="s">
        <v>69</v>
      </c>
      <c r="S110" s="2" t="s">
        <v>1496</v>
      </c>
      <c r="T110" s="3" t="s">
        <v>70</v>
      </c>
      <c r="U110" s="4">
        <v>2</v>
      </c>
      <c r="V110" s="4">
        <v>2</v>
      </c>
      <c r="W110" s="5" t="s">
        <v>1497</v>
      </c>
      <c r="X110" s="5" t="s">
        <v>1497</v>
      </c>
      <c r="Y110" s="5" t="s">
        <v>1078</v>
      </c>
      <c r="Z110" s="5" t="s">
        <v>1078</v>
      </c>
      <c r="AA110" s="4">
        <v>372</v>
      </c>
      <c r="AB110" s="4">
        <v>354</v>
      </c>
      <c r="AC110" s="4">
        <v>406</v>
      </c>
      <c r="AD110" s="4">
        <v>2</v>
      </c>
      <c r="AE110" s="4">
        <v>2</v>
      </c>
      <c r="AF110" s="4">
        <v>12</v>
      </c>
      <c r="AG110" s="4">
        <v>15</v>
      </c>
      <c r="AH110" s="4">
        <v>5</v>
      </c>
      <c r="AI110" s="4">
        <v>5</v>
      </c>
      <c r="AJ110" s="4">
        <v>3</v>
      </c>
      <c r="AK110" s="4">
        <v>4</v>
      </c>
      <c r="AL110" s="4">
        <v>7</v>
      </c>
      <c r="AM110" s="4">
        <v>9</v>
      </c>
      <c r="AN110" s="4">
        <v>1</v>
      </c>
      <c r="AO110" s="4">
        <v>1</v>
      </c>
      <c r="AP110" s="4">
        <v>0</v>
      </c>
      <c r="AQ110" s="4">
        <v>0</v>
      </c>
      <c r="AR110" s="3" t="s">
        <v>62</v>
      </c>
      <c r="AS110" s="3" t="s">
        <v>84</v>
      </c>
      <c r="AT110" s="6" t="str">
        <f>HYPERLINK("http://catalog.hathitrust.org/Record/001473454","HathiTrust Record")</f>
        <v>HathiTrust Record</v>
      </c>
      <c r="AU110" s="6" t="str">
        <f>HYPERLINK("https://creighton-primo.hosted.exlibrisgroup.com/primo-explore/search?tab=default_tab&amp;search_scope=EVERYTHING&amp;vid=01CRU&amp;lang=en_US&amp;offset=0&amp;query=any,contains,991002803439702656","Catalog Record")</f>
        <v>Catalog Record</v>
      </c>
      <c r="AV110" s="6" t="str">
        <f>HYPERLINK("http://www.worldcat.org/oclc/448617","WorldCat Record")</f>
        <v>WorldCat Record</v>
      </c>
      <c r="AW110" s="3" t="s">
        <v>1498</v>
      </c>
      <c r="AX110" s="3" t="s">
        <v>1499</v>
      </c>
      <c r="AY110" s="3" t="s">
        <v>1500</v>
      </c>
      <c r="AZ110" s="3" t="s">
        <v>1500</v>
      </c>
      <c r="BA110" s="3" t="s">
        <v>1501</v>
      </c>
      <c r="BB110" s="3" t="s">
        <v>77</v>
      </c>
      <c r="BE110" s="3" t="s">
        <v>1502</v>
      </c>
      <c r="BF110" s="3" t="s">
        <v>1503</v>
      </c>
    </row>
    <row r="111" spans="1:58" ht="41.25" customHeight="1" x14ac:dyDescent="0.25">
      <c r="A111" s="7" t="s">
        <v>62</v>
      </c>
      <c r="B111" s="2" t="s">
        <v>57</v>
      </c>
      <c r="C111" s="2" t="s">
        <v>58</v>
      </c>
      <c r="D111" s="2" t="s">
        <v>1504</v>
      </c>
      <c r="E111" s="2" t="s">
        <v>1505</v>
      </c>
      <c r="F111" s="2" t="s">
        <v>1506</v>
      </c>
      <c r="H111" s="3" t="s">
        <v>62</v>
      </c>
      <c r="I111" s="3" t="s">
        <v>63</v>
      </c>
      <c r="J111" s="3" t="s">
        <v>62</v>
      </c>
      <c r="K111" s="3" t="s">
        <v>62</v>
      </c>
      <c r="L111" s="3" t="s">
        <v>64</v>
      </c>
      <c r="M111" s="2" t="s">
        <v>1196</v>
      </c>
      <c r="N111" s="2" t="s">
        <v>1362</v>
      </c>
      <c r="O111" s="3" t="s">
        <v>137</v>
      </c>
      <c r="Q111" s="3" t="s">
        <v>68</v>
      </c>
      <c r="R111" s="3" t="s">
        <v>69</v>
      </c>
      <c r="S111" s="2" t="s">
        <v>1507</v>
      </c>
      <c r="T111" s="3" t="s">
        <v>70</v>
      </c>
      <c r="U111" s="4">
        <v>5</v>
      </c>
      <c r="V111" s="4">
        <v>5</v>
      </c>
      <c r="W111" s="5" t="s">
        <v>1508</v>
      </c>
      <c r="X111" s="5" t="s">
        <v>1508</v>
      </c>
      <c r="Y111" s="5" t="s">
        <v>1078</v>
      </c>
      <c r="Z111" s="5" t="s">
        <v>1078</v>
      </c>
      <c r="AA111" s="4">
        <v>366</v>
      </c>
      <c r="AB111" s="4">
        <v>325</v>
      </c>
      <c r="AC111" s="4">
        <v>343</v>
      </c>
      <c r="AD111" s="4">
        <v>3</v>
      </c>
      <c r="AE111" s="4">
        <v>4</v>
      </c>
      <c r="AF111" s="4">
        <v>20</v>
      </c>
      <c r="AG111" s="4">
        <v>22</v>
      </c>
      <c r="AH111" s="4">
        <v>5</v>
      </c>
      <c r="AI111" s="4">
        <v>5</v>
      </c>
      <c r="AJ111" s="4">
        <v>5</v>
      </c>
      <c r="AK111" s="4">
        <v>6</v>
      </c>
      <c r="AL111" s="4">
        <v>13</v>
      </c>
      <c r="AM111" s="4">
        <v>13</v>
      </c>
      <c r="AN111" s="4">
        <v>2</v>
      </c>
      <c r="AO111" s="4">
        <v>3</v>
      </c>
      <c r="AP111" s="4">
        <v>0</v>
      </c>
      <c r="AQ111" s="4">
        <v>0</v>
      </c>
      <c r="AR111" s="3" t="s">
        <v>62</v>
      </c>
      <c r="AS111" s="3" t="s">
        <v>84</v>
      </c>
      <c r="AT111" s="6" t="str">
        <f>HYPERLINK("http://catalog.hathitrust.org/Record/101927660","HathiTrust Record")</f>
        <v>HathiTrust Record</v>
      </c>
      <c r="AU111" s="6" t="str">
        <f>HYPERLINK("https://creighton-primo.hosted.exlibrisgroup.com/primo-explore/search?tab=default_tab&amp;search_scope=EVERYTHING&amp;vid=01CRU&amp;lang=en_US&amp;offset=0&amp;query=any,contains,991005176359702656","Catalog Record")</f>
        <v>Catalog Record</v>
      </c>
      <c r="AV111" s="6" t="str">
        <f>HYPERLINK("http://www.worldcat.org/oclc/7923415","WorldCat Record")</f>
        <v>WorldCat Record</v>
      </c>
      <c r="AW111" s="3" t="s">
        <v>1509</v>
      </c>
      <c r="AX111" s="3" t="s">
        <v>1510</v>
      </c>
      <c r="AY111" s="3" t="s">
        <v>1511</v>
      </c>
      <c r="AZ111" s="3" t="s">
        <v>1511</v>
      </c>
      <c r="BA111" s="3" t="s">
        <v>1512</v>
      </c>
      <c r="BB111" s="3" t="s">
        <v>77</v>
      </c>
      <c r="BD111" s="3" t="s">
        <v>1513</v>
      </c>
      <c r="BE111" s="3" t="s">
        <v>1514</v>
      </c>
      <c r="BF111" s="3" t="s">
        <v>1515</v>
      </c>
    </row>
    <row r="112" spans="1:58" ht="41.25" customHeight="1" x14ac:dyDescent="0.25">
      <c r="A112" s="7" t="s">
        <v>62</v>
      </c>
      <c r="B112" s="2" t="s">
        <v>57</v>
      </c>
      <c r="C112" s="2" t="s">
        <v>58</v>
      </c>
      <c r="D112" s="2" t="s">
        <v>1516</v>
      </c>
      <c r="E112" s="2" t="s">
        <v>1517</v>
      </c>
      <c r="F112" s="2" t="s">
        <v>1518</v>
      </c>
      <c r="H112" s="3" t="s">
        <v>62</v>
      </c>
      <c r="I112" s="3" t="s">
        <v>63</v>
      </c>
      <c r="J112" s="3" t="s">
        <v>62</v>
      </c>
      <c r="K112" s="3" t="s">
        <v>62</v>
      </c>
      <c r="L112" s="3" t="s">
        <v>64</v>
      </c>
      <c r="M112" s="2" t="s">
        <v>1519</v>
      </c>
      <c r="N112" s="2" t="s">
        <v>1520</v>
      </c>
      <c r="O112" s="3" t="s">
        <v>253</v>
      </c>
      <c r="Q112" s="3" t="s">
        <v>68</v>
      </c>
      <c r="R112" s="3" t="s">
        <v>1184</v>
      </c>
      <c r="T112" s="3" t="s">
        <v>70</v>
      </c>
      <c r="U112" s="4">
        <v>4</v>
      </c>
      <c r="V112" s="4">
        <v>4</v>
      </c>
      <c r="W112" s="5" t="s">
        <v>1376</v>
      </c>
      <c r="X112" s="5" t="s">
        <v>1376</v>
      </c>
      <c r="Y112" s="5" t="s">
        <v>1078</v>
      </c>
      <c r="Z112" s="5" t="s">
        <v>1078</v>
      </c>
      <c r="AA112" s="4">
        <v>291</v>
      </c>
      <c r="AB112" s="4">
        <v>256</v>
      </c>
      <c r="AC112" s="4">
        <v>309</v>
      </c>
      <c r="AD112" s="4">
        <v>2</v>
      </c>
      <c r="AE112" s="4">
        <v>2</v>
      </c>
      <c r="AF112" s="4">
        <v>14</v>
      </c>
      <c r="AG112" s="4">
        <v>18</v>
      </c>
      <c r="AH112" s="4">
        <v>6</v>
      </c>
      <c r="AI112" s="4">
        <v>8</v>
      </c>
      <c r="AJ112" s="4">
        <v>0</v>
      </c>
      <c r="AK112" s="4">
        <v>1</v>
      </c>
      <c r="AL112" s="4">
        <v>9</v>
      </c>
      <c r="AM112" s="4">
        <v>11</v>
      </c>
      <c r="AN112" s="4">
        <v>1</v>
      </c>
      <c r="AO112" s="4">
        <v>1</v>
      </c>
      <c r="AP112" s="4">
        <v>0</v>
      </c>
      <c r="AQ112" s="4">
        <v>0</v>
      </c>
      <c r="AR112" s="3" t="s">
        <v>62</v>
      </c>
      <c r="AS112" s="3" t="s">
        <v>62</v>
      </c>
      <c r="AU112" s="6" t="str">
        <f>HYPERLINK("https://creighton-primo.hosted.exlibrisgroup.com/primo-explore/search?tab=default_tab&amp;search_scope=EVERYTHING&amp;vid=01CRU&amp;lang=en_US&amp;offset=0&amp;query=any,contains,991000627949702656","Catalog Record")</f>
        <v>Catalog Record</v>
      </c>
      <c r="AV112" s="6" t="str">
        <f>HYPERLINK("http://www.worldcat.org/oclc/12050202","WorldCat Record")</f>
        <v>WorldCat Record</v>
      </c>
      <c r="AW112" s="3" t="s">
        <v>1521</v>
      </c>
      <c r="AX112" s="3" t="s">
        <v>1522</v>
      </c>
      <c r="AY112" s="3" t="s">
        <v>1523</v>
      </c>
      <c r="AZ112" s="3" t="s">
        <v>1523</v>
      </c>
      <c r="BA112" s="3" t="s">
        <v>1524</v>
      </c>
      <c r="BB112" s="3" t="s">
        <v>77</v>
      </c>
      <c r="BD112" s="3" t="s">
        <v>1525</v>
      </c>
      <c r="BE112" s="3" t="s">
        <v>1526</v>
      </c>
      <c r="BF112" s="3" t="s">
        <v>1527</v>
      </c>
    </row>
    <row r="113" spans="1:58" ht="41.25" customHeight="1" x14ac:dyDescent="0.25">
      <c r="A113" s="7" t="s">
        <v>62</v>
      </c>
      <c r="B113" s="2" t="s">
        <v>57</v>
      </c>
      <c r="C113" s="2" t="s">
        <v>58</v>
      </c>
      <c r="D113" s="2" t="s">
        <v>1528</v>
      </c>
      <c r="E113" s="2" t="s">
        <v>1529</v>
      </c>
      <c r="F113" s="2" t="s">
        <v>1530</v>
      </c>
      <c r="H113" s="3" t="s">
        <v>62</v>
      </c>
      <c r="I113" s="3" t="s">
        <v>63</v>
      </c>
      <c r="J113" s="3" t="s">
        <v>62</v>
      </c>
      <c r="K113" s="3" t="s">
        <v>62</v>
      </c>
      <c r="L113" s="3" t="s">
        <v>64</v>
      </c>
      <c r="M113" s="2" t="s">
        <v>1531</v>
      </c>
      <c r="N113" s="2" t="s">
        <v>1532</v>
      </c>
      <c r="O113" s="3" t="s">
        <v>1533</v>
      </c>
      <c r="Q113" s="3" t="s">
        <v>68</v>
      </c>
      <c r="R113" s="3" t="s">
        <v>138</v>
      </c>
      <c r="S113" s="2" t="s">
        <v>1534</v>
      </c>
      <c r="T113" s="3" t="s">
        <v>70</v>
      </c>
      <c r="U113" s="4">
        <v>3</v>
      </c>
      <c r="V113" s="4">
        <v>3</v>
      </c>
      <c r="W113" s="5" t="s">
        <v>1535</v>
      </c>
      <c r="X113" s="5" t="s">
        <v>1535</v>
      </c>
      <c r="Y113" s="5" t="s">
        <v>1078</v>
      </c>
      <c r="Z113" s="5" t="s">
        <v>1078</v>
      </c>
      <c r="AA113" s="4">
        <v>737</v>
      </c>
      <c r="AB113" s="4">
        <v>559</v>
      </c>
      <c r="AC113" s="4">
        <v>559</v>
      </c>
      <c r="AD113" s="4">
        <v>4</v>
      </c>
      <c r="AE113" s="4">
        <v>4</v>
      </c>
      <c r="AF113" s="4">
        <v>21</v>
      </c>
      <c r="AG113" s="4">
        <v>21</v>
      </c>
      <c r="AH113" s="4">
        <v>3</v>
      </c>
      <c r="AI113" s="4">
        <v>3</v>
      </c>
      <c r="AJ113" s="4">
        <v>6</v>
      </c>
      <c r="AK113" s="4">
        <v>6</v>
      </c>
      <c r="AL113" s="4">
        <v>14</v>
      </c>
      <c r="AM113" s="4">
        <v>14</v>
      </c>
      <c r="AN113" s="4">
        <v>3</v>
      </c>
      <c r="AO113" s="4">
        <v>3</v>
      </c>
      <c r="AP113" s="4">
        <v>0</v>
      </c>
      <c r="AQ113" s="4">
        <v>0</v>
      </c>
      <c r="AR113" s="3" t="s">
        <v>62</v>
      </c>
      <c r="AS113" s="3" t="s">
        <v>62</v>
      </c>
      <c r="AU113" s="6" t="str">
        <f>HYPERLINK("https://creighton-primo.hosted.exlibrisgroup.com/primo-explore/search?tab=default_tab&amp;search_scope=EVERYTHING&amp;vid=01CRU&amp;lang=en_US&amp;offset=0&amp;query=any,contains,991003293079702656","Catalog Record")</f>
        <v>Catalog Record</v>
      </c>
      <c r="AV113" s="6" t="str">
        <f>HYPERLINK("http://www.worldcat.org/oclc/814699","WorldCat Record")</f>
        <v>WorldCat Record</v>
      </c>
      <c r="AW113" s="3" t="s">
        <v>1536</v>
      </c>
      <c r="AX113" s="3" t="s">
        <v>1537</v>
      </c>
      <c r="AY113" s="3" t="s">
        <v>1538</v>
      </c>
      <c r="AZ113" s="3" t="s">
        <v>1538</v>
      </c>
      <c r="BA113" s="3" t="s">
        <v>1539</v>
      </c>
      <c r="BB113" s="3" t="s">
        <v>77</v>
      </c>
      <c r="BD113" s="3" t="s">
        <v>1540</v>
      </c>
      <c r="BE113" s="3" t="s">
        <v>1541</v>
      </c>
      <c r="BF113" s="3" t="s">
        <v>1542</v>
      </c>
    </row>
    <row r="114" spans="1:58" ht="41.25" customHeight="1" x14ac:dyDescent="0.25">
      <c r="A114" s="7" t="s">
        <v>62</v>
      </c>
      <c r="B114" s="2" t="s">
        <v>57</v>
      </c>
      <c r="C114" s="2" t="s">
        <v>58</v>
      </c>
      <c r="D114" s="2" t="s">
        <v>1543</v>
      </c>
      <c r="E114" s="2" t="s">
        <v>1544</v>
      </c>
      <c r="F114" s="2" t="s">
        <v>1545</v>
      </c>
      <c r="H114" s="3" t="s">
        <v>62</v>
      </c>
      <c r="I114" s="3" t="s">
        <v>63</v>
      </c>
      <c r="J114" s="3" t="s">
        <v>62</v>
      </c>
      <c r="K114" s="3" t="s">
        <v>62</v>
      </c>
      <c r="L114" s="3" t="s">
        <v>64</v>
      </c>
      <c r="M114" s="2" t="s">
        <v>1546</v>
      </c>
      <c r="N114" s="2" t="s">
        <v>1547</v>
      </c>
      <c r="O114" s="3" t="s">
        <v>804</v>
      </c>
      <c r="Q114" s="3" t="s">
        <v>68</v>
      </c>
      <c r="R114" s="3" t="s">
        <v>297</v>
      </c>
      <c r="T114" s="3" t="s">
        <v>70</v>
      </c>
      <c r="U114" s="4">
        <v>3</v>
      </c>
      <c r="V114" s="4">
        <v>3</v>
      </c>
      <c r="W114" s="5" t="s">
        <v>1548</v>
      </c>
      <c r="X114" s="5" t="s">
        <v>1548</v>
      </c>
      <c r="Y114" s="5" t="s">
        <v>1549</v>
      </c>
      <c r="Z114" s="5" t="s">
        <v>1549</v>
      </c>
      <c r="AA114" s="4">
        <v>172</v>
      </c>
      <c r="AB114" s="4">
        <v>112</v>
      </c>
      <c r="AC114" s="4">
        <v>114</v>
      </c>
      <c r="AD114" s="4">
        <v>2</v>
      </c>
      <c r="AE114" s="4">
        <v>2</v>
      </c>
      <c r="AF114" s="4">
        <v>4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3</v>
      </c>
      <c r="AM114" s="4">
        <v>3</v>
      </c>
      <c r="AN114" s="4">
        <v>1</v>
      </c>
      <c r="AO114" s="4">
        <v>1</v>
      </c>
      <c r="AP114" s="4">
        <v>0</v>
      </c>
      <c r="AQ114" s="4">
        <v>0</v>
      </c>
      <c r="AR114" s="3" t="s">
        <v>62</v>
      </c>
      <c r="AS114" s="3" t="s">
        <v>84</v>
      </c>
      <c r="AT114" s="6" t="str">
        <f>HYPERLINK("http://catalog.hathitrust.org/Record/000882135","HathiTrust Record")</f>
        <v>HathiTrust Record</v>
      </c>
      <c r="AU114" s="6" t="str">
        <f>HYPERLINK("https://creighton-primo.hosted.exlibrisgroup.com/primo-explore/search?tab=default_tab&amp;search_scope=EVERYTHING&amp;vid=01CRU&amp;lang=en_US&amp;offset=0&amp;query=any,contains,991001031759702656","Catalog Record")</f>
        <v>Catalog Record</v>
      </c>
      <c r="AV114" s="6" t="str">
        <f>HYPERLINK("http://www.worldcat.org/oclc/15518928","WorldCat Record")</f>
        <v>WorldCat Record</v>
      </c>
      <c r="AW114" s="3" t="s">
        <v>1550</v>
      </c>
      <c r="AX114" s="3" t="s">
        <v>1551</v>
      </c>
      <c r="AY114" s="3" t="s">
        <v>1552</v>
      </c>
      <c r="AZ114" s="3" t="s">
        <v>1552</v>
      </c>
      <c r="BA114" s="3" t="s">
        <v>1553</v>
      </c>
      <c r="BB114" s="3" t="s">
        <v>77</v>
      </c>
      <c r="BD114" s="3" t="s">
        <v>1554</v>
      </c>
      <c r="BE114" s="3" t="s">
        <v>1555</v>
      </c>
      <c r="BF114" s="3" t="s">
        <v>1556</v>
      </c>
    </row>
    <row r="115" spans="1:58" ht="41.25" customHeight="1" x14ac:dyDescent="0.25">
      <c r="A115" s="7" t="s">
        <v>62</v>
      </c>
      <c r="B115" s="2" t="s">
        <v>57</v>
      </c>
      <c r="C115" s="2" t="s">
        <v>58</v>
      </c>
      <c r="D115" s="2" t="s">
        <v>1557</v>
      </c>
      <c r="E115" s="2" t="s">
        <v>1558</v>
      </c>
      <c r="F115" s="2" t="s">
        <v>1559</v>
      </c>
      <c r="H115" s="3" t="s">
        <v>62</v>
      </c>
      <c r="I115" s="3" t="s">
        <v>63</v>
      </c>
      <c r="J115" s="3" t="s">
        <v>62</v>
      </c>
      <c r="K115" s="3" t="s">
        <v>62</v>
      </c>
      <c r="L115" s="3" t="s">
        <v>64</v>
      </c>
      <c r="M115" s="2" t="s">
        <v>1560</v>
      </c>
      <c r="N115" s="2" t="s">
        <v>1561</v>
      </c>
      <c r="O115" s="3" t="s">
        <v>233</v>
      </c>
      <c r="Q115" s="3" t="s">
        <v>68</v>
      </c>
      <c r="R115" s="3" t="s">
        <v>204</v>
      </c>
      <c r="S115" s="2" t="s">
        <v>1562</v>
      </c>
      <c r="T115" s="3" t="s">
        <v>70</v>
      </c>
      <c r="U115" s="4">
        <v>5</v>
      </c>
      <c r="V115" s="4">
        <v>5</v>
      </c>
      <c r="W115" s="5" t="s">
        <v>1563</v>
      </c>
      <c r="X115" s="5" t="s">
        <v>1563</v>
      </c>
      <c r="Y115" s="5" t="s">
        <v>386</v>
      </c>
      <c r="Z115" s="5" t="s">
        <v>386</v>
      </c>
      <c r="AA115" s="4">
        <v>499</v>
      </c>
      <c r="AB115" s="4">
        <v>412</v>
      </c>
      <c r="AC115" s="4">
        <v>426</v>
      </c>
      <c r="AD115" s="4">
        <v>2</v>
      </c>
      <c r="AE115" s="4">
        <v>2</v>
      </c>
      <c r="AF115" s="4">
        <v>19</v>
      </c>
      <c r="AG115" s="4">
        <v>19</v>
      </c>
      <c r="AH115" s="4">
        <v>3</v>
      </c>
      <c r="AI115" s="4">
        <v>3</v>
      </c>
      <c r="AJ115" s="4">
        <v>6</v>
      </c>
      <c r="AK115" s="4">
        <v>6</v>
      </c>
      <c r="AL115" s="4">
        <v>11</v>
      </c>
      <c r="AM115" s="4">
        <v>11</v>
      </c>
      <c r="AN115" s="4">
        <v>1</v>
      </c>
      <c r="AO115" s="4">
        <v>1</v>
      </c>
      <c r="AP115" s="4">
        <v>0</v>
      </c>
      <c r="AQ115" s="4">
        <v>0</v>
      </c>
      <c r="AR115" s="3" t="s">
        <v>62</v>
      </c>
      <c r="AS115" s="3" t="s">
        <v>62</v>
      </c>
      <c r="AU115" s="6" t="str">
        <f>HYPERLINK("https://creighton-primo.hosted.exlibrisgroup.com/primo-explore/search?tab=default_tab&amp;search_scope=EVERYTHING&amp;vid=01CRU&amp;lang=en_US&amp;offset=0&amp;query=any,contains,991004927049702656","Catalog Record")</f>
        <v>Catalog Record</v>
      </c>
      <c r="AV115" s="6" t="str">
        <f>HYPERLINK("http://www.worldcat.org/oclc/6086687","WorldCat Record")</f>
        <v>WorldCat Record</v>
      </c>
      <c r="AW115" s="3" t="s">
        <v>1564</v>
      </c>
      <c r="AX115" s="3" t="s">
        <v>1565</v>
      </c>
      <c r="AY115" s="3" t="s">
        <v>1566</v>
      </c>
      <c r="AZ115" s="3" t="s">
        <v>1566</v>
      </c>
      <c r="BA115" s="3" t="s">
        <v>1567</v>
      </c>
      <c r="BB115" s="3" t="s">
        <v>77</v>
      </c>
      <c r="BE115" s="3" t="s">
        <v>1568</v>
      </c>
      <c r="BF115" s="3" t="s">
        <v>1569</v>
      </c>
    </row>
    <row r="116" spans="1:58" ht="41.25" customHeight="1" x14ac:dyDescent="0.25">
      <c r="A116" s="7" t="s">
        <v>62</v>
      </c>
      <c r="B116" s="2" t="s">
        <v>57</v>
      </c>
      <c r="C116" s="2" t="s">
        <v>58</v>
      </c>
      <c r="D116" s="2" t="s">
        <v>1570</v>
      </c>
      <c r="E116" s="2" t="s">
        <v>1571</v>
      </c>
      <c r="F116" s="2" t="s">
        <v>1572</v>
      </c>
      <c r="H116" s="3" t="s">
        <v>62</v>
      </c>
      <c r="I116" s="3" t="s">
        <v>63</v>
      </c>
      <c r="J116" s="3" t="s">
        <v>62</v>
      </c>
      <c r="K116" s="3" t="s">
        <v>62</v>
      </c>
      <c r="L116" s="3" t="s">
        <v>64</v>
      </c>
      <c r="M116" s="2" t="s">
        <v>1573</v>
      </c>
      <c r="N116" s="2" t="s">
        <v>1574</v>
      </c>
      <c r="O116" s="3" t="s">
        <v>629</v>
      </c>
      <c r="Q116" s="3" t="s">
        <v>68</v>
      </c>
      <c r="R116" s="3" t="s">
        <v>297</v>
      </c>
      <c r="S116" s="2" t="s">
        <v>1575</v>
      </c>
      <c r="T116" s="3" t="s">
        <v>70</v>
      </c>
      <c r="U116" s="4">
        <v>2</v>
      </c>
      <c r="V116" s="4">
        <v>2</v>
      </c>
      <c r="W116" s="5" t="s">
        <v>1576</v>
      </c>
      <c r="X116" s="5" t="s">
        <v>1576</v>
      </c>
      <c r="Y116" s="5" t="s">
        <v>386</v>
      </c>
      <c r="Z116" s="5" t="s">
        <v>386</v>
      </c>
      <c r="AA116" s="4">
        <v>477</v>
      </c>
      <c r="AB116" s="4">
        <v>323</v>
      </c>
      <c r="AC116" s="4">
        <v>339</v>
      </c>
      <c r="AD116" s="4">
        <v>3</v>
      </c>
      <c r="AE116" s="4">
        <v>3</v>
      </c>
      <c r="AF116" s="4">
        <v>11</v>
      </c>
      <c r="AG116" s="4">
        <v>11</v>
      </c>
      <c r="AH116" s="4">
        <v>2</v>
      </c>
      <c r="AI116" s="4">
        <v>2</v>
      </c>
      <c r="AJ116" s="4">
        <v>3</v>
      </c>
      <c r="AK116" s="4">
        <v>3</v>
      </c>
      <c r="AL116" s="4">
        <v>6</v>
      </c>
      <c r="AM116" s="4">
        <v>6</v>
      </c>
      <c r="AN116" s="4">
        <v>2</v>
      </c>
      <c r="AO116" s="4">
        <v>2</v>
      </c>
      <c r="AP116" s="4">
        <v>0</v>
      </c>
      <c r="AQ116" s="4">
        <v>0</v>
      </c>
      <c r="AR116" s="3" t="s">
        <v>62</v>
      </c>
      <c r="AS116" s="3" t="s">
        <v>62</v>
      </c>
      <c r="AU116" s="6" t="str">
        <f>HYPERLINK("https://creighton-primo.hosted.exlibrisgroup.com/primo-explore/search?tab=default_tab&amp;search_scope=EVERYTHING&amp;vid=01CRU&amp;lang=en_US&amp;offset=0&amp;query=any,contains,991003898689702656","Catalog Record")</f>
        <v>Catalog Record</v>
      </c>
      <c r="AV116" s="6" t="str">
        <f>HYPERLINK("http://www.worldcat.org/oclc/1818190","WorldCat Record")</f>
        <v>WorldCat Record</v>
      </c>
      <c r="AW116" s="3" t="s">
        <v>1577</v>
      </c>
      <c r="AX116" s="3" t="s">
        <v>1578</v>
      </c>
      <c r="AY116" s="3" t="s">
        <v>1579</v>
      </c>
      <c r="AZ116" s="3" t="s">
        <v>1579</v>
      </c>
      <c r="BA116" s="3" t="s">
        <v>1580</v>
      </c>
      <c r="BB116" s="3" t="s">
        <v>77</v>
      </c>
      <c r="BD116" s="3" t="s">
        <v>1581</v>
      </c>
      <c r="BE116" s="3" t="s">
        <v>1582</v>
      </c>
      <c r="BF116" s="3" t="s">
        <v>1583</v>
      </c>
    </row>
    <row r="117" spans="1:58" ht="41.25" customHeight="1" x14ac:dyDescent="0.25">
      <c r="A117" s="7" t="s">
        <v>62</v>
      </c>
      <c r="B117" s="2" t="s">
        <v>57</v>
      </c>
      <c r="C117" s="2" t="s">
        <v>58</v>
      </c>
      <c r="D117" s="2" t="s">
        <v>1584</v>
      </c>
      <c r="E117" s="2" t="s">
        <v>1585</v>
      </c>
      <c r="F117" s="2" t="s">
        <v>1586</v>
      </c>
      <c r="H117" s="3" t="s">
        <v>62</v>
      </c>
      <c r="I117" s="3" t="s">
        <v>63</v>
      </c>
      <c r="J117" s="3" t="s">
        <v>62</v>
      </c>
      <c r="K117" s="3" t="s">
        <v>62</v>
      </c>
      <c r="L117" s="3" t="s">
        <v>64</v>
      </c>
      <c r="M117" s="2" t="s">
        <v>1587</v>
      </c>
      <c r="N117" s="2" t="s">
        <v>1588</v>
      </c>
      <c r="O117" s="3" t="s">
        <v>312</v>
      </c>
      <c r="Q117" s="3" t="s">
        <v>68</v>
      </c>
      <c r="R117" s="3" t="s">
        <v>69</v>
      </c>
      <c r="T117" s="3" t="s">
        <v>70</v>
      </c>
      <c r="U117" s="4">
        <v>1</v>
      </c>
      <c r="V117" s="4">
        <v>1</v>
      </c>
      <c r="W117" s="5" t="s">
        <v>1589</v>
      </c>
      <c r="X117" s="5" t="s">
        <v>1589</v>
      </c>
      <c r="Y117" s="5" t="s">
        <v>808</v>
      </c>
      <c r="Z117" s="5" t="s">
        <v>808</v>
      </c>
      <c r="AA117" s="4">
        <v>587</v>
      </c>
      <c r="AB117" s="4">
        <v>531</v>
      </c>
      <c r="AC117" s="4">
        <v>547</v>
      </c>
      <c r="AD117" s="4">
        <v>5</v>
      </c>
      <c r="AE117" s="4">
        <v>5</v>
      </c>
      <c r="AF117" s="4">
        <v>39</v>
      </c>
      <c r="AG117" s="4">
        <v>39</v>
      </c>
      <c r="AH117" s="4">
        <v>15</v>
      </c>
      <c r="AI117" s="4">
        <v>15</v>
      </c>
      <c r="AJ117" s="4">
        <v>7</v>
      </c>
      <c r="AK117" s="4">
        <v>7</v>
      </c>
      <c r="AL117" s="4">
        <v>26</v>
      </c>
      <c r="AM117" s="4">
        <v>26</v>
      </c>
      <c r="AN117" s="4">
        <v>4</v>
      </c>
      <c r="AO117" s="4">
        <v>4</v>
      </c>
      <c r="AP117" s="4">
        <v>0</v>
      </c>
      <c r="AQ117" s="4">
        <v>0</v>
      </c>
      <c r="AR117" s="3" t="s">
        <v>62</v>
      </c>
      <c r="AS117" s="3" t="s">
        <v>84</v>
      </c>
      <c r="AT117" s="6" t="str">
        <f>HYPERLINK("http://catalog.hathitrust.org/Record/102069936","HathiTrust Record")</f>
        <v>HathiTrust Record</v>
      </c>
      <c r="AU117" s="6" t="str">
        <f>HYPERLINK("https://creighton-primo.hosted.exlibrisgroup.com/primo-explore/search?tab=default_tab&amp;search_scope=EVERYTHING&amp;vid=01CRU&amp;lang=en_US&amp;offset=0&amp;query=any,contains,991001363469702656","Catalog Record")</f>
        <v>Catalog Record</v>
      </c>
      <c r="AV117" s="6" t="str">
        <f>HYPERLINK("http://www.worldcat.org/oclc/222164","WorldCat Record")</f>
        <v>WorldCat Record</v>
      </c>
      <c r="AW117" s="3" t="s">
        <v>1590</v>
      </c>
      <c r="AX117" s="3" t="s">
        <v>1591</v>
      </c>
      <c r="AY117" s="3" t="s">
        <v>1592</v>
      </c>
      <c r="AZ117" s="3" t="s">
        <v>1592</v>
      </c>
      <c r="BA117" s="3" t="s">
        <v>1593</v>
      </c>
      <c r="BB117" s="3" t="s">
        <v>77</v>
      </c>
      <c r="BE117" s="3" t="s">
        <v>1594</v>
      </c>
      <c r="BF117" s="3" t="s">
        <v>1595</v>
      </c>
    </row>
    <row r="118" spans="1:58" ht="41.25" customHeight="1" x14ac:dyDescent="0.25">
      <c r="A118" s="7" t="s">
        <v>62</v>
      </c>
      <c r="B118" s="2" t="s">
        <v>57</v>
      </c>
      <c r="C118" s="2" t="s">
        <v>58</v>
      </c>
      <c r="D118" s="2" t="s">
        <v>1596</v>
      </c>
      <c r="E118" s="2" t="s">
        <v>1597</v>
      </c>
      <c r="F118" s="2" t="s">
        <v>1598</v>
      </c>
      <c r="H118" s="3" t="s">
        <v>62</v>
      </c>
      <c r="I118" s="3" t="s">
        <v>63</v>
      </c>
      <c r="J118" s="3" t="s">
        <v>62</v>
      </c>
      <c r="K118" s="3" t="s">
        <v>62</v>
      </c>
      <c r="L118" s="3" t="s">
        <v>64</v>
      </c>
      <c r="M118" s="2" t="s">
        <v>1599</v>
      </c>
      <c r="N118" s="2" t="s">
        <v>1600</v>
      </c>
      <c r="O118" s="3" t="s">
        <v>590</v>
      </c>
      <c r="P118" s="2" t="s">
        <v>1601</v>
      </c>
      <c r="Q118" s="3" t="s">
        <v>68</v>
      </c>
      <c r="R118" s="3" t="s">
        <v>69</v>
      </c>
      <c r="S118" s="2" t="s">
        <v>1602</v>
      </c>
      <c r="T118" s="3" t="s">
        <v>70</v>
      </c>
      <c r="U118" s="4">
        <v>8</v>
      </c>
      <c r="V118" s="4">
        <v>8</v>
      </c>
      <c r="W118" s="5" t="s">
        <v>1603</v>
      </c>
      <c r="X118" s="5" t="s">
        <v>1603</v>
      </c>
      <c r="Y118" s="5" t="s">
        <v>808</v>
      </c>
      <c r="Z118" s="5" t="s">
        <v>808</v>
      </c>
      <c r="AA118" s="4">
        <v>316</v>
      </c>
      <c r="AB118" s="4">
        <v>272</v>
      </c>
      <c r="AC118" s="4">
        <v>422</v>
      </c>
      <c r="AD118" s="4">
        <v>2</v>
      </c>
      <c r="AE118" s="4">
        <v>3</v>
      </c>
      <c r="AF118" s="4">
        <v>17</v>
      </c>
      <c r="AG118" s="4">
        <v>25</v>
      </c>
      <c r="AH118" s="4">
        <v>8</v>
      </c>
      <c r="AI118" s="4">
        <v>9</v>
      </c>
      <c r="AJ118" s="4">
        <v>1</v>
      </c>
      <c r="AK118" s="4">
        <v>3</v>
      </c>
      <c r="AL118" s="4">
        <v>9</v>
      </c>
      <c r="AM118" s="4">
        <v>16</v>
      </c>
      <c r="AN118" s="4">
        <v>1</v>
      </c>
      <c r="AO118" s="4">
        <v>2</v>
      </c>
      <c r="AP118" s="4">
        <v>0</v>
      </c>
      <c r="AQ118" s="4">
        <v>0</v>
      </c>
      <c r="AR118" s="3" t="s">
        <v>62</v>
      </c>
      <c r="AS118" s="3" t="s">
        <v>84</v>
      </c>
      <c r="AT118" s="6" t="str">
        <f>HYPERLINK("http://catalog.hathitrust.org/Record/101997787","HathiTrust Record")</f>
        <v>HathiTrust Record</v>
      </c>
      <c r="AU118" s="6" t="str">
        <f>HYPERLINK("https://creighton-primo.hosted.exlibrisgroup.com/primo-explore/search?tab=default_tab&amp;search_scope=EVERYTHING&amp;vid=01CRU&amp;lang=en_US&amp;offset=0&amp;query=any,contains,991004321829702656","Catalog Record")</f>
        <v>Catalog Record</v>
      </c>
      <c r="AV118" s="6" t="str">
        <f>HYPERLINK("http://www.worldcat.org/oclc/3018845","WorldCat Record")</f>
        <v>WorldCat Record</v>
      </c>
      <c r="AW118" s="3" t="s">
        <v>1604</v>
      </c>
      <c r="AX118" s="3" t="s">
        <v>1605</v>
      </c>
      <c r="AY118" s="3" t="s">
        <v>1606</v>
      </c>
      <c r="AZ118" s="3" t="s">
        <v>1606</v>
      </c>
      <c r="BA118" s="3" t="s">
        <v>1607</v>
      </c>
      <c r="BB118" s="3" t="s">
        <v>77</v>
      </c>
      <c r="BE118" s="3" t="s">
        <v>1608</v>
      </c>
      <c r="BF118" s="3" t="s">
        <v>1609</v>
      </c>
    </row>
    <row r="119" spans="1:58" ht="41.25" customHeight="1" x14ac:dyDescent="0.25">
      <c r="A119" s="7" t="s">
        <v>62</v>
      </c>
      <c r="B119" s="2" t="s">
        <v>57</v>
      </c>
      <c r="C119" s="2" t="s">
        <v>58</v>
      </c>
      <c r="D119" s="2" t="s">
        <v>1610</v>
      </c>
      <c r="E119" s="2" t="s">
        <v>1611</v>
      </c>
      <c r="F119" s="2" t="s">
        <v>1612</v>
      </c>
      <c r="H119" s="3" t="s">
        <v>62</v>
      </c>
      <c r="I119" s="3" t="s">
        <v>63</v>
      </c>
      <c r="J119" s="3" t="s">
        <v>62</v>
      </c>
      <c r="K119" s="3" t="s">
        <v>62</v>
      </c>
      <c r="L119" s="3" t="s">
        <v>64</v>
      </c>
      <c r="N119" s="2" t="s">
        <v>1613</v>
      </c>
      <c r="O119" s="3" t="s">
        <v>383</v>
      </c>
      <c r="Q119" s="3" t="s">
        <v>68</v>
      </c>
      <c r="R119" s="3" t="s">
        <v>531</v>
      </c>
      <c r="T119" s="3" t="s">
        <v>70</v>
      </c>
      <c r="U119" s="4">
        <v>5</v>
      </c>
      <c r="V119" s="4">
        <v>5</v>
      </c>
      <c r="W119" s="5" t="s">
        <v>1614</v>
      </c>
      <c r="X119" s="5" t="s">
        <v>1614</v>
      </c>
      <c r="Y119" s="5" t="s">
        <v>808</v>
      </c>
      <c r="Z119" s="5" t="s">
        <v>808</v>
      </c>
      <c r="AA119" s="4">
        <v>1149</v>
      </c>
      <c r="AB119" s="4">
        <v>974</v>
      </c>
      <c r="AC119" s="4">
        <v>997</v>
      </c>
      <c r="AD119" s="4">
        <v>8</v>
      </c>
      <c r="AE119" s="4">
        <v>8</v>
      </c>
      <c r="AF119" s="4">
        <v>44</v>
      </c>
      <c r="AG119" s="4">
        <v>44</v>
      </c>
      <c r="AH119" s="4">
        <v>17</v>
      </c>
      <c r="AI119" s="4">
        <v>17</v>
      </c>
      <c r="AJ119" s="4">
        <v>9</v>
      </c>
      <c r="AK119" s="4">
        <v>9</v>
      </c>
      <c r="AL119" s="4">
        <v>23</v>
      </c>
      <c r="AM119" s="4">
        <v>23</v>
      </c>
      <c r="AN119" s="4">
        <v>7</v>
      </c>
      <c r="AO119" s="4">
        <v>7</v>
      </c>
      <c r="AP119" s="4">
        <v>0</v>
      </c>
      <c r="AQ119" s="4">
        <v>0</v>
      </c>
      <c r="AR119" s="3" t="s">
        <v>62</v>
      </c>
      <c r="AS119" s="3" t="s">
        <v>84</v>
      </c>
      <c r="AT119" s="6" t="str">
        <f>HYPERLINK("http://catalog.hathitrust.org/Record/001391016","HathiTrust Record")</f>
        <v>HathiTrust Record</v>
      </c>
      <c r="AU119" s="6" t="str">
        <f>HYPERLINK("https://creighton-primo.hosted.exlibrisgroup.com/primo-explore/search?tab=default_tab&amp;search_scope=EVERYTHING&amp;vid=01CRU&amp;lang=en_US&amp;offset=0&amp;query=any,contains,991000219299702656","Catalog Record")</f>
        <v>Catalog Record</v>
      </c>
      <c r="AV119" s="6" t="str">
        <f>HYPERLINK("http://www.worldcat.org/oclc/67544","WorldCat Record")</f>
        <v>WorldCat Record</v>
      </c>
      <c r="AW119" s="3" t="s">
        <v>1615</v>
      </c>
      <c r="AX119" s="3" t="s">
        <v>1616</v>
      </c>
      <c r="AY119" s="3" t="s">
        <v>1617</v>
      </c>
      <c r="AZ119" s="3" t="s">
        <v>1617</v>
      </c>
      <c r="BA119" s="3" t="s">
        <v>1618</v>
      </c>
      <c r="BB119" s="3" t="s">
        <v>77</v>
      </c>
      <c r="BE119" s="3" t="s">
        <v>1619</v>
      </c>
      <c r="BF119" s="3" t="s">
        <v>1620</v>
      </c>
    </row>
    <row r="120" spans="1:58" ht="41.25" customHeight="1" x14ac:dyDescent="0.25">
      <c r="A120" s="7" t="s">
        <v>62</v>
      </c>
      <c r="B120" s="2" t="s">
        <v>57</v>
      </c>
      <c r="C120" s="2" t="s">
        <v>58</v>
      </c>
      <c r="D120" s="2" t="s">
        <v>1621</v>
      </c>
      <c r="E120" s="2" t="s">
        <v>1622</v>
      </c>
      <c r="F120" s="2" t="s">
        <v>1623</v>
      </c>
      <c r="H120" s="3" t="s">
        <v>62</v>
      </c>
      <c r="I120" s="3" t="s">
        <v>63</v>
      </c>
      <c r="J120" s="3" t="s">
        <v>62</v>
      </c>
      <c r="K120" s="3" t="s">
        <v>62</v>
      </c>
      <c r="L120" s="3" t="s">
        <v>64</v>
      </c>
      <c r="M120" s="2" t="s">
        <v>1624</v>
      </c>
      <c r="N120" s="2" t="s">
        <v>1157</v>
      </c>
      <c r="O120" s="3" t="s">
        <v>1158</v>
      </c>
      <c r="Q120" s="3" t="s">
        <v>68</v>
      </c>
      <c r="R120" s="3" t="s">
        <v>166</v>
      </c>
      <c r="T120" s="3" t="s">
        <v>70</v>
      </c>
      <c r="U120" s="4">
        <v>4</v>
      </c>
      <c r="V120" s="4">
        <v>4</v>
      </c>
      <c r="W120" s="5" t="s">
        <v>1625</v>
      </c>
      <c r="X120" s="5" t="s">
        <v>1625</v>
      </c>
      <c r="Y120" s="5" t="s">
        <v>808</v>
      </c>
      <c r="Z120" s="5" t="s">
        <v>808</v>
      </c>
      <c r="AA120" s="4">
        <v>524</v>
      </c>
      <c r="AB120" s="4">
        <v>440</v>
      </c>
      <c r="AC120" s="4">
        <v>446</v>
      </c>
      <c r="AD120" s="4">
        <v>4</v>
      </c>
      <c r="AE120" s="4">
        <v>4</v>
      </c>
      <c r="AF120" s="4">
        <v>29</v>
      </c>
      <c r="AG120" s="4">
        <v>29</v>
      </c>
      <c r="AH120" s="4">
        <v>11</v>
      </c>
      <c r="AI120" s="4">
        <v>11</v>
      </c>
      <c r="AJ120" s="4">
        <v>5</v>
      </c>
      <c r="AK120" s="4">
        <v>5</v>
      </c>
      <c r="AL120" s="4">
        <v>21</v>
      </c>
      <c r="AM120" s="4">
        <v>21</v>
      </c>
      <c r="AN120" s="4">
        <v>3</v>
      </c>
      <c r="AO120" s="4">
        <v>3</v>
      </c>
      <c r="AP120" s="4">
        <v>0</v>
      </c>
      <c r="AQ120" s="4">
        <v>0</v>
      </c>
      <c r="AR120" s="3" t="s">
        <v>62</v>
      </c>
      <c r="AS120" s="3" t="s">
        <v>84</v>
      </c>
      <c r="AT120" s="6" t="str">
        <f>HYPERLINK("http://catalog.hathitrust.org/Record/000740774","HathiTrust Record")</f>
        <v>HathiTrust Record</v>
      </c>
      <c r="AU120" s="6" t="str">
        <f>HYPERLINK("https://creighton-primo.hosted.exlibrisgroup.com/primo-explore/search?tab=default_tab&amp;search_scope=EVERYTHING&amp;vid=01CRU&amp;lang=en_US&amp;offset=0&amp;query=any,contains,991002729579702656","Catalog Record")</f>
        <v>Catalog Record</v>
      </c>
      <c r="AV120" s="6" t="str">
        <f>HYPERLINK("http://www.worldcat.org/oclc/415394","WorldCat Record")</f>
        <v>WorldCat Record</v>
      </c>
      <c r="AW120" s="3" t="s">
        <v>1626</v>
      </c>
      <c r="AX120" s="3" t="s">
        <v>1627</v>
      </c>
      <c r="AY120" s="3" t="s">
        <v>1628</v>
      </c>
      <c r="AZ120" s="3" t="s">
        <v>1628</v>
      </c>
      <c r="BA120" s="3" t="s">
        <v>1629</v>
      </c>
      <c r="BB120" s="3" t="s">
        <v>77</v>
      </c>
      <c r="BD120" s="3" t="s">
        <v>1630</v>
      </c>
      <c r="BE120" s="3" t="s">
        <v>1631</v>
      </c>
      <c r="BF120" s="3" t="s">
        <v>1632</v>
      </c>
    </row>
    <row r="121" spans="1:58" ht="41.25" customHeight="1" x14ac:dyDescent="0.25">
      <c r="A121" s="7" t="s">
        <v>62</v>
      </c>
      <c r="B121" s="2" t="s">
        <v>57</v>
      </c>
      <c r="C121" s="2" t="s">
        <v>58</v>
      </c>
      <c r="D121" s="2" t="s">
        <v>1633</v>
      </c>
      <c r="E121" s="2" t="s">
        <v>1634</v>
      </c>
      <c r="F121" s="2" t="s">
        <v>1635</v>
      </c>
      <c r="H121" s="3" t="s">
        <v>62</v>
      </c>
      <c r="I121" s="3" t="s">
        <v>63</v>
      </c>
      <c r="J121" s="3" t="s">
        <v>62</v>
      </c>
      <c r="K121" s="3" t="s">
        <v>62</v>
      </c>
      <c r="L121" s="3" t="s">
        <v>64</v>
      </c>
      <c r="N121" s="2" t="s">
        <v>1636</v>
      </c>
      <c r="O121" s="3" t="s">
        <v>1637</v>
      </c>
      <c r="P121" s="2" t="s">
        <v>834</v>
      </c>
      <c r="Q121" s="3" t="s">
        <v>68</v>
      </c>
      <c r="R121" s="3" t="s">
        <v>69</v>
      </c>
      <c r="S121" s="2" t="s">
        <v>1638</v>
      </c>
      <c r="T121" s="3" t="s">
        <v>70</v>
      </c>
      <c r="U121" s="4">
        <v>2</v>
      </c>
      <c r="V121" s="4">
        <v>2</v>
      </c>
      <c r="W121" s="5" t="s">
        <v>1639</v>
      </c>
      <c r="X121" s="5" t="s">
        <v>1639</v>
      </c>
      <c r="Y121" s="5" t="s">
        <v>1640</v>
      </c>
      <c r="Z121" s="5" t="s">
        <v>1640</v>
      </c>
      <c r="AA121" s="4">
        <v>396</v>
      </c>
      <c r="AB121" s="4">
        <v>353</v>
      </c>
      <c r="AC121" s="4">
        <v>354</v>
      </c>
      <c r="AD121" s="4">
        <v>2</v>
      </c>
      <c r="AE121" s="4">
        <v>2</v>
      </c>
      <c r="AF121" s="4">
        <v>15</v>
      </c>
      <c r="AG121" s="4">
        <v>15</v>
      </c>
      <c r="AH121" s="4">
        <v>3</v>
      </c>
      <c r="AI121" s="4">
        <v>3</v>
      </c>
      <c r="AJ121" s="4">
        <v>4</v>
      </c>
      <c r="AK121" s="4">
        <v>4</v>
      </c>
      <c r="AL121" s="4">
        <v>9</v>
      </c>
      <c r="AM121" s="4">
        <v>9</v>
      </c>
      <c r="AN121" s="4">
        <v>1</v>
      </c>
      <c r="AO121" s="4">
        <v>1</v>
      </c>
      <c r="AP121" s="4">
        <v>0</v>
      </c>
      <c r="AQ121" s="4">
        <v>0</v>
      </c>
      <c r="AR121" s="3" t="s">
        <v>62</v>
      </c>
      <c r="AS121" s="3" t="s">
        <v>84</v>
      </c>
      <c r="AT121" s="6" t="str">
        <f>HYPERLINK("http://catalog.hathitrust.org/Record/006011613","HathiTrust Record")</f>
        <v>HathiTrust Record</v>
      </c>
      <c r="AU121" s="6" t="str">
        <f>HYPERLINK("https://creighton-primo.hosted.exlibrisgroup.com/primo-explore/search?tab=default_tab&amp;search_scope=EVERYTHING&amp;vid=01CRU&amp;lang=en_US&amp;offset=0&amp;query=any,contains,991000338789702656","Catalog Record")</f>
        <v>Catalog Record</v>
      </c>
      <c r="AV121" s="6" t="str">
        <f>HYPERLINK("http://www.worldcat.org/oclc/10242479","WorldCat Record")</f>
        <v>WorldCat Record</v>
      </c>
      <c r="AW121" s="3" t="s">
        <v>1641</v>
      </c>
      <c r="AX121" s="3" t="s">
        <v>1642</v>
      </c>
      <c r="AY121" s="3" t="s">
        <v>1643</v>
      </c>
      <c r="AZ121" s="3" t="s">
        <v>1643</v>
      </c>
      <c r="BA121" s="3" t="s">
        <v>1644</v>
      </c>
      <c r="BB121" s="3" t="s">
        <v>77</v>
      </c>
      <c r="BD121" s="3" t="s">
        <v>1645</v>
      </c>
      <c r="BE121" s="3" t="s">
        <v>1646</v>
      </c>
      <c r="BF121" s="3" t="s">
        <v>1647</v>
      </c>
    </row>
    <row r="122" spans="1:58" ht="41.25" customHeight="1" x14ac:dyDescent="0.25">
      <c r="A122" s="7" t="s">
        <v>62</v>
      </c>
      <c r="B122" s="2" t="s">
        <v>57</v>
      </c>
      <c r="C122" s="2" t="s">
        <v>58</v>
      </c>
      <c r="D122" s="2" t="s">
        <v>1648</v>
      </c>
      <c r="E122" s="2" t="s">
        <v>1649</v>
      </c>
      <c r="F122" s="2" t="s">
        <v>1650</v>
      </c>
      <c r="H122" s="3" t="s">
        <v>62</v>
      </c>
      <c r="I122" s="3" t="s">
        <v>63</v>
      </c>
      <c r="J122" s="3" t="s">
        <v>62</v>
      </c>
      <c r="K122" s="3" t="s">
        <v>62</v>
      </c>
      <c r="L122" s="3" t="s">
        <v>64</v>
      </c>
      <c r="M122" s="2" t="s">
        <v>1651</v>
      </c>
      <c r="N122" s="2" t="s">
        <v>1652</v>
      </c>
      <c r="O122" s="3" t="s">
        <v>295</v>
      </c>
      <c r="Q122" s="3" t="s">
        <v>68</v>
      </c>
      <c r="R122" s="3" t="s">
        <v>1653</v>
      </c>
      <c r="S122" s="2" t="s">
        <v>1654</v>
      </c>
      <c r="T122" s="3" t="s">
        <v>70</v>
      </c>
      <c r="U122" s="4">
        <v>4</v>
      </c>
      <c r="V122" s="4">
        <v>4</v>
      </c>
      <c r="W122" s="5" t="s">
        <v>1655</v>
      </c>
      <c r="X122" s="5" t="s">
        <v>1655</v>
      </c>
      <c r="Y122" s="5" t="s">
        <v>1656</v>
      </c>
      <c r="Z122" s="5" t="s">
        <v>1656</v>
      </c>
      <c r="AA122" s="4">
        <v>708</v>
      </c>
      <c r="AB122" s="4">
        <v>607</v>
      </c>
      <c r="AC122" s="4">
        <v>731</v>
      </c>
      <c r="AD122" s="4">
        <v>8</v>
      </c>
      <c r="AE122" s="4">
        <v>8</v>
      </c>
      <c r="AF122" s="4">
        <v>30</v>
      </c>
      <c r="AG122" s="4">
        <v>38</v>
      </c>
      <c r="AH122" s="4">
        <v>10</v>
      </c>
      <c r="AI122" s="4">
        <v>14</v>
      </c>
      <c r="AJ122" s="4">
        <v>5</v>
      </c>
      <c r="AK122" s="4">
        <v>10</v>
      </c>
      <c r="AL122" s="4">
        <v>13</v>
      </c>
      <c r="AM122" s="4">
        <v>15</v>
      </c>
      <c r="AN122" s="4">
        <v>7</v>
      </c>
      <c r="AO122" s="4">
        <v>7</v>
      </c>
      <c r="AP122" s="4">
        <v>0</v>
      </c>
      <c r="AQ122" s="4">
        <v>0</v>
      </c>
      <c r="AR122" s="3" t="s">
        <v>62</v>
      </c>
      <c r="AS122" s="3" t="s">
        <v>84</v>
      </c>
      <c r="AT122" s="6" t="str">
        <f>HYPERLINK("http://catalog.hathitrust.org/Record/001817676","HathiTrust Record")</f>
        <v>HathiTrust Record</v>
      </c>
      <c r="AU122" s="6" t="str">
        <f>HYPERLINK("https://creighton-primo.hosted.exlibrisgroup.com/primo-explore/search?tab=default_tab&amp;search_scope=EVERYTHING&amp;vid=01CRU&amp;lang=en_US&amp;offset=0&amp;query=any,contains,991001437279702656","Catalog Record")</f>
        <v>Catalog Record</v>
      </c>
      <c r="AV122" s="6" t="str">
        <f>HYPERLINK("http://www.worldcat.org/oclc/19130900","WorldCat Record")</f>
        <v>WorldCat Record</v>
      </c>
      <c r="AW122" s="3" t="s">
        <v>1657</v>
      </c>
      <c r="AX122" s="3" t="s">
        <v>1658</v>
      </c>
      <c r="AY122" s="3" t="s">
        <v>1659</v>
      </c>
      <c r="AZ122" s="3" t="s">
        <v>1659</v>
      </c>
      <c r="BA122" s="3" t="s">
        <v>1660</v>
      </c>
      <c r="BB122" s="3" t="s">
        <v>77</v>
      </c>
      <c r="BD122" s="3" t="s">
        <v>1661</v>
      </c>
      <c r="BE122" s="3" t="s">
        <v>1662</v>
      </c>
      <c r="BF122" s="3" t="s">
        <v>1663</v>
      </c>
    </row>
    <row r="123" spans="1:58" ht="41.25" customHeight="1" x14ac:dyDescent="0.25">
      <c r="A123" s="7" t="s">
        <v>62</v>
      </c>
      <c r="B123" s="2" t="s">
        <v>57</v>
      </c>
      <c r="C123" s="2" t="s">
        <v>58</v>
      </c>
      <c r="D123" s="2" t="s">
        <v>1664</v>
      </c>
      <c r="E123" s="2" t="s">
        <v>1665</v>
      </c>
      <c r="F123" s="2" t="s">
        <v>1666</v>
      </c>
      <c r="H123" s="3" t="s">
        <v>62</v>
      </c>
      <c r="I123" s="3" t="s">
        <v>63</v>
      </c>
      <c r="J123" s="3" t="s">
        <v>62</v>
      </c>
      <c r="K123" s="3" t="s">
        <v>62</v>
      </c>
      <c r="L123" s="3" t="s">
        <v>64</v>
      </c>
      <c r="M123" s="2" t="s">
        <v>1667</v>
      </c>
      <c r="N123" s="2" t="s">
        <v>1668</v>
      </c>
      <c r="O123" s="3" t="s">
        <v>561</v>
      </c>
      <c r="Q123" s="3" t="s">
        <v>68</v>
      </c>
      <c r="R123" s="3" t="s">
        <v>69</v>
      </c>
      <c r="T123" s="3" t="s">
        <v>70</v>
      </c>
      <c r="U123" s="4">
        <v>7</v>
      </c>
      <c r="V123" s="4">
        <v>7</v>
      </c>
      <c r="W123" s="5" t="s">
        <v>1669</v>
      </c>
      <c r="X123" s="5" t="s">
        <v>1669</v>
      </c>
      <c r="Y123" s="5" t="s">
        <v>386</v>
      </c>
      <c r="Z123" s="5" t="s">
        <v>386</v>
      </c>
      <c r="AA123" s="4">
        <v>1059</v>
      </c>
      <c r="AB123" s="4">
        <v>916</v>
      </c>
      <c r="AC123" s="4">
        <v>1779</v>
      </c>
      <c r="AD123" s="4">
        <v>5</v>
      </c>
      <c r="AE123" s="4">
        <v>23</v>
      </c>
      <c r="AF123" s="4">
        <v>30</v>
      </c>
      <c r="AG123" s="4">
        <v>62</v>
      </c>
      <c r="AH123" s="4">
        <v>12</v>
      </c>
      <c r="AI123" s="4">
        <v>24</v>
      </c>
      <c r="AJ123" s="4">
        <v>7</v>
      </c>
      <c r="AK123" s="4">
        <v>11</v>
      </c>
      <c r="AL123" s="4">
        <v>15</v>
      </c>
      <c r="AM123" s="4">
        <v>23</v>
      </c>
      <c r="AN123" s="4">
        <v>4</v>
      </c>
      <c r="AO123" s="4">
        <v>15</v>
      </c>
      <c r="AP123" s="4">
        <v>1</v>
      </c>
      <c r="AQ123" s="4">
        <v>2</v>
      </c>
      <c r="AR123" s="3" t="s">
        <v>62</v>
      </c>
      <c r="AS123" s="3" t="s">
        <v>84</v>
      </c>
      <c r="AT123" s="6" t="str">
        <f>HYPERLINK("http://catalog.hathitrust.org/Record/000634948","HathiTrust Record")</f>
        <v>HathiTrust Record</v>
      </c>
      <c r="AU123" s="6" t="str">
        <f>HYPERLINK("https://creighton-primo.hosted.exlibrisgroup.com/primo-explore/search?tab=default_tab&amp;search_scope=EVERYTHING&amp;vid=01CRU&amp;lang=en_US&amp;offset=0&amp;query=any,contains,991000828569702656","Catalog Record")</f>
        <v>Catalog Record</v>
      </c>
      <c r="AV123" s="6" t="str">
        <f>HYPERLINK("http://www.worldcat.org/oclc/13425993","WorldCat Record")</f>
        <v>WorldCat Record</v>
      </c>
      <c r="AW123" s="3" t="s">
        <v>1670</v>
      </c>
      <c r="AX123" s="3" t="s">
        <v>1671</v>
      </c>
      <c r="AY123" s="3" t="s">
        <v>1672</v>
      </c>
      <c r="AZ123" s="3" t="s">
        <v>1672</v>
      </c>
      <c r="BA123" s="3" t="s">
        <v>1673</v>
      </c>
      <c r="BB123" s="3" t="s">
        <v>77</v>
      </c>
      <c r="BD123" s="3" t="s">
        <v>1674</v>
      </c>
      <c r="BE123" s="3" t="s">
        <v>1675</v>
      </c>
      <c r="BF123" s="3" t="s">
        <v>1676</v>
      </c>
    </row>
    <row r="124" spans="1:58" ht="41.25" customHeight="1" x14ac:dyDescent="0.25">
      <c r="A124" s="7" t="s">
        <v>62</v>
      </c>
      <c r="B124" s="2" t="s">
        <v>57</v>
      </c>
      <c r="C124" s="2" t="s">
        <v>58</v>
      </c>
      <c r="D124" s="2" t="s">
        <v>1677</v>
      </c>
      <c r="E124" s="2" t="s">
        <v>1678</v>
      </c>
      <c r="F124" s="2" t="s">
        <v>1679</v>
      </c>
      <c r="H124" s="3" t="s">
        <v>62</v>
      </c>
      <c r="I124" s="3" t="s">
        <v>63</v>
      </c>
      <c r="J124" s="3" t="s">
        <v>62</v>
      </c>
      <c r="K124" s="3" t="s">
        <v>62</v>
      </c>
      <c r="L124" s="3" t="s">
        <v>64</v>
      </c>
      <c r="M124" s="2" t="s">
        <v>1680</v>
      </c>
      <c r="N124" s="2" t="s">
        <v>1681</v>
      </c>
      <c r="O124" s="3" t="s">
        <v>1682</v>
      </c>
      <c r="Q124" s="3" t="s">
        <v>68</v>
      </c>
      <c r="R124" s="3" t="s">
        <v>1184</v>
      </c>
      <c r="T124" s="3" t="s">
        <v>70</v>
      </c>
      <c r="U124" s="4">
        <v>4</v>
      </c>
      <c r="V124" s="4">
        <v>4</v>
      </c>
      <c r="W124" s="5" t="s">
        <v>1683</v>
      </c>
      <c r="X124" s="5" t="s">
        <v>1683</v>
      </c>
      <c r="Y124" s="5" t="s">
        <v>1684</v>
      </c>
      <c r="Z124" s="5" t="s">
        <v>1684</v>
      </c>
      <c r="AA124" s="4">
        <v>362</v>
      </c>
      <c r="AB124" s="4">
        <v>326</v>
      </c>
      <c r="AC124" s="4">
        <v>331</v>
      </c>
      <c r="AD124" s="4">
        <v>3</v>
      </c>
      <c r="AE124" s="4">
        <v>3</v>
      </c>
      <c r="AF124" s="4">
        <v>10</v>
      </c>
      <c r="AG124" s="4">
        <v>10</v>
      </c>
      <c r="AH124" s="4">
        <v>4</v>
      </c>
      <c r="AI124" s="4">
        <v>4</v>
      </c>
      <c r="AJ124" s="4">
        <v>2</v>
      </c>
      <c r="AK124" s="4">
        <v>2</v>
      </c>
      <c r="AL124" s="4">
        <v>3</v>
      </c>
      <c r="AM124" s="4">
        <v>3</v>
      </c>
      <c r="AN124" s="4">
        <v>2</v>
      </c>
      <c r="AO124" s="4">
        <v>2</v>
      </c>
      <c r="AP124" s="4">
        <v>0</v>
      </c>
      <c r="AQ124" s="4">
        <v>0</v>
      </c>
      <c r="AR124" s="3" t="s">
        <v>62</v>
      </c>
      <c r="AS124" s="3" t="s">
        <v>62</v>
      </c>
      <c r="AU124" s="6" t="str">
        <f>HYPERLINK("https://creighton-primo.hosted.exlibrisgroup.com/primo-explore/search?tab=default_tab&amp;search_scope=EVERYTHING&amp;vid=01CRU&amp;lang=en_US&amp;offset=0&amp;query=any,contains,991001903289702656","Catalog Record")</f>
        <v>Catalog Record</v>
      </c>
      <c r="AV124" s="6" t="str">
        <f>HYPERLINK("http://www.worldcat.org/oclc/24065145","WorldCat Record")</f>
        <v>WorldCat Record</v>
      </c>
      <c r="AW124" s="3" t="s">
        <v>1685</v>
      </c>
      <c r="AX124" s="3" t="s">
        <v>1686</v>
      </c>
      <c r="AY124" s="3" t="s">
        <v>1687</v>
      </c>
      <c r="AZ124" s="3" t="s">
        <v>1687</v>
      </c>
      <c r="BA124" s="3" t="s">
        <v>1688</v>
      </c>
      <c r="BB124" s="3" t="s">
        <v>77</v>
      </c>
      <c r="BD124" s="3" t="s">
        <v>1689</v>
      </c>
      <c r="BE124" s="3" t="s">
        <v>1690</v>
      </c>
      <c r="BF124" s="3" t="s">
        <v>1691</v>
      </c>
    </row>
    <row r="125" spans="1:58" ht="41.25" customHeight="1" x14ac:dyDescent="0.25">
      <c r="A125" s="7" t="s">
        <v>62</v>
      </c>
      <c r="B125" s="2" t="s">
        <v>57</v>
      </c>
      <c r="C125" s="2" t="s">
        <v>58</v>
      </c>
      <c r="D125" s="2" t="s">
        <v>1692</v>
      </c>
      <c r="E125" s="2" t="s">
        <v>1693</v>
      </c>
      <c r="F125" s="2" t="s">
        <v>1694</v>
      </c>
      <c r="H125" s="3" t="s">
        <v>62</v>
      </c>
      <c r="I125" s="3" t="s">
        <v>63</v>
      </c>
      <c r="J125" s="3" t="s">
        <v>62</v>
      </c>
      <c r="K125" s="3" t="s">
        <v>62</v>
      </c>
      <c r="L125" s="3" t="s">
        <v>64</v>
      </c>
      <c r="M125" s="2" t="s">
        <v>1695</v>
      </c>
      <c r="N125" s="2" t="s">
        <v>1696</v>
      </c>
      <c r="O125" s="3" t="s">
        <v>529</v>
      </c>
      <c r="Q125" s="3" t="s">
        <v>68</v>
      </c>
      <c r="R125" s="3" t="s">
        <v>69</v>
      </c>
      <c r="T125" s="3" t="s">
        <v>70</v>
      </c>
      <c r="U125" s="4">
        <v>1</v>
      </c>
      <c r="V125" s="4">
        <v>1</v>
      </c>
      <c r="W125" s="5" t="s">
        <v>1697</v>
      </c>
      <c r="X125" s="5" t="s">
        <v>1697</v>
      </c>
      <c r="Y125" s="5" t="s">
        <v>386</v>
      </c>
      <c r="Z125" s="5" t="s">
        <v>386</v>
      </c>
      <c r="AA125" s="4">
        <v>751</v>
      </c>
      <c r="AB125" s="4">
        <v>664</v>
      </c>
      <c r="AC125" s="4">
        <v>667</v>
      </c>
      <c r="AD125" s="4">
        <v>5</v>
      </c>
      <c r="AE125" s="4">
        <v>5</v>
      </c>
      <c r="AF125" s="4">
        <v>37</v>
      </c>
      <c r="AG125" s="4">
        <v>37</v>
      </c>
      <c r="AH125" s="4">
        <v>9</v>
      </c>
      <c r="AI125" s="4">
        <v>9</v>
      </c>
      <c r="AJ125" s="4">
        <v>7</v>
      </c>
      <c r="AK125" s="4">
        <v>7</v>
      </c>
      <c r="AL125" s="4">
        <v>19</v>
      </c>
      <c r="AM125" s="4">
        <v>19</v>
      </c>
      <c r="AN125" s="4">
        <v>3</v>
      </c>
      <c r="AO125" s="4">
        <v>3</v>
      </c>
      <c r="AP125" s="4">
        <v>8</v>
      </c>
      <c r="AQ125" s="4">
        <v>8</v>
      </c>
      <c r="AR125" s="3" t="s">
        <v>62</v>
      </c>
      <c r="AS125" s="3" t="s">
        <v>62</v>
      </c>
      <c r="AU125" s="6" t="str">
        <f>HYPERLINK("https://creighton-primo.hosted.exlibrisgroup.com/primo-explore/search?tab=default_tab&amp;search_scope=EVERYTHING&amp;vid=01CRU&amp;lang=en_US&amp;offset=0&amp;query=any,contains,991000378799702656","Catalog Record")</f>
        <v>Catalog Record</v>
      </c>
      <c r="AV125" s="6" t="str">
        <f>HYPERLINK("http://www.worldcat.org/oclc/10483577","WorldCat Record")</f>
        <v>WorldCat Record</v>
      </c>
      <c r="AW125" s="3" t="s">
        <v>1698</v>
      </c>
      <c r="AX125" s="3" t="s">
        <v>1699</v>
      </c>
      <c r="AY125" s="3" t="s">
        <v>1700</v>
      </c>
      <c r="AZ125" s="3" t="s">
        <v>1700</v>
      </c>
      <c r="BA125" s="3" t="s">
        <v>1701</v>
      </c>
      <c r="BB125" s="3" t="s">
        <v>77</v>
      </c>
      <c r="BD125" s="3" t="s">
        <v>1702</v>
      </c>
      <c r="BE125" s="3" t="s">
        <v>1703</v>
      </c>
      <c r="BF125" s="3" t="s">
        <v>1704</v>
      </c>
    </row>
    <row r="126" spans="1:58" ht="41.25" customHeight="1" x14ac:dyDescent="0.25">
      <c r="A126" s="7" t="s">
        <v>62</v>
      </c>
      <c r="B126" s="2" t="s">
        <v>57</v>
      </c>
      <c r="C126" s="2" t="s">
        <v>58</v>
      </c>
      <c r="D126" s="2" t="s">
        <v>1705</v>
      </c>
      <c r="E126" s="2" t="s">
        <v>1706</v>
      </c>
      <c r="F126" s="2" t="s">
        <v>1707</v>
      </c>
      <c r="H126" s="3" t="s">
        <v>62</v>
      </c>
      <c r="I126" s="3" t="s">
        <v>63</v>
      </c>
      <c r="J126" s="3" t="s">
        <v>62</v>
      </c>
      <c r="K126" s="3" t="s">
        <v>62</v>
      </c>
      <c r="L126" s="3" t="s">
        <v>64</v>
      </c>
      <c r="M126" s="2" t="s">
        <v>1708</v>
      </c>
      <c r="N126" s="2" t="s">
        <v>1709</v>
      </c>
      <c r="O126" s="3" t="s">
        <v>529</v>
      </c>
      <c r="Q126" s="3" t="s">
        <v>68</v>
      </c>
      <c r="R126" s="3" t="s">
        <v>1144</v>
      </c>
      <c r="T126" s="3" t="s">
        <v>70</v>
      </c>
      <c r="U126" s="4">
        <v>2</v>
      </c>
      <c r="V126" s="4">
        <v>2</v>
      </c>
      <c r="W126" s="5" t="s">
        <v>1710</v>
      </c>
      <c r="X126" s="5" t="s">
        <v>1710</v>
      </c>
      <c r="Y126" s="5" t="s">
        <v>386</v>
      </c>
      <c r="Z126" s="5" t="s">
        <v>386</v>
      </c>
      <c r="AA126" s="4">
        <v>739</v>
      </c>
      <c r="AB126" s="4">
        <v>667</v>
      </c>
      <c r="AC126" s="4">
        <v>671</v>
      </c>
      <c r="AD126" s="4">
        <v>3</v>
      </c>
      <c r="AE126" s="4">
        <v>3</v>
      </c>
      <c r="AF126" s="4">
        <v>31</v>
      </c>
      <c r="AG126" s="4">
        <v>31</v>
      </c>
      <c r="AH126" s="4">
        <v>13</v>
      </c>
      <c r="AI126" s="4">
        <v>13</v>
      </c>
      <c r="AJ126" s="4">
        <v>7</v>
      </c>
      <c r="AK126" s="4">
        <v>7</v>
      </c>
      <c r="AL126" s="4">
        <v>16</v>
      </c>
      <c r="AM126" s="4">
        <v>16</v>
      </c>
      <c r="AN126" s="4">
        <v>2</v>
      </c>
      <c r="AO126" s="4">
        <v>2</v>
      </c>
      <c r="AP126" s="4">
        <v>0</v>
      </c>
      <c r="AQ126" s="4">
        <v>0</v>
      </c>
      <c r="AR126" s="3" t="s">
        <v>62</v>
      </c>
      <c r="AS126" s="3" t="s">
        <v>62</v>
      </c>
      <c r="AU126" s="6" t="str">
        <f>HYPERLINK("https://creighton-primo.hosted.exlibrisgroup.com/primo-explore/search?tab=default_tab&amp;search_scope=EVERYTHING&amp;vid=01CRU&amp;lang=en_US&amp;offset=0&amp;query=any,contains,991000455479702656","Catalog Record")</f>
        <v>Catalog Record</v>
      </c>
      <c r="AV126" s="6" t="str">
        <f>HYPERLINK("http://www.worldcat.org/oclc/10913699","WorldCat Record")</f>
        <v>WorldCat Record</v>
      </c>
      <c r="AW126" s="3" t="s">
        <v>1711</v>
      </c>
      <c r="AX126" s="3" t="s">
        <v>1712</v>
      </c>
      <c r="AY126" s="3" t="s">
        <v>1713</v>
      </c>
      <c r="AZ126" s="3" t="s">
        <v>1713</v>
      </c>
      <c r="BA126" s="3" t="s">
        <v>1714</v>
      </c>
      <c r="BB126" s="3" t="s">
        <v>77</v>
      </c>
      <c r="BD126" s="3" t="s">
        <v>1715</v>
      </c>
      <c r="BE126" s="3" t="s">
        <v>1716</v>
      </c>
      <c r="BF126" s="3" t="s">
        <v>1717</v>
      </c>
    </row>
    <row r="127" spans="1:58" ht="41.25" customHeight="1" x14ac:dyDescent="0.25">
      <c r="A127" s="7" t="s">
        <v>62</v>
      </c>
      <c r="B127" s="2" t="s">
        <v>57</v>
      </c>
      <c r="C127" s="2" t="s">
        <v>58</v>
      </c>
      <c r="D127" s="2" t="s">
        <v>1718</v>
      </c>
      <c r="E127" s="2" t="s">
        <v>1719</v>
      </c>
      <c r="F127" s="2" t="s">
        <v>1720</v>
      </c>
      <c r="H127" s="3" t="s">
        <v>62</v>
      </c>
      <c r="I127" s="3" t="s">
        <v>63</v>
      </c>
      <c r="J127" s="3" t="s">
        <v>62</v>
      </c>
      <c r="K127" s="3" t="s">
        <v>62</v>
      </c>
      <c r="L127" s="3" t="s">
        <v>64</v>
      </c>
      <c r="M127" s="2" t="s">
        <v>1721</v>
      </c>
      <c r="N127" s="2" t="s">
        <v>1722</v>
      </c>
      <c r="O127" s="3" t="s">
        <v>970</v>
      </c>
      <c r="Q127" s="3" t="s">
        <v>68</v>
      </c>
      <c r="R127" s="3" t="s">
        <v>1723</v>
      </c>
      <c r="T127" s="3" t="s">
        <v>70</v>
      </c>
      <c r="U127" s="4">
        <v>7</v>
      </c>
      <c r="V127" s="4">
        <v>7</v>
      </c>
      <c r="W127" s="5" t="s">
        <v>1724</v>
      </c>
      <c r="X127" s="5" t="s">
        <v>1724</v>
      </c>
      <c r="Y127" s="5" t="s">
        <v>1725</v>
      </c>
      <c r="Z127" s="5" t="s">
        <v>1725</v>
      </c>
      <c r="AA127" s="4">
        <v>227</v>
      </c>
      <c r="AB127" s="4">
        <v>217</v>
      </c>
      <c r="AC127" s="4">
        <v>220</v>
      </c>
      <c r="AD127" s="4">
        <v>2</v>
      </c>
      <c r="AE127" s="4">
        <v>2</v>
      </c>
      <c r="AF127" s="4">
        <v>12</v>
      </c>
      <c r="AG127" s="4">
        <v>12</v>
      </c>
      <c r="AH127" s="4">
        <v>7</v>
      </c>
      <c r="AI127" s="4">
        <v>7</v>
      </c>
      <c r="AJ127" s="4">
        <v>1</v>
      </c>
      <c r="AK127" s="4">
        <v>1</v>
      </c>
      <c r="AL127" s="4">
        <v>4</v>
      </c>
      <c r="AM127" s="4">
        <v>4</v>
      </c>
      <c r="AN127" s="4">
        <v>1</v>
      </c>
      <c r="AO127" s="4">
        <v>1</v>
      </c>
      <c r="AP127" s="4">
        <v>0</v>
      </c>
      <c r="AQ127" s="4">
        <v>0</v>
      </c>
      <c r="AR127" s="3" t="s">
        <v>62</v>
      </c>
      <c r="AS127" s="3" t="s">
        <v>84</v>
      </c>
      <c r="AT127" s="6" t="str">
        <f>HYPERLINK("http://catalog.hathitrust.org/Record/002492827","HathiTrust Record")</f>
        <v>HathiTrust Record</v>
      </c>
      <c r="AU127" s="6" t="str">
        <f>HYPERLINK("https://creighton-primo.hosted.exlibrisgroup.com/primo-explore/search?tab=default_tab&amp;search_scope=EVERYTHING&amp;vid=01CRU&amp;lang=en_US&amp;offset=0&amp;query=any,contains,991001673039702656","Catalog Record")</f>
        <v>Catalog Record</v>
      </c>
      <c r="AV127" s="6" t="str">
        <f>HYPERLINK("http://www.worldcat.org/oclc/21301715","WorldCat Record")</f>
        <v>WorldCat Record</v>
      </c>
      <c r="AW127" s="3" t="s">
        <v>1726</v>
      </c>
      <c r="AX127" s="3" t="s">
        <v>1727</v>
      </c>
      <c r="AY127" s="3" t="s">
        <v>1728</v>
      </c>
      <c r="AZ127" s="3" t="s">
        <v>1728</v>
      </c>
      <c r="BA127" s="3" t="s">
        <v>1729</v>
      </c>
      <c r="BB127" s="3" t="s">
        <v>77</v>
      </c>
      <c r="BD127" s="3" t="s">
        <v>1730</v>
      </c>
      <c r="BE127" s="3" t="s">
        <v>1731</v>
      </c>
      <c r="BF127" s="3" t="s">
        <v>1732</v>
      </c>
    </row>
    <row r="128" spans="1:58" ht="41.25" customHeight="1" x14ac:dyDescent="0.25">
      <c r="A128" s="7" t="s">
        <v>62</v>
      </c>
      <c r="B128" s="2" t="s">
        <v>57</v>
      </c>
      <c r="C128" s="2" t="s">
        <v>58</v>
      </c>
      <c r="D128" s="2" t="s">
        <v>1733</v>
      </c>
      <c r="E128" s="2" t="s">
        <v>1734</v>
      </c>
      <c r="F128" s="2" t="s">
        <v>1735</v>
      </c>
      <c r="H128" s="3" t="s">
        <v>62</v>
      </c>
      <c r="I128" s="3" t="s">
        <v>63</v>
      </c>
      <c r="J128" s="3" t="s">
        <v>62</v>
      </c>
      <c r="K128" s="3" t="s">
        <v>62</v>
      </c>
      <c r="L128" s="3" t="s">
        <v>64</v>
      </c>
      <c r="M128" s="2" t="s">
        <v>1736</v>
      </c>
      <c r="N128" s="2" t="s">
        <v>1737</v>
      </c>
      <c r="O128" s="3" t="s">
        <v>253</v>
      </c>
      <c r="Q128" s="3" t="s">
        <v>68</v>
      </c>
      <c r="R128" s="3" t="s">
        <v>420</v>
      </c>
      <c r="T128" s="3" t="s">
        <v>70</v>
      </c>
      <c r="U128" s="4">
        <v>3</v>
      </c>
      <c r="V128" s="4">
        <v>3</v>
      </c>
      <c r="W128" s="5" t="s">
        <v>1738</v>
      </c>
      <c r="X128" s="5" t="s">
        <v>1738</v>
      </c>
      <c r="Y128" s="5" t="s">
        <v>386</v>
      </c>
      <c r="Z128" s="5" t="s">
        <v>386</v>
      </c>
      <c r="AA128" s="4">
        <v>1374</v>
      </c>
      <c r="AB128" s="4">
        <v>1281</v>
      </c>
      <c r="AC128" s="4">
        <v>1285</v>
      </c>
      <c r="AD128" s="4">
        <v>9</v>
      </c>
      <c r="AE128" s="4">
        <v>9</v>
      </c>
      <c r="AF128" s="4">
        <v>53</v>
      </c>
      <c r="AG128" s="4">
        <v>53</v>
      </c>
      <c r="AH128" s="4">
        <v>19</v>
      </c>
      <c r="AI128" s="4">
        <v>19</v>
      </c>
      <c r="AJ128" s="4">
        <v>10</v>
      </c>
      <c r="AK128" s="4">
        <v>10</v>
      </c>
      <c r="AL128" s="4">
        <v>22</v>
      </c>
      <c r="AM128" s="4">
        <v>22</v>
      </c>
      <c r="AN128" s="4">
        <v>5</v>
      </c>
      <c r="AO128" s="4">
        <v>5</v>
      </c>
      <c r="AP128" s="4">
        <v>10</v>
      </c>
      <c r="AQ128" s="4">
        <v>10</v>
      </c>
      <c r="AR128" s="3" t="s">
        <v>62</v>
      </c>
      <c r="AS128" s="3" t="s">
        <v>62</v>
      </c>
      <c r="AU128" s="6" t="str">
        <f>HYPERLINK("https://creighton-primo.hosted.exlibrisgroup.com/primo-explore/search?tab=default_tab&amp;search_scope=EVERYTHING&amp;vid=01CRU&amp;lang=en_US&amp;offset=0&amp;query=any,contains,991005405749702656","Catalog Record")</f>
        <v>Catalog Record</v>
      </c>
      <c r="AV128" s="6" t="str">
        <f>HYPERLINK("http://www.worldcat.org/oclc/12557957","WorldCat Record")</f>
        <v>WorldCat Record</v>
      </c>
      <c r="AW128" s="3" t="s">
        <v>1739</v>
      </c>
      <c r="AX128" s="3" t="s">
        <v>1740</v>
      </c>
      <c r="AY128" s="3" t="s">
        <v>1741</v>
      </c>
      <c r="AZ128" s="3" t="s">
        <v>1741</v>
      </c>
      <c r="BA128" s="3" t="s">
        <v>1742</v>
      </c>
      <c r="BB128" s="3" t="s">
        <v>77</v>
      </c>
      <c r="BD128" s="3" t="s">
        <v>1743</v>
      </c>
      <c r="BE128" s="3" t="s">
        <v>1744</v>
      </c>
      <c r="BF128" s="3" t="s">
        <v>1745</v>
      </c>
    </row>
    <row r="129" spans="1:58" ht="41.25" customHeight="1" x14ac:dyDescent="0.25">
      <c r="A129" s="7" t="s">
        <v>62</v>
      </c>
      <c r="B129" s="2" t="s">
        <v>57</v>
      </c>
      <c r="C129" s="2" t="s">
        <v>58</v>
      </c>
      <c r="D129" s="2" t="s">
        <v>1746</v>
      </c>
      <c r="E129" s="2" t="s">
        <v>1747</v>
      </c>
      <c r="F129" s="2" t="s">
        <v>1748</v>
      </c>
      <c r="H129" s="3" t="s">
        <v>62</v>
      </c>
      <c r="I129" s="3" t="s">
        <v>63</v>
      </c>
      <c r="J129" s="3" t="s">
        <v>62</v>
      </c>
      <c r="K129" s="3" t="s">
        <v>62</v>
      </c>
      <c r="L129" s="3" t="s">
        <v>64</v>
      </c>
      <c r="N129" s="2" t="s">
        <v>1749</v>
      </c>
      <c r="O129" s="3" t="s">
        <v>1750</v>
      </c>
      <c r="P129" s="2" t="s">
        <v>1751</v>
      </c>
      <c r="Q129" s="3" t="s">
        <v>68</v>
      </c>
      <c r="R129" s="3" t="s">
        <v>420</v>
      </c>
      <c r="S129" s="2" t="s">
        <v>1752</v>
      </c>
      <c r="T129" s="3" t="s">
        <v>70</v>
      </c>
      <c r="U129" s="4">
        <v>5</v>
      </c>
      <c r="V129" s="4">
        <v>5</v>
      </c>
      <c r="W129" s="5" t="s">
        <v>1753</v>
      </c>
      <c r="X129" s="5" t="s">
        <v>1753</v>
      </c>
      <c r="Y129" s="5" t="s">
        <v>1754</v>
      </c>
      <c r="Z129" s="5" t="s">
        <v>1754</v>
      </c>
      <c r="AA129" s="4">
        <v>566</v>
      </c>
      <c r="AB129" s="4">
        <v>479</v>
      </c>
      <c r="AC129" s="4">
        <v>505</v>
      </c>
      <c r="AD129" s="4">
        <v>4</v>
      </c>
      <c r="AE129" s="4">
        <v>4</v>
      </c>
      <c r="AF129" s="4">
        <v>25</v>
      </c>
      <c r="AG129" s="4">
        <v>26</v>
      </c>
      <c r="AH129" s="4">
        <v>5</v>
      </c>
      <c r="AI129" s="4">
        <v>6</v>
      </c>
      <c r="AJ129" s="4">
        <v>7</v>
      </c>
      <c r="AK129" s="4">
        <v>7</v>
      </c>
      <c r="AL129" s="4">
        <v>17</v>
      </c>
      <c r="AM129" s="4">
        <v>17</v>
      </c>
      <c r="AN129" s="4">
        <v>3</v>
      </c>
      <c r="AO129" s="4">
        <v>3</v>
      </c>
      <c r="AP129" s="4">
        <v>0</v>
      </c>
      <c r="AQ129" s="4">
        <v>0</v>
      </c>
      <c r="AR129" s="3" t="s">
        <v>62</v>
      </c>
      <c r="AS129" s="3" t="s">
        <v>84</v>
      </c>
      <c r="AT129" s="6" t="str">
        <f>HYPERLINK("http://catalog.hathitrust.org/Record/001833990","HathiTrust Record")</f>
        <v>HathiTrust Record</v>
      </c>
      <c r="AU129" s="6" t="str">
        <f>HYPERLINK("https://creighton-primo.hosted.exlibrisgroup.com/primo-explore/search?tab=default_tab&amp;search_scope=EVERYTHING&amp;vid=01CRU&amp;lang=en_US&amp;offset=0&amp;query=any,contains,991001461839702656","Catalog Record")</f>
        <v>Catalog Record</v>
      </c>
      <c r="AV129" s="6" t="str">
        <f>HYPERLINK("http://www.worldcat.org/oclc/19455752","WorldCat Record")</f>
        <v>WorldCat Record</v>
      </c>
      <c r="AW129" s="3" t="s">
        <v>1755</v>
      </c>
      <c r="AX129" s="3" t="s">
        <v>1756</v>
      </c>
      <c r="AY129" s="3" t="s">
        <v>1757</v>
      </c>
      <c r="AZ129" s="3" t="s">
        <v>1757</v>
      </c>
      <c r="BA129" s="3" t="s">
        <v>1758</v>
      </c>
      <c r="BB129" s="3" t="s">
        <v>77</v>
      </c>
      <c r="BD129" s="3" t="s">
        <v>1759</v>
      </c>
      <c r="BE129" s="3" t="s">
        <v>1760</v>
      </c>
      <c r="BF129" s="3" t="s">
        <v>1761</v>
      </c>
    </row>
    <row r="130" spans="1:58" ht="41.25" customHeight="1" x14ac:dyDescent="0.25">
      <c r="A130" s="7" t="s">
        <v>62</v>
      </c>
      <c r="B130" s="2" t="s">
        <v>57</v>
      </c>
      <c r="C130" s="2" t="s">
        <v>58</v>
      </c>
      <c r="D130" s="2" t="s">
        <v>1762</v>
      </c>
      <c r="E130" s="2" t="s">
        <v>1763</v>
      </c>
      <c r="F130" s="2" t="s">
        <v>1764</v>
      </c>
      <c r="H130" s="3" t="s">
        <v>62</v>
      </c>
      <c r="I130" s="3" t="s">
        <v>63</v>
      </c>
      <c r="J130" s="3" t="s">
        <v>62</v>
      </c>
      <c r="K130" s="3" t="s">
        <v>62</v>
      </c>
      <c r="L130" s="3" t="s">
        <v>64</v>
      </c>
      <c r="M130" s="2" t="s">
        <v>1765</v>
      </c>
      <c r="N130" s="2" t="s">
        <v>1766</v>
      </c>
      <c r="O130" s="3" t="s">
        <v>137</v>
      </c>
      <c r="Q130" s="3" t="s">
        <v>68</v>
      </c>
      <c r="R130" s="3" t="s">
        <v>888</v>
      </c>
      <c r="T130" s="3" t="s">
        <v>70</v>
      </c>
      <c r="U130" s="4">
        <v>8</v>
      </c>
      <c r="V130" s="4">
        <v>8</v>
      </c>
      <c r="W130" s="5" t="s">
        <v>1767</v>
      </c>
      <c r="X130" s="5" t="s">
        <v>1767</v>
      </c>
      <c r="Y130" s="5" t="s">
        <v>386</v>
      </c>
      <c r="Z130" s="5" t="s">
        <v>386</v>
      </c>
      <c r="AA130" s="4">
        <v>1376</v>
      </c>
      <c r="AB130" s="4">
        <v>1254</v>
      </c>
      <c r="AC130" s="4">
        <v>1262</v>
      </c>
      <c r="AD130" s="4">
        <v>9</v>
      </c>
      <c r="AE130" s="4">
        <v>9</v>
      </c>
      <c r="AF130" s="4">
        <v>44</v>
      </c>
      <c r="AG130" s="4">
        <v>44</v>
      </c>
      <c r="AH130" s="4">
        <v>18</v>
      </c>
      <c r="AI130" s="4">
        <v>18</v>
      </c>
      <c r="AJ130" s="4">
        <v>8</v>
      </c>
      <c r="AK130" s="4">
        <v>8</v>
      </c>
      <c r="AL130" s="4">
        <v>23</v>
      </c>
      <c r="AM130" s="4">
        <v>23</v>
      </c>
      <c r="AN130" s="4">
        <v>6</v>
      </c>
      <c r="AO130" s="4">
        <v>6</v>
      </c>
      <c r="AP130" s="4">
        <v>0</v>
      </c>
      <c r="AQ130" s="4">
        <v>0</v>
      </c>
      <c r="AR130" s="3" t="s">
        <v>62</v>
      </c>
      <c r="AS130" s="3" t="s">
        <v>84</v>
      </c>
      <c r="AT130" s="6" t="str">
        <f>HYPERLINK("http://catalog.hathitrust.org/Record/000100861","HathiTrust Record")</f>
        <v>HathiTrust Record</v>
      </c>
      <c r="AU130" s="6" t="str">
        <f>HYPERLINK("https://creighton-primo.hosted.exlibrisgroup.com/primo-explore/search?tab=default_tab&amp;search_scope=EVERYTHING&amp;vid=01CRU&amp;lang=en_US&amp;offset=0&amp;query=any,contains,991005182759702656","Catalog Record")</f>
        <v>Catalog Record</v>
      </c>
      <c r="AV130" s="6" t="str">
        <f>HYPERLINK("http://www.worldcat.org/oclc/7947410","WorldCat Record")</f>
        <v>WorldCat Record</v>
      </c>
      <c r="AW130" s="3" t="s">
        <v>1768</v>
      </c>
      <c r="AX130" s="3" t="s">
        <v>1769</v>
      </c>
      <c r="AY130" s="3" t="s">
        <v>1770</v>
      </c>
      <c r="AZ130" s="3" t="s">
        <v>1770</v>
      </c>
      <c r="BA130" s="3" t="s">
        <v>1771</v>
      </c>
      <c r="BB130" s="3" t="s">
        <v>77</v>
      </c>
      <c r="BD130" s="3" t="s">
        <v>1772</v>
      </c>
      <c r="BE130" s="3" t="s">
        <v>1773</v>
      </c>
      <c r="BF130" s="3" t="s">
        <v>1774</v>
      </c>
    </row>
    <row r="131" spans="1:58" ht="41.25" customHeight="1" x14ac:dyDescent="0.25">
      <c r="A131" s="7" t="s">
        <v>62</v>
      </c>
      <c r="B131" s="2" t="s">
        <v>57</v>
      </c>
      <c r="C131" s="2" t="s">
        <v>58</v>
      </c>
      <c r="D131" s="2" t="s">
        <v>1775</v>
      </c>
      <c r="E131" s="2" t="s">
        <v>1776</v>
      </c>
      <c r="F131" s="2" t="s">
        <v>1777</v>
      </c>
      <c r="H131" s="3" t="s">
        <v>62</v>
      </c>
      <c r="I131" s="3" t="s">
        <v>63</v>
      </c>
      <c r="J131" s="3" t="s">
        <v>62</v>
      </c>
      <c r="K131" s="3" t="s">
        <v>62</v>
      </c>
      <c r="L131" s="3" t="s">
        <v>64</v>
      </c>
      <c r="M131" s="2" t="s">
        <v>1778</v>
      </c>
      <c r="N131" s="2" t="s">
        <v>1779</v>
      </c>
      <c r="O131" s="3" t="s">
        <v>137</v>
      </c>
      <c r="Q131" s="3" t="s">
        <v>68</v>
      </c>
      <c r="R131" s="3" t="s">
        <v>204</v>
      </c>
      <c r="T131" s="3" t="s">
        <v>70</v>
      </c>
      <c r="U131" s="4">
        <v>3</v>
      </c>
      <c r="V131" s="4">
        <v>3</v>
      </c>
      <c r="W131" s="5" t="s">
        <v>1780</v>
      </c>
      <c r="X131" s="5" t="s">
        <v>1780</v>
      </c>
      <c r="Y131" s="5" t="s">
        <v>386</v>
      </c>
      <c r="Z131" s="5" t="s">
        <v>386</v>
      </c>
      <c r="AA131" s="4">
        <v>207</v>
      </c>
      <c r="AB131" s="4">
        <v>183</v>
      </c>
      <c r="AC131" s="4">
        <v>324</v>
      </c>
      <c r="AD131" s="4">
        <v>1</v>
      </c>
      <c r="AE131" s="4">
        <v>3</v>
      </c>
      <c r="AF131" s="4">
        <v>11</v>
      </c>
      <c r="AG131" s="4">
        <v>20</v>
      </c>
      <c r="AH131" s="4">
        <v>4</v>
      </c>
      <c r="AI131" s="4">
        <v>8</v>
      </c>
      <c r="AJ131" s="4">
        <v>2</v>
      </c>
      <c r="AK131" s="4">
        <v>5</v>
      </c>
      <c r="AL131" s="4">
        <v>9</v>
      </c>
      <c r="AM131" s="4">
        <v>12</v>
      </c>
      <c r="AN131" s="4">
        <v>0</v>
      </c>
      <c r="AO131" s="4">
        <v>2</v>
      </c>
      <c r="AP131" s="4">
        <v>0</v>
      </c>
      <c r="AQ131" s="4">
        <v>0</v>
      </c>
      <c r="AR131" s="3" t="s">
        <v>62</v>
      </c>
      <c r="AS131" s="3" t="s">
        <v>62</v>
      </c>
      <c r="AU131" s="6" t="str">
        <f>HYPERLINK("https://creighton-primo.hosted.exlibrisgroup.com/primo-explore/search?tab=default_tab&amp;search_scope=EVERYTHING&amp;vid=01CRU&amp;lang=en_US&amp;offset=0&amp;query=any,contains,991005080989702656","Catalog Record")</f>
        <v>Catalog Record</v>
      </c>
      <c r="AV131" s="6" t="str">
        <f>HYPERLINK("http://www.worldcat.org/oclc/7171883","WorldCat Record")</f>
        <v>WorldCat Record</v>
      </c>
      <c r="AW131" s="3" t="s">
        <v>1781</v>
      </c>
      <c r="AX131" s="3" t="s">
        <v>1782</v>
      </c>
      <c r="AY131" s="3" t="s">
        <v>1783</v>
      </c>
      <c r="AZ131" s="3" t="s">
        <v>1783</v>
      </c>
      <c r="BA131" s="3" t="s">
        <v>1784</v>
      </c>
      <c r="BB131" s="3" t="s">
        <v>77</v>
      </c>
      <c r="BD131" s="3" t="s">
        <v>1785</v>
      </c>
      <c r="BE131" s="3" t="s">
        <v>1786</v>
      </c>
      <c r="BF131" s="3" t="s">
        <v>1787</v>
      </c>
    </row>
    <row r="132" spans="1:58" ht="41.25" customHeight="1" x14ac:dyDescent="0.25">
      <c r="A132" s="7" t="s">
        <v>62</v>
      </c>
      <c r="B132" s="2" t="s">
        <v>57</v>
      </c>
      <c r="C132" s="2" t="s">
        <v>58</v>
      </c>
      <c r="D132" s="2" t="s">
        <v>1788</v>
      </c>
      <c r="E132" s="2" t="s">
        <v>1789</v>
      </c>
      <c r="F132" s="2" t="s">
        <v>1790</v>
      </c>
      <c r="H132" s="3" t="s">
        <v>62</v>
      </c>
      <c r="I132" s="3" t="s">
        <v>63</v>
      </c>
      <c r="J132" s="3" t="s">
        <v>62</v>
      </c>
      <c r="K132" s="3" t="s">
        <v>62</v>
      </c>
      <c r="L132" s="3" t="s">
        <v>64</v>
      </c>
      <c r="M132" s="2" t="s">
        <v>1791</v>
      </c>
      <c r="N132" s="2" t="s">
        <v>1792</v>
      </c>
      <c r="O132" s="3" t="s">
        <v>165</v>
      </c>
      <c r="Q132" s="3" t="s">
        <v>68</v>
      </c>
      <c r="R132" s="3" t="s">
        <v>69</v>
      </c>
      <c r="T132" s="3" t="s">
        <v>70</v>
      </c>
      <c r="U132" s="4">
        <v>2</v>
      </c>
      <c r="V132" s="4">
        <v>2</v>
      </c>
      <c r="W132" s="5" t="s">
        <v>1793</v>
      </c>
      <c r="X132" s="5" t="s">
        <v>1793</v>
      </c>
      <c r="Y132" s="5" t="s">
        <v>386</v>
      </c>
      <c r="Z132" s="5" t="s">
        <v>386</v>
      </c>
      <c r="AA132" s="4">
        <v>965</v>
      </c>
      <c r="AB132" s="4">
        <v>879</v>
      </c>
      <c r="AC132" s="4">
        <v>883</v>
      </c>
      <c r="AD132" s="4">
        <v>6</v>
      </c>
      <c r="AE132" s="4">
        <v>6</v>
      </c>
      <c r="AF132" s="4">
        <v>32</v>
      </c>
      <c r="AG132" s="4">
        <v>32</v>
      </c>
      <c r="AH132" s="4">
        <v>11</v>
      </c>
      <c r="AI132" s="4">
        <v>11</v>
      </c>
      <c r="AJ132" s="4">
        <v>5</v>
      </c>
      <c r="AK132" s="4">
        <v>5</v>
      </c>
      <c r="AL132" s="4">
        <v>17</v>
      </c>
      <c r="AM132" s="4">
        <v>17</v>
      </c>
      <c r="AN132" s="4">
        <v>5</v>
      </c>
      <c r="AO132" s="4">
        <v>5</v>
      </c>
      <c r="AP132" s="4">
        <v>1</v>
      </c>
      <c r="AQ132" s="4">
        <v>1</v>
      </c>
      <c r="AR132" s="3" t="s">
        <v>62</v>
      </c>
      <c r="AS132" s="3" t="s">
        <v>62</v>
      </c>
      <c r="AU132" s="6" t="str">
        <f>HYPERLINK("https://creighton-primo.hosted.exlibrisgroup.com/primo-explore/search?tab=default_tab&amp;search_scope=EVERYTHING&amp;vid=01CRU&amp;lang=en_US&amp;offset=0&amp;query=any,contains,991004314069702656","Catalog Record")</f>
        <v>Catalog Record</v>
      </c>
      <c r="AV132" s="6" t="str">
        <f>HYPERLINK("http://www.worldcat.org/oclc/3002751","WorldCat Record")</f>
        <v>WorldCat Record</v>
      </c>
      <c r="AW132" s="3" t="s">
        <v>1794</v>
      </c>
      <c r="AX132" s="3" t="s">
        <v>1795</v>
      </c>
      <c r="AY132" s="3" t="s">
        <v>1796</v>
      </c>
      <c r="AZ132" s="3" t="s">
        <v>1796</v>
      </c>
      <c r="BA132" s="3" t="s">
        <v>1797</v>
      </c>
      <c r="BB132" s="3" t="s">
        <v>77</v>
      </c>
      <c r="BD132" s="3" t="s">
        <v>1798</v>
      </c>
      <c r="BE132" s="3" t="s">
        <v>1799</v>
      </c>
      <c r="BF132" s="3" t="s">
        <v>1800</v>
      </c>
    </row>
    <row r="133" spans="1:58" ht="41.25" customHeight="1" x14ac:dyDescent="0.25">
      <c r="A133" s="7" t="s">
        <v>62</v>
      </c>
      <c r="B133" s="2" t="s">
        <v>57</v>
      </c>
      <c r="C133" s="2" t="s">
        <v>58</v>
      </c>
      <c r="D133" s="2" t="s">
        <v>1801</v>
      </c>
      <c r="E133" s="2" t="s">
        <v>1802</v>
      </c>
      <c r="F133" s="2" t="s">
        <v>1803</v>
      </c>
      <c r="H133" s="3" t="s">
        <v>62</v>
      </c>
      <c r="I133" s="3" t="s">
        <v>63</v>
      </c>
      <c r="J133" s="3" t="s">
        <v>62</v>
      </c>
      <c r="K133" s="3" t="s">
        <v>62</v>
      </c>
      <c r="L133" s="3" t="s">
        <v>64</v>
      </c>
      <c r="N133" s="2" t="s">
        <v>1804</v>
      </c>
      <c r="O133" s="3" t="s">
        <v>1805</v>
      </c>
      <c r="Q133" s="3" t="s">
        <v>68</v>
      </c>
      <c r="R133" s="3" t="s">
        <v>69</v>
      </c>
      <c r="S133" s="2" t="s">
        <v>1806</v>
      </c>
      <c r="T133" s="3" t="s">
        <v>70</v>
      </c>
      <c r="U133" s="4">
        <v>11</v>
      </c>
      <c r="V133" s="4">
        <v>11</v>
      </c>
      <c r="W133" s="5" t="s">
        <v>1807</v>
      </c>
      <c r="X133" s="5" t="s">
        <v>1807</v>
      </c>
      <c r="Y133" s="5" t="s">
        <v>386</v>
      </c>
      <c r="Z133" s="5" t="s">
        <v>386</v>
      </c>
      <c r="AA133" s="4">
        <v>450</v>
      </c>
      <c r="AB133" s="4">
        <v>397</v>
      </c>
      <c r="AC133" s="4">
        <v>403</v>
      </c>
      <c r="AD133" s="4">
        <v>2</v>
      </c>
      <c r="AE133" s="4">
        <v>2</v>
      </c>
      <c r="AF133" s="4">
        <v>20</v>
      </c>
      <c r="AG133" s="4">
        <v>20</v>
      </c>
      <c r="AH133" s="4">
        <v>9</v>
      </c>
      <c r="AI133" s="4">
        <v>9</v>
      </c>
      <c r="AJ133" s="4">
        <v>2</v>
      </c>
      <c r="AK133" s="4">
        <v>2</v>
      </c>
      <c r="AL133" s="4">
        <v>13</v>
      </c>
      <c r="AM133" s="4">
        <v>13</v>
      </c>
      <c r="AN133" s="4">
        <v>1</v>
      </c>
      <c r="AO133" s="4">
        <v>1</v>
      </c>
      <c r="AP133" s="4">
        <v>1</v>
      </c>
      <c r="AQ133" s="4">
        <v>1</v>
      </c>
      <c r="AR133" s="3" t="s">
        <v>62</v>
      </c>
      <c r="AS133" s="3" t="s">
        <v>62</v>
      </c>
      <c r="AU133" s="6" t="str">
        <f>HYPERLINK("https://creighton-primo.hosted.exlibrisgroup.com/primo-explore/search?tab=default_tab&amp;search_scope=EVERYTHING&amp;vid=01CRU&amp;lang=en_US&amp;offset=0&amp;query=any,contains,991005197159702656","Catalog Record")</f>
        <v>Catalog Record</v>
      </c>
      <c r="AV133" s="6" t="str">
        <f>HYPERLINK("http://www.worldcat.org/oclc/8051560","WorldCat Record")</f>
        <v>WorldCat Record</v>
      </c>
      <c r="AW133" s="3" t="s">
        <v>1808</v>
      </c>
      <c r="AX133" s="3" t="s">
        <v>1809</v>
      </c>
      <c r="AY133" s="3" t="s">
        <v>1810</v>
      </c>
      <c r="AZ133" s="3" t="s">
        <v>1810</v>
      </c>
      <c r="BA133" s="3" t="s">
        <v>1811</v>
      </c>
      <c r="BB133" s="3" t="s">
        <v>77</v>
      </c>
      <c r="BD133" s="3" t="s">
        <v>1812</v>
      </c>
      <c r="BE133" s="3" t="s">
        <v>1813</v>
      </c>
      <c r="BF133" s="3" t="s">
        <v>1814</v>
      </c>
    </row>
    <row r="134" spans="1:58" ht="41.25" customHeight="1" x14ac:dyDescent="0.25">
      <c r="A134" s="7" t="s">
        <v>62</v>
      </c>
      <c r="B134" s="2" t="s">
        <v>57</v>
      </c>
      <c r="C134" s="2" t="s">
        <v>58</v>
      </c>
      <c r="D134" s="2" t="s">
        <v>1815</v>
      </c>
      <c r="E134" s="2" t="s">
        <v>1816</v>
      </c>
      <c r="F134" s="2" t="s">
        <v>1817</v>
      </c>
      <c r="H134" s="3" t="s">
        <v>62</v>
      </c>
      <c r="I134" s="3" t="s">
        <v>63</v>
      </c>
      <c r="J134" s="3" t="s">
        <v>62</v>
      </c>
      <c r="K134" s="3" t="s">
        <v>62</v>
      </c>
      <c r="L134" s="3" t="s">
        <v>64</v>
      </c>
      <c r="M134" s="2" t="s">
        <v>1818</v>
      </c>
      <c r="N134" s="2" t="s">
        <v>1819</v>
      </c>
      <c r="O134" s="3" t="s">
        <v>1820</v>
      </c>
      <c r="Q134" s="3" t="s">
        <v>68</v>
      </c>
      <c r="R134" s="3" t="s">
        <v>531</v>
      </c>
      <c r="S134" s="2" t="s">
        <v>1821</v>
      </c>
      <c r="T134" s="3" t="s">
        <v>70</v>
      </c>
      <c r="U134" s="4">
        <v>1</v>
      </c>
      <c r="V134" s="4">
        <v>1</v>
      </c>
      <c r="W134" s="5" t="s">
        <v>1822</v>
      </c>
      <c r="X134" s="5" t="s">
        <v>1822</v>
      </c>
      <c r="Y134" s="5" t="s">
        <v>386</v>
      </c>
      <c r="Z134" s="5" t="s">
        <v>386</v>
      </c>
      <c r="AA134" s="4">
        <v>1123</v>
      </c>
      <c r="AB134" s="4">
        <v>998</v>
      </c>
      <c r="AC134" s="4">
        <v>1004</v>
      </c>
      <c r="AD134" s="4">
        <v>5</v>
      </c>
      <c r="AE134" s="4">
        <v>5</v>
      </c>
      <c r="AF134" s="4">
        <v>39</v>
      </c>
      <c r="AG134" s="4">
        <v>39</v>
      </c>
      <c r="AH134" s="4">
        <v>19</v>
      </c>
      <c r="AI134" s="4">
        <v>19</v>
      </c>
      <c r="AJ134" s="4">
        <v>7</v>
      </c>
      <c r="AK134" s="4">
        <v>7</v>
      </c>
      <c r="AL134" s="4">
        <v>17</v>
      </c>
      <c r="AM134" s="4">
        <v>17</v>
      </c>
      <c r="AN134" s="4">
        <v>4</v>
      </c>
      <c r="AO134" s="4">
        <v>4</v>
      </c>
      <c r="AP134" s="4">
        <v>0</v>
      </c>
      <c r="AQ134" s="4">
        <v>0</v>
      </c>
      <c r="AR134" s="3" t="s">
        <v>62</v>
      </c>
      <c r="AS134" s="3" t="s">
        <v>62</v>
      </c>
      <c r="AU134" s="6" t="str">
        <f>HYPERLINK("https://creighton-primo.hosted.exlibrisgroup.com/primo-explore/search?tab=default_tab&amp;search_scope=EVERYTHING&amp;vid=01CRU&amp;lang=en_US&amp;offset=0&amp;query=any,contains,991004592609702656","Catalog Record")</f>
        <v>Catalog Record</v>
      </c>
      <c r="AV134" s="6" t="str">
        <f>HYPERLINK("http://www.worldcat.org/oclc/4135328","WorldCat Record")</f>
        <v>WorldCat Record</v>
      </c>
      <c r="AW134" s="3" t="s">
        <v>1823</v>
      </c>
      <c r="AX134" s="3" t="s">
        <v>1824</v>
      </c>
      <c r="AY134" s="3" t="s">
        <v>1825</v>
      </c>
      <c r="AZ134" s="3" t="s">
        <v>1825</v>
      </c>
      <c r="BA134" s="3" t="s">
        <v>1826</v>
      </c>
      <c r="BB134" s="3" t="s">
        <v>77</v>
      </c>
      <c r="BD134" s="3" t="s">
        <v>1827</v>
      </c>
      <c r="BE134" s="3" t="s">
        <v>1828</v>
      </c>
      <c r="BF134" s="3" t="s">
        <v>1829</v>
      </c>
    </row>
    <row r="135" spans="1:58" ht="41.25" customHeight="1" x14ac:dyDescent="0.25">
      <c r="A135" s="7" t="s">
        <v>62</v>
      </c>
      <c r="B135" s="2" t="s">
        <v>57</v>
      </c>
      <c r="C135" s="2" t="s">
        <v>58</v>
      </c>
      <c r="D135" s="2" t="s">
        <v>1830</v>
      </c>
      <c r="E135" s="2" t="s">
        <v>1831</v>
      </c>
      <c r="F135" s="2" t="s">
        <v>1832</v>
      </c>
      <c r="G135" s="3" t="s">
        <v>83</v>
      </c>
      <c r="H135" s="3" t="s">
        <v>84</v>
      </c>
      <c r="I135" s="3" t="s">
        <v>63</v>
      </c>
      <c r="J135" s="3" t="s">
        <v>62</v>
      </c>
      <c r="K135" s="3" t="s">
        <v>62</v>
      </c>
      <c r="L135" s="3" t="s">
        <v>64</v>
      </c>
      <c r="M135" s="2" t="s">
        <v>1833</v>
      </c>
      <c r="N135" s="2" t="s">
        <v>1834</v>
      </c>
      <c r="O135" s="3" t="s">
        <v>1805</v>
      </c>
      <c r="Q135" s="3" t="s">
        <v>68</v>
      </c>
      <c r="R135" s="3" t="s">
        <v>1184</v>
      </c>
      <c r="T135" s="3" t="s">
        <v>70</v>
      </c>
      <c r="U135" s="4">
        <v>4</v>
      </c>
      <c r="V135" s="4">
        <v>14</v>
      </c>
      <c r="W135" s="5" t="s">
        <v>1835</v>
      </c>
      <c r="X135" s="5" t="s">
        <v>1835</v>
      </c>
      <c r="Y135" s="5" t="s">
        <v>386</v>
      </c>
      <c r="Z135" s="5" t="s">
        <v>386</v>
      </c>
      <c r="AA135" s="4">
        <v>1107</v>
      </c>
      <c r="AB135" s="4">
        <v>1008</v>
      </c>
      <c r="AC135" s="4">
        <v>1365</v>
      </c>
      <c r="AD135" s="4">
        <v>5</v>
      </c>
      <c r="AE135" s="4">
        <v>9</v>
      </c>
      <c r="AF135" s="4">
        <v>39</v>
      </c>
      <c r="AG135" s="4">
        <v>55</v>
      </c>
      <c r="AH135" s="4">
        <v>18</v>
      </c>
      <c r="AI135" s="4">
        <v>24</v>
      </c>
      <c r="AJ135" s="4">
        <v>7</v>
      </c>
      <c r="AK135" s="4">
        <v>10</v>
      </c>
      <c r="AL135" s="4">
        <v>21</v>
      </c>
      <c r="AM135" s="4">
        <v>26</v>
      </c>
      <c r="AN135" s="4">
        <v>4</v>
      </c>
      <c r="AO135" s="4">
        <v>8</v>
      </c>
      <c r="AP135" s="4">
        <v>0</v>
      </c>
      <c r="AQ135" s="4">
        <v>0</v>
      </c>
      <c r="AR135" s="3" t="s">
        <v>62</v>
      </c>
      <c r="AS135" s="3" t="s">
        <v>84</v>
      </c>
      <c r="AT135" s="6" t="str">
        <f>HYPERLINK("http://catalog.hathitrust.org/Record/000269574","HathiTrust Record")</f>
        <v>HathiTrust Record</v>
      </c>
      <c r="AU135" s="6" t="str">
        <f>HYPERLINK("https://creighton-primo.hosted.exlibrisgroup.com/primo-explore/search?tab=default_tab&amp;search_scope=EVERYTHING&amp;vid=01CRU&amp;lang=en_US&amp;offset=0&amp;query=any,contains,991005240559702656","Catalog Record")</f>
        <v>Catalog Record</v>
      </c>
      <c r="AV135" s="6" t="str">
        <f>HYPERLINK("http://www.worldcat.org/oclc/8410921","WorldCat Record")</f>
        <v>WorldCat Record</v>
      </c>
      <c r="AW135" s="3" t="s">
        <v>1836</v>
      </c>
      <c r="AX135" s="3" t="s">
        <v>1837</v>
      </c>
      <c r="AY135" s="3" t="s">
        <v>1838</v>
      </c>
      <c r="AZ135" s="3" t="s">
        <v>1838</v>
      </c>
      <c r="BA135" s="3" t="s">
        <v>1839</v>
      </c>
      <c r="BB135" s="3" t="s">
        <v>77</v>
      </c>
      <c r="BD135" s="3" t="s">
        <v>1840</v>
      </c>
      <c r="BE135" s="3" t="s">
        <v>1841</v>
      </c>
      <c r="BF135" s="3" t="s">
        <v>1842</v>
      </c>
    </row>
    <row r="136" spans="1:58" ht="41.25" customHeight="1" x14ac:dyDescent="0.25">
      <c r="A136" s="7" t="s">
        <v>62</v>
      </c>
      <c r="B136" s="2" t="s">
        <v>57</v>
      </c>
      <c r="C136" s="2" t="s">
        <v>58</v>
      </c>
      <c r="D136" s="2" t="s">
        <v>1830</v>
      </c>
      <c r="E136" s="2" t="s">
        <v>1831</v>
      </c>
      <c r="F136" s="2" t="s">
        <v>1832</v>
      </c>
      <c r="G136" s="3" t="s">
        <v>100</v>
      </c>
      <c r="H136" s="3" t="s">
        <v>84</v>
      </c>
      <c r="I136" s="3" t="s">
        <v>63</v>
      </c>
      <c r="J136" s="3" t="s">
        <v>62</v>
      </c>
      <c r="K136" s="3" t="s">
        <v>62</v>
      </c>
      <c r="L136" s="3" t="s">
        <v>64</v>
      </c>
      <c r="M136" s="2" t="s">
        <v>1833</v>
      </c>
      <c r="N136" s="2" t="s">
        <v>1834</v>
      </c>
      <c r="O136" s="3" t="s">
        <v>1805</v>
      </c>
      <c r="Q136" s="3" t="s">
        <v>68</v>
      </c>
      <c r="R136" s="3" t="s">
        <v>1184</v>
      </c>
      <c r="T136" s="3" t="s">
        <v>70</v>
      </c>
      <c r="U136" s="4">
        <v>10</v>
      </c>
      <c r="V136" s="4">
        <v>14</v>
      </c>
      <c r="W136" s="5" t="s">
        <v>1835</v>
      </c>
      <c r="X136" s="5" t="s">
        <v>1835</v>
      </c>
      <c r="Y136" s="5" t="s">
        <v>386</v>
      </c>
      <c r="Z136" s="5" t="s">
        <v>386</v>
      </c>
      <c r="AA136" s="4">
        <v>1107</v>
      </c>
      <c r="AB136" s="4">
        <v>1008</v>
      </c>
      <c r="AC136" s="4">
        <v>1365</v>
      </c>
      <c r="AD136" s="4">
        <v>5</v>
      </c>
      <c r="AE136" s="4">
        <v>9</v>
      </c>
      <c r="AF136" s="4">
        <v>39</v>
      </c>
      <c r="AG136" s="4">
        <v>55</v>
      </c>
      <c r="AH136" s="4">
        <v>18</v>
      </c>
      <c r="AI136" s="4">
        <v>24</v>
      </c>
      <c r="AJ136" s="4">
        <v>7</v>
      </c>
      <c r="AK136" s="4">
        <v>10</v>
      </c>
      <c r="AL136" s="4">
        <v>21</v>
      </c>
      <c r="AM136" s="4">
        <v>26</v>
      </c>
      <c r="AN136" s="4">
        <v>4</v>
      </c>
      <c r="AO136" s="4">
        <v>8</v>
      </c>
      <c r="AP136" s="4">
        <v>0</v>
      </c>
      <c r="AQ136" s="4">
        <v>0</v>
      </c>
      <c r="AR136" s="3" t="s">
        <v>62</v>
      </c>
      <c r="AS136" s="3" t="s">
        <v>84</v>
      </c>
      <c r="AT136" s="6" t="str">
        <f>HYPERLINK("http://catalog.hathitrust.org/Record/000269574","HathiTrust Record")</f>
        <v>HathiTrust Record</v>
      </c>
      <c r="AU136" s="6" t="str">
        <f>HYPERLINK("https://creighton-primo.hosted.exlibrisgroup.com/primo-explore/search?tab=default_tab&amp;search_scope=EVERYTHING&amp;vid=01CRU&amp;lang=en_US&amp;offset=0&amp;query=any,contains,991005240559702656","Catalog Record")</f>
        <v>Catalog Record</v>
      </c>
      <c r="AV136" s="6" t="str">
        <f>HYPERLINK("http://www.worldcat.org/oclc/8410921","WorldCat Record")</f>
        <v>WorldCat Record</v>
      </c>
      <c r="AW136" s="3" t="s">
        <v>1836</v>
      </c>
      <c r="AX136" s="3" t="s">
        <v>1837</v>
      </c>
      <c r="AY136" s="3" t="s">
        <v>1838</v>
      </c>
      <c r="AZ136" s="3" t="s">
        <v>1838</v>
      </c>
      <c r="BA136" s="3" t="s">
        <v>1839</v>
      </c>
      <c r="BB136" s="3" t="s">
        <v>77</v>
      </c>
      <c r="BD136" s="3" t="s">
        <v>1840</v>
      </c>
      <c r="BE136" s="3" t="s">
        <v>1843</v>
      </c>
      <c r="BF136" s="3" t="s">
        <v>1844</v>
      </c>
    </row>
    <row r="137" spans="1:58" ht="41.25" customHeight="1" x14ac:dyDescent="0.25">
      <c r="A137" s="7" t="s">
        <v>62</v>
      </c>
      <c r="B137" s="2" t="s">
        <v>57</v>
      </c>
      <c r="C137" s="2" t="s">
        <v>58</v>
      </c>
      <c r="D137" s="2" t="s">
        <v>1845</v>
      </c>
      <c r="E137" s="2" t="s">
        <v>1846</v>
      </c>
      <c r="F137" s="2" t="s">
        <v>1847</v>
      </c>
      <c r="H137" s="3" t="s">
        <v>62</v>
      </c>
      <c r="I137" s="3" t="s">
        <v>63</v>
      </c>
      <c r="J137" s="3" t="s">
        <v>62</v>
      </c>
      <c r="K137" s="3" t="s">
        <v>62</v>
      </c>
      <c r="L137" s="3" t="s">
        <v>64</v>
      </c>
      <c r="N137" s="2" t="s">
        <v>1848</v>
      </c>
      <c r="O137" s="3" t="s">
        <v>165</v>
      </c>
      <c r="Q137" s="3" t="s">
        <v>68</v>
      </c>
      <c r="R137" s="3" t="s">
        <v>219</v>
      </c>
      <c r="T137" s="3" t="s">
        <v>70</v>
      </c>
      <c r="U137" s="4">
        <v>6</v>
      </c>
      <c r="V137" s="4">
        <v>6</v>
      </c>
      <c r="W137" s="5" t="s">
        <v>1849</v>
      </c>
      <c r="X137" s="5" t="s">
        <v>1849</v>
      </c>
      <c r="Y137" s="5" t="s">
        <v>386</v>
      </c>
      <c r="Z137" s="5" t="s">
        <v>386</v>
      </c>
      <c r="AA137" s="4">
        <v>879</v>
      </c>
      <c r="AB137" s="4">
        <v>790</v>
      </c>
      <c r="AC137" s="4">
        <v>799</v>
      </c>
      <c r="AD137" s="4">
        <v>4</v>
      </c>
      <c r="AE137" s="4">
        <v>4</v>
      </c>
      <c r="AF137" s="4">
        <v>36</v>
      </c>
      <c r="AG137" s="4">
        <v>36</v>
      </c>
      <c r="AH137" s="4">
        <v>14</v>
      </c>
      <c r="AI137" s="4">
        <v>14</v>
      </c>
      <c r="AJ137" s="4">
        <v>8</v>
      </c>
      <c r="AK137" s="4">
        <v>8</v>
      </c>
      <c r="AL137" s="4">
        <v>22</v>
      </c>
      <c r="AM137" s="4">
        <v>22</v>
      </c>
      <c r="AN137" s="4">
        <v>3</v>
      </c>
      <c r="AO137" s="4">
        <v>3</v>
      </c>
      <c r="AP137" s="4">
        <v>0</v>
      </c>
      <c r="AQ137" s="4">
        <v>0</v>
      </c>
      <c r="AR137" s="3" t="s">
        <v>62</v>
      </c>
      <c r="AS137" s="3" t="s">
        <v>84</v>
      </c>
      <c r="AT137" s="6" t="str">
        <f>HYPERLINK("http://catalog.hathitrust.org/Record/000294396","HathiTrust Record")</f>
        <v>HathiTrust Record</v>
      </c>
      <c r="AU137" s="6" t="str">
        <f>HYPERLINK("https://creighton-primo.hosted.exlibrisgroup.com/primo-explore/search?tab=default_tab&amp;search_scope=EVERYTHING&amp;vid=01CRU&amp;lang=en_US&amp;offset=0&amp;query=any,contains,991004371289702656","Catalog Record")</f>
        <v>Catalog Record</v>
      </c>
      <c r="AV137" s="6" t="str">
        <f>HYPERLINK("http://www.worldcat.org/oclc/3191671","WorldCat Record")</f>
        <v>WorldCat Record</v>
      </c>
      <c r="AW137" s="3" t="s">
        <v>1850</v>
      </c>
      <c r="AX137" s="3" t="s">
        <v>1851</v>
      </c>
      <c r="AY137" s="3" t="s">
        <v>1852</v>
      </c>
      <c r="AZ137" s="3" t="s">
        <v>1852</v>
      </c>
      <c r="BA137" s="3" t="s">
        <v>1853</v>
      </c>
      <c r="BB137" s="3" t="s">
        <v>77</v>
      </c>
      <c r="BD137" s="3" t="s">
        <v>1854</v>
      </c>
      <c r="BE137" s="3" t="s">
        <v>1855</v>
      </c>
      <c r="BF137" s="3" t="s">
        <v>1856</v>
      </c>
    </row>
    <row r="138" spans="1:58" ht="41.25" customHeight="1" x14ac:dyDescent="0.25">
      <c r="A138" s="7" t="s">
        <v>62</v>
      </c>
      <c r="B138" s="2" t="s">
        <v>57</v>
      </c>
      <c r="C138" s="2" t="s">
        <v>58</v>
      </c>
      <c r="D138" s="2" t="s">
        <v>1857</v>
      </c>
      <c r="E138" s="2" t="s">
        <v>1858</v>
      </c>
      <c r="F138" s="2" t="s">
        <v>1859</v>
      </c>
      <c r="H138" s="3" t="s">
        <v>62</v>
      </c>
      <c r="I138" s="3" t="s">
        <v>63</v>
      </c>
      <c r="J138" s="3" t="s">
        <v>62</v>
      </c>
      <c r="K138" s="3" t="s">
        <v>62</v>
      </c>
      <c r="L138" s="3" t="s">
        <v>64</v>
      </c>
      <c r="M138" s="2" t="s">
        <v>1860</v>
      </c>
      <c r="N138" s="2" t="s">
        <v>1861</v>
      </c>
      <c r="O138" s="3" t="s">
        <v>165</v>
      </c>
      <c r="Q138" s="3" t="s">
        <v>68</v>
      </c>
      <c r="R138" s="3" t="s">
        <v>219</v>
      </c>
      <c r="T138" s="3" t="s">
        <v>70</v>
      </c>
      <c r="U138" s="4">
        <v>4</v>
      </c>
      <c r="V138" s="4">
        <v>4</v>
      </c>
      <c r="W138" s="5" t="s">
        <v>1862</v>
      </c>
      <c r="X138" s="5" t="s">
        <v>1862</v>
      </c>
      <c r="Y138" s="5" t="s">
        <v>386</v>
      </c>
      <c r="Z138" s="5" t="s">
        <v>386</v>
      </c>
      <c r="AA138" s="4">
        <v>721</v>
      </c>
      <c r="AB138" s="4">
        <v>678</v>
      </c>
      <c r="AC138" s="4">
        <v>682</v>
      </c>
      <c r="AD138" s="4">
        <v>6</v>
      </c>
      <c r="AE138" s="4">
        <v>6</v>
      </c>
      <c r="AF138" s="4">
        <v>31</v>
      </c>
      <c r="AG138" s="4">
        <v>31</v>
      </c>
      <c r="AH138" s="4">
        <v>11</v>
      </c>
      <c r="AI138" s="4">
        <v>11</v>
      </c>
      <c r="AJ138" s="4">
        <v>8</v>
      </c>
      <c r="AK138" s="4">
        <v>8</v>
      </c>
      <c r="AL138" s="4">
        <v>15</v>
      </c>
      <c r="AM138" s="4">
        <v>15</v>
      </c>
      <c r="AN138" s="4">
        <v>5</v>
      </c>
      <c r="AO138" s="4">
        <v>5</v>
      </c>
      <c r="AP138" s="4">
        <v>0</v>
      </c>
      <c r="AQ138" s="4">
        <v>0</v>
      </c>
      <c r="AR138" s="3" t="s">
        <v>62</v>
      </c>
      <c r="AS138" s="3" t="s">
        <v>62</v>
      </c>
      <c r="AU138" s="6" t="str">
        <f>HYPERLINK("https://creighton-primo.hosted.exlibrisgroup.com/primo-explore/search?tab=default_tab&amp;search_scope=EVERYTHING&amp;vid=01CRU&amp;lang=en_US&amp;offset=0&amp;query=any,contains,991004197559702656","Catalog Record")</f>
        <v>Catalog Record</v>
      </c>
      <c r="AV138" s="6" t="str">
        <f>HYPERLINK("http://www.worldcat.org/oclc/2645417","WorldCat Record")</f>
        <v>WorldCat Record</v>
      </c>
      <c r="AW138" s="3" t="s">
        <v>1863</v>
      </c>
      <c r="AX138" s="3" t="s">
        <v>1864</v>
      </c>
      <c r="AY138" s="3" t="s">
        <v>1865</v>
      </c>
      <c r="AZ138" s="3" t="s">
        <v>1865</v>
      </c>
      <c r="BA138" s="3" t="s">
        <v>1866</v>
      </c>
      <c r="BB138" s="3" t="s">
        <v>77</v>
      </c>
      <c r="BD138" s="3" t="s">
        <v>1867</v>
      </c>
      <c r="BE138" s="3" t="s">
        <v>1868</v>
      </c>
      <c r="BF138" s="3" t="s">
        <v>1869</v>
      </c>
    </row>
    <row r="139" spans="1:58" ht="41.25" customHeight="1" x14ac:dyDescent="0.25">
      <c r="A139" s="7" t="s">
        <v>62</v>
      </c>
      <c r="B139" s="2" t="s">
        <v>57</v>
      </c>
      <c r="C139" s="2" t="s">
        <v>58</v>
      </c>
      <c r="D139" s="2" t="s">
        <v>1870</v>
      </c>
      <c r="E139" s="2" t="s">
        <v>1871</v>
      </c>
      <c r="F139" s="2" t="s">
        <v>1872</v>
      </c>
      <c r="H139" s="3" t="s">
        <v>62</v>
      </c>
      <c r="I139" s="3" t="s">
        <v>63</v>
      </c>
      <c r="J139" s="3" t="s">
        <v>62</v>
      </c>
      <c r="K139" s="3" t="s">
        <v>62</v>
      </c>
      <c r="L139" s="3" t="s">
        <v>64</v>
      </c>
      <c r="M139" s="2" t="s">
        <v>1873</v>
      </c>
      <c r="N139" s="2" t="s">
        <v>136</v>
      </c>
      <c r="O139" s="3" t="s">
        <v>137</v>
      </c>
      <c r="Q139" s="3" t="s">
        <v>68</v>
      </c>
      <c r="R139" s="3" t="s">
        <v>138</v>
      </c>
      <c r="T139" s="3" t="s">
        <v>70</v>
      </c>
      <c r="U139" s="4">
        <v>2</v>
      </c>
      <c r="V139" s="4">
        <v>2</v>
      </c>
      <c r="W139" s="5" t="s">
        <v>1780</v>
      </c>
      <c r="X139" s="5" t="s">
        <v>1780</v>
      </c>
      <c r="Y139" s="5" t="s">
        <v>386</v>
      </c>
      <c r="Z139" s="5" t="s">
        <v>386</v>
      </c>
      <c r="AA139" s="4">
        <v>606</v>
      </c>
      <c r="AB139" s="4">
        <v>533</v>
      </c>
      <c r="AC139" s="4">
        <v>541</v>
      </c>
      <c r="AD139" s="4">
        <v>5</v>
      </c>
      <c r="AE139" s="4">
        <v>5</v>
      </c>
      <c r="AF139" s="4">
        <v>20</v>
      </c>
      <c r="AG139" s="4">
        <v>20</v>
      </c>
      <c r="AH139" s="4">
        <v>6</v>
      </c>
      <c r="AI139" s="4">
        <v>6</v>
      </c>
      <c r="AJ139" s="4">
        <v>4</v>
      </c>
      <c r="AK139" s="4">
        <v>4</v>
      </c>
      <c r="AL139" s="4">
        <v>11</v>
      </c>
      <c r="AM139" s="4">
        <v>11</v>
      </c>
      <c r="AN139" s="4">
        <v>4</v>
      </c>
      <c r="AO139" s="4">
        <v>4</v>
      </c>
      <c r="AP139" s="4">
        <v>0</v>
      </c>
      <c r="AQ139" s="4">
        <v>0</v>
      </c>
      <c r="AR139" s="3" t="s">
        <v>62</v>
      </c>
      <c r="AS139" s="3" t="s">
        <v>84</v>
      </c>
      <c r="AT139" s="6" t="str">
        <f>HYPERLINK("http://catalog.hathitrust.org/Record/000106550","HathiTrust Record")</f>
        <v>HathiTrust Record</v>
      </c>
      <c r="AU139" s="6" t="str">
        <f>HYPERLINK("https://creighton-primo.hosted.exlibrisgroup.com/primo-explore/search?tab=default_tab&amp;search_scope=EVERYTHING&amp;vid=01CRU&amp;lang=en_US&amp;offset=0&amp;query=any,contains,991005029859702656","Catalog Record")</f>
        <v>Catalog Record</v>
      </c>
      <c r="AV139" s="6" t="str">
        <f>HYPERLINK("http://www.worldcat.org/oclc/6709065","WorldCat Record")</f>
        <v>WorldCat Record</v>
      </c>
      <c r="AW139" s="3" t="s">
        <v>1874</v>
      </c>
      <c r="AX139" s="3" t="s">
        <v>1875</v>
      </c>
      <c r="AY139" s="3" t="s">
        <v>1876</v>
      </c>
      <c r="AZ139" s="3" t="s">
        <v>1876</v>
      </c>
      <c r="BA139" s="3" t="s">
        <v>1877</v>
      </c>
      <c r="BB139" s="3" t="s">
        <v>77</v>
      </c>
      <c r="BD139" s="3" t="s">
        <v>1878</v>
      </c>
      <c r="BE139" s="3" t="s">
        <v>1879</v>
      </c>
      <c r="BF139" s="3" t="s">
        <v>1880</v>
      </c>
    </row>
    <row r="140" spans="1:58" ht="41.25" customHeight="1" x14ac:dyDescent="0.25">
      <c r="A140" s="7" t="s">
        <v>62</v>
      </c>
      <c r="B140" s="2" t="s">
        <v>57</v>
      </c>
      <c r="C140" s="2" t="s">
        <v>58</v>
      </c>
      <c r="D140" s="2" t="s">
        <v>1881</v>
      </c>
      <c r="E140" s="2" t="s">
        <v>1882</v>
      </c>
      <c r="F140" s="2" t="s">
        <v>1883</v>
      </c>
      <c r="H140" s="3" t="s">
        <v>62</v>
      </c>
      <c r="I140" s="3" t="s">
        <v>63</v>
      </c>
      <c r="J140" s="3" t="s">
        <v>62</v>
      </c>
      <c r="K140" s="3" t="s">
        <v>62</v>
      </c>
      <c r="L140" s="3" t="s">
        <v>64</v>
      </c>
      <c r="N140" s="2" t="s">
        <v>1884</v>
      </c>
      <c r="O140" s="3" t="s">
        <v>165</v>
      </c>
      <c r="Q140" s="3" t="s">
        <v>68</v>
      </c>
      <c r="R140" s="3" t="s">
        <v>69</v>
      </c>
      <c r="S140" s="2" t="s">
        <v>1885</v>
      </c>
      <c r="T140" s="3" t="s">
        <v>70</v>
      </c>
      <c r="U140" s="4">
        <v>2</v>
      </c>
      <c r="V140" s="4">
        <v>2</v>
      </c>
      <c r="W140" s="5" t="s">
        <v>1886</v>
      </c>
      <c r="X140" s="5" t="s">
        <v>1886</v>
      </c>
      <c r="Y140" s="5" t="s">
        <v>767</v>
      </c>
      <c r="Z140" s="5" t="s">
        <v>767</v>
      </c>
      <c r="AA140" s="4">
        <v>1295</v>
      </c>
      <c r="AB140" s="4">
        <v>1241</v>
      </c>
      <c r="AC140" s="4">
        <v>1257</v>
      </c>
      <c r="AD140" s="4">
        <v>11</v>
      </c>
      <c r="AE140" s="4">
        <v>11</v>
      </c>
      <c r="AF140" s="4">
        <v>33</v>
      </c>
      <c r="AG140" s="4">
        <v>35</v>
      </c>
      <c r="AH140" s="4">
        <v>12</v>
      </c>
      <c r="AI140" s="4">
        <v>13</v>
      </c>
      <c r="AJ140" s="4">
        <v>3</v>
      </c>
      <c r="AK140" s="4">
        <v>4</v>
      </c>
      <c r="AL140" s="4">
        <v>18</v>
      </c>
      <c r="AM140" s="4">
        <v>18</v>
      </c>
      <c r="AN140" s="4">
        <v>7</v>
      </c>
      <c r="AO140" s="4">
        <v>7</v>
      </c>
      <c r="AP140" s="4">
        <v>0</v>
      </c>
      <c r="AQ140" s="4">
        <v>0</v>
      </c>
      <c r="AR140" s="3" t="s">
        <v>62</v>
      </c>
      <c r="AS140" s="3" t="s">
        <v>84</v>
      </c>
      <c r="AT140" s="6" t="str">
        <f>HYPERLINK("http://catalog.hathitrust.org/Record/000751354","HathiTrust Record")</f>
        <v>HathiTrust Record</v>
      </c>
      <c r="AU140" s="6" t="str">
        <f>HYPERLINK("https://creighton-primo.hosted.exlibrisgroup.com/primo-explore/search?tab=default_tab&amp;search_scope=EVERYTHING&amp;vid=01CRU&amp;lang=en_US&amp;offset=0&amp;query=any,contains,991004425659702656","Catalog Record")</f>
        <v>Catalog Record</v>
      </c>
      <c r="AV140" s="6" t="str">
        <f>HYPERLINK("http://www.worldcat.org/oclc/3397234","WorldCat Record")</f>
        <v>WorldCat Record</v>
      </c>
      <c r="AW140" s="3" t="s">
        <v>1887</v>
      </c>
      <c r="AX140" s="3" t="s">
        <v>1888</v>
      </c>
      <c r="AY140" s="3" t="s">
        <v>1889</v>
      </c>
      <c r="AZ140" s="3" t="s">
        <v>1889</v>
      </c>
      <c r="BA140" s="3" t="s">
        <v>1890</v>
      </c>
      <c r="BB140" s="3" t="s">
        <v>77</v>
      </c>
      <c r="BD140" s="3" t="s">
        <v>1891</v>
      </c>
      <c r="BE140" s="3" t="s">
        <v>1892</v>
      </c>
      <c r="BF140" s="3" t="s">
        <v>1893</v>
      </c>
    </row>
    <row r="141" spans="1:58" ht="41.25" customHeight="1" x14ac:dyDescent="0.25">
      <c r="A141" s="7" t="s">
        <v>62</v>
      </c>
      <c r="B141" s="2" t="s">
        <v>57</v>
      </c>
      <c r="C141" s="2" t="s">
        <v>58</v>
      </c>
      <c r="D141" s="2" t="s">
        <v>1894</v>
      </c>
      <c r="E141" s="2" t="s">
        <v>1895</v>
      </c>
      <c r="F141" s="2" t="s">
        <v>1896</v>
      </c>
      <c r="H141" s="3" t="s">
        <v>62</v>
      </c>
      <c r="I141" s="3" t="s">
        <v>63</v>
      </c>
      <c r="J141" s="3" t="s">
        <v>62</v>
      </c>
      <c r="K141" s="3" t="s">
        <v>62</v>
      </c>
      <c r="L141" s="3" t="s">
        <v>64</v>
      </c>
      <c r="M141" s="2" t="s">
        <v>1897</v>
      </c>
      <c r="N141" s="2" t="s">
        <v>1898</v>
      </c>
      <c r="O141" s="3" t="s">
        <v>165</v>
      </c>
      <c r="Q141" s="3" t="s">
        <v>68</v>
      </c>
      <c r="R141" s="3" t="s">
        <v>1225</v>
      </c>
      <c r="T141" s="3" t="s">
        <v>70</v>
      </c>
      <c r="U141" s="4">
        <v>2</v>
      </c>
      <c r="V141" s="4">
        <v>2</v>
      </c>
      <c r="W141" s="5" t="s">
        <v>1899</v>
      </c>
      <c r="X141" s="5" t="s">
        <v>1899</v>
      </c>
      <c r="Y141" s="5" t="s">
        <v>1900</v>
      </c>
      <c r="Z141" s="5" t="s">
        <v>1900</v>
      </c>
      <c r="AA141" s="4">
        <v>216</v>
      </c>
      <c r="AB141" s="4">
        <v>206</v>
      </c>
      <c r="AC141" s="4">
        <v>212</v>
      </c>
      <c r="AD141" s="4">
        <v>1</v>
      </c>
      <c r="AE141" s="4">
        <v>1</v>
      </c>
      <c r="AF141" s="4">
        <v>10</v>
      </c>
      <c r="AG141" s="4">
        <v>10</v>
      </c>
      <c r="AH141" s="4">
        <v>3</v>
      </c>
      <c r="AI141" s="4">
        <v>3</v>
      </c>
      <c r="AJ141" s="4">
        <v>3</v>
      </c>
      <c r="AK141" s="4">
        <v>3</v>
      </c>
      <c r="AL141" s="4">
        <v>6</v>
      </c>
      <c r="AM141" s="4">
        <v>6</v>
      </c>
      <c r="AN141" s="4">
        <v>0</v>
      </c>
      <c r="AO141" s="4">
        <v>0</v>
      </c>
      <c r="AP141" s="4">
        <v>0</v>
      </c>
      <c r="AQ141" s="4">
        <v>0</v>
      </c>
      <c r="AR141" s="3" t="s">
        <v>62</v>
      </c>
      <c r="AS141" s="3" t="s">
        <v>84</v>
      </c>
      <c r="AT141" s="6" t="str">
        <f>HYPERLINK("http://catalog.hathitrust.org/Record/006909002","HathiTrust Record")</f>
        <v>HathiTrust Record</v>
      </c>
      <c r="AU141" s="6" t="str">
        <f>HYPERLINK("https://creighton-primo.hosted.exlibrisgroup.com/primo-explore/search?tab=default_tab&amp;search_scope=EVERYTHING&amp;vid=01CRU&amp;lang=en_US&amp;offset=0&amp;query=any,contains,991003269279702656","Catalog Record")</f>
        <v>Catalog Record</v>
      </c>
      <c r="AV141" s="6" t="str">
        <f>HYPERLINK("http://www.worldcat.org/oclc/3202876","WorldCat Record")</f>
        <v>WorldCat Record</v>
      </c>
      <c r="AW141" s="3" t="s">
        <v>1901</v>
      </c>
      <c r="AX141" s="3" t="s">
        <v>1902</v>
      </c>
      <c r="AY141" s="3" t="s">
        <v>1903</v>
      </c>
      <c r="AZ141" s="3" t="s">
        <v>1903</v>
      </c>
      <c r="BA141" s="3" t="s">
        <v>1904</v>
      </c>
      <c r="BB141" s="3" t="s">
        <v>77</v>
      </c>
      <c r="BD141" s="3" t="s">
        <v>1905</v>
      </c>
      <c r="BE141" s="3" t="s">
        <v>1906</v>
      </c>
      <c r="BF141" s="3" t="s">
        <v>1907</v>
      </c>
    </row>
    <row r="142" spans="1:58" ht="41.25" customHeight="1" x14ac:dyDescent="0.25">
      <c r="A142" s="7" t="s">
        <v>62</v>
      </c>
      <c r="B142" s="2" t="s">
        <v>57</v>
      </c>
      <c r="C142" s="2" t="s">
        <v>58</v>
      </c>
      <c r="D142" s="2" t="s">
        <v>1908</v>
      </c>
      <c r="E142" s="2" t="s">
        <v>1909</v>
      </c>
      <c r="F142" s="2" t="s">
        <v>1910</v>
      </c>
      <c r="H142" s="3" t="s">
        <v>62</v>
      </c>
      <c r="I142" s="3" t="s">
        <v>63</v>
      </c>
      <c r="J142" s="3" t="s">
        <v>62</v>
      </c>
      <c r="K142" s="3" t="s">
        <v>62</v>
      </c>
      <c r="L142" s="3" t="s">
        <v>64</v>
      </c>
      <c r="M142" s="2" t="s">
        <v>1911</v>
      </c>
      <c r="N142" s="2" t="s">
        <v>1912</v>
      </c>
      <c r="O142" s="3" t="s">
        <v>1637</v>
      </c>
      <c r="Q142" s="3" t="s">
        <v>68</v>
      </c>
      <c r="R142" s="3" t="s">
        <v>297</v>
      </c>
      <c r="T142" s="3" t="s">
        <v>70</v>
      </c>
      <c r="U142" s="4">
        <v>10</v>
      </c>
      <c r="V142" s="4">
        <v>10</v>
      </c>
      <c r="W142" s="5" t="s">
        <v>1913</v>
      </c>
      <c r="X142" s="5" t="s">
        <v>1913</v>
      </c>
      <c r="Y142" s="5" t="s">
        <v>1078</v>
      </c>
      <c r="Z142" s="5" t="s">
        <v>1078</v>
      </c>
      <c r="AA142" s="4">
        <v>389</v>
      </c>
      <c r="AB142" s="4">
        <v>251</v>
      </c>
      <c r="AC142" s="4">
        <v>257</v>
      </c>
      <c r="AD142" s="4">
        <v>3</v>
      </c>
      <c r="AE142" s="4">
        <v>3</v>
      </c>
      <c r="AF142" s="4">
        <v>10</v>
      </c>
      <c r="AG142" s="4">
        <v>10</v>
      </c>
      <c r="AH142" s="4">
        <v>1</v>
      </c>
      <c r="AI142" s="4">
        <v>1</v>
      </c>
      <c r="AJ142" s="4">
        <v>3</v>
      </c>
      <c r="AK142" s="4">
        <v>3</v>
      </c>
      <c r="AL142" s="4">
        <v>6</v>
      </c>
      <c r="AM142" s="4">
        <v>6</v>
      </c>
      <c r="AN142" s="4">
        <v>2</v>
      </c>
      <c r="AO142" s="4">
        <v>2</v>
      </c>
      <c r="AP142" s="4">
        <v>0</v>
      </c>
      <c r="AQ142" s="4">
        <v>0</v>
      </c>
      <c r="AR142" s="3" t="s">
        <v>62</v>
      </c>
      <c r="AS142" s="3" t="s">
        <v>84</v>
      </c>
      <c r="AT142" s="6" t="str">
        <f>HYPERLINK("http://catalog.hathitrust.org/Record/000118759","HathiTrust Record")</f>
        <v>HathiTrust Record</v>
      </c>
      <c r="AU142" s="6" t="str">
        <f>HYPERLINK("https://creighton-primo.hosted.exlibrisgroup.com/primo-explore/search?tab=default_tab&amp;search_scope=EVERYTHING&amp;vid=01CRU&amp;lang=en_US&amp;offset=0&amp;query=any,contains,991005233169702656","Catalog Record")</f>
        <v>Catalog Record</v>
      </c>
      <c r="AV142" s="6" t="str">
        <f>HYPERLINK("http://www.worldcat.org/oclc/8346177","WorldCat Record")</f>
        <v>WorldCat Record</v>
      </c>
      <c r="AW142" s="3" t="s">
        <v>1914</v>
      </c>
      <c r="AX142" s="3" t="s">
        <v>1915</v>
      </c>
      <c r="AY142" s="3" t="s">
        <v>1916</v>
      </c>
      <c r="AZ142" s="3" t="s">
        <v>1916</v>
      </c>
      <c r="BA142" s="3" t="s">
        <v>1917</v>
      </c>
      <c r="BB142" s="3" t="s">
        <v>77</v>
      </c>
      <c r="BD142" s="3" t="s">
        <v>1918</v>
      </c>
      <c r="BE142" s="3" t="s">
        <v>1919</v>
      </c>
      <c r="BF142" s="3" t="s">
        <v>1920</v>
      </c>
    </row>
    <row r="143" spans="1:58" ht="41.25" customHeight="1" x14ac:dyDescent="0.25">
      <c r="A143" s="7" t="s">
        <v>62</v>
      </c>
      <c r="B143" s="2" t="s">
        <v>57</v>
      </c>
      <c r="C143" s="2" t="s">
        <v>58</v>
      </c>
      <c r="D143" s="2" t="s">
        <v>1921</v>
      </c>
      <c r="E143" s="2" t="s">
        <v>1922</v>
      </c>
      <c r="F143" s="2" t="s">
        <v>1923</v>
      </c>
      <c r="H143" s="3" t="s">
        <v>62</v>
      </c>
      <c r="I143" s="3" t="s">
        <v>63</v>
      </c>
      <c r="J143" s="3" t="s">
        <v>62</v>
      </c>
      <c r="K143" s="3" t="s">
        <v>62</v>
      </c>
      <c r="L143" s="3" t="s">
        <v>64</v>
      </c>
      <c r="M143" s="2" t="s">
        <v>1924</v>
      </c>
      <c r="N143" s="2" t="s">
        <v>1925</v>
      </c>
      <c r="O143" s="3" t="s">
        <v>561</v>
      </c>
      <c r="Q143" s="3" t="s">
        <v>68</v>
      </c>
      <c r="R143" s="3" t="s">
        <v>1144</v>
      </c>
      <c r="T143" s="3" t="s">
        <v>70</v>
      </c>
      <c r="U143" s="4">
        <v>4</v>
      </c>
      <c r="V143" s="4">
        <v>4</v>
      </c>
      <c r="W143" s="5" t="s">
        <v>1926</v>
      </c>
      <c r="X143" s="5" t="s">
        <v>1926</v>
      </c>
      <c r="Y143" s="5" t="s">
        <v>1078</v>
      </c>
      <c r="Z143" s="5" t="s">
        <v>1078</v>
      </c>
      <c r="AA143" s="4">
        <v>363</v>
      </c>
      <c r="AB143" s="4">
        <v>313</v>
      </c>
      <c r="AC143" s="4">
        <v>329</v>
      </c>
      <c r="AD143" s="4">
        <v>3</v>
      </c>
      <c r="AE143" s="4">
        <v>3</v>
      </c>
      <c r="AF143" s="4">
        <v>19</v>
      </c>
      <c r="AG143" s="4">
        <v>19</v>
      </c>
      <c r="AH143" s="4">
        <v>5</v>
      </c>
      <c r="AI143" s="4">
        <v>5</v>
      </c>
      <c r="AJ143" s="4">
        <v>3</v>
      </c>
      <c r="AK143" s="4">
        <v>3</v>
      </c>
      <c r="AL143" s="4">
        <v>13</v>
      </c>
      <c r="AM143" s="4">
        <v>13</v>
      </c>
      <c r="AN143" s="4">
        <v>2</v>
      </c>
      <c r="AO143" s="4">
        <v>2</v>
      </c>
      <c r="AP143" s="4">
        <v>0</v>
      </c>
      <c r="AQ143" s="4">
        <v>0</v>
      </c>
      <c r="AR143" s="3" t="s">
        <v>62</v>
      </c>
      <c r="AS143" s="3" t="s">
        <v>84</v>
      </c>
      <c r="AT143" s="6" t="str">
        <f>HYPERLINK("http://catalog.hathitrust.org/Record/000384197","HathiTrust Record")</f>
        <v>HathiTrust Record</v>
      </c>
      <c r="AU143" s="6" t="str">
        <f>HYPERLINK("https://creighton-primo.hosted.exlibrisgroup.com/primo-explore/search?tab=default_tab&amp;search_scope=EVERYTHING&amp;vid=01CRU&amp;lang=en_US&amp;offset=0&amp;query=any,contains,991000652979702656","Catalog Record")</f>
        <v>Catalog Record</v>
      </c>
      <c r="AV143" s="6" t="str">
        <f>HYPERLINK("http://www.worldcat.org/oclc/12188771","WorldCat Record")</f>
        <v>WorldCat Record</v>
      </c>
      <c r="AW143" s="3" t="s">
        <v>1927</v>
      </c>
      <c r="AX143" s="3" t="s">
        <v>1928</v>
      </c>
      <c r="AY143" s="3" t="s">
        <v>1929</v>
      </c>
      <c r="AZ143" s="3" t="s">
        <v>1929</v>
      </c>
      <c r="BA143" s="3" t="s">
        <v>1930</v>
      </c>
      <c r="BB143" s="3" t="s">
        <v>77</v>
      </c>
      <c r="BD143" s="3" t="s">
        <v>1931</v>
      </c>
      <c r="BE143" s="3" t="s">
        <v>1932</v>
      </c>
      <c r="BF143" s="3" t="s">
        <v>1933</v>
      </c>
    </row>
    <row r="144" spans="1:58" ht="41.25" customHeight="1" x14ac:dyDescent="0.25">
      <c r="A144" s="7" t="s">
        <v>62</v>
      </c>
      <c r="B144" s="2" t="s">
        <v>57</v>
      </c>
      <c r="C144" s="2" t="s">
        <v>58</v>
      </c>
      <c r="D144" s="2" t="s">
        <v>1934</v>
      </c>
      <c r="E144" s="2" t="s">
        <v>1935</v>
      </c>
      <c r="F144" s="2" t="s">
        <v>1936</v>
      </c>
      <c r="H144" s="3" t="s">
        <v>62</v>
      </c>
      <c r="I144" s="3" t="s">
        <v>63</v>
      </c>
      <c r="J144" s="3" t="s">
        <v>62</v>
      </c>
      <c r="K144" s="3" t="s">
        <v>62</v>
      </c>
      <c r="L144" s="3" t="s">
        <v>64</v>
      </c>
      <c r="M144" s="2" t="s">
        <v>1937</v>
      </c>
      <c r="N144" s="2" t="s">
        <v>1938</v>
      </c>
      <c r="O144" s="3" t="s">
        <v>1939</v>
      </c>
      <c r="Q144" s="3" t="s">
        <v>68</v>
      </c>
      <c r="R144" s="3" t="s">
        <v>110</v>
      </c>
      <c r="T144" s="3" t="s">
        <v>70</v>
      </c>
      <c r="U144" s="4">
        <v>1</v>
      </c>
      <c r="V144" s="4">
        <v>1</v>
      </c>
      <c r="W144" s="5" t="s">
        <v>1430</v>
      </c>
      <c r="X144" s="5" t="s">
        <v>1430</v>
      </c>
      <c r="Y144" s="5" t="s">
        <v>1078</v>
      </c>
      <c r="Z144" s="5" t="s">
        <v>1078</v>
      </c>
      <c r="AA144" s="4">
        <v>57</v>
      </c>
      <c r="AB144" s="4">
        <v>54</v>
      </c>
      <c r="AC144" s="4">
        <v>89</v>
      </c>
      <c r="AD144" s="4">
        <v>1</v>
      </c>
      <c r="AE144" s="4">
        <v>2</v>
      </c>
      <c r="AF144" s="4">
        <v>10</v>
      </c>
      <c r="AG144" s="4">
        <v>13</v>
      </c>
      <c r="AH144" s="4">
        <v>2</v>
      </c>
      <c r="AI144" s="4">
        <v>3</v>
      </c>
      <c r="AJ144" s="4">
        <v>3</v>
      </c>
      <c r="AK144" s="4">
        <v>4</v>
      </c>
      <c r="AL144" s="4">
        <v>7</v>
      </c>
      <c r="AM144" s="4">
        <v>8</v>
      </c>
      <c r="AN144" s="4">
        <v>0</v>
      </c>
      <c r="AO144" s="4">
        <v>1</v>
      </c>
      <c r="AP144" s="4">
        <v>0</v>
      </c>
      <c r="AQ144" s="4">
        <v>0</v>
      </c>
      <c r="AR144" s="3" t="s">
        <v>84</v>
      </c>
      <c r="AS144" s="3" t="s">
        <v>62</v>
      </c>
      <c r="AT144" s="6" t="str">
        <f>HYPERLINK("http://catalog.hathitrust.org/Record/100770764","HathiTrust Record")</f>
        <v>HathiTrust Record</v>
      </c>
      <c r="AU144" s="6" t="str">
        <f>HYPERLINK("https://creighton-primo.hosted.exlibrisgroup.com/primo-explore/search?tab=default_tab&amp;search_scope=EVERYTHING&amp;vid=01CRU&amp;lang=en_US&amp;offset=0&amp;query=any,contains,991004165199702656","Catalog Record")</f>
        <v>Catalog Record</v>
      </c>
      <c r="AV144" s="6" t="str">
        <f>HYPERLINK("http://www.worldcat.org/oclc/2564991","WorldCat Record")</f>
        <v>WorldCat Record</v>
      </c>
      <c r="AW144" s="3" t="s">
        <v>1940</v>
      </c>
      <c r="AX144" s="3" t="s">
        <v>1941</v>
      </c>
      <c r="AY144" s="3" t="s">
        <v>1942</v>
      </c>
      <c r="AZ144" s="3" t="s">
        <v>1942</v>
      </c>
      <c r="BA144" s="3" t="s">
        <v>1943</v>
      </c>
      <c r="BB144" s="3" t="s">
        <v>77</v>
      </c>
      <c r="BE144" s="3" t="s">
        <v>1944</v>
      </c>
      <c r="BF144" s="3" t="s">
        <v>1945</v>
      </c>
    </row>
    <row r="145" spans="1:58" ht="41.25" customHeight="1" x14ac:dyDescent="0.25">
      <c r="A145" s="7" t="s">
        <v>62</v>
      </c>
      <c r="B145" s="2" t="s">
        <v>57</v>
      </c>
      <c r="C145" s="2" t="s">
        <v>58</v>
      </c>
      <c r="D145" s="2" t="s">
        <v>1946</v>
      </c>
      <c r="E145" s="2" t="s">
        <v>1947</v>
      </c>
      <c r="F145" s="2" t="s">
        <v>1948</v>
      </c>
      <c r="H145" s="3" t="s">
        <v>62</v>
      </c>
      <c r="I145" s="3" t="s">
        <v>63</v>
      </c>
      <c r="J145" s="3" t="s">
        <v>62</v>
      </c>
      <c r="K145" s="3" t="s">
        <v>62</v>
      </c>
      <c r="L145" s="3" t="s">
        <v>64</v>
      </c>
      <c r="M145" s="2" t="s">
        <v>1949</v>
      </c>
      <c r="N145" s="2" t="s">
        <v>1950</v>
      </c>
      <c r="O145" s="3" t="s">
        <v>1750</v>
      </c>
      <c r="Q145" s="3" t="s">
        <v>68</v>
      </c>
      <c r="R145" s="3" t="s">
        <v>219</v>
      </c>
      <c r="S145" s="2" t="s">
        <v>1951</v>
      </c>
      <c r="T145" s="3" t="s">
        <v>70</v>
      </c>
      <c r="U145" s="4">
        <v>2</v>
      </c>
      <c r="V145" s="4">
        <v>2</v>
      </c>
      <c r="W145" s="5" t="s">
        <v>1952</v>
      </c>
      <c r="X145" s="5" t="s">
        <v>1952</v>
      </c>
      <c r="Y145" s="5" t="s">
        <v>1953</v>
      </c>
      <c r="Z145" s="5" t="s">
        <v>1953</v>
      </c>
      <c r="AA145" s="4">
        <v>421</v>
      </c>
      <c r="AB145" s="4">
        <v>340</v>
      </c>
      <c r="AC145" s="4">
        <v>852</v>
      </c>
      <c r="AD145" s="4">
        <v>1</v>
      </c>
      <c r="AE145" s="4">
        <v>5</v>
      </c>
      <c r="AF145" s="4">
        <v>12</v>
      </c>
      <c r="AG145" s="4">
        <v>37</v>
      </c>
      <c r="AH145" s="4">
        <v>4</v>
      </c>
      <c r="AI145" s="4">
        <v>14</v>
      </c>
      <c r="AJ145" s="4">
        <v>3</v>
      </c>
      <c r="AK145" s="4">
        <v>9</v>
      </c>
      <c r="AL145" s="4">
        <v>8</v>
      </c>
      <c r="AM145" s="4">
        <v>16</v>
      </c>
      <c r="AN145" s="4">
        <v>0</v>
      </c>
      <c r="AO145" s="4">
        <v>4</v>
      </c>
      <c r="AP145" s="4">
        <v>0</v>
      </c>
      <c r="AQ145" s="4">
        <v>1</v>
      </c>
      <c r="AR145" s="3" t="s">
        <v>62</v>
      </c>
      <c r="AS145" s="3" t="s">
        <v>84</v>
      </c>
      <c r="AT145" s="6" t="str">
        <f>HYPERLINK("http://catalog.hathitrust.org/Record/002481947","HathiTrust Record")</f>
        <v>HathiTrust Record</v>
      </c>
      <c r="AU145" s="6" t="str">
        <f>HYPERLINK("https://creighton-primo.hosted.exlibrisgroup.com/primo-explore/search?tab=default_tab&amp;search_scope=EVERYTHING&amp;vid=01CRU&amp;lang=en_US&amp;offset=0&amp;query=any,contains,991005196559702656","Catalog Record")</f>
        <v>Catalog Record</v>
      </c>
      <c r="AV145" s="6" t="str">
        <f>HYPERLINK("http://www.worldcat.org/oclc/22956368","WorldCat Record")</f>
        <v>WorldCat Record</v>
      </c>
      <c r="AW145" s="3" t="s">
        <v>1954</v>
      </c>
      <c r="AX145" s="3" t="s">
        <v>1955</v>
      </c>
      <c r="AY145" s="3" t="s">
        <v>1956</v>
      </c>
      <c r="AZ145" s="3" t="s">
        <v>1956</v>
      </c>
      <c r="BA145" s="3" t="s">
        <v>1957</v>
      </c>
      <c r="BB145" s="3" t="s">
        <v>77</v>
      </c>
      <c r="BD145" s="3" t="s">
        <v>1958</v>
      </c>
      <c r="BE145" s="3" t="s">
        <v>1959</v>
      </c>
      <c r="BF145" s="3" t="s">
        <v>1960</v>
      </c>
    </row>
    <row r="146" spans="1:58" ht="41.25" customHeight="1" x14ac:dyDescent="0.25">
      <c r="A146" s="7" t="s">
        <v>62</v>
      </c>
      <c r="B146" s="2" t="s">
        <v>57</v>
      </c>
      <c r="C146" s="2" t="s">
        <v>58</v>
      </c>
      <c r="D146" s="2" t="s">
        <v>1961</v>
      </c>
      <c r="E146" s="2" t="s">
        <v>1962</v>
      </c>
      <c r="F146" s="2" t="s">
        <v>1963</v>
      </c>
      <c r="H146" s="3" t="s">
        <v>62</v>
      </c>
      <c r="I146" s="3" t="s">
        <v>63</v>
      </c>
      <c r="J146" s="3" t="s">
        <v>62</v>
      </c>
      <c r="K146" s="3" t="s">
        <v>62</v>
      </c>
      <c r="L146" s="3" t="s">
        <v>64</v>
      </c>
      <c r="M146" s="2" t="s">
        <v>1964</v>
      </c>
      <c r="N146" s="2" t="s">
        <v>778</v>
      </c>
      <c r="O146" s="3" t="s">
        <v>355</v>
      </c>
      <c r="Q146" s="3" t="s">
        <v>68</v>
      </c>
      <c r="R146" s="3" t="s">
        <v>297</v>
      </c>
      <c r="T146" s="3" t="s">
        <v>70</v>
      </c>
      <c r="U146" s="4">
        <v>1</v>
      </c>
      <c r="V146" s="4">
        <v>1</v>
      </c>
      <c r="W146" s="5" t="s">
        <v>1965</v>
      </c>
      <c r="X146" s="5" t="s">
        <v>1965</v>
      </c>
      <c r="Y146" s="5" t="s">
        <v>1966</v>
      </c>
      <c r="Z146" s="5" t="s">
        <v>1966</v>
      </c>
      <c r="AA146" s="4">
        <v>1582</v>
      </c>
      <c r="AB146" s="4">
        <v>1365</v>
      </c>
      <c r="AC146" s="4">
        <v>1383</v>
      </c>
      <c r="AD146" s="4">
        <v>11</v>
      </c>
      <c r="AE146" s="4">
        <v>11</v>
      </c>
      <c r="AF146" s="4">
        <v>32</v>
      </c>
      <c r="AG146" s="4">
        <v>32</v>
      </c>
      <c r="AH146" s="4">
        <v>11</v>
      </c>
      <c r="AI146" s="4">
        <v>11</v>
      </c>
      <c r="AJ146" s="4">
        <v>7</v>
      </c>
      <c r="AK146" s="4">
        <v>7</v>
      </c>
      <c r="AL146" s="4">
        <v>16</v>
      </c>
      <c r="AM146" s="4">
        <v>16</v>
      </c>
      <c r="AN146" s="4">
        <v>5</v>
      </c>
      <c r="AO146" s="4">
        <v>5</v>
      </c>
      <c r="AP146" s="4">
        <v>1</v>
      </c>
      <c r="AQ146" s="4">
        <v>1</v>
      </c>
      <c r="AR146" s="3" t="s">
        <v>62</v>
      </c>
      <c r="AS146" s="3" t="s">
        <v>84</v>
      </c>
      <c r="AT146" s="6" t="str">
        <f>HYPERLINK("http://catalog.hathitrust.org/Record/001395111","HathiTrust Record")</f>
        <v>HathiTrust Record</v>
      </c>
      <c r="AU146" s="6" t="str">
        <f>HYPERLINK("https://creighton-primo.hosted.exlibrisgroup.com/primo-explore/search?tab=default_tab&amp;search_scope=EVERYTHING&amp;vid=01CRU&amp;lang=en_US&amp;offset=0&amp;query=any,contains,991002651929702656","Catalog Record")</f>
        <v>Catalog Record</v>
      </c>
      <c r="AV146" s="6" t="str">
        <f>HYPERLINK("http://www.worldcat.org/oclc/387374","WorldCat Record")</f>
        <v>WorldCat Record</v>
      </c>
      <c r="AW146" s="3" t="s">
        <v>1967</v>
      </c>
      <c r="AX146" s="3" t="s">
        <v>1968</v>
      </c>
      <c r="AY146" s="3" t="s">
        <v>1969</v>
      </c>
      <c r="AZ146" s="3" t="s">
        <v>1969</v>
      </c>
      <c r="BA146" s="3" t="s">
        <v>1970</v>
      </c>
      <c r="BB146" s="3" t="s">
        <v>77</v>
      </c>
      <c r="BE146" s="3" t="s">
        <v>1971</v>
      </c>
      <c r="BF146" s="3" t="s">
        <v>1972</v>
      </c>
    </row>
    <row r="147" spans="1:58" ht="41.25" customHeight="1" x14ac:dyDescent="0.25">
      <c r="A147" s="7" t="s">
        <v>62</v>
      </c>
      <c r="B147" s="2" t="s">
        <v>57</v>
      </c>
      <c r="C147" s="2" t="s">
        <v>58</v>
      </c>
      <c r="D147" s="2" t="s">
        <v>1973</v>
      </c>
      <c r="E147" s="2" t="s">
        <v>1974</v>
      </c>
      <c r="F147" s="2" t="s">
        <v>1975</v>
      </c>
      <c r="H147" s="3" t="s">
        <v>62</v>
      </c>
      <c r="I147" s="3" t="s">
        <v>63</v>
      </c>
      <c r="J147" s="3" t="s">
        <v>62</v>
      </c>
      <c r="K147" s="3" t="s">
        <v>62</v>
      </c>
      <c r="L147" s="3" t="s">
        <v>64</v>
      </c>
      <c r="M147" s="2" t="s">
        <v>1976</v>
      </c>
      <c r="N147" s="2" t="s">
        <v>1977</v>
      </c>
      <c r="O147" s="3" t="s">
        <v>1978</v>
      </c>
      <c r="Q147" s="3" t="s">
        <v>68</v>
      </c>
      <c r="R147" s="3" t="s">
        <v>327</v>
      </c>
      <c r="T147" s="3" t="s">
        <v>70</v>
      </c>
      <c r="U147" s="4">
        <v>2</v>
      </c>
      <c r="V147" s="4">
        <v>2</v>
      </c>
      <c r="W147" s="5" t="s">
        <v>1376</v>
      </c>
      <c r="X147" s="5" t="s">
        <v>1376</v>
      </c>
      <c r="Y147" s="5" t="s">
        <v>1078</v>
      </c>
      <c r="Z147" s="5" t="s">
        <v>1078</v>
      </c>
      <c r="AA147" s="4">
        <v>67</v>
      </c>
      <c r="AB147" s="4">
        <v>59</v>
      </c>
      <c r="AC147" s="4">
        <v>65</v>
      </c>
      <c r="AD147" s="4">
        <v>1</v>
      </c>
      <c r="AE147" s="4">
        <v>1</v>
      </c>
      <c r="AF147" s="4">
        <v>13</v>
      </c>
      <c r="AG147" s="4">
        <v>13</v>
      </c>
      <c r="AH147" s="4">
        <v>4</v>
      </c>
      <c r="AI147" s="4">
        <v>4</v>
      </c>
      <c r="AJ147" s="4">
        <v>3</v>
      </c>
      <c r="AK147" s="4">
        <v>3</v>
      </c>
      <c r="AL147" s="4">
        <v>9</v>
      </c>
      <c r="AM147" s="4">
        <v>9</v>
      </c>
      <c r="AN147" s="4">
        <v>0</v>
      </c>
      <c r="AO147" s="4">
        <v>0</v>
      </c>
      <c r="AP147" s="4">
        <v>0</v>
      </c>
      <c r="AQ147" s="4">
        <v>0</v>
      </c>
      <c r="AR147" s="3" t="s">
        <v>84</v>
      </c>
      <c r="AS147" s="3" t="s">
        <v>62</v>
      </c>
      <c r="AT147" s="6" t="str">
        <f>HYPERLINK("http://catalog.hathitrust.org/Record/100535709","HathiTrust Record")</f>
        <v>HathiTrust Record</v>
      </c>
      <c r="AU147" s="6" t="str">
        <f>HYPERLINK("https://creighton-primo.hosted.exlibrisgroup.com/primo-explore/search?tab=default_tab&amp;search_scope=EVERYTHING&amp;vid=01CRU&amp;lang=en_US&amp;offset=0&amp;query=any,contains,991004537589702656","Catalog Record")</f>
        <v>Catalog Record</v>
      </c>
      <c r="AV147" s="6" t="str">
        <f>HYPERLINK("http://www.worldcat.org/oclc/3875074","WorldCat Record")</f>
        <v>WorldCat Record</v>
      </c>
      <c r="AW147" s="3" t="s">
        <v>1979</v>
      </c>
      <c r="AX147" s="3" t="s">
        <v>1980</v>
      </c>
      <c r="AY147" s="3" t="s">
        <v>1981</v>
      </c>
      <c r="AZ147" s="3" t="s">
        <v>1981</v>
      </c>
      <c r="BA147" s="3" t="s">
        <v>1982</v>
      </c>
      <c r="BB147" s="3" t="s">
        <v>77</v>
      </c>
      <c r="BE147" s="3" t="s">
        <v>1983</v>
      </c>
      <c r="BF147" s="3" t="s">
        <v>1984</v>
      </c>
    </row>
    <row r="148" spans="1:58" ht="41.25" customHeight="1" x14ac:dyDescent="0.25">
      <c r="A148" s="7" t="s">
        <v>62</v>
      </c>
      <c r="B148" s="2" t="s">
        <v>57</v>
      </c>
      <c r="C148" s="2" t="s">
        <v>58</v>
      </c>
      <c r="D148" s="2" t="s">
        <v>1985</v>
      </c>
      <c r="E148" s="2" t="s">
        <v>1986</v>
      </c>
      <c r="F148" s="2" t="s">
        <v>1987</v>
      </c>
      <c r="H148" s="3" t="s">
        <v>62</v>
      </c>
      <c r="I148" s="3" t="s">
        <v>63</v>
      </c>
      <c r="J148" s="3" t="s">
        <v>62</v>
      </c>
      <c r="K148" s="3" t="s">
        <v>62</v>
      </c>
      <c r="L148" s="3" t="s">
        <v>64</v>
      </c>
      <c r="M148" s="2" t="s">
        <v>1988</v>
      </c>
      <c r="N148" s="2" t="s">
        <v>1989</v>
      </c>
      <c r="O148" s="3" t="s">
        <v>1990</v>
      </c>
      <c r="Q148" s="3" t="s">
        <v>68</v>
      </c>
      <c r="R148" s="3" t="s">
        <v>88</v>
      </c>
      <c r="T148" s="3" t="s">
        <v>70</v>
      </c>
      <c r="U148" s="4">
        <v>5</v>
      </c>
      <c r="V148" s="4">
        <v>5</v>
      </c>
      <c r="W148" s="5" t="s">
        <v>1991</v>
      </c>
      <c r="X148" s="5" t="s">
        <v>1991</v>
      </c>
      <c r="Y148" s="5" t="s">
        <v>1992</v>
      </c>
      <c r="Z148" s="5" t="s">
        <v>1992</v>
      </c>
      <c r="AA148" s="4">
        <v>155</v>
      </c>
      <c r="AB148" s="4">
        <v>140</v>
      </c>
      <c r="AC148" s="4">
        <v>635</v>
      </c>
      <c r="AD148" s="4">
        <v>2</v>
      </c>
      <c r="AE148" s="4">
        <v>7</v>
      </c>
      <c r="AF148" s="4">
        <v>8</v>
      </c>
      <c r="AG148" s="4">
        <v>38</v>
      </c>
      <c r="AH148" s="4">
        <v>0</v>
      </c>
      <c r="AI148" s="4">
        <v>5</v>
      </c>
      <c r="AJ148" s="4">
        <v>1</v>
      </c>
      <c r="AK148" s="4">
        <v>5</v>
      </c>
      <c r="AL148" s="4">
        <v>4</v>
      </c>
      <c r="AM148" s="4">
        <v>8</v>
      </c>
      <c r="AN148" s="4">
        <v>1</v>
      </c>
      <c r="AO148" s="4">
        <v>4</v>
      </c>
      <c r="AP148" s="4">
        <v>3</v>
      </c>
      <c r="AQ148" s="4">
        <v>19</v>
      </c>
      <c r="AR148" s="3" t="s">
        <v>84</v>
      </c>
      <c r="AS148" s="3" t="s">
        <v>62</v>
      </c>
      <c r="AT148" s="6" t="str">
        <f>HYPERLINK("http://catalog.hathitrust.org/Record/001392023","HathiTrust Record")</f>
        <v>HathiTrust Record</v>
      </c>
      <c r="AU148" s="6" t="str">
        <f>HYPERLINK("https://creighton-primo.hosted.exlibrisgroup.com/primo-explore/search?tab=default_tab&amp;search_scope=EVERYTHING&amp;vid=01CRU&amp;lang=en_US&amp;offset=0&amp;query=any,contains,991003158599702656","Catalog Record")</f>
        <v>Catalog Record</v>
      </c>
      <c r="AV148" s="6" t="str">
        <f>HYPERLINK("http://www.worldcat.org/oclc/697839","WorldCat Record")</f>
        <v>WorldCat Record</v>
      </c>
      <c r="AW148" s="3" t="s">
        <v>1993</v>
      </c>
      <c r="AX148" s="3" t="s">
        <v>1994</v>
      </c>
      <c r="AY148" s="3" t="s">
        <v>1995</v>
      </c>
      <c r="AZ148" s="3" t="s">
        <v>1995</v>
      </c>
      <c r="BA148" s="3" t="s">
        <v>1996</v>
      </c>
      <c r="BB148" s="3" t="s">
        <v>77</v>
      </c>
      <c r="BE148" s="3" t="s">
        <v>1997</v>
      </c>
      <c r="BF148" s="3" t="s">
        <v>1998</v>
      </c>
    </row>
    <row r="149" spans="1:58" ht="41.25" customHeight="1" x14ac:dyDescent="0.25">
      <c r="A149" s="7" t="s">
        <v>62</v>
      </c>
      <c r="B149" s="2" t="s">
        <v>57</v>
      </c>
      <c r="C149" s="2" t="s">
        <v>58</v>
      </c>
      <c r="D149" s="2" t="s">
        <v>1999</v>
      </c>
      <c r="E149" s="2" t="s">
        <v>2000</v>
      </c>
      <c r="F149" s="2" t="s">
        <v>2001</v>
      </c>
      <c r="H149" s="3" t="s">
        <v>62</v>
      </c>
      <c r="I149" s="3" t="s">
        <v>63</v>
      </c>
      <c r="J149" s="3" t="s">
        <v>62</v>
      </c>
      <c r="K149" s="3" t="s">
        <v>62</v>
      </c>
      <c r="L149" s="3" t="s">
        <v>64</v>
      </c>
      <c r="M149" s="2" t="s">
        <v>2002</v>
      </c>
      <c r="N149" s="2" t="s">
        <v>2003</v>
      </c>
      <c r="O149" s="3" t="s">
        <v>1533</v>
      </c>
      <c r="Q149" s="3" t="s">
        <v>68</v>
      </c>
      <c r="R149" s="3" t="s">
        <v>69</v>
      </c>
      <c r="T149" s="3" t="s">
        <v>70</v>
      </c>
      <c r="U149" s="4">
        <v>2</v>
      </c>
      <c r="V149" s="4">
        <v>2</v>
      </c>
      <c r="W149" s="5" t="s">
        <v>2004</v>
      </c>
      <c r="X149" s="5" t="s">
        <v>2004</v>
      </c>
      <c r="Y149" s="5" t="s">
        <v>1078</v>
      </c>
      <c r="Z149" s="5" t="s">
        <v>1078</v>
      </c>
      <c r="AA149" s="4">
        <v>126</v>
      </c>
      <c r="AB149" s="4">
        <v>110</v>
      </c>
      <c r="AC149" s="4">
        <v>110</v>
      </c>
      <c r="AD149" s="4">
        <v>2</v>
      </c>
      <c r="AE149" s="4">
        <v>2</v>
      </c>
      <c r="AF149" s="4">
        <v>13</v>
      </c>
      <c r="AG149" s="4">
        <v>13</v>
      </c>
      <c r="AH149" s="4">
        <v>2</v>
      </c>
      <c r="AI149" s="4">
        <v>2</v>
      </c>
      <c r="AJ149" s="4">
        <v>4</v>
      </c>
      <c r="AK149" s="4">
        <v>4</v>
      </c>
      <c r="AL149" s="4">
        <v>10</v>
      </c>
      <c r="AM149" s="4">
        <v>10</v>
      </c>
      <c r="AN149" s="4">
        <v>1</v>
      </c>
      <c r="AO149" s="4">
        <v>1</v>
      </c>
      <c r="AP149" s="4">
        <v>0</v>
      </c>
      <c r="AQ149" s="4">
        <v>0</v>
      </c>
      <c r="AR149" s="3" t="s">
        <v>62</v>
      </c>
      <c r="AS149" s="3" t="s">
        <v>62</v>
      </c>
      <c r="AU149" s="6" t="str">
        <f>HYPERLINK("https://creighton-primo.hosted.exlibrisgroup.com/primo-explore/search?tab=default_tab&amp;search_scope=EVERYTHING&amp;vid=01CRU&amp;lang=en_US&amp;offset=0&amp;query=any,contains,991003468669702656","Catalog Record")</f>
        <v>Catalog Record</v>
      </c>
      <c r="AV149" s="6" t="str">
        <f>HYPERLINK("http://www.worldcat.org/oclc/1009837","WorldCat Record")</f>
        <v>WorldCat Record</v>
      </c>
      <c r="AW149" s="3" t="s">
        <v>2005</v>
      </c>
      <c r="AX149" s="3" t="s">
        <v>2006</v>
      </c>
      <c r="AY149" s="3" t="s">
        <v>2007</v>
      </c>
      <c r="AZ149" s="3" t="s">
        <v>2007</v>
      </c>
      <c r="BA149" s="3" t="s">
        <v>2008</v>
      </c>
      <c r="BB149" s="3" t="s">
        <v>77</v>
      </c>
      <c r="BD149" s="3" t="s">
        <v>2009</v>
      </c>
      <c r="BE149" s="3" t="s">
        <v>2010</v>
      </c>
      <c r="BF149" s="3" t="s">
        <v>2011</v>
      </c>
    </row>
    <row r="150" spans="1:58" ht="41.25" customHeight="1" x14ac:dyDescent="0.25">
      <c r="A150" s="7" t="s">
        <v>62</v>
      </c>
      <c r="B150" s="2" t="s">
        <v>57</v>
      </c>
      <c r="C150" s="2" t="s">
        <v>58</v>
      </c>
      <c r="D150" s="2" t="s">
        <v>2012</v>
      </c>
      <c r="E150" s="2" t="s">
        <v>2013</v>
      </c>
      <c r="F150" s="2" t="s">
        <v>2014</v>
      </c>
      <c r="G150" s="3" t="s">
        <v>245</v>
      </c>
      <c r="H150" s="3" t="s">
        <v>62</v>
      </c>
      <c r="I150" s="3" t="s">
        <v>63</v>
      </c>
      <c r="J150" s="3" t="s">
        <v>62</v>
      </c>
      <c r="K150" s="3" t="s">
        <v>62</v>
      </c>
      <c r="L150" s="3" t="s">
        <v>64</v>
      </c>
      <c r="M150" s="2" t="s">
        <v>2015</v>
      </c>
      <c r="N150" s="2" t="s">
        <v>2016</v>
      </c>
      <c r="O150" s="3" t="s">
        <v>2017</v>
      </c>
      <c r="Q150" s="3" t="s">
        <v>68</v>
      </c>
      <c r="R150" s="3" t="s">
        <v>69</v>
      </c>
      <c r="T150" s="3" t="s">
        <v>70</v>
      </c>
      <c r="U150" s="4">
        <v>6</v>
      </c>
      <c r="V150" s="4">
        <v>6</v>
      </c>
      <c r="W150" s="5" t="s">
        <v>2018</v>
      </c>
      <c r="X150" s="5" t="s">
        <v>2018</v>
      </c>
      <c r="Y150" s="5" t="s">
        <v>1078</v>
      </c>
      <c r="Z150" s="5" t="s">
        <v>1078</v>
      </c>
      <c r="AA150" s="4">
        <v>24</v>
      </c>
      <c r="AB150" s="4">
        <v>23</v>
      </c>
      <c r="AC150" s="4">
        <v>114</v>
      </c>
      <c r="AD150" s="4">
        <v>1</v>
      </c>
      <c r="AE150" s="4">
        <v>1</v>
      </c>
      <c r="AF150" s="4">
        <v>5</v>
      </c>
      <c r="AG150" s="4">
        <v>17</v>
      </c>
      <c r="AH150" s="4">
        <v>0</v>
      </c>
      <c r="AI150" s="4">
        <v>4</v>
      </c>
      <c r="AJ150" s="4">
        <v>1</v>
      </c>
      <c r="AK150" s="4">
        <v>3</v>
      </c>
      <c r="AL150" s="4">
        <v>5</v>
      </c>
      <c r="AM150" s="4">
        <v>13</v>
      </c>
      <c r="AN150" s="4">
        <v>0</v>
      </c>
      <c r="AO150" s="4">
        <v>0</v>
      </c>
      <c r="AP150" s="4">
        <v>0</v>
      </c>
      <c r="AQ150" s="4">
        <v>0</v>
      </c>
      <c r="AR150" s="3" t="s">
        <v>62</v>
      </c>
      <c r="AS150" s="3" t="s">
        <v>62</v>
      </c>
      <c r="AU150" s="6" t="str">
        <f>HYPERLINK("https://creighton-primo.hosted.exlibrisgroup.com/primo-explore/search?tab=default_tab&amp;search_scope=EVERYTHING&amp;vid=01CRU&amp;lang=en_US&amp;offset=0&amp;query=any,contains,991004906919702656","Catalog Record")</f>
        <v>Catalog Record</v>
      </c>
      <c r="AV150" s="6" t="str">
        <f>HYPERLINK("http://www.worldcat.org/oclc/5955576","WorldCat Record")</f>
        <v>WorldCat Record</v>
      </c>
      <c r="AW150" s="3" t="s">
        <v>2019</v>
      </c>
      <c r="AX150" s="3" t="s">
        <v>2020</v>
      </c>
      <c r="AY150" s="3" t="s">
        <v>2021</v>
      </c>
      <c r="AZ150" s="3" t="s">
        <v>2021</v>
      </c>
      <c r="BA150" s="3" t="s">
        <v>2022</v>
      </c>
      <c r="BB150" s="3" t="s">
        <v>77</v>
      </c>
      <c r="BE150" s="3" t="s">
        <v>2023</v>
      </c>
      <c r="BF150" s="3" t="s">
        <v>2024</v>
      </c>
    </row>
    <row r="151" spans="1:58" ht="41.25" customHeight="1" x14ac:dyDescent="0.25">
      <c r="A151" s="7" t="s">
        <v>62</v>
      </c>
      <c r="B151" s="2" t="s">
        <v>57</v>
      </c>
      <c r="C151" s="2" t="s">
        <v>58</v>
      </c>
      <c r="D151" s="2" t="s">
        <v>2025</v>
      </c>
      <c r="E151" s="2" t="s">
        <v>2026</v>
      </c>
      <c r="F151" s="2" t="s">
        <v>2027</v>
      </c>
      <c r="H151" s="3" t="s">
        <v>62</v>
      </c>
      <c r="I151" s="3" t="s">
        <v>63</v>
      </c>
      <c r="J151" s="3" t="s">
        <v>62</v>
      </c>
      <c r="K151" s="3" t="s">
        <v>62</v>
      </c>
      <c r="L151" s="3" t="s">
        <v>64</v>
      </c>
      <c r="M151" s="2" t="s">
        <v>2028</v>
      </c>
      <c r="N151" s="2" t="s">
        <v>2029</v>
      </c>
      <c r="O151" s="3" t="s">
        <v>1012</v>
      </c>
      <c r="Q151" s="3" t="s">
        <v>68</v>
      </c>
      <c r="R151" s="3" t="s">
        <v>88</v>
      </c>
      <c r="S151" s="2" t="s">
        <v>2030</v>
      </c>
      <c r="T151" s="3" t="s">
        <v>70</v>
      </c>
      <c r="U151" s="4">
        <v>11</v>
      </c>
      <c r="V151" s="4">
        <v>11</v>
      </c>
      <c r="W151" s="5" t="s">
        <v>2031</v>
      </c>
      <c r="X151" s="5" t="s">
        <v>2031</v>
      </c>
      <c r="Y151" s="5" t="s">
        <v>1078</v>
      </c>
      <c r="Z151" s="5" t="s">
        <v>1078</v>
      </c>
      <c r="AA151" s="4">
        <v>806</v>
      </c>
      <c r="AB151" s="4">
        <v>715</v>
      </c>
      <c r="AC151" s="4">
        <v>871</v>
      </c>
      <c r="AD151" s="4">
        <v>3</v>
      </c>
      <c r="AE151" s="4">
        <v>5</v>
      </c>
      <c r="AF151" s="4">
        <v>32</v>
      </c>
      <c r="AG151" s="4">
        <v>38</v>
      </c>
      <c r="AH151" s="4">
        <v>11</v>
      </c>
      <c r="AI151" s="4">
        <v>13</v>
      </c>
      <c r="AJ151" s="4">
        <v>7</v>
      </c>
      <c r="AK151" s="4">
        <v>8</v>
      </c>
      <c r="AL151" s="4">
        <v>20</v>
      </c>
      <c r="AM151" s="4">
        <v>21</v>
      </c>
      <c r="AN151" s="4">
        <v>2</v>
      </c>
      <c r="AO151" s="4">
        <v>4</v>
      </c>
      <c r="AP151" s="4">
        <v>0</v>
      </c>
      <c r="AQ151" s="4">
        <v>1</v>
      </c>
      <c r="AR151" s="3" t="s">
        <v>62</v>
      </c>
      <c r="AS151" s="3" t="s">
        <v>84</v>
      </c>
      <c r="AT151" s="6" t="str">
        <f>HYPERLINK("http://catalog.hathitrust.org/Record/001392032","HathiTrust Record")</f>
        <v>HathiTrust Record</v>
      </c>
      <c r="AU151" s="6" t="str">
        <f>HYPERLINK("https://creighton-primo.hosted.exlibrisgroup.com/primo-explore/search?tab=default_tab&amp;search_scope=EVERYTHING&amp;vid=01CRU&amp;lang=en_US&amp;offset=0&amp;query=any,contains,991002404269702656","Catalog Record")</f>
        <v>Catalog Record</v>
      </c>
      <c r="AV151" s="6" t="str">
        <f>HYPERLINK("http://www.worldcat.org/oclc/338408","WorldCat Record")</f>
        <v>WorldCat Record</v>
      </c>
      <c r="AW151" s="3" t="s">
        <v>2032</v>
      </c>
      <c r="AX151" s="3" t="s">
        <v>2033</v>
      </c>
      <c r="AY151" s="3" t="s">
        <v>2034</v>
      </c>
      <c r="AZ151" s="3" t="s">
        <v>2034</v>
      </c>
      <c r="BA151" s="3" t="s">
        <v>2035</v>
      </c>
      <c r="BB151" s="3" t="s">
        <v>77</v>
      </c>
      <c r="BE151" s="3" t="s">
        <v>2036</v>
      </c>
      <c r="BF151" s="3" t="s">
        <v>2037</v>
      </c>
    </row>
    <row r="152" spans="1:58" ht="41.25" customHeight="1" x14ac:dyDescent="0.25">
      <c r="A152" s="7" t="s">
        <v>62</v>
      </c>
      <c r="B152" s="2" t="s">
        <v>57</v>
      </c>
      <c r="C152" s="2" t="s">
        <v>58</v>
      </c>
      <c r="D152" s="2" t="s">
        <v>2038</v>
      </c>
      <c r="E152" s="2" t="s">
        <v>2039</v>
      </c>
      <c r="F152" s="2" t="s">
        <v>2040</v>
      </c>
      <c r="H152" s="3" t="s">
        <v>62</v>
      </c>
      <c r="I152" s="3" t="s">
        <v>63</v>
      </c>
      <c r="J152" s="3" t="s">
        <v>62</v>
      </c>
      <c r="K152" s="3" t="s">
        <v>62</v>
      </c>
      <c r="L152" s="3" t="s">
        <v>64</v>
      </c>
      <c r="M152" s="2" t="s">
        <v>2041</v>
      </c>
      <c r="N152" s="2" t="s">
        <v>2042</v>
      </c>
      <c r="O152" s="3" t="s">
        <v>516</v>
      </c>
      <c r="Q152" s="3" t="s">
        <v>68</v>
      </c>
      <c r="R152" s="3" t="s">
        <v>69</v>
      </c>
      <c r="T152" s="3" t="s">
        <v>70</v>
      </c>
      <c r="U152" s="4">
        <v>11</v>
      </c>
      <c r="V152" s="4">
        <v>11</v>
      </c>
      <c r="W152" s="5" t="s">
        <v>2004</v>
      </c>
      <c r="X152" s="5" t="s">
        <v>2004</v>
      </c>
      <c r="Y152" s="5" t="s">
        <v>1078</v>
      </c>
      <c r="Z152" s="5" t="s">
        <v>1078</v>
      </c>
      <c r="AA152" s="4">
        <v>327</v>
      </c>
      <c r="AB152" s="4">
        <v>306</v>
      </c>
      <c r="AC152" s="4">
        <v>353</v>
      </c>
      <c r="AD152" s="4">
        <v>3</v>
      </c>
      <c r="AE152" s="4">
        <v>3</v>
      </c>
      <c r="AF152" s="4">
        <v>33</v>
      </c>
      <c r="AG152" s="4">
        <v>36</v>
      </c>
      <c r="AH152" s="4">
        <v>15</v>
      </c>
      <c r="AI152" s="4">
        <v>15</v>
      </c>
      <c r="AJ152" s="4">
        <v>8</v>
      </c>
      <c r="AK152" s="4">
        <v>8</v>
      </c>
      <c r="AL152" s="4">
        <v>20</v>
      </c>
      <c r="AM152" s="4">
        <v>23</v>
      </c>
      <c r="AN152" s="4">
        <v>1</v>
      </c>
      <c r="AO152" s="4">
        <v>1</v>
      </c>
      <c r="AP152" s="4">
        <v>0</v>
      </c>
      <c r="AQ152" s="4">
        <v>0</v>
      </c>
      <c r="AR152" s="3" t="s">
        <v>62</v>
      </c>
      <c r="AS152" s="3" t="s">
        <v>62</v>
      </c>
      <c r="AU152" s="6" t="str">
        <f>HYPERLINK("https://creighton-primo.hosted.exlibrisgroup.com/primo-explore/search?tab=default_tab&amp;search_scope=EVERYTHING&amp;vid=01CRU&amp;lang=en_US&amp;offset=0&amp;query=any,contains,991003131329702656","Catalog Record")</f>
        <v>Catalog Record</v>
      </c>
      <c r="AV152" s="6" t="str">
        <f>HYPERLINK("http://www.worldcat.org/oclc/674489","WorldCat Record")</f>
        <v>WorldCat Record</v>
      </c>
      <c r="AW152" s="3" t="s">
        <v>2043</v>
      </c>
      <c r="AX152" s="3" t="s">
        <v>2044</v>
      </c>
      <c r="AY152" s="3" t="s">
        <v>2045</v>
      </c>
      <c r="AZ152" s="3" t="s">
        <v>2045</v>
      </c>
      <c r="BA152" s="3" t="s">
        <v>2046</v>
      </c>
      <c r="BB152" s="3" t="s">
        <v>77</v>
      </c>
      <c r="BE152" s="3" t="s">
        <v>2047</v>
      </c>
      <c r="BF152" s="3" t="s">
        <v>2048</v>
      </c>
    </row>
    <row r="153" spans="1:58" ht="41.25" customHeight="1" x14ac:dyDescent="0.25">
      <c r="A153" s="7" t="s">
        <v>62</v>
      </c>
      <c r="B153" s="2" t="s">
        <v>57</v>
      </c>
      <c r="C153" s="2" t="s">
        <v>58</v>
      </c>
      <c r="D153" s="2" t="s">
        <v>2049</v>
      </c>
      <c r="E153" s="2" t="s">
        <v>2050</v>
      </c>
      <c r="F153" s="2" t="s">
        <v>2051</v>
      </c>
      <c r="H153" s="3" t="s">
        <v>62</v>
      </c>
      <c r="I153" s="3" t="s">
        <v>63</v>
      </c>
      <c r="J153" s="3" t="s">
        <v>62</v>
      </c>
      <c r="K153" s="3" t="s">
        <v>62</v>
      </c>
      <c r="L153" s="3" t="s">
        <v>64</v>
      </c>
      <c r="M153" s="2" t="s">
        <v>2052</v>
      </c>
      <c r="N153" s="2" t="s">
        <v>2053</v>
      </c>
      <c r="O153" s="3" t="s">
        <v>2017</v>
      </c>
      <c r="P153" s="2" t="s">
        <v>2054</v>
      </c>
      <c r="Q153" s="3" t="s">
        <v>68</v>
      </c>
      <c r="R153" s="3" t="s">
        <v>219</v>
      </c>
      <c r="T153" s="3" t="s">
        <v>70</v>
      </c>
      <c r="U153" s="4">
        <v>6</v>
      </c>
      <c r="V153" s="4">
        <v>6</v>
      </c>
      <c r="W153" s="5" t="s">
        <v>2055</v>
      </c>
      <c r="X153" s="5" t="s">
        <v>2055</v>
      </c>
      <c r="Y153" s="5" t="s">
        <v>1078</v>
      </c>
      <c r="Z153" s="5" t="s">
        <v>1078</v>
      </c>
      <c r="AA153" s="4">
        <v>100</v>
      </c>
      <c r="AB153" s="4">
        <v>85</v>
      </c>
      <c r="AC153" s="4">
        <v>275</v>
      </c>
      <c r="AD153" s="4">
        <v>1</v>
      </c>
      <c r="AE153" s="4">
        <v>3</v>
      </c>
      <c r="AF153" s="4">
        <v>2</v>
      </c>
      <c r="AG153" s="4">
        <v>12</v>
      </c>
      <c r="AH153" s="4">
        <v>2</v>
      </c>
      <c r="AI153" s="4">
        <v>6</v>
      </c>
      <c r="AJ153" s="4">
        <v>0</v>
      </c>
      <c r="AK153" s="4">
        <v>1</v>
      </c>
      <c r="AL153" s="4">
        <v>0</v>
      </c>
      <c r="AM153" s="4">
        <v>2</v>
      </c>
      <c r="AN153" s="4">
        <v>0</v>
      </c>
      <c r="AO153" s="4">
        <v>2</v>
      </c>
      <c r="AP153" s="4">
        <v>0</v>
      </c>
      <c r="AQ153" s="4">
        <v>1</v>
      </c>
      <c r="AR153" s="3" t="s">
        <v>84</v>
      </c>
      <c r="AS153" s="3" t="s">
        <v>62</v>
      </c>
      <c r="AT153" s="6" t="str">
        <f>HYPERLINK("http://catalog.hathitrust.org/Record/006524879","HathiTrust Record")</f>
        <v>HathiTrust Record</v>
      </c>
      <c r="AU153" s="6" t="str">
        <f>HYPERLINK("https://creighton-primo.hosted.exlibrisgroup.com/primo-explore/search?tab=default_tab&amp;search_scope=EVERYTHING&amp;vid=01CRU&amp;lang=en_US&amp;offset=0&amp;query=any,contains,991000039789702656","Catalog Record")</f>
        <v>Catalog Record</v>
      </c>
      <c r="AV153" s="6" t="str">
        <f>HYPERLINK("http://www.worldcat.org/oclc/2680048","WorldCat Record")</f>
        <v>WorldCat Record</v>
      </c>
      <c r="AW153" s="3" t="s">
        <v>2056</v>
      </c>
      <c r="AX153" s="3" t="s">
        <v>2057</v>
      </c>
      <c r="AY153" s="3" t="s">
        <v>2058</v>
      </c>
      <c r="AZ153" s="3" t="s">
        <v>2058</v>
      </c>
      <c r="BA153" s="3" t="s">
        <v>2059</v>
      </c>
      <c r="BB153" s="3" t="s">
        <v>77</v>
      </c>
      <c r="BE153" s="3" t="s">
        <v>2060</v>
      </c>
      <c r="BF153" s="3" t="s">
        <v>2061</v>
      </c>
    </row>
    <row r="154" spans="1:58" ht="41.25" customHeight="1" x14ac:dyDescent="0.25">
      <c r="A154" s="7" t="s">
        <v>62</v>
      </c>
      <c r="B154" s="2" t="s">
        <v>57</v>
      </c>
      <c r="C154" s="2" t="s">
        <v>58</v>
      </c>
      <c r="D154" s="2" t="s">
        <v>2062</v>
      </c>
      <c r="E154" s="2" t="s">
        <v>2063</v>
      </c>
      <c r="F154" s="2" t="s">
        <v>2064</v>
      </c>
      <c r="H154" s="3" t="s">
        <v>62</v>
      </c>
      <c r="I154" s="3" t="s">
        <v>63</v>
      </c>
      <c r="J154" s="3" t="s">
        <v>62</v>
      </c>
      <c r="K154" s="3" t="s">
        <v>62</v>
      </c>
      <c r="L154" s="3" t="s">
        <v>64</v>
      </c>
      <c r="M154" s="2" t="s">
        <v>2065</v>
      </c>
      <c r="N154" s="2" t="s">
        <v>2066</v>
      </c>
      <c r="O154" s="3" t="s">
        <v>2067</v>
      </c>
      <c r="P154" s="2" t="s">
        <v>2068</v>
      </c>
      <c r="Q154" s="3" t="s">
        <v>68</v>
      </c>
      <c r="R154" s="3" t="s">
        <v>69</v>
      </c>
      <c r="T154" s="3" t="s">
        <v>70</v>
      </c>
      <c r="U154" s="4">
        <v>2</v>
      </c>
      <c r="V154" s="4">
        <v>2</v>
      </c>
      <c r="W154" s="5" t="s">
        <v>2069</v>
      </c>
      <c r="X154" s="5" t="s">
        <v>2069</v>
      </c>
      <c r="Y154" s="5" t="s">
        <v>2070</v>
      </c>
      <c r="Z154" s="5" t="s">
        <v>2070</v>
      </c>
      <c r="AA154" s="4">
        <v>11</v>
      </c>
      <c r="AB154" s="4">
        <v>9</v>
      </c>
      <c r="AC154" s="4">
        <v>15</v>
      </c>
      <c r="AD154" s="4">
        <v>1</v>
      </c>
      <c r="AE154" s="4">
        <v>1</v>
      </c>
      <c r="AF154" s="4">
        <v>3</v>
      </c>
      <c r="AG154" s="4">
        <v>4</v>
      </c>
      <c r="AH154" s="4">
        <v>1</v>
      </c>
      <c r="AI154" s="4">
        <v>1</v>
      </c>
      <c r="AJ154" s="4">
        <v>0</v>
      </c>
      <c r="AK154" s="4">
        <v>0</v>
      </c>
      <c r="AL154" s="4">
        <v>3</v>
      </c>
      <c r="AM154" s="4">
        <v>4</v>
      </c>
      <c r="AN154" s="4">
        <v>0</v>
      </c>
      <c r="AO154" s="4">
        <v>0</v>
      </c>
      <c r="AP154" s="4">
        <v>0</v>
      </c>
      <c r="AQ154" s="4">
        <v>0</v>
      </c>
      <c r="AR154" s="3" t="s">
        <v>62</v>
      </c>
      <c r="AS154" s="3" t="s">
        <v>62</v>
      </c>
      <c r="AU154" s="6" t="str">
        <f>HYPERLINK("https://creighton-primo.hosted.exlibrisgroup.com/primo-explore/search?tab=default_tab&amp;search_scope=EVERYTHING&amp;vid=01CRU&amp;lang=en_US&amp;offset=0&amp;query=any,contains,991001465099702656","Catalog Record")</f>
        <v>Catalog Record</v>
      </c>
      <c r="AV154" s="6" t="str">
        <f>HYPERLINK("http://www.worldcat.org/oclc/19503075","WorldCat Record")</f>
        <v>WorldCat Record</v>
      </c>
      <c r="AW154" s="3" t="s">
        <v>2071</v>
      </c>
      <c r="AX154" s="3" t="s">
        <v>2072</v>
      </c>
      <c r="AY154" s="3" t="s">
        <v>2073</v>
      </c>
      <c r="AZ154" s="3" t="s">
        <v>2073</v>
      </c>
      <c r="BA154" s="3" t="s">
        <v>2074</v>
      </c>
      <c r="BB154" s="3" t="s">
        <v>77</v>
      </c>
      <c r="BE154" s="3" t="s">
        <v>2075</v>
      </c>
      <c r="BF154" s="3" t="s">
        <v>2076</v>
      </c>
    </row>
    <row r="155" spans="1:58" ht="41.25" customHeight="1" x14ac:dyDescent="0.25">
      <c r="A155" s="7" t="s">
        <v>62</v>
      </c>
      <c r="B155" s="2" t="s">
        <v>57</v>
      </c>
      <c r="C155" s="2" t="s">
        <v>58</v>
      </c>
      <c r="D155" s="2" t="s">
        <v>2077</v>
      </c>
      <c r="E155" s="2" t="s">
        <v>2078</v>
      </c>
      <c r="F155" s="2" t="s">
        <v>2079</v>
      </c>
      <c r="H155" s="3" t="s">
        <v>62</v>
      </c>
      <c r="I155" s="3" t="s">
        <v>63</v>
      </c>
      <c r="J155" s="3" t="s">
        <v>62</v>
      </c>
      <c r="K155" s="3" t="s">
        <v>62</v>
      </c>
      <c r="L155" s="3" t="s">
        <v>64</v>
      </c>
      <c r="M155" s="2" t="s">
        <v>2080</v>
      </c>
      <c r="N155" s="2" t="s">
        <v>2081</v>
      </c>
      <c r="O155" s="3" t="s">
        <v>2082</v>
      </c>
      <c r="Q155" s="3" t="s">
        <v>68</v>
      </c>
      <c r="R155" s="3" t="s">
        <v>110</v>
      </c>
      <c r="T155" s="3" t="s">
        <v>70</v>
      </c>
      <c r="U155" s="4">
        <v>2</v>
      </c>
      <c r="V155" s="4">
        <v>2</v>
      </c>
      <c r="W155" s="5" t="s">
        <v>504</v>
      </c>
      <c r="X155" s="5" t="s">
        <v>504</v>
      </c>
      <c r="Y155" s="5" t="s">
        <v>1078</v>
      </c>
      <c r="Z155" s="5" t="s">
        <v>1078</v>
      </c>
      <c r="AA155" s="4">
        <v>91</v>
      </c>
      <c r="AB155" s="4">
        <v>79</v>
      </c>
      <c r="AC155" s="4">
        <v>148</v>
      </c>
      <c r="AD155" s="4">
        <v>1</v>
      </c>
      <c r="AE155" s="4">
        <v>2</v>
      </c>
      <c r="AF155" s="4">
        <v>7</v>
      </c>
      <c r="AG155" s="4">
        <v>13</v>
      </c>
      <c r="AH155" s="4">
        <v>2</v>
      </c>
      <c r="AI155" s="4">
        <v>2</v>
      </c>
      <c r="AJ155" s="4">
        <v>1</v>
      </c>
      <c r="AK155" s="4">
        <v>5</v>
      </c>
      <c r="AL155" s="4">
        <v>5</v>
      </c>
      <c r="AM155" s="4">
        <v>8</v>
      </c>
      <c r="AN155" s="4">
        <v>0</v>
      </c>
      <c r="AO155" s="4">
        <v>1</v>
      </c>
      <c r="AP155" s="4">
        <v>0</v>
      </c>
      <c r="AQ155" s="4">
        <v>0</v>
      </c>
      <c r="AR155" s="3" t="s">
        <v>84</v>
      </c>
      <c r="AS155" s="3" t="s">
        <v>62</v>
      </c>
      <c r="AT155" s="6" t="str">
        <f>HYPERLINK("http://catalog.hathitrust.org/Record/008676067","HathiTrust Record")</f>
        <v>HathiTrust Record</v>
      </c>
      <c r="AU155" s="6" t="str">
        <f>HYPERLINK("https://creighton-primo.hosted.exlibrisgroup.com/primo-explore/search?tab=default_tab&amp;search_scope=EVERYTHING&amp;vid=01CRU&amp;lang=en_US&amp;offset=0&amp;query=any,contains,991004494239702656","Catalog Record")</f>
        <v>Catalog Record</v>
      </c>
      <c r="AV155" s="6" t="str">
        <f>HYPERLINK("http://www.worldcat.org/oclc/3684047","WorldCat Record")</f>
        <v>WorldCat Record</v>
      </c>
      <c r="AW155" s="3" t="s">
        <v>2083</v>
      </c>
      <c r="AX155" s="3" t="s">
        <v>2084</v>
      </c>
      <c r="AY155" s="3" t="s">
        <v>2085</v>
      </c>
      <c r="AZ155" s="3" t="s">
        <v>2085</v>
      </c>
      <c r="BA155" s="3" t="s">
        <v>2086</v>
      </c>
      <c r="BB155" s="3" t="s">
        <v>77</v>
      </c>
      <c r="BE155" s="3" t="s">
        <v>2087</v>
      </c>
      <c r="BF155" s="3" t="s">
        <v>2088</v>
      </c>
    </row>
    <row r="156" spans="1:58" ht="41.25" customHeight="1" x14ac:dyDescent="0.25">
      <c r="A156" s="7" t="s">
        <v>62</v>
      </c>
      <c r="B156" s="2" t="s">
        <v>57</v>
      </c>
      <c r="C156" s="2" t="s">
        <v>58</v>
      </c>
      <c r="D156" s="2" t="s">
        <v>2089</v>
      </c>
      <c r="E156" s="2" t="s">
        <v>2090</v>
      </c>
      <c r="F156" s="2" t="s">
        <v>2091</v>
      </c>
      <c r="H156" s="3" t="s">
        <v>62</v>
      </c>
      <c r="I156" s="3" t="s">
        <v>63</v>
      </c>
      <c r="J156" s="3" t="s">
        <v>62</v>
      </c>
      <c r="K156" s="3" t="s">
        <v>62</v>
      </c>
      <c r="L156" s="3" t="s">
        <v>64</v>
      </c>
      <c r="M156" s="2" t="s">
        <v>2092</v>
      </c>
      <c r="N156" s="2" t="s">
        <v>2093</v>
      </c>
      <c r="O156" s="3" t="s">
        <v>2094</v>
      </c>
      <c r="P156" s="2" t="s">
        <v>834</v>
      </c>
      <c r="Q156" s="3" t="s">
        <v>68</v>
      </c>
      <c r="R156" s="3" t="s">
        <v>69</v>
      </c>
      <c r="T156" s="3" t="s">
        <v>70</v>
      </c>
      <c r="U156" s="4">
        <v>2</v>
      </c>
      <c r="V156" s="4">
        <v>2</v>
      </c>
      <c r="W156" s="5" t="s">
        <v>2095</v>
      </c>
      <c r="X156" s="5" t="s">
        <v>2095</v>
      </c>
      <c r="Y156" s="5" t="s">
        <v>2096</v>
      </c>
      <c r="Z156" s="5" t="s">
        <v>2096</v>
      </c>
      <c r="AA156" s="4">
        <v>228</v>
      </c>
      <c r="AB156" s="4">
        <v>200</v>
      </c>
      <c r="AC156" s="4">
        <v>205</v>
      </c>
      <c r="AD156" s="4">
        <v>2</v>
      </c>
      <c r="AE156" s="4">
        <v>2</v>
      </c>
      <c r="AF156" s="4">
        <v>6</v>
      </c>
      <c r="AG156" s="4">
        <v>6</v>
      </c>
      <c r="AH156" s="4">
        <v>1</v>
      </c>
      <c r="AI156" s="4">
        <v>1</v>
      </c>
      <c r="AJ156" s="4">
        <v>1</v>
      </c>
      <c r="AK156" s="4">
        <v>1</v>
      </c>
      <c r="AL156" s="4">
        <v>5</v>
      </c>
      <c r="AM156" s="4">
        <v>5</v>
      </c>
      <c r="AN156" s="4">
        <v>1</v>
      </c>
      <c r="AO156" s="4">
        <v>1</v>
      </c>
      <c r="AP156" s="4">
        <v>0</v>
      </c>
      <c r="AQ156" s="4">
        <v>0</v>
      </c>
      <c r="AR156" s="3" t="s">
        <v>62</v>
      </c>
      <c r="AS156" s="3" t="s">
        <v>62</v>
      </c>
      <c r="AU156" s="6" t="str">
        <f>HYPERLINK("https://creighton-primo.hosted.exlibrisgroup.com/primo-explore/search?tab=default_tab&amp;search_scope=EVERYTHING&amp;vid=01CRU&amp;lang=en_US&amp;offset=0&amp;query=any,contains,991002934019702656","Catalog Record")</f>
        <v>Catalog Record</v>
      </c>
      <c r="AV156" s="6" t="str">
        <f>HYPERLINK("http://www.worldcat.org/oclc/39024658","WorldCat Record")</f>
        <v>WorldCat Record</v>
      </c>
      <c r="AW156" s="3" t="s">
        <v>2097</v>
      </c>
      <c r="AX156" s="3" t="s">
        <v>2098</v>
      </c>
      <c r="AY156" s="3" t="s">
        <v>2099</v>
      </c>
      <c r="AZ156" s="3" t="s">
        <v>2099</v>
      </c>
      <c r="BA156" s="3" t="s">
        <v>2100</v>
      </c>
      <c r="BB156" s="3" t="s">
        <v>77</v>
      </c>
      <c r="BD156" s="3" t="s">
        <v>2101</v>
      </c>
      <c r="BE156" s="3" t="s">
        <v>2102</v>
      </c>
      <c r="BF156" s="3" t="s">
        <v>2103</v>
      </c>
    </row>
    <row r="157" spans="1:58" ht="41.25" customHeight="1" x14ac:dyDescent="0.25">
      <c r="A157" s="7" t="s">
        <v>62</v>
      </c>
      <c r="B157" s="2" t="s">
        <v>57</v>
      </c>
      <c r="C157" s="2" t="s">
        <v>58</v>
      </c>
      <c r="D157" s="2" t="s">
        <v>2104</v>
      </c>
      <c r="E157" s="2" t="s">
        <v>2105</v>
      </c>
      <c r="F157" s="2" t="s">
        <v>2106</v>
      </c>
      <c r="H157" s="3" t="s">
        <v>62</v>
      </c>
      <c r="I157" s="3" t="s">
        <v>63</v>
      </c>
      <c r="J157" s="3" t="s">
        <v>62</v>
      </c>
      <c r="K157" s="3" t="s">
        <v>62</v>
      </c>
      <c r="L157" s="3" t="s">
        <v>64</v>
      </c>
      <c r="M157" s="2" t="s">
        <v>2107</v>
      </c>
      <c r="N157" s="2" t="s">
        <v>2108</v>
      </c>
      <c r="O157" s="3" t="s">
        <v>1637</v>
      </c>
      <c r="Q157" s="3" t="s">
        <v>68</v>
      </c>
      <c r="R157" s="3" t="s">
        <v>1184</v>
      </c>
      <c r="T157" s="3" t="s">
        <v>70</v>
      </c>
      <c r="U157" s="4">
        <v>0</v>
      </c>
      <c r="V157" s="4">
        <v>0</v>
      </c>
      <c r="W157" s="5" t="s">
        <v>2109</v>
      </c>
      <c r="X157" s="5" t="s">
        <v>2109</v>
      </c>
      <c r="Y157" s="5" t="s">
        <v>1078</v>
      </c>
      <c r="Z157" s="5" t="s">
        <v>1078</v>
      </c>
      <c r="AA157" s="4">
        <v>235</v>
      </c>
      <c r="AB157" s="4">
        <v>198</v>
      </c>
      <c r="AC157" s="4">
        <v>207</v>
      </c>
      <c r="AD157" s="4">
        <v>1</v>
      </c>
      <c r="AE157" s="4">
        <v>2</v>
      </c>
      <c r="AF157" s="4">
        <v>5</v>
      </c>
      <c r="AG157" s="4">
        <v>7</v>
      </c>
      <c r="AH157" s="4">
        <v>2</v>
      </c>
      <c r="AI157" s="4">
        <v>3</v>
      </c>
      <c r="AJ157" s="4">
        <v>1</v>
      </c>
      <c r="AK157" s="4">
        <v>2</v>
      </c>
      <c r="AL157" s="4">
        <v>4</v>
      </c>
      <c r="AM157" s="4">
        <v>4</v>
      </c>
      <c r="AN157" s="4">
        <v>0</v>
      </c>
      <c r="AO157" s="4">
        <v>1</v>
      </c>
      <c r="AP157" s="4">
        <v>0</v>
      </c>
      <c r="AQ157" s="4">
        <v>0</v>
      </c>
      <c r="AR157" s="3" t="s">
        <v>62</v>
      </c>
      <c r="AS157" s="3" t="s">
        <v>84</v>
      </c>
      <c r="AT157" s="6" t="str">
        <f>HYPERLINK("http://catalog.hathitrust.org/Record/102076180","HathiTrust Record")</f>
        <v>HathiTrust Record</v>
      </c>
      <c r="AU157" s="6" t="str">
        <f>HYPERLINK("https://creighton-primo.hosted.exlibrisgroup.com/primo-explore/search?tab=default_tab&amp;search_scope=EVERYTHING&amp;vid=01CRU&amp;lang=en_US&amp;offset=0&amp;query=any,contains,991000122849702656","Catalog Record")</f>
        <v>Catalog Record</v>
      </c>
      <c r="AV157" s="6" t="str">
        <f>HYPERLINK("http://www.worldcat.org/oclc/9080984","WorldCat Record")</f>
        <v>WorldCat Record</v>
      </c>
      <c r="AW157" s="3" t="s">
        <v>2110</v>
      </c>
      <c r="AX157" s="3" t="s">
        <v>2111</v>
      </c>
      <c r="AY157" s="3" t="s">
        <v>2112</v>
      </c>
      <c r="AZ157" s="3" t="s">
        <v>2112</v>
      </c>
      <c r="BA157" s="3" t="s">
        <v>2113</v>
      </c>
      <c r="BB157" s="3" t="s">
        <v>77</v>
      </c>
      <c r="BD157" s="3" t="s">
        <v>2114</v>
      </c>
      <c r="BE157" s="3" t="s">
        <v>2115</v>
      </c>
      <c r="BF157" s="3" t="s">
        <v>2116</v>
      </c>
    </row>
    <row r="158" spans="1:58" ht="41.25" customHeight="1" x14ac:dyDescent="0.25">
      <c r="A158" s="7" t="s">
        <v>62</v>
      </c>
      <c r="B158" s="2" t="s">
        <v>57</v>
      </c>
      <c r="C158" s="2" t="s">
        <v>58</v>
      </c>
      <c r="D158" s="2" t="s">
        <v>2117</v>
      </c>
      <c r="E158" s="2" t="s">
        <v>2118</v>
      </c>
      <c r="F158" s="2" t="s">
        <v>2119</v>
      </c>
      <c r="H158" s="3" t="s">
        <v>62</v>
      </c>
      <c r="I158" s="3" t="s">
        <v>63</v>
      </c>
      <c r="J158" s="3" t="s">
        <v>62</v>
      </c>
      <c r="K158" s="3" t="s">
        <v>62</v>
      </c>
      <c r="L158" s="3" t="s">
        <v>64</v>
      </c>
      <c r="M158" s="2" t="s">
        <v>2120</v>
      </c>
      <c r="N158" s="2" t="s">
        <v>2121</v>
      </c>
      <c r="O158" s="3" t="s">
        <v>218</v>
      </c>
      <c r="Q158" s="3" t="s">
        <v>68</v>
      </c>
      <c r="R158" s="3" t="s">
        <v>138</v>
      </c>
      <c r="T158" s="3" t="s">
        <v>70</v>
      </c>
      <c r="U158" s="4">
        <v>1</v>
      </c>
      <c r="V158" s="4">
        <v>1</v>
      </c>
      <c r="W158" s="5" t="s">
        <v>807</v>
      </c>
      <c r="X158" s="5" t="s">
        <v>807</v>
      </c>
      <c r="Y158" s="5" t="s">
        <v>1078</v>
      </c>
      <c r="Z158" s="5" t="s">
        <v>1078</v>
      </c>
      <c r="AA158" s="4">
        <v>74</v>
      </c>
      <c r="AB158" s="4">
        <v>64</v>
      </c>
      <c r="AC158" s="4">
        <v>484</v>
      </c>
      <c r="AD158" s="4">
        <v>2</v>
      </c>
      <c r="AE158" s="4">
        <v>3</v>
      </c>
      <c r="AF158" s="4">
        <v>6</v>
      </c>
      <c r="AG158" s="4">
        <v>19</v>
      </c>
      <c r="AH158" s="4">
        <v>1</v>
      </c>
      <c r="AI158" s="4">
        <v>7</v>
      </c>
      <c r="AJ158" s="4">
        <v>3</v>
      </c>
      <c r="AK158" s="4">
        <v>4</v>
      </c>
      <c r="AL158" s="4">
        <v>3</v>
      </c>
      <c r="AM158" s="4">
        <v>8</v>
      </c>
      <c r="AN158" s="4">
        <v>1</v>
      </c>
      <c r="AO158" s="4">
        <v>2</v>
      </c>
      <c r="AP158" s="4">
        <v>0</v>
      </c>
      <c r="AQ158" s="4">
        <v>0</v>
      </c>
      <c r="AR158" s="3" t="s">
        <v>62</v>
      </c>
      <c r="AS158" s="3" t="s">
        <v>62</v>
      </c>
      <c r="AU158" s="6" t="str">
        <f>HYPERLINK("https://creighton-primo.hosted.exlibrisgroup.com/primo-explore/search?tab=default_tab&amp;search_scope=EVERYTHING&amp;vid=01CRU&amp;lang=en_US&amp;offset=0&amp;query=any,contains,991004573449702656","Catalog Record")</f>
        <v>Catalog Record</v>
      </c>
      <c r="AV158" s="6" t="str">
        <f>HYPERLINK("http://www.worldcat.org/oclc/4036791","WorldCat Record")</f>
        <v>WorldCat Record</v>
      </c>
      <c r="AW158" s="3" t="s">
        <v>2122</v>
      </c>
      <c r="AX158" s="3" t="s">
        <v>2123</v>
      </c>
      <c r="AY158" s="3" t="s">
        <v>2124</v>
      </c>
      <c r="AZ158" s="3" t="s">
        <v>2124</v>
      </c>
      <c r="BA158" s="3" t="s">
        <v>2125</v>
      </c>
      <c r="BB158" s="3" t="s">
        <v>77</v>
      </c>
      <c r="BD158" s="3" t="s">
        <v>2126</v>
      </c>
      <c r="BE158" s="3" t="s">
        <v>2127</v>
      </c>
      <c r="BF158" s="3" t="s">
        <v>2128</v>
      </c>
    </row>
    <row r="159" spans="1:58" ht="41.25" customHeight="1" x14ac:dyDescent="0.25">
      <c r="A159" s="7" t="s">
        <v>62</v>
      </c>
      <c r="B159" s="2" t="s">
        <v>57</v>
      </c>
      <c r="C159" s="2" t="s">
        <v>58</v>
      </c>
      <c r="D159" s="2" t="s">
        <v>2129</v>
      </c>
      <c r="E159" s="2" t="s">
        <v>2130</v>
      </c>
      <c r="F159" s="2" t="s">
        <v>2131</v>
      </c>
      <c r="H159" s="3" t="s">
        <v>62</v>
      </c>
      <c r="I159" s="3" t="s">
        <v>63</v>
      </c>
      <c r="J159" s="3" t="s">
        <v>62</v>
      </c>
      <c r="K159" s="3" t="s">
        <v>62</v>
      </c>
      <c r="L159" s="3" t="s">
        <v>64</v>
      </c>
      <c r="M159" s="2" t="s">
        <v>2132</v>
      </c>
      <c r="N159" s="2" t="s">
        <v>1103</v>
      </c>
      <c r="O159" s="3" t="s">
        <v>267</v>
      </c>
      <c r="P159" s="2" t="s">
        <v>268</v>
      </c>
      <c r="Q159" s="3" t="s">
        <v>68</v>
      </c>
      <c r="R159" s="3" t="s">
        <v>69</v>
      </c>
      <c r="S159" s="2" t="s">
        <v>2133</v>
      </c>
      <c r="T159" s="3" t="s">
        <v>70</v>
      </c>
      <c r="U159" s="4">
        <v>2</v>
      </c>
      <c r="V159" s="4">
        <v>2</v>
      </c>
      <c r="W159" s="5" t="s">
        <v>1430</v>
      </c>
      <c r="X159" s="5" t="s">
        <v>1430</v>
      </c>
      <c r="Y159" s="5" t="s">
        <v>2134</v>
      </c>
      <c r="Z159" s="5" t="s">
        <v>2134</v>
      </c>
      <c r="AA159" s="4">
        <v>230</v>
      </c>
      <c r="AB159" s="4">
        <v>205</v>
      </c>
      <c r="AC159" s="4">
        <v>317</v>
      </c>
      <c r="AD159" s="4">
        <v>3</v>
      </c>
      <c r="AE159" s="4">
        <v>3</v>
      </c>
      <c r="AF159" s="4">
        <v>20</v>
      </c>
      <c r="AG159" s="4">
        <v>27</v>
      </c>
      <c r="AH159" s="4">
        <v>6</v>
      </c>
      <c r="AI159" s="4">
        <v>10</v>
      </c>
      <c r="AJ159" s="4">
        <v>2</v>
      </c>
      <c r="AK159" s="4">
        <v>5</v>
      </c>
      <c r="AL159" s="4">
        <v>14</v>
      </c>
      <c r="AM159" s="4">
        <v>19</v>
      </c>
      <c r="AN159" s="4">
        <v>2</v>
      </c>
      <c r="AO159" s="4">
        <v>2</v>
      </c>
      <c r="AP159" s="4">
        <v>0</v>
      </c>
      <c r="AQ159" s="4">
        <v>0</v>
      </c>
      <c r="AR159" s="3" t="s">
        <v>62</v>
      </c>
      <c r="AS159" s="3" t="s">
        <v>62</v>
      </c>
      <c r="AU159" s="6" t="str">
        <f>HYPERLINK("https://creighton-primo.hosted.exlibrisgroup.com/primo-explore/search?tab=default_tab&amp;search_scope=EVERYTHING&amp;vid=01CRU&amp;lang=en_US&amp;offset=0&amp;query=any,contains,991002805979702656","Catalog Record")</f>
        <v>Catalog Record</v>
      </c>
      <c r="AV159" s="6" t="str">
        <f>HYPERLINK("http://www.worldcat.org/oclc/449551","WorldCat Record")</f>
        <v>WorldCat Record</v>
      </c>
      <c r="AW159" s="3" t="s">
        <v>2135</v>
      </c>
      <c r="AX159" s="3" t="s">
        <v>2136</v>
      </c>
      <c r="AY159" s="3" t="s">
        <v>2137</v>
      </c>
      <c r="AZ159" s="3" t="s">
        <v>2137</v>
      </c>
      <c r="BA159" s="3" t="s">
        <v>2138</v>
      </c>
      <c r="BB159" s="3" t="s">
        <v>77</v>
      </c>
      <c r="BE159" s="3" t="s">
        <v>2139</v>
      </c>
      <c r="BF159" s="3" t="s">
        <v>2140</v>
      </c>
    </row>
    <row r="160" spans="1:58" ht="41.25" customHeight="1" x14ac:dyDescent="0.25">
      <c r="A160" s="7" t="s">
        <v>62</v>
      </c>
      <c r="B160" s="2" t="s">
        <v>57</v>
      </c>
      <c r="C160" s="2" t="s">
        <v>58</v>
      </c>
      <c r="D160" s="2" t="s">
        <v>2141</v>
      </c>
      <c r="E160" s="2" t="s">
        <v>2142</v>
      </c>
      <c r="F160" s="2" t="s">
        <v>2143</v>
      </c>
      <c r="H160" s="3" t="s">
        <v>62</v>
      </c>
      <c r="I160" s="3" t="s">
        <v>63</v>
      </c>
      <c r="J160" s="3" t="s">
        <v>62</v>
      </c>
      <c r="K160" s="3" t="s">
        <v>62</v>
      </c>
      <c r="L160" s="3" t="s">
        <v>64</v>
      </c>
      <c r="M160" s="2" t="s">
        <v>2144</v>
      </c>
      <c r="N160" s="2" t="s">
        <v>2145</v>
      </c>
      <c r="O160" s="3" t="s">
        <v>404</v>
      </c>
      <c r="Q160" s="3" t="s">
        <v>68</v>
      </c>
      <c r="R160" s="3" t="s">
        <v>88</v>
      </c>
      <c r="S160" s="2" t="s">
        <v>2146</v>
      </c>
      <c r="T160" s="3" t="s">
        <v>70</v>
      </c>
      <c r="U160" s="4">
        <v>4</v>
      </c>
      <c r="V160" s="4">
        <v>4</v>
      </c>
      <c r="W160" s="5" t="s">
        <v>2147</v>
      </c>
      <c r="X160" s="5" t="s">
        <v>2147</v>
      </c>
      <c r="Y160" s="5" t="s">
        <v>2148</v>
      </c>
      <c r="Z160" s="5" t="s">
        <v>2148</v>
      </c>
      <c r="AA160" s="4">
        <v>134</v>
      </c>
      <c r="AB160" s="4">
        <v>121</v>
      </c>
      <c r="AC160" s="4">
        <v>280</v>
      </c>
      <c r="AD160" s="4">
        <v>3</v>
      </c>
      <c r="AE160" s="4">
        <v>4</v>
      </c>
      <c r="AF160" s="4">
        <v>8</v>
      </c>
      <c r="AG160" s="4">
        <v>15</v>
      </c>
      <c r="AH160" s="4">
        <v>1</v>
      </c>
      <c r="AI160" s="4">
        <v>3</v>
      </c>
      <c r="AJ160" s="4">
        <v>1</v>
      </c>
      <c r="AK160" s="4">
        <v>3</v>
      </c>
      <c r="AL160" s="4">
        <v>7</v>
      </c>
      <c r="AM160" s="4">
        <v>13</v>
      </c>
      <c r="AN160" s="4">
        <v>1</v>
      </c>
      <c r="AO160" s="4">
        <v>2</v>
      </c>
      <c r="AP160" s="4">
        <v>0</v>
      </c>
      <c r="AQ160" s="4">
        <v>0</v>
      </c>
      <c r="AR160" s="3" t="s">
        <v>62</v>
      </c>
      <c r="AS160" s="3" t="s">
        <v>62</v>
      </c>
      <c r="AU160" s="6" t="str">
        <f>HYPERLINK("https://creighton-primo.hosted.exlibrisgroup.com/primo-explore/search?tab=default_tab&amp;search_scope=EVERYTHING&amp;vid=01CRU&amp;lang=en_US&amp;offset=0&amp;query=any,contains,991003131879702656","Catalog Record")</f>
        <v>Catalog Record</v>
      </c>
      <c r="AV160" s="6" t="str">
        <f>HYPERLINK("http://www.worldcat.org/oclc/674940","WorldCat Record")</f>
        <v>WorldCat Record</v>
      </c>
      <c r="AW160" s="3" t="s">
        <v>2149</v>
      </c>
      <c r="AX160" s="3" t="s">
        <v>2150</v>
      </c>
      <c r="AY160" s="3" t="s">
        <v>2151</v>
      </c>
      <c r="AZ160" s="3" t="s">
        <v>2151</v>
      </c>
      <c r="BA160" s="3" t="s">
        <v>2152</v>
      </c>
      <c r="BB160" s="3" t="s">
        <v>77</v>
      </c>
      <c r="BE160" s="3" t="s">
        <v>2153</v>
      </c>
      <c r="BF160" s="3" t="s">
        <v>2154</v>
      </c>
    </row>
    <row r="161" spans="1:58" ht="41.25" customHeight="1" x14ac:dyDescent="0.25">
      <c r="A161" s="7" t="s">
        <v>62</v>
      </c>
      <c r="B161" s="2" t="s">
        <v>57</v>
      </c>
      <c r="C161" s="2" t="s">
        <v>58</v>
      </c>
      <c r="D161" s="2" t="s">
        <v>2155</v>
      </c>
      <c r="E161" s="2" t="s">
        <v>2156</v>
      </c>
      <c r="F161" s="2" t="s">
        <v>2157</v>
      </c>
      <c r="H161" s="3" t="s">
        <v>62</v>
      </c>
      <c r="I161" s="3" t="s">
        <v>63</v>
      </c>
      <c r="J161" s="3" t="s">
        <v>62</v>
      </c>
      <c r="K161" s="3" t="s">
        <v>62</v>
      </c>
      <c r="L161" s="3" t="s">
        <v>64</v>
      </c>
      <c r="M161" s="2" t="s">
        <v>2158</v>
      </c>
      <c r="N161" s="2" t="s">
        <v>2159</v>
      </c>
      <c r="O161" s="3" t="s">
        <v>233</v>
      </c>
      <c r="P161" s="2" t="s">
        <v>834</v>
      </c>
      <c r="Q161" s="3" t="s">
        <v>68</v>
      </c>
      <c r="R161" s="3" t="s">
        <v>204</v>
      </c>
      <c r="T161" s="3" t="s">
        <v>70</v>
      </c>
      <c r="U161" s="4">
        <v>4</v>
      </c>
      <c r="V161" s="4">
        <v>4</v>
      </c>
      <c r="W161" s="5" t="s">
        <v>2160</v>
      </c>
      <c r="X161" s="5" t="s">
        <v>2160</v>
      </c>
      <c r="Y161" s="5" t="s">
        <v>2148</v>
      </c>
      <c r="Z161" s="5" t="s">
        <v>2148</v>
      </c>
      <c r="AA161" s="4">
        <v>411</v>
      </c>
      <c r="AB161" s="4">
        <v>371</v>
      </c>
      <c r="AC161" s="4">
        <v>371</v>
      </c>
      <c r="AD161" s="4">
        <v>5</v>
      </c>
      <c r="AE161" s="4">
        <v>5</v>
      </c>
      <c r="AF161" s="4">
        <v>19</v>
      </c>
      <c r="AG161" s="4">
        <v>19</v>
      </c>
      <c r="AH161" s="4">
        <v>7</v>
      </c>
      <c r="AI161" s="4">
        <v>7</v>
      </c>
      <c r="AJ161" s="4">
        <v>6</v>
      </c>
      <c r="AK161" s="4">
        <v>6</v>
      </c>
      <c r="AL161" s="4">
        <v>10</v>
      </c>
      <c r="AM161" s="4">
        <v>10</v>
      </c>
      <c r="AN161" s="4">
        <v>2</v>
      </c>
      <c r="AO161" s="4">
        <v>2</v>
      </c>
      <c r="AP161" s="4">
        <v>0</v>
      </c>
      <c r="AQ161" s="4">
        <v>0</v>
      </c>
      <c r="AR161" s="3" t="s">
        <v>62</v>
      </c>
      <c r="AS161" s="3" t="s">
        <v>62</v>
      </c>
      <c r="AU161" s="6" t="str">
        <f>HYPERLINK("https://creighton-primo.hosted.exlibrisgroup.com/primo-explore/search?tab=default_tab&amp;search_scope=EVERYTHING&amp;vid=01CRU&amp;lang=en_US&amp;offset=0&amp;query=any,contains,991004953809702656","Catalog Record")</f>
        <v>Catalog Record</v>
      </c>
      <c r="AV161" s="6" t="str">
        <f>HYPERLINK("http://www.worldcat.org/oclc/6264978","WorldCat Record")</f>
        <v>WorldCat Record</v>
      </c>
      <c r="AW161" s="3" t="s">
        <v>2161</v>
      </c>
      <c r="AX161" s="3" t="s">
        <v>2162</v>
      </c>
      <c r="AY161" s="3" t="s">
        <v>2163</v>
      </c>
      <c r="AZ161" s="3" t="s">
        <v>2163</v>
      </c>
      <c r="BA161" s="3" t="s">
        <v>2164</v>
      </c>
      <c r="BB161" s="3" t="s">
        <v>77</v>
      </c>
      <c r="BD161" s="3" t="s">
        <v>2165</v>
      </c>
      <c r="BE161" s="3" t="s">
        <v>2166</v>
      </c>
      <c r="BF161" s="3" t="s">
        <v>2167</v>
      </c>
    </row>
    <row r="162" spans="1:58" ht="41.25" customHeight="1" x14ac:dyDescent="0.25">
      <c r="A162" s="7" t="s">
        <v>62</v>
      </c>
      <c r="B162" s="2" t="s">
        <v>57</v>
      </c>
      <c r="C162" s="2" t="s">
        <v>58</v>
      </c>
      <c r="D162" s="2" t="s">
        <v>2168</v>
      </c>
      <c r="E162" s="2" t="s">
        <v>2169</v>
      </c>
      <c r="F162" s="2" t="s">
        <v>2170</v>
      </c>
      <c r="H162" s="3" t="s">
        <v>62</v>
      </c>
      <c r="I162" s="3" t="s">
        <v>63</v>
      </c>
      <c r="J162" s="3" t="s">
        <v>62</v>
      </c>
      <c r="K162" s="3" t="s">
        <v>62</v>
      </c>
      <c r="L162" s="3" t="s">
        <v>64</v>
      </c>
      <c r="M162" s="2" t="s">
        <v>2171</v>
      </c>
      <c r="N162" s="2" t="s">
        <v>2172</v>
      </c>
      <c r="O162" s="3" t="s">
        <v>590</v>
      </c>
      <c r="P162" s="2" t="s">
        <v>268</v>
      </c>
      <c r="Q162" s="3" t="s">
        <v>68</v>
      </c>
      <c r="R162" s="3" t="s">
        <v>88</v>
      </c>
      <c r="T162" s="3" t="s">
        <v>70</v>
      </c>
      <c r="U162" s="4">
        <v>8</v>
      </c>
      <c r="V162" s="4">
        <v>8</v>
      </c>
      <c r="W162" s="5" t="s">
        <v>2173</v>
      </c>
      <c r="X162" s="5" t="s">
        <v>2173</v>
      </c>
      <c r="Y162" s="5" t="s">
        <v>2148</v>
      </c>
      <c r="Z162" s="5" t="s">
        <v>2148</v>
      </c>
      <c r="AA162" s="4">
        <v>873</v>
      </c>
      <c r="AB162" s="4">
        <v>803</v>
      </c>
      <c r="AC162" s="4">
        <v>962</v>
      </c>
      <c r="AD162" s="4">
        <v>4</v>
      </c>
      <c r="AE162" s="4">
        <v>7</v>
      </c>
      <c r="AF162" s="4">
        <v>39</v>
      </c>
      <c r="AG162" s="4">
        <v>43</v>
      </c>
      <c r="AH162" s="4">
        <v>16</v>
      </c>
      <c r="AI162" s="4">
        <v>17</v>
      </c>
      <c r="AJ162" s="4">
        <v>7</v>
      </c>
      <c r="AK162" s="4">
        <v>8</v>
      </c>
      <c r="AL162" s="4">
        <v>24</v>
      </c>
      <c r="AM162" s="4">
        <v>26</v>
      </c>
      <c r="AN162" s="4">
        <v>2</v>
      </c>
      <c r="AO162" s="4">
        <v>3</v>
      </c>
      <c r="AP162" s="4">
        <v>2</v>
      </c>
      <c r="AQ162" s="4">
        <v>2</v>
      </c>
      <c r="AR162" s="3" t="s">
        <v>62</v>
      </c>
      <c r="AS162" s="3" t="s">
        <v>84</v>
      </c>
      <c r="AT162" s="6" t="str">
        <f>HYPERLINK("http://catalog.hathitrust.org/Record/001401448","HathiTrust Record")</f>
        <v>HathiTrust Record</v>
      </c>
      <c r="AU162" s="6" t="str">
        <f>HYPERLINK("https://creighton-primo.hosted.exlibrisgroup.com/primo-explore/search?tab=default_tab&amp;search_scope=EVERYTHING&amp;vid=01CRU&amp;lang=en_US&amp;offset=0&amp;query=any,contains,991002577149702656","Catalog Record")</f>
        <v>Catalog Record</v>
      </c>
      <c r="AV162" s="6" t="str">
        <f>HYPERLINK("http://www.worldcat.org/oclc/374907","WorldCat Record")</f>
        <v>WorldCat Record</v>
      </c>
      <c r="AW162" s="3" t="s">
        <v>2174</v>
      </c>
      <c r="AX162" s="3" t="s">
        <v>2175</v>
      </c>
      <c r="AY162" s="3" t="s">
        <v>2176</v>
      </c>
      <c r="AZ162" s="3" t="s">
        <v>2176</v>
      </c>
      <c r="BA162" s="3" t="s">
        <v>2177</v>
      </c>
      <c r="BB162" s="3" t="s">
        <v>77</v>
      </c>
      <c r="BE162" s="3" t="s">
        <v>2178</v>
      </c>
      <c r="BF162" s="3" t="s">
        <v>2179</v>
      </c>
    </row>
    <row r="163" spans="1:58" ht="41.25" customHeight="1" x14ac:dyDescent="0.25">
      <c r="A163" s="7" t="s">
        <v>62</v>
      </c>
      <c r="B163" s="2" t="s">
        <v>57</v>
      </c>
      <c r="C163" s="2" t="s">
        <v>58</v>
      </c>
      <c r="D163" s="2" t="s">
        <v>2180</v>
      </c>
      <c r="E163" s="2" t="s">
        <v>2181</v>
      </c>
      <c r="F163" s="2" t="s">
        <v>2182</v>
      </c>
      <c r="H163" s="3" t="s">
        <v>62</v>
      </c>
      <c r="I163" s="3" t="s">
        <v>63</v>
      </c>
      <c r="J163" s="3" t="s">
        <v>62</v>
      </c>
      <c r="K163" s="3" t="s">
        <v>62</v>
      </c>
      <c r="L163" s="3" t="s">
        <v>64</v>
      </c>
      <c r="M163" s="2" t="s">
        <v>2183</v>
      </c>
      <c r="N163" s="2" t="s">
        <v>2184</v>
      </c>
      <c r="O163" s="3" t="s">
        <v>340</v>
      </c>
      <c r="Q163" s="3" t="s">
        <v>68</v>
      </c>
      <c r="R163" s="3" t="s">
        <v>88</v>
      </c>
      <c r="T163" s="3" t="s">
        <v>70</v>
      </c>
      <c r="U163" s="4">
        <v>2</v>
      </c>
      <c r="V163" s="4">
        <v>2</v>
      </c>
      <c r="W163" s="5" t="s">
        <v>2185</v>
      </c>
      <c r="X163" s="5" t="s">
        <v>2185</v>
      </c>
      <c r="Y163" s="5" t="s">
        <v>2148</v>
      </c>
      <c r="Z163" s="5" t="s">
        <v>2148</v>
      </c>
      <c r="AA163" s="4">
        <v>600</v>
      </c>
      <c r="AB163" s="4">
        <v>568</v>
      </c>
      <c r="AC163" s="4">
        <v>698</v>
      </c>
      <c r="AD163" s="4">
        <v>6</v>
      </c>
      <c r="AE163" s="4">
        <v>8</v>
      </c>
      <c r="AF163" s="4">
        <v>34</v>
      </c>
      <c r="AG163" s="4">
        <v>42</v>
      </c>
      <c r="AH163" s="4">
        <v>12</v>
      </c>
      <c r="AI163" s="4">
        <v>14</v>
      </c>
      <c r="AJ163" s="4">
        <v>6</v>
      </c>
      <c r="AK163" s="4">
        <v>9</v>
      </c>
      <c r="AL163" s="4">
        <v>22</v>
      </c>
      <c r="AM163" s="4">
        <v>27</v>
      </c>
      <c r="AN163" s="4">
        <v>4</v>
      </c>
      <c r="AO163" s="4">
        <v>5</v>
      </c>
      <c r="AP163" s="4">
        <v>0</v>
      </c>
      <c r="AQ163" s="4">
        <v>0</v>
      </c>
      <c r="AR163" s="3" t="s">
        <v>62</v>
      </c>
      <c r="AS163" s="3" t="s">
        <v>62</v>
      </c>
      <c r="AT163" s="6" t="str">
        <f>HYPERLINK("http://catalog.hathitrust.org/Record/007882531","HathiTrust Record")</f>
        <v>HathiTrust Record</v>
      </c>
      <c r="AU163" s="6" t="str">
        <f>HYPERLINK("https://creighton-primo.hosted.exlibrisgroup.com/primo-explore/search?tab=default_tab&amp;search_scope=EVERYTHING&amp;vid=01CRU&amp;lang=en_US&amp;offset=0&amp;query=any,contains,991002989279702656","Catalog Record")</f>
        <v>Catalog Record</v>
      </c>
      <c r="AV163" s="6" t="str">
        <f>HYPERLINK("http://www.worldcat.org/oclc/559621","WorldCat Record")</f>
        <v>WorldCat Record</v>
      </c>
      <c r="AW163" s="3" t="s">
        <v>2186</v>
      </c>
      <c r="AX163" s="3" t="s">
        <v>2187</v>
      </c>
      <c r="AY163" s="3" t="s">
        <v>2188</v>
      </c>
      <c r="AZ163" s="3" t="s">
        <v>2188</v>
      </c>
      <c r="BA163" s="3" t="s">
        <v>2189</v>
      </c>
      <c r="BB163" s="3" t="s">
        <v>77</v>
      </c>
      <c r="BE163" s="3" t="s">
        <v>2190</v>
      </c>
      <c r="BF163" s="3" t="s">
        <v>2191</v>
      </c>
    </row>
    <row r="164" spans="1:58" ht="41.25" customHeight="1" x14ac:dyDescent="0.25">
      <c r="A164" s="7" t="s">
        <v>62</v>
      </c>
      <c r="B164" s="2" t="s">
        <v>57</v>
      </c>
      <c r="C164" s="2" t="s">
        <v>58</v>
      </c>
      <c r="D164" s="2" t="s">
        <v>2192</v>
      </c>
      <c r="E164" s="2" t="s">
        <v>2193</v>
      </c>
      <c r="F164" s="2" t="s">
        <v>2194</v>
      </c>
      <c r="H164" s="3" t="s">
        <v>62</v>
      </c>
      <c r="I164" s="3" t="s">
        <v>63</v>
      </c>
      <c r="J164" s="3" t="s">
        <v>62</v>
      </c>
      <c r="K164" s="3" t="s">
        <v>62</v>
      </c>
      <c r="L164" s="3" t="s">
        <v>64</v>
      </c>
      <c r="M164" s="2" t="s">
        <v>2195</v>
      </c>
      <c r="N164" s="2" t="s">
        <v>2196</v>
      </c>
      <c r="O164" s="3" t="s">
        <v>2197</v>
      </c>
      <c r="Q164" s="3" t="s">
        <v>68</v>
      </c>
      <c r="R164" s="3" t="s">
        <v>69</v>
      </c>
      <c r="T164" s="3" t="s">
        <v>70</v>
      </c>
      <c r="U164" s="4">
        <v>3</v>
      </c>
      <c r="V164" s="4">
        <v>3</v>
      </c>
      <c r="W164" s="5" t="s">
        <v>2198</v>
      </c>
      <c r="X164" s="5" t="s">
        <v>2198</v>
      </c>
      <c r="Y164" s="5" t="s">
        <v>2148</v>
      </c>
      <c r="Z164" s="5" t="s">
        <v>2148</v>
      </c>
      <c r="AA164" s="4">
        <v>16</v>
      </c>
      <c r="AB164" s="4">
        <v>16</v>
      </c>
      <c r="AC164" s="4">
        <v>22</v>
      </c>
      <c r="AD164" s="4">
        <v>1</v>
      </c>
      <c r="AE164" s="4">
        <v>1</v>
      </c>
      <c r="AF164" s="4">
        <v>4</v>
      </c>
      <c r="AG164" s="4">
        <v>4</v>
      </c>
      <c r="AH164" s="4">
        <v>0</v>
      </c>
      <c r="AI164" s="4">
        <v>0</v>
      </c>
      <c r="AJ164" s="4">
        <v>0</v>
      </c>
      <c r="AK164" s="4">
        <v>0</v>
      </c>
      <c r="AL164" s="4">
        <v>4</v>
      </c>
      <c r="AM164" s="4">
        <v>4</v>
      </c>
      <c r="AN164" s="4">
        <v>0</v>
      </c>
      <c r="AO164" s="4">
        <v>0</v>
      </c>
      <c r="AP164" s="4">
        <v>0</v>
      </c>
      <c r="AQ164" s="4">
        <v>0</v>
      </c>
      <c r="AR164" s="3" t="s">
        <v>84</v>
      </c>
      <c r="AS164" s="3" t="s">
        <v>62</v>
      </c>
      <c r="AT164" s="6" t="str">
        <f>HYPERLINK("http://catalog.hathitrust.org/Record/006530303","HathiTrust Record")</f>
        <v>HathiTrust Record</v>
      </c>
      <c r="AU164" s="6" t="str">
        <f>HYPERLINK("https://creighton-primo.hosted.exlibrisgroup.com/primo-explore/search?tab=default_tab&amp;search_scope=EVERYTHING&amp;vid=01CRU&amp;lang=en_US&amp;offset=0&amp;query=any,contains,991005073969702656","Catalog Record")</f>
        <v>Catalog Record</v>
      </c>
      <c r="AV164" s="6" t="str">
        <f>HYPERLINK("http://www.worldcat.org/oclc/7079694","WorldCat Record")</f>
        <v>WorldCat Record</v>
      </c>
      <c r="AW164" s="3" t="s">
        <v>2199</v>
      </c>
      <c r="AX164" s="3" t="s">
        <v>2200</v>
      </c>
      <c r="AY164" s="3" t="s">
        <v>2201</v>
      </c>
      <c r="AZ164" s="3" t="s">
        <v>2201</v>
      </c>
      <c r="BA164" s="3" t="s">
        <v>2202</v>
      </c>
      <c r="BB164" s="3" t="s">
        <v>77</v>
      </c>
      <c r="BE164" s="3" t="s">
        <v>2203</v>
      </c>
      <c r="BF164" s="3" t="s">
        <v>2204</v>
      </c>
    </row>
    <row r="165" spans="1:58" ht="41.25" customHeight="1" x14ac:dyDescent="0.25">
      <c r="A165" s="7" t="s">
        <v>62</v>
      </c>
      <c r="B165" s="2" t="s">
        <v>57</v>
      </c>
      <c r="C165" s="2" t="s">
        <v>58</v>
      </c>
      <c r="D165" s="2" t="s">
        <v>2205</v>
      </c>
      <c r="E165" s="2" t="s">
        <v>2206</v>
      </c>
      <c r="F165" s="2" t="s">
        <v>2207</v>
      </c>
      <c r="H165" s="3" t="s">
        <v>62</v>
      </c>
      <c r="I165" s="3" t="s">
        <v>63</v>
      </c>
      <c r="J165" s="3" t="s">
        <v>62</v>
      </c>
      <c r="K165" s="3" t="s">
        <v>62</v>
      </c>
      <c r="L165" s="3" t="s">
        <v>64</v>
      </c>
      <c r="M165" s="2" t="s">
        <v>2208</v>
      </c>
      <c r="N165" s="2" t="s">
        <v>2209</v>
      </c>
      <c r="O165" s="3" t="s">
        <v>590</v>
      </c>
      <c r="Q165" s="3" t="s">
        <v>68</v>
      </c>
      <c r="R165" s="3" t="s">
        <v>88</v>
      </c>
      <c r="S165" s="2" t="s">
        <v>2210</v>
      </c>
      <c r="T165" s="3" t="s">
        <v>70</v>
      </c>
      <c r="U165" s="4">
        <v>2</v>
      </c>
      <c r="V165" s="4">
        <v>2</v>
      </c>
      <c r="W165" s="5" t="s">
        <v>2211</v>
      </c>
      <c r="X165" s="5" t="s">
        <v>2211</v>
      </c>
      <c r="Y165" s="5" t="s">
        <v>2212</v>
      </c>
      <c r="Z165" s="5" t="s">
        <v>2212</v>
      </c>
      <c r="AA165" s="4">
        <v>646</v>
      </c>
      <c r="AB165" s="4">
        <v>565</v>
      </c>
      <c r="AC165" s="4">
        <v>573</v>
      </c>
      <c r="AD165" s="4">
        <v>6</v>
      </c>
      <c r="AE165" s="4">
        <v>6</v>
      </c>
      <c r="AF165" s="4">
        <v>38</v>
      </c>
      <c r="AG165" s="4">
        <v>38</v>
      </c>
      <c r="AH165" s="4">
        <v>12</v>
      </c>
      <c r="AI165" s="4">
        <v>12</v>
      </c>
      <c r="AJ165" s="4">
        <v>9</v>
      </c>
      <c r="AK165" s="4">
        <v>9</v>
      </c>
      <c r="AL165" s="4">
        <v>25</v>
      </c>
      <c r="AM165" s="4">
        <v>25</v>
      </c>
      <c r="AN165" s="4">
        <v>4</v>
      </c>
      <c r="AO165" s="4">
        <v>4</v>
      </c>
      <c r="AP165" s="4">
        <v>0</v>
      </c>
      <c r="AQ165" s="4">
        <v>0</v>
      </c>
      <c r="AR165" s="3" t="s">
        <v>62</v>
      </c>
      <c r="AS165" s="3" t="s">
        <v>84</v>
      </c>
      <c r="AT165" s="6" t="str">
        <f>HYPERLINK("http://catalog.hathitrust.org/Record/001644494","HathiTrust Record")</f>
        <v>HathiTrust Record</v>
      </c>
      <c r="AU165" s="6" t="str">
        <f>HYPERLINK("https://creighton-primo.hosted.exlibrisgroup.com/primo-explore/search?tab=default_tab&amp;search_scope=EVERYTHING&amp;vid=01CRU&amp;lang=en_US&amp;offset=0&amp;query=any,contains,991003577759702656","Catalog Record")</f>
        <v>Catalog Record</v>
      </c>
      <c r="AV165" s="6" t="str">
        <f>HYPERLINK("http://www.worldcat.org/oclc/1157493","WorldCat Record")</f>
        <v>WorldCat Record</v>
      </c>
      <c r="AW165" s="3" t="s">
        <v>2213</v>
      </c>
      <c r="AX165" s="3" t="s">
        <v>2214</v>
      </c>
      <c r="AY165" s="3" t="s">
        <v>2215</v>
      </c>
      <c r="AZ165" s="3" t="s">
        <v>2215</v>
      </c>
      <c r="BA165" s="3" t="s">
        <v>2216</v>
      </c>
      <c r="BB165" s="3" t="s">
        <v>77</v>
      </c>
      <c r="BE165" s="3" t="s">
        <v>2217</v>
      </c>
      <c r="BF165" s="3" t="s">
        <v>2218</v>
      </c>
    </row>
    <row r="166" spans="1:58" ht="41.25" customHeight="1" x14ac:dyDescent="0.25">
      <c r="A166" s="7" t="s">
        <v>62</v>
      </c>
      <c r="B166" s="2" t="s">
        <v>57</v>
      </c>
      <c r="C166" s="2" t="s">
        <v>58</v>
      </c>
      <c r="D166" s="2" t="s">
        <v>2219</v>
      </c>
      <c r="E166" s="2" t="s">
        <v>2220</v>
      </c>
      <c r="F166" s="2" t="s">
        <v>2221</v>
      </c>
      <c r="H166" s="3" t="s">
        <v>62</v>
      </c>
      <c r="I166" s="3" t="s">
        <v>63</v>
      </c>
      <c r="J166" s="3" t="s">
        <v>62</v>
      </c>
      <c r="K166" s="3" t="s">
        <v>62</v>
      </c>
      <c r="L166" s="3" t="s">
        <v>64</v>
      </c>
      <c r="M166" s="2" t="s">
        <v>2208</v>
      </c>
      <c r="N166" s="2" t="s">
        <v>2222</v>
      </c>
      <c r="O166" s="3" t="s">
        <v>312</v>
      </c>
      <c r="Q166" s="3" t="s">
        <v>68</v>
      </c>
      <c r="R166" s="3" t="s">
        <v>219</v>
      </c>
      <c r="T166" s="3" t="s">
        <v>70</v>
      </c>
      <c r="U166" s="4">
        <v>6</v>
      </c>
      <c r="V166" s="4">
        <v>6</v>
      </c>
      <c r="W166" s="5" t="s">
        <v>2223</v>
      </c>
      <c r="X166" s="5" t="s">
        <v>2223</v>
      </c>
      <c r="Y166" s="5" t="s">
        <v>2148</v>
      </c>
      <c r="Z166" s="5" t="s">
        <v>2148</v>
      </c>
      <c r="AA166" s="4">
        <v>455</v>
      </c>
      <c r="AB166" s="4">
        <v>410</v>
      </c>
      <c r="AC166" s="4">
        <v>419</v>
      </c>
      <c r="AD166" s="4">
        <v>4</v>
      </c>
      <c r="AE166" s="4">
        <v>4</v>
      </c>
      <c r="AF166" s="4">
        <v>31</v>
      </c>
      <c r="AG166" s="4">
        <v>31</v>
      </c>
      <c r="AH166" s="4">
        <v>11</v>
      </c>
      <c r="AI166" s="4">
        <v>11</v>
      </c>
      <c r="AJ166" s="4">
        <v>5</v>
      </c>
      <c r="AK166" s="4">
        <v>5</v>
      </c>
      <c r="AL166" s="4">
        <v>22</v>
      </c>
      <c r="AM166" s="4">
        <v>22</v>
      </c>
      <c r="AN166" s="4">
        <v>3</v>
      </c>
      <c r="AO166" s="4">
        <v>3</v>
      </c>
      <c r="AP166" s="4">
        <v>0</v>
      </c>
      <c r="AQ166" s="4">
        <v>0</v>
      </c>
      <c r="AR166" s="3" t="s">
        <v>62</v>
      </c>
      <c r="AS166" s="3" t="s">
        <v>84</v>
      </c>
      <c r="AT166" s="6" t="str">
        <f>HYPERLINK("http://catalog.hathitrust.org/Record/001401468","HathiTrust Record")</f>
        <v>HathiTrust Record</v>
      </c>
      <c r="AU166" s="6" t="str">
        <f>HYPERLINK("https://creighton-primo.hosted.exlibrisgroup.com/primo-explore/search?tab=default_tab&amp;search_scope=EVERYTHING&amp;vid=01CRU&amp;lang=en_US&amp;offset=0&amp;query=any,contains,991000795559702656","Catalog Record")</f>
        <v>Catalog Record</v>
      </c>
      <c r="AV166" s="6" t="str">
        <f>HYPERLINK("http://www.worldcat.org/oclc/136809","WorldCat Record")</f>
        <v>WorldCat Record</v>
      </c>
      <c r="AW166" s="3" t="s">
        <v>2224</v>
      </c>
      <c r="AX166" s="3" t="s">
        <v>2225</v>
      </c>
      <c r="AY166" s="3" t="s">
        <v>2226</v>
      </c>
      <c r="AZ166" s="3" t="s">
        <v>2226</v>
      </c>
      <c r="BA166" s="3" t="s">
        <v>2227</v>
      </c>
      <c r="BB166" s="3" t="s">
        <v>77</v>
      </c>
      <c r="BD166" s="3" t="s">
        <v>2228</v>
      </c>
      <c r="BE166" s="3" t="s">
        <v>2229</v>
      </c>
      <c r="BF166" s="3" t="s">
        <v>2230</v>
      </c>
    </row>
    <row r="167" spans="1:58" ht="41.25" customHeight="1" x14ac:dyDescent="0.25">
      <c r="A167" s="7" t="s">
        <v>62</v>
      </c>
      <c r="B167" s="2" t="s">
        <v>57</v>
      </c>
      <c r="C167" s="2" t="s">
        <v>58</v>
      </c>
      <c r="D167" s="2" t="s">
        <v>2231</v>
      </c>
      <c r="E167" s="2" t="s">
        <v>2232</v>
      </c>
      <c r="F167" s="2" t="s">
        <v>2233</v>
      </c>
      <c r="H167" s="3" t="s">
        <v>62</v>
      </c>
      <c r="I167" s="3" t="s">
        <v>63</v>
      </c>
      <c r="J167" s="3" t="s">
        <v>62</v>
      </c>
      <c r="K167" s="3" t="s">
        <v>62</v>
      </c>
      <c r="L167" s="3" t="s">
        <v>64</v>
      </c>
      <c r="M167" s="2" t="s">
        <v>2234</v>
      </c>
      <c r="N167" s="2" t="s">
        <v>2235</v>
      </c>
      <c r="O167" s="3" t="s">
        <v>312</v>
      </c>
      <c r="Q167" s="3" t="s">
        <v>68</v>
      </c>
      <c r="R167" s="3" t="s">
        <v>1653</v>
      </c>
      <c r="T167" s="3" t="s">
        <v>70</v>
      </c>
      <c r="U167" s="4">
        <v>5</v>
      </c>
      <c r="V167" s="4">
        <v>5</v>
      </c>
      <c r="W167" s="5" t="s">
        <v>2236</v>
      </c>
      <c r="X167" s="5" t="s">
        <v>2236</v>
      </c>
      <c r="Y167" s="5" t="s">
        <v>2148</v>
      </c>
      <c r="Z167" s="5" t="s">
        <v>2148</v>
      </c>
      <c r="AA167" s="4">
        <v>673</v>
      </c>
      <c r="AB167" s="4">
        <v>590</v>
      </c>
      <c r="AC167" s="4">
        <v>661</v>
      </c>
      <c r="AD167" s="4">
        <v>6</v>
      </c>
      <c r="AE167" s="4">
        <v>6</v>
      </c>
      <c r="AF167" s="4">
        <v>36</v>
      </c>
      <c r="AG167" s="4">
        <v>39</v>
      </c>
      <c r="AH167" s="4">
        <v>11</v>
      </c>
      <c r="AI167" s="4">
        <v>14</v>
      </c>
      <c r="AJ167" s="4">
        <v>7</v>
      </c>
      <c r="AK167" s="4">
        <v>8</v>
      </c>
      <c r="AL167" s="4">
        <v>24</v>
      </c>
      <c r="AM167" s="4">
        <v>26</v>
      </c>
      <c r="AN167" s="4">
        <v>4</v>
      </c>
      <c r="AO167" s="4">
        <v>4</v>
      </c>
      <c r="AP167" s="4">
        <v>0</v>
      </c>
      <c r="AQ167" s="4">
        <v>0</v>
      </c>
      <c r="AR167" s="3" t="s">
        <v>62</v>
      </c>
      <c r="AS167" s="3" t="s">
        <v>62</v>
      </c>
      <c r="AU167" s="6" t="str">
        <f>HYPERLINK("https://creighton-primo.hosted.exlibrisgroup.com/primo-explore/search?tab=default_tab&amp;search_scope=EVERYTHING&amp;vid=01CRU&amp;lang=en_US&amp;offset=0&amp;query=any,contains,991001270089702656","Catalog Record")</f>
        <v>Catalog Record</v>
      </c>
      <c r="AV167" s="6" t="str">
        <f>HYPERLINK("http://www.worldcat.org/oclc/211728","WorldCat Record")</f>
        <v>WorldCat Record</v>
      </c>
      <c r="AW167" s="3" t="s">
        <v>2237</v>
      </c>
      <c r="AX167" s="3" t="s">
        <v>2238</v>
      </c>
      <c r="AY167" s="3" t="s">
        <v>2239</v>
      </c>
      <c r="AZ167" s="3" t="s">
        <v>2239</v>
      </c>
      <c r="BA167" s="3" t="s">
        <v>2240</v>
      </c>
      <c r="BB167" s="3" t="s">
        <v>77</v>
      </c>
      <c r="BD167" s="3" t="s">
        <v>2241</v>
      </c>
      <c r="BE167" s="3" t="s">
        <v>2242</v>
      </c>
      <c r="BF167" s="3" t="s">
        <v>2243</v>
      </c>
    </row>
    <row r="168" spans="1:58" ht="41.25" customHeight="1" x14ac:dyDescent="0.25">
      <c r="A168" s="7" t="s">
        <v>62</v>
      </c>
      <c r="B168" s="2" t="s">
        <v>57</v>
      </c>
      <c r="C168" s="2" t="s">
        <v>58</v>
      </c>
      <c r="D168" s="2" t="s">
        <v>2244</v>
      </c>
      <c r="E168" s="2" t="s">
        <v>2245</v>
      </c>
      <c r="F168" s="2" t="s">
        <v>2246</v>
      </c>
      <c r="H168" s="3" t="s">
        <v>62</v>
      </c>
      <c r="I168" s="3" t="s">
        <v>63</v>
      </c>
      <c r="J168" s="3" t="s">
        <v>62</v>
      </c>
      <c r="K168" s="3" t="s">
        <v>62</v>
      </c>
      <c r="L168" s="3" t="s">
        <v>64</v>
      </c>
      <c r="M168" s="2" t="s">
        <v>2247</v>
      </c>
      <c r="N168" s="2" t="s">
        <v>2248</v>
      </c>
      <c r="O168" s="3" t="s">
        <v>312</v>
      </c>
      <c r="Q168" s="3" t="s">
        <v>68</v>
      </c>
      <c r="R168" s="3" t="s">
        <v>69</v>
      </c>
      <c r="S168" s="2" t="s">
        <v>2249</v>
      </c>
      <c r="T168" s="3" t="s">
        <v>70</v>
      </c>
      <c r="U168" s="4">
        <v>3</v>
      </c>
      <c r="V168" s="4">
        <v>3</v>
      </c>
      <c r="W168" s="5" t="s">
        <v>2250</v>
      </c>
      <c r="X168" s="5" t="s">
        <v>2250</v>
      </c>
      <c r="Y168" s="5" t="s">
        <v>2148</v>
      </c>
      <c r="Z168" s="5" t="s">
        <v>2148</v>
      </c>
      <c r="AA168" s="4">
        <v>383</v>
      </c>
      <c r="AB168" s="4">
        <v>348</v>
      </c>
      <c r="AC168" s="4">
        <v>407</v>
      </c>
      <c r="AD168" s="4">
        <v>4</v>
      </c>
      <c r="AE168" s="4">
        <v>4</v>
      </c>
      <c r="AF168" s="4">
        <v>29</v>
      </c>
      <c r="AG168" s="4">
        <v>33</v>
      </c>
      <c r="AH168" s="4">
        <v>12</v>
      </c>
      <c r="AI168" s="4">
        <v>13</v>
      </c>
      <c r="AJ168" s="4">
        <v>6</v>
      </c>
      <c r="AK168" s="4">
        <v>7</v>
      </c>
      <c r="AL168" s="4">
        <v>19</v>
      </c>
      <c r="AM168" s="4">
        <v>22</v>
      </c>
      <c r="AN168" s="4">
        <v>2</v>
      </c>
      <c r="AO168" s="4">
        <v>2</v>
      </c>
      <c r="AP168" s="4">
        <v>0</v>
      </c>
      <c r="AQ168" s="4">
        <v>0</v>
      </c>
      <c r="AR168" s="3" t="s">
        <v>62</v>
      </c>
      <c r="AS168" s="3" t="s">
        <v>84</v>
      </c>
      <c r="AT168" s="6" t="str">
        <f>HYPERLINK("http://catalog.hathitrust.org/Record/009492818","HathiTrust Record")</f>
        <v>HathiTrust Record</v>
      </c>
      <c r="AU168" s="6" t="str">
        <f>HYPERLINK("https://creighton-primo.hosted.exlibrisgroup.com/primo-explore/search?tab=default_tab&amp;search_scope=EVERYTHING&amp;vid=01CRU&amp;lang=en_US&amp;offset=0&amp;query=any,contains,991000891599702656","Catalog Record")</f>
        <v>Catalog Record</v>
      </c>
      <c r="AV168" s="6" t="str">
        <f>HYPERLINK("http://www.worldcat.org/oclc/154346","WorldCat Record")</f>
        <v>WorldCat Record</v>
      </c>
      <c r="AW168" s="3" t="s">
        <v>2251</v>
      </c>
      <c r="AX168" s="3" t="s">
        <v>2252</v>
      </c>
      <c r="AY168" s="3" t="s">
        <v>2253</v>
      </c>
      <c r="AZ168" s="3" t="s">
        <v>2253</v>
      </c>
      <c r="BA168" s="3" t="s">
        <v>2254</v>
      </c>
      <c r="BB168" s="3" t="s">
        <v>77</v>
      </c>
      <c r="BD168" s="3" t="s">
        <v>2255</v>
      </c>
      <c r="BE168" s="3" t="s">
        <v>2256</v>
      </c>
      <c r="BF168" s="3" t="s">
        <v>2257</v>
      </c>
    </row>
    <row r="169" spans="1:58" ht="41.25" customHeight="1" x14ac:dyDescent="0.25">
      <c r="A169" s="7" t="s">
        <v>62</v>
      </c>
      <c r="B169" s="2" t="s">
        <v>57</v>
      </c>
      <c r="C169" s="2" t="s">
        <v>58</v>
      </c>
      <c r="D169" s="2" t="s">
        <v>2258</v>
      </c>
      <c r="E169" s="2" t="s">
        <v>2259</v>
      </c>
      <c r="F169" s="2" t="s">
        <v>2260</v>
      </c>
      <c r="H169" s="3" t="s">
        <v>62</v>
      </c>
      <c r="I169" s="3" t="s">
        <v>63</v>
      </c>
      <c r="J169" s="3" t="s">
        <v>62</v>
      </c>
      <c r="K169" s="3" t="s">
        <v>62</v>
      </c>
      <c r="L169" s="3" t="s">
        <v>64</v>
      </c>
      <c r="M169" s="2" t="s">
        <v>2261</v>
      </c>
      <c r="N169" s="2" t="s">
        <v>2262</v>
      </c>
      <c r="O169" s="3" t="s">
        <v>383</v>
      </c>
      <c r="Q169" s="3" t="s">
        <v>68</v>
      </c>
      <c r="R169" s="3" t="s">
        <v>2263</v>
      </c>
      <c r="T169" s="3" t="s">
        <v>70</v>
      </c>
      <c r="U169" s="4">
        <v>4</v>
      </c>
      <c r="V169" s="4">
        <v>4</v>
      </c>
      <c r="W169" s="5" t="s">
        <v>2264</v>
      </c>
      <c r="X169" s="5" t="s">
        <v>2264</v>
      </c>
      <c r="Y169" s="5" t="s">
        <v>2148</v>
      </c>
      <c r="Z169" s="5" t="s">
        <v>2148</v>
      </c>
      <c r="AA169" s="4">
        <v>620</v>
      </c>
      <c r="AB169" s="4">
        <v>542</v>
      </c>
      <c r="AC169" s="4">
        <v>542</v>
      </c>
      <c r="AD169" s="4">
        <v>5</v>
      </c>
      <c r="AE169" s="4">
        <v>5</v>
      </c>
      <c r="AF169" s="4">
        <v>28</v>
      </c>
      <c r="AG169" s="4">
        <v>28</v>
      </c>
      <c r="AH169" s="4">
        <v>12</v>
      </c>
      <c r="AI169" s="4">
        <v>12</v>
      </c>
      <c r="AJ169" s="4">
        <v>5</v>
      </c>
      <c r="AK169" s="4">
        <v>5</v>
      </c>
      <c r="AL169" s="4">
        <v>17</v>
      </c>
      <c r="AM169" s="4">
        <v>17</v>
      </c>
      <c r="AN169" s="4">
        <v>3</v>
      </c>
      <c r="AO169" s="4">
        <v>3</v>
      </c>
      <c r="AP169" s="4">
        <v>0</v>
      </c>
      <c r="AQ169" s="4">
        <v>0</v>
      </c>
      <c r="AR169" s="3" t="s">
        <v>62</v>
      </c>
      <c r="AS169" s="3" t="s">
        <v>62</v>
      </c>
      <c r="AU169" s="6" t="str">
        <f>HYPERLINK("https://creighton-primo.hosted.exlibrisgroup.com/primo-explore/search?tab=default_tab&amp;search_scope=EVERYTHING&amp;vid=01CRU&amp;lang=en_US&amp;offset=0&amp;query=any,contains,991000067259702656","Catalog Record")</f>
        <v>Catalog Record</v>
      </c>
      <c r="AV169" s="6" t="str">
        <f>HYPERLINK("http://www.worldcat.org/oclc/27304","WorldCat Record")</f>
        <v>WorldCat Record</v>
      </c>
      <c r="AW169" s="3" t="s">
        <v>2265</v>
      </c>
      <c r="AX169" s="3" t="s">
        <v>2266</v>
      </c>
      <c r="AY169" s="3" t="s">
        <v>2267</v>
      </c>
      <c r="AZ169" s="3" t="s">
        <v>2267</v>
      </c>
      <c r="BA169" s="3" t="s">
        <v>2268</v>
      </c>
      <c r="BB169" s="3" t="s">
        <v>77</v>
      </c>
      <c r="BD169" s="3" t="s">
        <v>2269</v>
      </c>
      <c r="BE169" s="3" t="s">
        <v>2270</v>
      </c>
      <c r="BF169" s="3" t="s">
        <v>2271</v>
      </c>
    </row>
    <row r="170" spans="1:58" ht="41.25" customHeight="1" x14ac:dyDescent="0.25">
      <c r="A170" s="7" t="s">
        <v>62</v>
      </c>
      <c r="B170" s="2" t="s">
        <v>57</v>
      </c>
      <c r="C170" s="2" t="s">
        <v>58</v>
      </c>
      <c r="D170" s="2" t="s">
        <v>2272</v>
      </c>
      <c r="E170" s="2" t="s">
        <v>2273</v>
      </c>
      <c r="F170" s="2" t="s">
        <v>2274</v>
      </c>
      <c r="H170" s="3" t="s">
        <v>62</v>
      </c>
      <c r="I170" s="3" t="s">
        <v>63</v>
      </c>
      <c r="J170" s="3" t="s">
        <v>62</v>
      </c>
      <c r="K170" s="3" t="s">
        <v>62</v>
      </c>
      <c r="L170" s="3" t="s">
        <v>64</v>
      </c>
      <c r="M170" s="2" t="s">
        <v>2275</v>
      </c>
      <c r="N170" s="2" t="s">
        <v>2276</v>
      </c>
      <c r="O170" s="3" t="s">
        <v>1482</v>
      </c>
      <c r="Q170" s="3" t="s">
        <v>68</v>
      </c>
      <c r="R170" s="3" t="s">
        <v>88</v>
      </c>
      <c r="T170" s="3" t="s">
        <v>70</v>
      </c>
      <c r="U170" s="4">
        <v>3</v>
      </c>
      <c r="V170" s="4">
        <v>3</v>
      </c>
      <c r="W170" s="5" t="s">
        <v>2277</v>
      </c>
      <c r="X170" s="5" t="s">
        <v>2277</v>
      </c>
      <c r="Y170" s="5" t="s">
        <v>2148</v>
      </c>
      <c r="Z170" s="5" t="s">
        <v>2148</v>
      </c>
      <c r="AA170" s="4">
        <v>210</v>
      </c>
      <c r="AB170" s="4">
        <v>191</v>
      </c>
      <c r="AC170" s="4">
        <v>247</v>
      </c>
      <c r="AD170" s="4">
        <v>2</v>
      </c>
      <c r="AE170" s="4">
        <v>2</v>
      </c>
      <c r="AF170" s="4">
        <v>31</v>
      </c>
      <c r="AG170" s="4">
        <v>34</v>
      </c>
      <c r="AH170" s="4">
        <v>10</v>
      </c>
      <c r="AI170" s="4">
        <v>13</v>
      </c>
      <c r="AJ170" s="4">
        <v>9</v>
      </c>
      <c r="AK170" s="4">
        <v>9</v>
      </c>
      <c r="AL170" s="4">
        <v>23</v>
      </c>
      <c r="AM170" s="4">
        <v>25</v>
      </c>
      <c r="AN170" s="4">
        <v>0</v>
      </c>
      <c r="AO170" s="4">
        <v>0</v>
      </c>
      <c r="AP170" s="4">
        <v>0</v>
      </c>
      <c r="AQ170" s="4">
        <v>0</v>
      </c>
      <c r="AR170" s="3" t="s">
        <v>62</v>
      </c>
      <c r="AS170" s="3" t="s">
        <v>84</v>
      </c>
      <c r="AT170" s="6" t="str">
        <f>HYPERLINK("http://catalog.hathitrust.org/Record/001416569","HathiTrust Record")</f>
        <v>HathiTrust Record</v>
      </c>
      <c r="AU170" s="6" t="str">
        <f>HYPERLINK("https://creighton-primo.hosted.exlibrisgroup.com/primo-explore/search?tab=default_tab&amp;search_scope=EVERYTHING&amp;vid=01CRU&amp;lang=en_US&amp;offset=0&amp;query=any,contains,991003439529702656","Catalog Record")</f>
        <v>Catalog Record</v>
      </c>
      <c r="AV170" s="6" t="str">
        <f>HYPERLINK("http://www.worldcat.org/oclc/975570","WorldCat Record")</f>
        <v>WorldCat Record</v>
      </c>
      <c r="AW170" s="3" t="s">
        <v>2278</v>
      </c>
      <c r="AX170" s="3" t="s">
        <v>2279</v>
      </c>
      <c r="AY170" s="3" t="s">
        <v>2280</v>
      </c>
      <c r="AZ170" s="3" t="s">
        <v>2280</v>
      </c>
      <c r="BA170" s="3" t="s">
        <v>2281</v>
      </c>
      <c r="BB170" s="3" t="s">
        <v>77</v>
      </c>
      <c r="BE170" s="3" t="s">
        <v>2282</v>
      </c>
      <c r="BF170" s="3" t="s">
        <v>2283</v>
      </c>
    </row>
    <row r="171" spans="1:58" ht="41.25" customHeight="1" x14ac:dyDescent="0.25">
      <c r="A171" s="7" t="s">
        <v>62</v>
      </c>
      <c r="B171" s="2" t="s">
        <v>57</v>
      </c>
      <c r="C171" s="2" t="s">
        <v>58</v>
      </c>
      <c r="D171" s="2" t="s">
        <v>2284</v>
      </c>
      <c r="E171" s="2" t="s">
        <v>2285</v>
      </c>
      <c r="F171" s="2" t="s">
        <v>2286</v>
      </c>
      <c r="H171" s="3" t="s">
        <v>62</v>
      </c>
      <c r="I171" s="3" t="s">
        <v>63</v>
      </c>
      <c r="J171" s="3" t="s">
        <v>62</v>
      </c>
      <c r="K171" s="3" t="s">
        <v>62</v>
      </c>
      <c r="L171" s="3" t="s">
        <v>64</v>
      </c>
      <c r="M171" s="2" t="s">
        <v>2287</v>
      </c>
      <c r="N171" s="2" t="s">
        <v>2288</v>
      </c>
      <c r="O171" s="3" t="s">
        <v>1682</v>
      </c>
      <c r="Q171" s="3" t="s">
        <v>68</v>
      </c>
      <c r="R171" s="3" t="s">
        <v>2289</v>
      </c>
      <c r="T171" s="3" t="s">
        <v>70</v>
      </c>
      <c r="U171" s="4">
        <v>3</v>
      </c>
      <c r="V171" s="4">
        <v>3</v>
      </c>
      <c r="W171" s="5" t="s">
        <v>2290</v>
      </c>
      <c r="X171" s="5" t="s">
        <v>2290</v>
      </c>
      <c r="Y171" s="5" t="s">
        <v>2069</v>
      </c>
      <c r="Z171" s="5" t="s">
        <v>2069</v>
      </c>
      <c r="AA171" s="4">
        <v>562</v>
      </c>
      <c r="AB171" s="4">
        <v>522</v>
      </c>
      <c r="AC171" s="4">
        <v>524</v>
      </c>
      <c r="AD171" s="4">
        <v>6</v>
      </c>
      <c r="AE171" s="4">
        <v>6</v>
      </c>
      <c r="AF171" s="4">
        <v>31</v>
      </c>
      <c r="AG171" s="4">
        <v>31</v>
      </c>
      <c r="AH171" s="4">
        <v>11</v>
      </c>
      <c r="AI171" s="4">
        <v>11</v>
      </c>
      <c r="AJ171" s="4">
        <v>6</v>
      </c>
      <c r="AK171" s="4">
        <v>6</v>
      </c>
      <c r="AL171" s="4">
        <v>16</v>
      </c>
      <c r="AM171" s="4">
        <v>16</v>
      </c>
      <c r="AN171" s="4">
        <v>5</v>
      </c>
      <c r="AO171" s="4">
        <v>5</v>
      </c>
      <c r="AP171" s="4">
        <v>1</v>
      </c>
      <c r="AQ171" s="4">
        <v>1</v>
      </c>
      <c r="AR171" s="3" t="s">
        <v>62</v>
      </c>
      <c r="AS171" s="3" t="s">
        <v>84</v>
      </c>
      <c r="AT171" s="6" t="str">
        <f>HYPERLINK("http://catalog.hathitrust.org/Record/002566678","HathiTrust Record")</f>
        <v>HathiTrust Record</v>
      </c>
      <c r="AU171" s="6" t="str">
        <f>HYPERLINK("https://creighton-primo.hosted.exlibrisgroup.com/primo-explore/search?tab=default_tab&amp;search_scope=EVERYTHING&amp;vid=01CRU&amp;lang=en_US&amp;offset=0&amp;query=any,contains,991001991179702656","Catalog Record")</f>
        <v>Catalog Record</v>
      </c>
      <c r="AV171" s="6" t="str">
        <f>HYPERLINK("http://www.worldcat.org/oclc/25283016","WorldCat Record")</f>
        <v>WorldCat Record</v>
      </c>
      <c r="AW171" s="3" t="s">
        <v>2291</v>
      </c>
      <c r="AX171" s="3" t="s">
        <v>2292</v>
      </c>
      <c r="AY171" s="3" t="s">
        <v>2293</v>
      </c>
      <c r="AZ171" s="3" t="s">
        <v>2293</v>
      </c>
      <c r="BA171" s="3" t="s">
        <v>2294</v>
      </c>
      <c r="BB171" s="3" t="s">
        <v>77</v>
      </c>
      <c r="BD171" s="3" t="s">
        <v>2295</v>
      </c>
      <c r="BE171" s="3" t="s">
        <v>2296</v>
      </c>
      <c r="BF171" s="3" t="s">
        <v>2297</v>
      </c>
    </row>
    <row r="172" spans="1:58" ht="41.25" customHeight="1" x14ac:dyDescent="0.25">
      <c r="A172" s="7" t="s">
        <v>62</v>
      </c>
      <c r="B172" s="2" t="s">
        <v>57</v>
      </c>
      <c r="C172" s="2" t="s">
        <v>58</v>
      </c>
      <c r="D172" s="2" t="s">
        <v>2298</v>
      </c>
      <c r="E172" s="2" t="s">
        <v>2299</v>
      </c>
      <c r="F172" s="2" t="s">
        <v>2300</v>
      </c>
      <c r="H172" s="3" t="s">
        <v>62</v>
      </c>
      <c r="I172" s="3" t="s">
        <v>63</v>
      </c>
      <c r="J172" s="3" t="s">
        <v>62</v>
      </c>
      <c r="K172" s="3" t="s">
        <v>62</v>
      </c>
      <c r="L172" s="3" t="s">
        <v>64</v>
      </c>
      <c r="M172" s="2" t="s">
        <v>2301</v>
      </c>
      <c r="N172" s="2" t="s">
        <v>2302</v>
      </c>
      <c r="O172" s="3" t="s">
        <v>2303</v>
      </c>
      <c r="Q172" s="3" t="s">
        <v>68</v>
      </c>
      <c r="R172" s="3" t="s">
        <v>69</v>
      </c>
      <c r="S172" s="2" t="s">
        <v>2304</v>
      </c>
      <c r="T172" s="3" t="s">
        <v>70</v>
      </c>
      <c r="U172" s="4">
        <v>2</v>
      </c>
      <c r="V172" s="4">
        <v>2</v>
      </c>
      <c r="W172" s="5" t="s">
        <v>2185</v>
      </c>
      <c r="X172" s="5" t="s">
        <v>2185</v>
      </c>
      <c r="Y172" s="5" t="s">
        <v>2148</v>
      </c>
      <c r="Z172" s="5" t="s">
        <v>2148</v>
      </c>
      <c r="AA172" s="4">
        <v>741</v>
      </c>
      <c r="AB172" s="4">
        <v>640</v>
      </c>
      <c r="AC172" s="4">
        <v>646</v>
      </c>
      <c r="AD172" s="4">
        <v>3</v>
      </c>
      <c r="AE172" s="4">
        <v>3</v>
      </c>
      <c r="AF172" s="4">
        <v>24</v>
      </c>
      <c r="AG172" s="4">
        <v>24</v>
      </c>
      <c r="AH172" s="4">
        <v>9</v>
      </c>
      <c r="AI172" s="4">
        <v>9</v>
      </c>
      <c r="AJ172" s="4">
        <v>6</v>
      </c>
      <c r="AK172" s="4">
        <v>6</v>
      </c>
      <c r="AL172" s="4">
        <v>15</v>
      </c>
      <c r="AM172" s="4">
        <v>15</v>
      </c>
      <c r="AN172" s="4">
        <v>1</v>
      </c>
      <c r="AO172" s="4">
        <v>1</v>
      </c>
      <c r="AP172" s="4">
        <v>0</v>
      </c>
      <c r="AQ172" s="4">
        <v>0</v>
      </c>
      <c r="AR172" s="3" t="s">
        <v>62</v>
      </c>
      <c r="AS172" s="3" t="s">
        <v>62</v>
      </c>
      <c r="AU172" s="6" t="str">
        <f>HYPERLINK("https://creighton-primo.hosted.exlibrisgroup.com/primo-explore/search?tab=default_tab&amp;search_scope=EVERYTHING&amp;vid=01CRU&amp;lang=en_US&amp;offset=0&amp;query=any,contains,991004834409702656","Catalog Record")</f>
        <v>Catalog Record</v>
      </c>
      <c r="AV172" s="6" t="str">
        <f>HYPERLINK("http://www.worldcat.org/oclc/5434547","WorldCat Record")</f>
        <v>WorldCat Record</v>
      </c>
      <c r="AW172" s="3" t="s">
        <v>2305</v>
      </c>
      <c r="AX172" s="3" t="s">
        <v>2306</v>
      </c>
      <c r="AY172" s="3" t="s">
        <v>2307</v>
      </c>
      <c r="AZ172" s="3" t="s">
        <v>2307</v>
      </c>
      <c r="BA172" s="3" t="s">
        <v>2308</v>
      </c>
      <c r="BB172" s="3" t="s">
        <v>77</v>
      </c>
      <c r="BE172" s="3" t="s">
        <v>2309</v>
      </c>
      <c r="BF172" s="3" t="s">
        <v>2310</v>
      </c>
    </row>
    <row r="173" spans="1:58" ht="41.25" customHeight="1" x14ac:dyDescent="0.25">
      <c r="A173" s="7" t="s">
        <v>62</v>
      </c>
      <c r="B173" s="2" t="s">
        <v>57</v>
      </c>
      <c r="C173" s="2" t="s">
        <v>58</v>
      </c>
      <c r="D173" s="2" t="s">
        <v>2311</v>
      </c>
      <c r="E173" s="2" t="s">
        <v>2312</v>
      </c>
      <c r="F173" s="2" t="s">
        <v>2313</v>
      </c>
      <c r="H173" s="3" t="s">
        <v>62</v>
      </c>
      <c r="I173" s="3" t="s">
        <v>63</v>
      </c>
      <c r="J173" s="3" t="s">
        <v>62</v>
      </c>
      <c r="K173" s="3" t="s">
        <v>62</v>
      </c>
      <c r="L173" s="3" t="s">
        <v>64</v>
      </c>
      <c r="M173" s="2" t="s">
        <v>2314</v>
      </c>
      <c r="N173" s="2" t="s">
        <v>2315</v>
      </c>
      <c r="O173" s="3" t="s">
        <v>1158</v>
      </c>
      <c r="P173" s="2" t="s">
        <v>268</v>
      </c>
      <c r="Q173" s="3" t="s">
        <v>68</v>
      </c>
      <c r="R173" s="3" t="s">
        <v>69</v>
      </c>
      <c r="T173" s="3" t="s">
        <v>70</v>
      </c>
      <c r="U173" s="4">
        <v>1</v>
      </c>
      <c r="V173" s="4">
        <v>1</v>
      </c>
      <c r="W173" s="5" t="s">
        <v>2316</v>
      </c>
      <c r="X173" s="5" t="s">
        <v>2316</v>
      </c>
      <c r="Y173" s="5" t="s">
        <v>2317</v>
      </c>
      <c r="Z173" s="5" t="s">
        <v>2317</v>
      </c>
      <c r="AA173" s="4">
        <v>417</v>
      </c>
      <c r="AB173" s="4">
        <v>363</v>
      </c>
      <c r="AC173" s="4">
        <v>373</v>
      </c>
      <c r="AD173" s="4">
        <v>3</v>
      </c>
      <c r="AE173" s="4">
        <v>3</v>
      </c>
      <c r="AF173" s="4">
        <v>28</v>
      </c>
      <c r="AG173" s="4">
        <v>28</v>
      </c>
      <c r="AH173" s="4">
        <v>8</v>
      </c>
      <c r="AI173" s="4">
        <v>8</v>
      </c>
      <c r="AJ173" s="4">
        <v>9</v>
      </c>
      <c r="AK173" s="4">
        <v>9</v>
      </c>
      <c r="AL173" s="4">
        <v>19</v>
      </c>
      <c r="AM173" s="4">
        <v>19</v>
      </c>
      <c r="AN173" s="4">
        <v>1</v>
      </c>
      <c r="AO173" s="4">
        <v>1</v>
      </c>
      <c r="AP173" s="4">
        <v>0</v>
      </c>
      <c r="AQ173" s="4">
        <v>0</v>
      </c>
      <c r="AR173" s="3" t="s">
        <v>62</v>
      </c>
      <c r="AS173" s="3" t="s">
        <v>84</v>
      </c>
      <c r="AT173" s="6" t="str">
        <f>HYPERLINK("http://catalog.hathitrust.org/Record/101870867","HathiTrust Record")</f>
        <v>HathiTrust Record</v>
      </c>
      <c r="AU173" s="6" t="str">
        <f>HYPERLINK("https://creighton-primo.hosted.exlibrisgroup.com/primo-explore/search?tab=default_tab&amp;search_scope=EVERYTHING&amp;vid=01CRU&amp;lang=en_US&amp;offset=0&amp;query=any,contains,991003090919702656","Catalog Record")</f>
        <v>Catalog Record</v>
      </c>
      <c r="AV173" s="6" t="str">
        <f>HYPERLINK("http://www.worldcat.org/oclc/701715","WorldCat Record")</f>
        <v>WorldCat Record</v>
      </c>
      <c r="AW173" s="3" t="s">
        <v>2318</v>
      </c>
      <c r="AX173" s="3" t="s">
        <v>2319</v>
      </c>
      <c r="AY173" s="3" t="s">
        <v>2320</v>
      </c>
      <c r="AZ173" s="3" t="s">
        <v>2320</v>
      </c>
      <c r="BA173" s="3" t="s">
        <v>2321</v>
      </c>
      <c r="BB173" s="3" t="s">
        <v>77</v>
      </c>
      <c r="BD173" s="3" t="s">
        <v>2322</v>
      </c>
      <c r="BE173" s="3" t="s">
        <v>2323</v>
      </c>
      <c r="BF173" s="3" t="s">
        <v>2324</v>
      </c>
    </row>
    <row r="174" spans="1:58" ht="41.25" customHeight="1" x14ac:dyDescent="0.25">
      <c r="A174" s="7" t="s">
        <v>62</v>
      </c>
      <c r="B174" s="2" t="s">
        <v>57</v>
      </c>
      <c r="C174" s="2" t="s">
        <v>58</v>
      </c>
      <c r="D174" s="2" t="s">
        <v>2325</v>
      </c>
      <c r="E174" s="2" t="s">
        <v>2326</v>
      </c>
      <c r="F174" s="2" t="s">
        <v>2327</v>
      </c>
      <c r="H174" s="3" t="s">
        <v>62</v>
      </c>
      <c r="I174" s="3" t="s">
        <v>63</v>
      </c>
      <c r="J174" s="3" t="s">
        <v>62</v>
      </c>
      <c r="K174" s="3" t="s">
        <v>62</v>
      </c>
      <c r="L174" s="3" t="s">
        <v>64</v>
      </c>
      <c r="M174" s="2" t="s">
        <v>2328</v>
      </c>
      <c r="N174" s="2" t="s">
        <v>2329</v>
      </c>
      <c r="O174" s="3" t="s">
        <v>233</v>
      </c>
      <c r="Q174" s="3" t="s">
        <v>68</v>
      </c>
      <c r="R174" s="3" t="s">
        <v>420</v>
      </c>
      <c r="T174" s="3" t="s">
        <v>70</v>
      </c>
      <c r="U174" s="4">
        <v>1</v>
      </c>
      <c r="V174" s="4">
        <v>1</v>
      </c>
      <c r="W174" s="5" t="s">
        <v>2330</v>
      </c>
      <c r="X174" s="5" t="s">
        <v>2330</v>
      </c>
      <c r="Y174" s="5" t="s">
        <v>2148</v>
      </c>
      <c r="Z174" s="5" t="s">
        <v>2148</v>
      </c>
      <c r="AA174" s="4">
        <v>105</v>
      </c>
      <c r="AB174" s="4">
        <v>94</v>
      </c>
      <c r="AC174" s="4">
        <v>94</v>
      </c>
      <c r="AD174" s="4">
        <v>2</v>
      </c>
      <c r="AE174" s="4">
        <v>2</v>
      </c>
      <c r="AF174" s="4">
        <v>6</v>
      </c>
      <c r="AG174" s="4">
        <v>6</v>
      </c>
      <c r="AH174" s="4">
        <v>0</v>
      </c>
      <c r="AI174" s="4">
        <v>0</v>
      </c>
      <c r="AJ174" s="4">
        <v>3</v>
      </c>
      <c r="AK174" s="4">
        <v>3</v>
      </c>
      <c r="AL174" s="4">
        <v>3</v>
      </c>
      <c r="AM174" s="4">
        <v>3</v>
      </c>
      <c r="AN174" s="4">
        <v>1</v>
      </c>
      <c r="AO174" s="4">
        <v>1</v>
      </c>
      <c r="AP174" s="4">
        <v>0</v>
      </c>
      <c r="AQ174" s="4">
        <v>0</v>
      </c>
      <c r="AR174" s="3" t="s">
        <v>62</v>
      </c>
      <c r="AS174" s="3" t="s">
        <v>62</v>
      </c>
      <c r="AU174" s="6" t="str">
        <f>HYPERLINK("https://creighton-primo.hosted.exlibrisgroup.com/primo-explore/search?tab=default_tab&amp;search_scope=EVERYTHING&amp;vid=01CRU&amp;lang=en_US&amp;offset=0&amp;query=any,contains,991005001639702656","Catalog Record")</f>
        <v>Catalog Record</v>
      </c>
      <c r="AV174" s="6" t="str">
        <f>HYPERLINK("http://www.worldcat.org/oclc/6552436","WorldCat Record")</f>
        <v>WorldCat Record</v>
      </c>
      <c r="AW174" s="3" t="s">
        <v>2331</v>
      </c>
      <c r="AX174" s="3" t="s">
        <v>2332</v>
      </c>
      <c r="AY174" s="3" t="s">
        <v>2333</v>
      </c>
      <c r="AZ174" s="3" t="s">
        <v>2333</v>
      </c>
      <c r="BA174" s="3" t="s">
        <v>2334</v>
      </c>
      <c r="BB174" s="3" t="s">
        <v>77</v>
      </c>
      <c r="BD174" s="3" t="s">
        <v>2335</v>
      </c>
      <c r="BE174" s="3" t="s">
        <v>2336</v>
      </c>
      <c r="BF174" s="3" t="s">
        <v>2337</v>
      </c>
    </row>
    <row r="175" spans="1:58" ht="41.25" customHeight="1" x14ac:dyDescent="0.25">
      <c r="A175" s="7" t="s">
        <v>62</v>
      </c>
      <c r="B175" s="2" t="s">
        <v>57</v>
      </c>
      <c r="C175" s="2" t="s">
        <v>58</v>
      </c>
      <c r="D175" s="2" t="s">
        <v>2338</v>
      </c>
      <c r="E175" s="2" t="s">
        <v>2339</v>
      </c>
      <c r="F175" s="2" t="s">
        <v>2340</v>
      </c>
      <c r="H175" s="3" t="s">
        <v>62</v>
      </c>
      <c r="I175" s="3" t="s">
        <v>63</v>
      </c>
      <c r="J175" s="3" t="s">
        <v>62</v>
      </c>
      <c r="K175" s="3" t="s">
        <v>62</v>
      </c>
      <c r="L175" s="3" t="s">
        <v>64</v>
      </c>
      <c r="M175" s="2" t="s">
        <v>2341</v>
      </c>
      <c r="N175" s="2" t="s">
        <v>2342</v>
      </c>
      <c r="O175" s="3" t="s">
        <v>1533</v>
      </c>
      <c r="Q175" s="3" t="s">
        <v>68</v>
      </c>
      <c r="R175" s="3" t="s">
        <v>88</v>
      </c>
      <c r="S175" s="2" t="s">
        <v>2343</v>
      </c>
      <c r="T175" s="3" t="s">
        <v>70</v>
      </c>
      <c r="U175" s="4">
        <v>1</v>
      </c>
      <c r="V175" s="4">
        <v>1</v>
      </c>
      <c r="W175" s="5" t="s">
        <v>2344</v>
      </c>
      <c r="X175" s="5" t="s">
        <v>2344</v>
      </c>
      <c r="Y175" s="5" t="s">
        <v>2148</v>
      </c>
      <c r="Z175" s="5" t="s">
        <v>2148</v>
      </c>
      <c r="AA175" s="4">
        <v>127</v>
      </c>
      <c r="AB175" s="4">
        <v>111</v>
      </c>
      <c r="AC175" s="4">
        <v>116</v>
      </c>
      <c r="AD175" s="4">
        <v>2</v>
      </c>
      <c r="AE175" s="4">
        <v>2</v>
      </c>
      <c r="AF175" s="4">
        <v>17</v>
      </c>
      <c r="AG175" s="4">
        <v>18</v>
      </c>
      <c r="AH175" s="4">
        <v>4</v>
      </c>
      <c r="AI175" s="4">
        <v>4</v>
      </c>
      <c r="AJ175" s="4">
        <v>5</v>
      </c>
      <c r="AK175" s="4">
        <v>5</v>
      </c>
      <c r="AL175" s="4">
        <v>14</v>
      </c>
      <c r="AM175" s="4">
        <v>15</v>
      </c>
      <c r="AN175" s="4">
        <v>0</v>
      </c>
      <c r="AO175" s="4">
        <v>0</v>
      </c>
      <c r="AP175" s="4">
        <v>0</v>
      </c>
      <c r="AQ175" s="4">
        <v>0</v>
      </c>
      <c r="AR175" s="3" t="s">
        <v>62</v>
      </c>
      <c r="AS175" s="3" t="s">
        <v>62</v>
      </c>
      <c r="AU175" s="6" t="str">
        <f>HYPERLINK("https://creighton-primo.hosted.exlibrisgroup.com/primo-explore/search?tab=default_tab&amp;search_scope=EVERYTHING&amp;vid=01CRU&amp;lang=en_US&amp;offset=0&amp;query=any,contains,991003568909702656","Catalog Record")</f>
        <v>Catalog Record</v>
      </c>
      <c r="AV175" s="6" t="str">
        <f>HYPERLINK("http://www.worldcat.org/oclc/1143540","WorldCat Record")</f>
        <v>WorldCat Record</v>
      </c>
      <c r="AW175" s="3" t="s">
        <v>2345</v>
      </c>
      <c r="AX175" s="3" t="s">
        <v>2346</v>
      </c>
      <c r="AY175" s="3" t="s">
        <v>2347</v>
      </c>
      <c r="AZ175" s="3" t="s">
        <v>2347</v>
      </c>
      <c r="BA175" s="3" t="s">
        <v>2348</v>
      </c>
      <c r="BB175" s="3" t="s">
        <v>77</v>
      </c>
      <c r="BE175" s="3" t="s">
        <v>2349</v>
      </c>
      <c r="BF175" s="3" t="s">
        <v>2350</v>
      </c>
    </row>
    <row r="176" spans="1:58" ht="41.25" customHeight="1" x14ac:dyDescent="0.25">
      <c r="A176" s="7" t="s">
        <v>62</v>
      </c>
      <c r="B176" s="2" t="s">
        <v>57</v>
      </c>
      <c r="C176" s="2" t="s">
        <v>58</v>
      </c>
      <c r="D176" s="2" t="s">
        <v>2351</v>
      </c>
      <c r="E176" s="2" t="s">
        <v>2352</v>
      </c>
      <c r="F176" s="2" t="s">
        <v>2353</v>
      </c>
      <c r="H176" s="3" t="s">
        <v>62</v>
      </c>
      <c r="I176" s="3" t="s">
        <v>63</v>
      </c>
      <c r="J176" s="3" t="s">
        <v>62</v>
      </c>
      <c r="K176" s="3" t="s">
        <v>62</v>
      </c>
      <c r="L176" s="3" t="s">
        <v>64</v>
      </c>
      <c r="M176" s="2" t="s">
        <v>2354</v>
      </c>
      <c r="N176" s="2" t="s">
        <v>2355</v>
      </c>
      <c r="O176" s="3" t="s">
        <v>267</v>
      </c>
      <c r="Q176" s="3" t="s">
        <v>68</v>
      </c>
      <c r="R176" s="3" t="s">
        <v>369</v>
      </c>
      <c r="T176" s="3" t="s">
        <v>70</v>
      </c>
      <c r="U176" s="4">
        <v>3</v>
      </c>
      <c r="V176" s="4">
        <v>3</v>
      </c>
      <c r="W176" s="5" t="s">
        <v>2356</v>
      </c>
      <c r="X176" s="5" t="s">
        <v>2356</v>
      </c>
      <c r="Y176" s="5" t="s">
        <v>2148</v>
      </c>
      <c r="Z176" s="5" t="s">
        <v>2148</v>
      </c>
      <c r="AA176" s="4">
        <v>586</v>
      </c>
      <c r="AB176" s="4">
        <v>508</v>
      </c>
      <c r="AC176" s="4">
        <v>524</v>
      </c>
      <c r="AD176" s="4">
        <v>3</v>
      </c>
      <c r="AE176" s="4">
        <v>4</v>
      </c>
      <c r="AF176" s="4">
        <v>34</v>
      </c>
      <c r="AG176" s="4">
        <v>36</v>
      </c>
      <c r="AH176" s="4">
        <v>10</v>
      </c>
      <c r="AI176" s="4">
        <v>11</v>
      </c>
      <c r="AJ176" s="4">
        <v>10</v>
      </c>
      <c r="AK176" s="4">
        <v>10</v>
      </c>
      <c r="AL176" s="4">
        <v>23</v>
      </c>
      <c r="AM176" s="4">
        <v>24</v>
      </c>
      <c r="AN176" s="4">
        <v>1</v>
      </c>
      <c r="AO176" s="4">
        <v>2</v>
      </c>
      <c r="AP176" s="4">
        <v>0</v>
      </c>
      <c r="AQ176" s="4">
        <v>0</v>
      </c>
      <c r="AR176" s="3" t="s">
        <v>62</v>
      </c>
      <c r="AS176" s="3" t="s">
        <v>84</v>
      </c>
      <c r="AT176" s="6" t="str">
        <f>HYPERLINK("http://catalog.hathitrust.org/Record/001401504","HathiTrust Record")</f>
        <v>HathiTrust Record</v>
      </c>
      <c r="AU176" s="6" t="str">
        <f>HYPERLINK("https://creighton-primo.hosted.exlibrisgroup.com/primo-explore/search?tab=default_tab&amp;search_scope=EVERYTHING&amp;vid=01CRU&amp;lang=en_US&amp;offset=0&amp;query=any,contains,991002786099702656","Catalog Record")</f>
        <v>Catalog Record</v>
      </c>
      <c r="AV176" s="6" t="str">
        <f>HYPERLINK("http://www.worldcat.org/oclc/441689","WorldCat Record")</f>
        <v>WorldCat Record</v>
      </c>
      <c r="AW176" s="3" t="s">
        <v>2357</v>
      </c>
      <c r="AX176" s="3" t="s">
        <v>2358</v>
      </c>
      <c r="AY176" s="3" t="s">
        <v>2359</v>
      </c>
      <c r="AZ176" s="3" t="s">
        <v>2359</v>
      </c>
      <c r="BA176" s="3" t="s">
        <v>2360</v>
      </c>
      <c r="BB176" s="3" t="s">
        <v>77</v>
      </c>
      <c r="BE176" s="3" t="s">
        <v>2361</v>
      </c>
      <c r="BF176" s="3" t="s">
        <v>2362</v>
      </c>
    </row>
    <row r="177" spans="1:58" ht="41.25" customHeight="1" x14ac:dyDescent="0.25">
      <c r="A177" s="7" t="s">
        <v>62</v>
      </c>
      <c r="B177" s="2" t="s">
        <v>57</v>
      </c>
      <c r="C177" s="2" t="s">
        <v>58</v>
      </c>
      <c r="D177" s="2" t="s">
        <v>2363</v>
      </c>
      <c r="E177" s="2" t="s">
        <v>2364</v>
      </c>
      <c r="F177" s="2" t="s">
        <v>2365</v>
      </c>
      <c r="H177" s="3" t="s">
        <v>62</v>
      </c>
      <c r="I177" s="3" t="s">
        <v>63</v>
      </c>
      <c r="J177" s="3" t="s">
        <v>62</v>
      </c>
      <c r="K177" s="3" t="s">
        <v>62</v>
      </c>
      <c r="L177" s="3" t="s">
        <v>64</v>
      </c>
      <c r="M177" s="2" t="s">
        <v>2366</v>
      </c>
      <c r="N177" s="2" t="s">
        <v>2367</v>
      </c>
      <c r="O177" s="3" t="s">
        <v>253</v>
      </c>
      <c r="Q177" s="3" t="s">
        <v>68</v>
      </c>
      <c r="R177" s="3" t="s">
        <v>369</v>
      </c>
      <c r="T177" s="3" t="s">
        <v>70</v>
      </c>
      <c r="U177" s="4">
        <v>2</v>
      </c>
      <c r="V177" s="4">
        <v>2</v>
      </c>
      <c r="W177" s="5" t="s">
        <v>2160</v>
      </c>
      <c r="X177" s="5" t="s">
        <v>2160</v>
      </c>
      <c r="Y177" s="5" t="s">
        <v>2148</v>
      </c>
      <c r="Z177" s="5" t="s">
        <v>2148</v>
      </c>
      <c r="AA177" s="4">
        <v>1462</v>
      </c>
      <c r="AB177" s="4">
        <v>1335</v>
      </c>
      <c r="AC177" s="4">
        <v>1407</v>
      </c>
      <c r="AD177" s="4">
        <v>11</v>
      </c>
      <c r="AE177" s="4">
        <v>13</v>
      </c>
      <c r="AF177" s="4">
        <v>51</v>
      </c>
      <c r="AG177" s="4">
        <v>54</v>
      </c>
      <c r="AH177" s="4">
        <v>20</v>
      </c>
      <c r="AI177" s="4">
        <v>20</v>
      </c>
      <c r="AJ177" s="4">
        <v>9</v>
      </c>
      <c r="AK177" s="4">
        <v>9</v>
      </c>
      <c r="AL177" s="4">
        <v>24</v>
      </c>
      <c r="AM177" s="4">
        <v>25</v>
      </c>
      <c r="AN177" s="4">
        <v>8</v>
      </c>
      <c r="AO177" s="4">
        <v>10</v>
      </c>
      <c r="AP177" s="4">
        <v>2</v>
      </c>
      <c r="AQ177" s="4">
        <v>2</v>
      </c>
      <c r="AR177" s="3" t="s">
        <v>62</v>
      </c>
      <c r="AS177" s="3" t="s">
        <v>84</v>
      </c>
      <c r="AT177" s="6" t="str">
        <f>HYPERLINK("http://catalog.hathitrust.org/Record/000338091","HathiTrust Record")</f>
        <v>HathiTrust Record</v>
      </c>
      <c r="AU177" s="6" t="str">
        <f>HYPERLINK("https://creighton-primo.hosted.exlibrisgroup.com/primo-explore/search?tab=default_tab&amp;search_scope=EVERYTHING&amp;vid=01CRU&amp;lang=en_US&amp;offset=0&amp;query=any,contains,991000462049702656","Catalog Record")</f>
        <v>Catalog Record</v>
      </c>
      <c r="AV177" s="6" t="str">
        <f>HYPERLINK("http://www.worldcat.org/oclc/10948348","WorldCat Record")</f>
        <v>WorldCat Record</v>
      </c>
      <c r="AW177" s="3" t="s">
        <v>2368</v>
      </c>
      <c r="AX177" s="3" t="s">
        <v>2369</v>
      </c>
      <c r="AY177" s="3" t="s">
        <v>2370</v>
      </c>
      <c r="AZ177" s="3" t="s">
        <v>2370</v>
      </c>
      <c r="BA177" s="3" t="s">
        <v>2371</v>
      </c>
      <c r="BB177" s="3" t="s">
        <v>77</v>
      </c>
      <c r="BD177" s="3" t="s">
        <v>2372</v>
      </c>
      <c r="BE177" s="3" t="s">
        <v>2373</v>
      </c>
      <c r="BF177" s="3" t="s">
        <v>2374</v>
      </c>
    </row>
    <row r="178" spans="1:58" ht="41.25" customHeight="1" x14ac:dyDescent="0.25">
      <c r="A178" s="7" t="s">
        <v>62</v>
      </c>
      <c r="B178" s="2" t="s">
        <v>57</v>
      </c>
      <c r="C178" s="2" t="s">
        <v>58</v>
      </c>
      <c r="D178" s="2" t="s">
        <v>2375</v>
      </c>
      <c r="E178" s="2" t="s">
        <v>2376</v>
      </c>
      <c r="F178" s="2" t="s">
        <v>2377</v>
      </c>
      <c r="H178" s="3" t="s">
        <v>62</v>
      </c>
      <c r="I178" s="3" t="s">
        <v>63</v>
      </c>
      <c r="J178" s="3" t="s">
        <v>62</v>
      </c>
      <c r="K178" s="3" t="s">
        <v>62</v>
      </c>
      <c r="L178" s="3" t="s">
        <v>64</v>
      </c>
      <c r="M178" s="2" t="s">
        <v>2378</v>
      </c>
      <c r="N178" s="2" t="s">
        <v>2379</v>
      </c>
      <c r="O178" s="3" t="s">
        <v>820</v>
      </c>
      <c r="Q178" s="3" t="s">
        <v>68</v>
      </c>
      <c r="R178" s="3" t="s">
        <v>297</v>
      </c>
      <c r="S178" s="2" t="s">
        <v>2380</v>
      </c>
      <c r="T178" s="3" t="s">
        <v>70</v>
      </c>
      <c r="U178" s="4">
        <v>3</v>
      </c>
      <c r="V178" s="4">
        <v>3</v>
      </c>
      <c r="W178" s="5" t="s">
        <v>2381</v>
      </c>
      <c r="X178" s="5" t="s">
        <v>2381</v>
      </c>
      <c r="Y178" s="5" t="s">
        <v>2148</v>
      </c>
      <c r="Z178" s="5" t="s">
        <v>2148</v>
      </c>
      <c r="AA178" s="4">
        <v>1062</v>
      </c>
      <c r="AB178" s="4">
        <v>834</v>
      </c>
      <c r="AC178" s="4">
        <v>838</v>
      </c>
      <c r="AD178" s="4">
        <v>8</v>
      </c>
      <c r="AE178" s="4">
        <v>8</v>
      </c>
      <c r="AF178" s="4">
        <v>45</v>
      </c>
      <c r="AG178" s="4">
        <v>45</v>
      </c>
      <c r="AH178" s="4">
        <v>16</v>
      </c>
      <c r="AI178" s="4">
        <v>16</v>
      </c>
      <c r="AJ178" s="4">
        <v>9</v>
      </c>
      <c r="AK178" s="4">
        <v>9</v>
      </c>
      <c r="AL178" s="4">
        <v>23</v>
      </c>
      <c r="AM178" s="4">
        <v>23</v>
      </c>
      <c r="AN178" s="4">
        <v>7</v>
      </c>
      <c r="AO178" s="4">
        <v>7</v>
      </c>
      <c r="AP178" s="4">
        <v>0</v>
      </c>
      <c r="AQ178" s="4">
        <v>0</v>
      </c>
      <c r="AR178" s="3" t="s">
        <v>62</v>
      </c>
      <c r="AS178" s="3" t="s">
        <v>62</v>
      </c>
      <c r="AU178" s="6" t="str">
        <f>HYPERLINK("https://creighton-primo.hosted.exlibrisgroup.com/primo-explore/search?tab=default_tab&amp;search_scope=EVERYTHING&amp;vid=01CRU&amp;lang=en_US&amp;offset=0&amp;query=any,contains,991003984309702656","Catalog Record")</f>
        <v>Catalog Record</v>
      </c>
      <c r="AV178" s="6" t="str">
        <f>HYPERLINK("http://www.worldcat.org/oclc/2024832","WorldCat Record")</f>
        <v>WorldCat Record</v>
      </c>
      <c r="AW178" s="3" t="s">
        <v>2382</v>
      </c>
      <c r="AX178" s="3" t="s">
        <v>2383</v>
      </c>
      <c r="AY178" s="3" t="s">
        <v>2384</v>
      </c>
      <c r="AZ178" s="3" t="s">
        <v>2384</v>
      </c>
      <c r="BA178" s="3" t="s">
        <v>2385</v>
      </c>
      <c r="BB178" s="3" t="s">
        <v>77</v>
      </c>
      <c r="BD178" s="3" t="s">
        <v>2386</v>
      </c>
      <c r="BE178" s="3" t="s">
        <v>2387</v>
      </c>
      <c r="BF178" s="3" t="s">
        <v>2388</v>
      </c>
    </row>
    <row r="179" spans="1:58" ht="41.25" customHeight="1" x14ac:dyDescent="0.25">
      <c r="A179" s="7" t="s">
        <v>62</v>
      </c>
      <c r="B179" s="2" t="s">
        <v>57</v>
      </c>
      <c r="C179" s="2" t="s">
        <v>58</v>
      </c>
      <c r="D179" s="2" t="s">
        <v>2389</v>
      </c>
      <c r="E179" s="2" t="s">
        <v>2390</v>
      </c>
      <c r="F179" s="2" t="s">
        <v>2391</v>
      </c>
      <c r="H179" s="3" t="s">
        <v>62</v>
      </c>
      <c r="I179" s="3" t="s">
        <v>63</v>
      </c>
      <c r="J179" s="3" t="s">
        <v>62</v>
      </c>
      <c r="K179" s="3" t="s">
        <v>62</v>
      </c>
      <c r="L179" s="3" t="s">
        <v>64</v>
      </c>
      <c r="M179" s="2" t="s">
        <v>2392</v>
      </c>
      <c r="N179" s="2" t="s">
        <v>2393</v>
      </c>
      <c r="O179" s="3" t="s">
        <v>1251</v>
      </c>
      <c r="Q179" s="3" t="s">
        <v>68</v>
      </c>
      <c r="R179" s="3" t="s">
        <v>297</v>
      </c>
      <c r="T179" s="3" t="s">
        <v>70</v>
      </c>
      <c r="U179" s="4">
        <v>4</v>
      </c>
      <c r="V179" s="4">
        <v>4</v>
      </c>
      <c r="W179" s="5" t="s">
        <v>2394</v>
      </c>
      <c r="X179" s="5" t="s">
        <v>2394</v>
      </c>
      <c r="Y179" s="5" t="s">
        <v>2148</v>
      </c>
      <c r="Z179" s="5" t="s">
        <v>2148</v>
      </c>
      <c r="AA179" s="4">
        <v>311</v>
      </c>
      <c r="AB179" s="4">
        <v>195</v>
      </c>
      <c r="AC179" s="4">
        <v>591</v>
      </c>
      <c r="AD179" s="4">
        <v>2</v>
      </c>
      <c r="AE179" s="4">
        <v>6</v>
      </c>
      <c r="AF179" s="4">
        <v>10</v>
      </c>
      <c r="AG179" s="4">
        <v>29</v>
      </c>
      <c r="AH179" s="4">
        <v>3</v>
      </c>
      <c r="AI179" s="4">
        <v>10</v>
      </c>
      <c r="AJ179" s="4">
        <v>3</v>
      </c>
      <c r="AK179" s="4">
        <v>7</v>
      </c>
      <c r="AL179" s="4">
        <v>8</v>
      </c>
      <c r="AM179" s="4">
        <v>12</v>
      </c>
      <c r="AN179" s="4">
        <v>1</v>
      </c>
      <c r="AO179" s="4">
        <v>5</v>
      </c>
      <c r="AP179" s="4">
        <v>0</v>
      </c>
      <c r="AQ179" s="4">
        <v>1</v>
      </c>
      <c r="AR179" s="3" t="s">
        <v>62</v>
      </c>
      <c r="AS179" s="3" t="s">
        <v>84</v>
      </c>
      <c r="AT179" s="6" t="str">
        <f>HYPERLINK("http://catalog.hathitrust.org/Record/000873864","HathiTrust Record")</f>
        <v>HathiTrust Record</v>
      </c>
      <c r="AU179" s="6" t="str">
        <f>HYPERLINK("https://creighton-primo.hosted.exlibrisgroup.com/primo-explore/search?tab=default_tab&amp;search_scope=EVERYTHING&amp;vid=01CRU&amp;lang=en_US&amp;offset=0&amp;query=any,contains,991001119039702656","Catalog Record")</f>
        <v>Catalog Record</v>
      </c>
      <c r="AV179" s="6" t="str">
        <f>HYPERLINK("http://www.worldcat.org/oclc/16578098","WorldCat Record")</f>
        <v>WorldCat Record</v>
      </c>
      <c r="AW179" s="3" t="s">
        <v>2395</v>
      </c>
      <c r="AX179" s="3" t="s">
        <v>2396</v>
      </c>
      <c r="AY179" s="3" t="s">
        <v>2397</v>
      </c>
      <c r="AZ179" s="3" t="s">
        <v>2397</v>
      </c>
      <c r="BA179" s="3" t="s">
        <v>2398</v>
      </c>
      <c r="BB179" s="3" t="s">
        <v>77</v>
      </c>
      <c r="BD179" s="3" t="s">
        <v>2399</v>
      </c>
      <c r="BE179" s="3" t="s">
        <v>2400</v>
      </c>
      <c r="BF179" s="3" t="s">
        <v>2401</v>
      </c>
    </row>
    <row r="180" spans="1:58" ht="41.25" customHeight="1" x14ac:dyDescent="0.25">
      <c r="A180" s="7" t="s">
        <v>62</v>
      </c>
      <c r="B180" s="2" t="s">
        <v>57</v>
      </c>
      <c r="C180" s="2" t="s">
        <v>58</v>
      </c>
      <c r="D180" s="2" t="s">
        <v>2402</v>
      </c>
      <c r="E180" s="2" t="s">
        <v>2403</v>
      </c>
      <c r="F180" s="2" t="s">
        <v>2404</v>
      </c>
      <c r="H180" s="3" t="s">
        <v>62</v>
      </c>
      <c r="I180" s="3" t="s">
        <v>63</v>
      </c>
      <c r="J180" s="3" t="s">
        <v>62</v>
      </c>
      <c r="K180" s="3" t="s">
        <v>62</v>
      </c>
      <c r="L180" s="3" t="s">
        <v>64</v>
      </c>
      <c r="M180" s="2" t="s">
        <v>2405</v>
      </c>
      <c r="N180" s="2" t="s">
        <v>2406</v>
      </c>
      <c r="O180" s="3" t="s">
        <v>739</v>
      </c>
      <c r="Q180" s="3" t="s">
        <v>68</v>
      </c>
      <c r="R180" s="3" t="s">
        <v>88</v>
      </c>
      <c r="T180" s="3" t="s">
        <v>70</v>
      </c>
      <c r="U180" s="4">
        <v>3</v>
      </c>
      <c r="V180" s="4">
        <v>3</v>
      </c>
      <c r="W180" s="5" t="s">
        <v>2407</v>
      </c>
      <c r="X180" s="5" t="s">
        <v>2407</v>
      </c>
      <c r="Y180" s="5" t="s">
        <v>2148</v>
      </c>
      <c r="Z180" s="5" t="s">
        <v>2148</v>
      </c>
      <c r="AA180" s="4">
        <v>213</v>
      </c>
      <c r="AB180" s="4">
        <v>190</v>
      </c>
      <c r="AC180" s="4">
        <v>198</v>
      </c>
      <c r="AD180" s="4">
        <v>1</v>
      </c>
      <c r="AE180" s="4">
        <v>1</v>
      </c>
      <c r="AF180" s="4">
        <v>6</v>
      </c>
      <c r="AG180" s="4">
        <v>6</v>
      </c>
      <c r="AH180" s="4">
        <v>3</v>
      </c>
      <c r="AI180" s="4">
        <v>3</v>
      </c>
      <c r="AJ180" s="4">
        <v>0</v>
      </c>
      <c r="AK180" s="4">
        <v>0</v>
      </c>
      <c r="AL180" s="4">
        <v>3</v>
      </c>
      <c r="AM180" s="4">
        <v>3</v>
      </c>
      <c r="AN180" s="4">
        <v>0</v>
      </c>
      <c r="AO180" s="4">
        <v>0</v>
      </c>
      <c r="AP180" s="4">
        <v>0</v>
      </c>
      <c r="AQ180" s="4">
        <v>0</v>
      </c>
      <c r="AR180" s="3" t="s">
        <v>84</v>
      </c>
      <c r="AS180" s="3" t="s">
        <v>62</v>
      </c>
      <c r="AT180" s="6" t="str">
        <f>HYPERLINK("http://catalog.hathitrust.org/Record/003200687","HathiTrust Record")</f>
        <v>HathiTrust Record</v>
      </c>
      <c r="AU180" s="6" t="str">
        <f>HYPERLINK("https://creighton-primo.hosted.exlibrisgroup.com/primo-explore/search?tab=default_tab&amp;search_scope=EVERYTHING&amp;vid=01CRU&amp;lang=en_US&amp;offset=0&amp;query=any,contains,991003152679702656","Catalog Record")</f>
        <v>Catalog Record</v>
      </c>
      <c r="AV180" s="6" t="str">
        <f>HYPERLINK("http://www.worldcat.org/oclc/691855","WorldCat Record")</f>
        <v>WorldCat Record</v>
      </c>
      <c r="AW180" s="3" t="s">
        <v>2408</v>
      </c>
      <c r="AX180" s="3" t="s">
        <v>2409</v>
      </c>
      <c r="AY180" s="3" t="s">
        <v>2410</v>
      </c>
      <c r="AZ180" s="3" t="s">
        <v>2410</v>
      </c>
      <c r="BA180" s="3" t="s">
        <v>2411</v>
      </c>
      <c r="BB180" s="3" t="s">
        <v>77</v>
      </c>
      <c r="BE180" s="3" t="s">
        <v>2412</v>
      </c>
      <c r="BF180" s="3" t="s">
        <v>2413</v>
      </c>
    </row>
    <row r="181" spans="1:58" ht="41.25" customHeight="1" x14ac:dyDescent="0.25">
      <c r="A181" s="7" t="s">
        <v>62</v>
      </c>
      <c r="B181" s="2" t="s">
        <v>57</v>
      </c>
      <c r="C181" s="2" t="s">
        <v>58</v>
      </c>
      <c r="D181" s="2" t="s">
        <v>2414</v>
      </c>
      <c r="E181" s="2" t="s">
        <v>2415</v>
      </c>
      <c r="F181" s="2" t="s">
        <v>2416</v>
      </c>
      <c r="G181" s="3" t="s">
        <v>100</v>
      </c>
      <c r="H181" s="3" t="s">
        <v>62</v>
      </c>
      <c r="I181" s="3" t="s">
        <v>63</v>
      </c>
      <c r="J181" s="3" t="s">
        <v>62</v>
      </c>
      <c r="K181" s="3" t="s">
        <v>62</v>
      </c>
      <c r="L181" s="3" t="s">
        <v>64</v>
      </c>
      <c r="M181" s="2" t="s">
        <v>2417</v>
      </c>
      <c r="N181" s="2" t="s">
        <v>2418</v>
      </c>
      <c r="O181" s="3" t="s">
        <v>804</v>
      </c>
      <c r="Q181" s="3" t="s">
        <v>68</v>
      </c>
      <c r="R181" s="3" t="s">
        <v>69</v>
      </c>
      <c r="S181" s="2" t="s">
        <v>2419</v>
      </c>
      <c r="T181" s="3" t="s">
        <v>70</v>
      </c>
      <c r="U181" s="4">
        <v>1</v>
      </c>
      <c r="V181" s="4">
        <v>1</v>
      </c>
      <c r="W181" s="5" t="s">
        <v>2420</v>
      </c>
      <c r="X181" s="5" t="s">
        <v>2420</v>
      </c>
      <c r="Y181" s="5" t="s">
        <v>2421</v>
      </c>
      <c r="Z181" s="5" t="s">
        <v>2421</v>
      </c>
      <c r="AA181" s="4">
        <v>245</v>
      </c>
      <c r="AB181" s="4">
        <v>220</v>
      </c>
      <c r="AC181" s="4">
        <v>253</v>
      </c>
      <c r="AD181" s="4">
        <v>4</v>
      </c>
      <c r="AE181" s="4">
        <v>4</v>
      </c>
      <c r="AF181" s="4">
        <v>16</v>
      </c>
      <c r="AG181" s="4">
        <v>17</v>
      </c>
      <c r="AH181" s="4">
        <v>6</v>
      </c>
      <c r="AI181" s="4">
        <v>6</v>
      </c>
      <c r="AJ181" s="4">
        <v>3</v>
      </c>
      <c r="AK181" s="4">
        <v>4</v>
      </c>
      <c r="AL181" s="4">
        <v>6</v>
      </c>
      <c r="AM181" s="4">
        <v>7</v>
      </c>
      <c r="AN181" s="4">
        <v>3</v>
      </c>
      <c r="AO181" s="4">
        <v>3</v>
      </c>
      <c r="AP181" s="4">
        <v>0</v>
      </c>
      <c r="AQ181" s="4">
        <v>0</v>
      </c>
      <c r="AR181" s="3" t="s">
        <v>62</v>
      </c>
      <c r="AS181" s="3" t="s">
        <v>62</v>
      </c>
      <c r="AU181" s="6" t="str">
        <f>HYPERLINK("https://creighton-primo.hosted.exlibrisgroup.com/primo-explore/search?tab=default_tab&amp;search_scope=EVERYTHING&amp;vid=01CRU&amp;lang=en_US&amp;offset=0&amp;query=any,contains,991000923089702656","Catalog Record")</f>
        <v>Catalog Record</v>
      </c>
      <c r="AV181" s="6" t="str">
        <f>HYPERLINK("http://www.worldcat.org/oclc/14214662","WorldCat Record")</f>
        <v>WorldCat Record</v>
      </c>
      <c r="AW181" s="3" t="s">
        <v>2422</v>
      </c>
      <c r="AX181" s="3" t="s">
        <v>2423</v>
      </c>
      <c r="AY181" s="3" t="s">
        <v>2424</v>
      </c>
      <c r="AZ181" s="3" t="s">
        <v>2424</v>
      </c>
      <c r="BA181" s="3" t="s">
        <v>2425</v>
      </c>
      <c r="BB181" s="3" t="s">
        <v>77</v>
      </c>
      <c r="BD181" s="3" t="s">
        <v>2426</v>
      </c>
      <c r="BE181" s="3" t="s">
        <v>2427</v>
      </c>
      <c r="BF181" s="3" t="s">
        <v>2428</v>
      </c>
    </row>
    <row r="182" spans="1:58" ht="41.25" customHeight="1" x14ac:dyDescent="0.25">
      <c r="A182" s="7" t="s">
        <v>62</v>
      </c>
      <c r="B182" s="2" t="s">
        <v>57</v>
      </c>
      <c r="C182" s="2" t="s">
        <v>58</v>
      </c>
      <c r="D182" s="2" t="s">
        <v>2429</v>
      </c>
      <c r="E182" s="2" t="s">
        <v>2430</v>
      </c>
      <c r="F182" s="2" t="s">
        <v>2431</v>
      </c>
      <c r="H182" s="3" t="s">
        <v>62</v>
      </c>
      <c r="I182" s="3" t="s">
        <v>63</v>
      </c>
      <c r="J182" s="3" t="s">
        <v>62</v>
      </c>
      <c r="K182" s="3" t="s">
        <v>62</v>
      </c>
      <c r="L182" s="3" t="s">
        <v>64</v>
      </c>
      <c r="M182" s="2" t="s">
        <v>2432</v>
      </c>
      <c r="N182" s="2" t="s">
        <v>2433</v>
      </c>
      <c r="O182" s="3" t="s">
        <v>2434</v>
      </c>
      <c r="Q182" s="3" t="s">
        <v>68</v>
      </c>
      <c r="R182" s="3" t="s">
        <v>88</v>
      </c>
      <c r="S182" s="2" t="s">
        <v>2435</v>
      </c>
      <c r="T182" s="3" t="s">
        <v>70</v>
      </c>
      <c r="U182" s="4">
        <v>2</v>
      </c>
      <c r="V182" s="4">
        <v>2</v>
      </c>
      <c r="W182" s="5" t="s">
        <v>2436</v>
      </c>
      <c r="X182" s="5" t="s">
        <v>2436</v>
      </c>
      <c r="Y182" s="5" t="s">
        <v>2148</v>
      </c>
      <c r="Z182" s="5" t="s">
        <v>2148</v>
      </c>
      <c r="AA182" s="4">
        <v>248</v>
      </c>
      <c r="AB182" s="4">
        <v>209</v>
      </c>
      <c r="AC182" s="4">
        <v>220</v>
      </c>
      <c r="AD182" s="4">
        <v>3</v>
      </c>
      <c r="AE182" s="4">
        <v>3</v>
      </c>
      <c r="AF182" s="4">
        <v>9</v>
      </c>
      <c r="AG182" s="4">
        <v>11</v>
      </c>
      <c r="AH182" s="4">
        <v>2</v>
      </c>
      <c r="AI182" s="4">
        <v>3</v>
      </c>
      <c r="AJ182" s="4">
        <v>2</v>
      </c>
      <c r="AK182" s="4">
        <v>3</v>
      </c>
      <c r="AL182" s="4">
        <v>4</v>
      </c>
      <c r="AM182" s="4">
        <v>5</v>
      </c>
      <c r="AN182" s="4">
        <v>2</v>
      </c>
      <c r="AO182" s="4">
        <v>2</v>
      </c>
      <c r="AP182" s="4">
        <v>0</v>
      </c>
      <c r="AQ182" s="4">
        <v>0</v>
      </c>
      <c r="AR182" s="3" t="s">
        <v>62</v>
      </c>
      <c r="AS182" s="3" t="s">
        <v>84</v>
      </c>
      <c r="AT182" s="6" t="str">
        <f>HYPERLINK("http://catalog.hathitrust.org/Record/001383676","HathiTrust Record")</f>
        <v>HathiTrust Record</v>
      </c>
      <c r="AU182" s="6" t="str">
        <f>HYPERLINK("https://creighton-primo.hosted.exlibrisgroup.com/primo-explore/search?tab=default_tab&amp;search_scope=EVERYTHING&amp;vid=01CRU&amp;lang=en_US&amp;offset=0&amp;query=any,contains,991003146069702656","Catalog Record")</f>
        <v>Catalog Record</v>
      </c>
      <c r="AV182" s="6" t="str">
        <f>HYPERLINK("http://www.worldcat.org/oclc/686380","WorldCat Record")</f>
        <v>WorldCat Record</v>
      </c>
      <c r="AW182" s="3" t="s">
        <v>2437</v>
      </c>
      <c r="AX182" s="3" t="s">
        <v>2438</v>
      </c>
      <c r="AY182" s="3" t="s">
        <v>2439</v>
      </c>
      <c r="AZ182" s="3" t="s">
        <v>2439</v>
      </c>
      <c r="BA182" s="3" t="s">
        <v>2440</v>
      </c>
      <c r="BB182" s="3" t="s">
        <v>77</v>
      </c>
      <c r="BE182" s="3" t="s">
        <v>2441</v>
      </c>
      <c r="BF182" s="3" t="s">
        <v>2442</v>
      </c>
    </row>
    <row r="183" spans="1:58" ht="41.25" customHeight="1" x14ac:dyDescent="0.25">
      <c r="A183" s="7" t="s">
        <v>62</v>
      </c>
      <c r="B183" s="2" t="s">
        <v>57</v>
      </c>
      <c r="C183" s="2" t="s">
        <v>58</v>
      </c>
      <c r="D183" s="2" t="s">
        <v>2443</v>
      </c>
      <c r="E183" s="2" t="s">
        <v>2444</v>
      </c>
      <c r="F183" s="2" t="s">
        <v>2445</v>
      </c>
      <c r="H183" s="3" t="s">
        <v>62</v>
      </c>
      <c r="I183" s="3" t="s">
        <v>63</v>
      </c>
      <c r="J183" s="3" t="s">
        <v>62</v>
      </c>
      <c r="K183" s="3" t="s">
        <v>62</v>
      </c>
      <c r="L183" s="3" t="s">
        <v>64</v>
      </c>
      <c r="M183" s="2" t="s">
        <v>2446</v>
      </c>
      <c r="N183" s="2" t="s">
        <v>2447</v>
      </c>
      <c r="O183" s="3" t="s">
        <v>67</v>
      </c>
      <c r="Q183" s="3" t="s">
        <v>68</v>
      </c>
      <c r="R183" s="3" t="s">
        <v>698</v>
      </c>
      <c r="T183" s="3" t="s">
        <v>70</v>
      </c>
      <c r="U183" s="4">
        <v>5</v>
      </c>
      <c r="V183" s="4">
        <v>5</v>
      </c>
      <c r="W183" s="5" t="s">
        <v>2448</v>
      </c>
      <c r="X183" s="5" t="s">
        <v>2448</v>
      </c>
      <c r="Y183" s="5" t="s">
        <v>2148</v>
      </c>
      <c r="Z183" s="5" t="s">
        <v>2148</v>
      </c>
      <c r="AA183" s="4">
        <v>313</v>
      </c>
      <c r="AB183" s="4">
        <v>248</v>
      </c>
      <c r="AC183" s="4">
        <v>305</v>
      </c>
      <c r="AD183" s="4">
        <v>3</v>
      </c>
      <c r="AE183" s="4">
        <v>3</v>
      </c>
      <c r="AF183" s="4">
        <v>17</v>
      </c>
      <c r="AG183" s="4">
        <v>18</v>
      </c>
      <c r="AH183" s="4">
        <v>5</v>
      </c>
      <c r="AI183" s="4">
        <v>6</v>
      </c>
      <c r="AJ183" s="4">
        <v>4</v>
      </c>
      <c r="AK183" s="4">
        <v>4</v>
      </c>
      <c r="AL183" s="4">
        <v>10</v>
      </c>
      <c r="AM183" s="4">
        <v>10</v>
      </c>
      <c r="AN183" s="4">
        <v>1</v>
      </c>
      <c r="AO183" s="4">
        <v>1</v>
      </c>
      <c r="AP183" s="4">
        <v>0</v>
      </c>
      <c r="AQ183" s="4">
        <v>0</v>
      </c>
      <c r="AR183" s="3" t="s">
        <v>62</v>
      </c>
      <c r="AS183" s="3" t="s">
        <v>84</v>
      </c>
      <c r="AT183" s="6" t="str">
        <f>HYPERLINK("http://catalog.hathitrust.org/Record/001401529","HathiTrust Record")</f>
        <v>HathiTrust Record</v>
      </c>
      <c r="AU183" s="6" t="str">
        <f>HYPERLINK("https://creighton-primo.hosted.exlibrisgroup.com/primo-explore/search?tab=default_tab&amp;search_scope=EVERYTHING&amp;vid=01CRU&amp;lang=en_US&amp;offset=0&amp;query=any,contains,991000818889702656","Catalog Record")</f>
        <v>Catalog Record</v>
      </c>
      <c r="AV183" s="6" t="str">
        <f>HYPERLINK("http://www.worldcat.org/oclc/143823","WorldCat Record")</f>
        <v>WorldCat Record</v>
      </c>
      <c r="AW183" s="3" t="s">
        <v>2449</v>
      </c>
      <c r="AX183" s="3" t="s">
        <v>2450</v>
      </c>
      <c r="AY183" s="3" t="s">
        <v>2451</v>
      </c>
      <c r="AZ183" s="3" t="s">
        <v>2451</v>
      </c>
      <c r="BA183" s="3" t="s">
        <v>2452</v>
      </c>
      <c r="BB183" s="3" t="s">
        <v>77</v>
      </c>
      <c r="BE183" s="3" t="s">
        <v>2453</v>
      </c>
      <c r="BF183" s="3" t="s">
        <v>2454</v>
      </c>
    </row>
    <row r="184" spans="1:58" ht="41.25" customHeight="1" x14ac:dyDescent="0.25">
      <c r="A184" s="7" t="s">
        <v>62</v>
      </c>
      <c r="B184" s="2" t="s">
        <v>57</v>
      </c>
      <c r="C184" s="2" t="s">
        <v>58</v>
      </c>
      <c r="D184" s="2" t="s">
        <v>2455</v>
      </c>
      <c r="E184" s="2" t="s">
        <v>2456</v>
      </c>
      <c r="F184" s="2" t="s">
        <v>2457</v>
      </c>
      <c r="H184" s="3" t="s">
        <v>62</v>
      </c>
      <c r="I184" s="3" t="s">
        <v>63</v>
      </c>
      <c r="J184" s="3" t="s">
        <v>62</v>
      </c>
      <c r="K184" s="3" t="s">
        <v>62</v>
      </c>
      <c r="L184" s="3" t="s">
        <v>64</v>
      </c>
      <c r="M184" s="2" t="s">
        <v>2458</v>
      </c>
      <c r="N184" s="2" t="s">
        <v>2459</v>
      </c>
      <c r="O184" s="3" t="s">
        <v>516</v>
      </c>
      <c r="Q184" s="3" t="s">
        <v>2460</v>
      </c>
      <c r="R184" s="3" t="s">
        <v>88</v>
      </c>
      <c r="T184" s="3" t="s">
        <v>70</v>
      </c>
      <c r="U184" s="4">
        <v>3</v>
      </c>
      <c r="V184" s="4">
        <v>3</v>
      </c>
      <c r="W184" s="5" t="s">
        <v>2461</v>
      </c>
      <c r="X184" s="5" t="s">
        <v>2461</v>
      </c>
      <c r="Y184" s="5" t="s">
        <v>2148</v>
      </c>
      <c r="Z184" s="5" t="s">
        <v>2148</v>
      </c>
      <c r="AA184" s="4">
        <v>81</v>
      </c>
      <c r="AB184" s="4">
        <v>71</v>
      </c>
      <c r="AC184" s="4">
        <v>72</v>
      </c>
      <c r="AD184" s="4">
        <v>2</v>
      </c>
      <c r="AE184" s="4">
        <v>2</v>
      </c>
      <c r="AF184" s="4">
        <v>5</v>
      </c>
      <c r="AG184" s="4">
        <v>5</v>
      </c>
      <c r="AH184" s="4">
        <v>0</v>
      </c>
      <c r="AI184" s="4">
        <v>0</v>
      </c>
      <c r="AJ184" s="4">
        <v>1</v>
      </c>
      <c r="AK184" s="4">
        <v>1</v>
      </c>
      <c r="AL184" s="4">
        <v>4</v>
      </c>
      <c r="AM184" s="4">
        <v>4</v>
      </c>
      <c r="AN184" s="4">
        <v>1</v>
      </c>
      <c r="AO184" s="4">
        <v>1</v>
      </c>
      <c r="AP184" s="4">
        <v>0</v>
      </c>
      <c r="AQ184" s="4">
        <v>0</v>
      </c>
      <c r="AR184" s="3" t="s">
        <v>62</v>
      </c>
      <c r="AS184" s="3" t="s">
        <v>62</v>
      </c>
      <c r="AU184" s="6" t="str">
        <f>HYPERLINK("https://creighton-primo.hosted.exlibrisgroup.com/primo-explore/search?tab=default_tab&amp;search_scope=EVERYTHING&amp;vid=01CRU&amp;lang=en_US&amp;offset=0&amp;query=any,contains,991003191319702656","Catalog Record")</f>
        <v>Catalog Record</v>
      </c>
      <c r="AV184" s="6" t="str">
        <f>HYPERLINK("http://www.worldcat.org/oclc/716534","WorldCat Record")</f>
        <v>WorldCat Record</v>
      </c>
      <c r="AW184" s="3" t="s">
        <v>2462</v>
      </c>
      <c r="AX184" s="3" t="s">
        <v>2463</v>
      </c>
      <c r="AY184" s="3" t="s">
        <v>2464</v>
      </c>
      <c r="AZ184" s="3" t="s">
        <v>2464</v>
      </c>
      <c r="BA184" s="3" t="s">
        <v>2465</v>
      </c>
      <c r="BB184" s="3" t="s">
        <v>77</v>
      </c>
      <c r="BE184" s="3" t="s">
        <v>2466</v>
      </c>
      <c r="BF184" s="3" t="s">
        <v>2467</v>
      </c>
    </row>
    <row r="185" spans="1:58" ht="41.25" customHeight="1" x14ac:dyDescent="0.25">
      <c r="A185" s="7" t="s">
        <v>62</v>
      </c>
      <c r="B185" s="2" t="s">
        <v>57</v>
      </c>
      <c r="C185" s="2" t="s">
        <v>58</v>
      </c>
      <c r="D185" s="2" t="s">
        <v>2468</v>
      </c>
      <c r="E185" s="2" t="s">
        <v>2469</v>
      </c>
      <c r="F185" s="2" t="s">
        <v>2470</v>
      </c>
      <c r="H185" s="3" t="s">
        <v>62</v>
      </c>
      <c r="I185" s="3" t="s">
        <v>63</v>
      </c>
      <c r="J185" s="3" t="s">
        <v>62</v>
      </c>
      <c r="K185" s="3" t="s">
        <v>62</v>
      </c>
      <c r="L185" s="3" t="s">
        <v>64</v>
      </c>
      <c r="M185" s="2" t="s">
        <v>2471</v>
      </c>
      <c r="N185" s="2" t="s">
        <v>2472</v>
      </c>
      <c r="O185" s="3" t="s">
        <v>590</v>
      </c>
      <c r="Q185" s="3" t="s">
        <v>68</v>
      </c>
      <c r="R185" s="3" t="s">
        <v>69</v>
      </c>
      <c r="S185" s="2" t="s">
        <v>2473</v>
      </c>
      <c r="T185" s="3" t="s">
        <v>70</v>
      </c>
      <c r="U185" s="4">
        <v>2</v>
      </c>
      <c r="V185" s="4">
        <v>2</v>
      </c>
      <c r="W185" s="5" t="s">
        <v>2474</v>
      </c>
      <c r="X185" s="5" t="s">
        <v>2474</v>
      </c>
      <c r="Y185" s="5" t="s">
        <v>2475</v>
      </c>
      <c r="Z185" s="5" t="s">
        <v>2475</v>
      </c>
      <c r="AA185" s="4">
        <v>917</v>
      </c>
      <c r="AB185" s="4">
        <v>836</v>
      </c>
      <c r="AC185" s="4">
        <v>1088</v>
      </c>
      <c r="AD185" s="4">
        <v>5</v>
      </c>
      <c r="AE185" s="4">
        <v>6</v>
      </c>
      <c r="AF185" s="4">
        <v>43</v>
      </c>
      <c r="AG185" s="4">
        <v>50</v>
      </c>
      <c r="AH185" s="4">
        <v>19</v>
      </c>
      <c r="AI185" s="4">
        <v>23</v>
      </c>
      <c r="AJ185" s="4">
        <v>9</v>
      </c>
      <c r="AK185" s="4">
        <v>11</v>
      </c>
      <c r="AL185" s="4">
        <v>25</v>
      </c>
      <c r="AM185" s="4">
        <v>26</v>
      </c>
      <c r="AN185" s="4">
        <v>3</v>
      </c>
      <c r="AO185" s="4">
        <v>4</v>
      </c>
      <c r="AP185" s="4">
        <v>0</v>
      </c>
      <c r="AQ185" s="4">
        <v>0</v>
      </c>
      <c r="AR185" s="3" t="s">
        <v>62</v>
      </c>
      <c r="AS185" s="3" t="s">
        <v>84</v>
      </c>
      <c r="AT185" s="6" t="str">
        <f>HYPERLINK("http://catalog.hathitrust.org/Record/000003675","HathiTrust Record")</f>
        <v>HathiTrust Record</v>
      </c>
      <c r="AU185" s="6" t="str">
        <f>HYPERLINK("https://creighton-primo.hosted.exlibrisgroup.com/primo-explore/search?tab=default_tab&amp;search_scope=EVERYTHING&amp;vid=01CRU&amp;lang=en_US&amp;offset=0&amp;query=any,contains,991001989389702656","Catalog Record")</f>
        <v>Catalog Record</v>
      </c>
      <c r="AV185" s="6" t="str">
        <f>HYPERLINK("http://www.worldcat.org/oclc/254928","WorldCat Record")</f>
        <v>WorldCat Record</v>
      </c>
      <c r="AW185" s="3" t="s">
        <v>2476</v>
      </c>
      <c r="AX185" s="3" t="s">
        <v>2477</v>
      </c>
      <c r="AY185" s="3" t="s">
        <v>2478</v>
      </c>
      <c r="AZ185" s="3" t="s">
        <v>2478</v>
      </c>
      <c r="BA185" s="3" t="s">
        <v>2479</v>
      </c>
      <c r="BB185" s="3" t="s">
        <v>77</v>
      </c>
      <c r="BE185" s="3" t="s">
        <v>2480</v>
      </c>
      <c r="BF185" s="3" t="s">
        <v>2481</v>
      </c>
    </row>
    <row r="186" spans="1:58" ht="41.25" customHeight="1" x14ac:dyDescent="0.25">
      <c r="A186" s="7" t="s">
        <v>62</v>
      </c>
      <c r="B186" s="2" t="s">
        <v>57</v>
      </c>
      <c r="C186" s="2" t="s">
        <v>58</v>
      </c>
      <c r="D186" s="2" t="s">
        <v>2482</v>
      </c>
      <c r="E186" s="2" t="s">
        <v>2483</v>
      </c>
      <c r="F186" s="2" t="s">
        <v>2484</v>
      </c>
      <c r="H186" s="3" t="s">
        <v>62</v>
      </c>
      <c r="I186" s="3" t="s">
        <v>63</v>
      </c>
      <c r="J186" s="3" t="s">
        <v>62</v>
      </c>
      <c r="K186" s="3" t="s">
        <v>62</v>
      </c>
      <c r="L186" s="3" t="s">
        <v>64</v>
      </c>
      <c r="M186" s="2" t="s">
        <v>2485</v>
      </c>
      <c r="N186" s="2" t="s">
        <v>2486</v>
      </c>
      <c r="O186" s="3" t="s">
        <v>67</v>
      </c>
      <c r="Q186" s="3" t="s">
        <v>68</v>
      </c>
      <c r="R186" s="3" t="s">
        <v>69</v>
      </c>
      <c r="S186" s="2" t="s">
        <v>2487</v>
      </c>
      <c r="T186" s="3" t="s">
        <v>70</v>
      </c>
      <c r="U186" s="4">
        <v>3</v>
      </c>
      <c r="V186" s="4">
        <v>3</v>
      </c>
      <c r="W186" s="5" t="s">
        <v>2488</v>
      </c>
      <c r="X186" s="5" t="s">
        <v>2488</v>
      </c>
      <c r="Y186" s="5" t="s">
        <v>2489</v>
      </c>
      <c r="Z186" s="5" t="s">
        <v>2489</v>
      </c>
      <c r="AA186" s="4">
        <v>1526</v>
      </c>
      <c r="AB186" s="4">
        <v>1409</v>
      </c>
      <c r="AC186" s="4">
        <v>1415</v>
      </c>
      <c r="AD186" s="4">
        <v>12</v>
      </c>
      <c r="AE186" s="4">
        <v>12</v>
      </c>
      <c r="AF186" s="4">
        <v>33</v>
      </c>
      <c r="AG186" s="4">
        <v>33</v>
      </c>
      <c r="AH186" s="4">
        <v>12</v>
      </c>
      <c r="AI186" s="4">
        <v>12</v>
      </c>
      <c r="AJ186" s="4">
        <v>6</v>
      </c>
      <c r="AK186" s="4">
        <v>6</v>
      </c>
      <c r="AL186" s="4">
        <v>16</v>
      </c>
      <c r="AM186" s="4">
        <v>16</v>
      </c>
      <c r="AN186" s="4">
        <v>6</v>
      </c>
      <c r="AO186" s="4">
        <v>6</v>
      </c>
      <c r="AP186" s="4">
        <v>0</v>
      </c>
      <c r="AQ186" s="4">
        <v>0</v>
      </c>
      <c r="AR186" s="3" t="s">
        <v>62</v>
      </c>
      <c r="AS186" s="3" t="s">
        <v>84</v>
      </c>
      <c r="AT186" s="6" t="str">
        <f>HYPERLINK("http://catalog.hathitrust.org/Record/001392069","HathiTrust Record")</f>
        <v>HathiTrust Record</v>
      </c>
      <c r="AU186" s="6" t="str">
        <f>HYPERLINK("https://creighton-primo.hosted.exlibrisgroup.com/primo-explore/search?tab=default_tab&amp;search_scope=EVERYTHING&amp;vid=01CRU&amp;lang=en_US&amp;offset=0&amp;query=any,contains,991001064319702656","Catalog Record")</f>
        <v>Catalog Record</v>
      </c>
      <c r="AV186" s="6" t="str">
        <f>HYPERLINK("http://www.worldcat.org/oclc/98926","WorldCat Record")</f>
        <v>WorldCat Record</v>
      </c>
      <c r="AW186" s="3" t="s">
        <v>2490</v>
      </c>
      <c r="AX186" s="3" t="s">
        <v>2491</v>
      </c>
      <c r="AY186" s="3" t="s">
        <v>2492</v>
      </c>
      <c r="AZ186" s="3" t="s">
        <v>2492</v>
      </c>
      <c r="BA186" s="3" t="s">
        <v>2493</v>
      </c>
      <c r="BB186" s="3" t="s">
        <v>77</v>
      </c>
      <c r="BD186" s="3" t="s">
        <v>2494</v>
      </c>
      <c r="BE186" s="3" t="s">
        <v>2495</v>
      </c>
      <c r="BF186" s="3" t="s">
        <v>2496</v>
      </c>
    </row>
    <row r="187" spans="1:58" ht="41.25" customHeight="1" x14ac:dyDescent="0.25">
      <c r="A187" s="7" t="s">
        <v>62</v>
      </c>
      <c r="B187" s="2" t="s">
        <v>57</v>
      </c>
      <c r="C187" s="2" t="s">
        <v>58</v>
      </c>
      <c r="D187" s="2" t="s">
        <v>2497</v>
      </c>
      <c r="E187" s="2" t="s">
        <v>2498</v>
      </c>
      <c r="F187" s="2" t="s">
        <v>2499</v>
      </c>
      <c r="H187" s="3" t="s">
        <v>62</v>
      </c>
      <c r="I187" s="3" t="s">
        <v>63</v>
      </c>
      <c r="J187" s="3" t="s">
        <v>62</v>
      </c>
      <c r="K187" s="3" t="s">
        <v>62</v>
      </c>
      <c r="L187" s="3" t="s">
        <v>64</v>
      </c>
      <c r="M187" s="2" t="s">
        <v>2500</v>
      </c>
      <c r="N187" s="2" t="s">
        <v>1455</v>
      </c>
      <c r="O187" s="3" t="s">
        <v>529</v>
      </c>
      <c r="Q187" s="3" t="s">
        <v>68</v>
      </c>
      <c r="R187" s="3" t="s">
        <v>369</v>
      </c>
      <c r="T187" s="3" t="s">
        <v>70</v>
      </c>
      <c r="U187" s="4">
        <v>3</v>
      </c>
      <c r="V187" s="4">
        <v>3</v>
      </c>
      <c r="W187" s="5" t="s">
        <v>2501</v>
      </c>
      <c r="X187" s="5" t="s">
        <v>2501</v>
      </c>
      <c r="Y187" s="5" t="s">
        <v>1026</v>
      </c>
      <c r="Z187" s="5" t="s">
        <v>1026</v>
      </c>
      <c r="AA187" s="4">
        <v>558</v>
      </c>
      <c r="AB187" s="4">
        <v>468</v>
      </c>
      <c r="AC187" s="4">
        <v>469</v>
      </c>
      <c r="AD187" s="4">
        <v>4</v>
      </c>
      <c r="AE187" s="4">
        <v>4</v>
      </c>
      <c r="AF187" s="4">
        <v>15</v>
      </c>
      <c r="AG187" s="4">
        <v>15</v>
      </c>
      <c r="AH187" s="4">
        <v>3</v>
      </c>
      <c r="AI187" s="4">
        <v>3</v>
      </c>
      <c r="AJ187" s="4">
        <v>2</v>
      </c>
      <c r="AK187" s="4">
        <v>2</v>
      </c>
      <c r="AL187" s="4">
        <v>8</v>
      </c>
      <c r="AM187" s="4">
        <v>8</v>
      </c>
      <c r="AN187" s="4">
        <v>3</v>
      </c>
      <c r="AO187" s="4">
        <v>3</v>
      </c>
      <c r="AP187" s="4">
        <v>0</v>
      </c>
      <c r="AQ187" s="4">
        <v>0</v>
      </c>
      <c r="AR187" s="3" t="s">
        <v>62</v>
      </c>
      <c r="AS187" s="3" t="s">
        <v>84</v>
      </c>
      <c r="AT187" s="6" t="str">
        <f>HYPERLINK("http://catalog.hathitrust.org/Record/000624453","HathiTrust Record")</f>
        <v>HathiTrust Record</v>
      </c>
      <c r="AU187" s="6" t="str">
        <f>HYPERLINK("https://creighton-primo.hosted.exlibrisgroup.com/primo-explore/search?tab=default_tab&amp;search_scope=EVERYTHING&amp;vid=01CRU&amp;lang=en_US&amp;offset=0&amp;query=any,contains,991000355629702656","Catalog Record")</f>
        <v>Catalog Record</v>
      </c>
      <c r="AV187" s="6" t="str">
        <f>HYPERLINK("http://www.worldcat.org/oclc/10324961","WorldCat Record")</f>
        <v>WorldCat Record</v>
      </c>
      <c r="AW187" s="3" t="s">
        <v>2502</v>
      </c>
      <c r="AX187" s="3" t="s">
        <v>2503</v>
      </c>
      <c r="AY187" s="3" t="s">
        <v>2504</v>
      </c>
      <c r="AZ187" s="3" t="s">
        <v>2504</v>
      </c>
      <c r="BA187" s="3" t="s">
        <v>2505</v>
      </c>
      <c r="BB187" s="3" t="s">
        <v>77</v>
      </c>
      <c r="BD187" s="3" t="s">
        <v>2506</v>
      </c>
      <c r="BE187" s="3" t="s">
        <v>2507</v>
      </c>
      <c r="BF187" s="3" t="s">
        <v>2508</v>
      </c>
    </row>
    <row r="188" spans="1:58" ht="41.25" customHeight="1" x14ac:dyDescent="0.25">
      <c r="A188" s="7" t="s">
        <v>62</v>
      </c>
      <c r="B188" s="2" t="s">
        <v>57</v>
      </c>
      <c r="C188" s="2" t="s">
        <v>58</v>
      </c>
      <c r="D188" s="2" t="s">
        <v>2509</v>
      </c>
      <c r="E188" s="2" t="s">
        <v>2510</v>
      </c>
      <c r="F188" s="2" t="s">
        <v>2511</v>
      </c>
      <c r="H188" s="3" t="s">
        <v>62</v>
      </c>
      <c r="I188" s="3" t="s">
        <v>63</v>
      </c>
      <c r="J188" s="3" t="s">
        <v>62</v>
      </c>
      <c r="K188" s="3" t="s">
        <v>62</v>
      </c>
      <c r="L188" s="3" t="s">
        <v>64</v>
      </c>
      <c r="M188" s="2" t="s">
        <v>2512</v>
      </c>
      <c r="N188" s="2" t="s">
        <v>2513</v>
      </c>
      <c r="O188" s="3" t="s">
        <v>383</v>
      </c>
      <c r="Q188" s="3" t="s">
        <v>68</v>
      </c>
      <c r="R188" s="3" t="s">
        <v>888</v>
      </c>
      <c r="T188" s="3" t="s">
        <v>70</v>
      </c>
      <c r="U188" s="4">
        <v>0</v>
      </c>
      <c r="V188" s="4">
        <v>0</v>
      </c>
      <c r="W188" s="5" t="s">
        <v>2514</v>
      </c>
      <c r="X188" s="5" t="s">
        <v>2514</v>
      </c>
      <c r="Y188" s="5" t="s">
        <v>2515</v>
      </c>
      <c r="Z188" s="5" t="s">
        <v>2515</v>
      </c>
      <c r="AA188" s="4">
        <v>941</v>
      </c>
      <c r="AB188" s="4">
        <v>855</v>
      </c>
      <c r="AC188" s="4">
        <v>1016</v>
      </c>
      <c r="AD188" s="4">
        <v>5</v>
      </c>
      <c r="AE188" s="4">
        <v>5</v>
      </c>
      <c r="AF188" s="4">
        <v>37</v>
      </c>
      <c r="AG188" s="4">
        <v>38</v>
      </c>
      <c r="AH188" s="4">
        <v>14</v>
      </c>
      <c r="AI188" s="4">
        <v>14</v>
      </c>
      <c r="AJ188" s="4">
        <v>11</v>
      </c>
      <c r="AK188" s="4">
        <v>11</v>
      </c>
      <c r="AL188" s="4">
        <v>20</v>
      </c>
      <c r="AM188" s="4">
        <v>21</v>
      </c>
      <c r="AN188" s="4">
        <v>3</v>
      </c>
      <c r="AO188" s="4">
        <v>3</v>
      </c>
      <c r="AP188" s="4">
        <v>0</v>
      </c>
      <c r="AQ188" s="4">
        <v>0</v>
      </c>
      <c r="AR188" s="3" t="s">
        <v>62</v>
      </c>
      <c r="AS188" s="3" t="s">
        <v>84</v>
      </c>
      <c r="AT188" s="6" t="str">
        <f>HYPERLINK("http://catalog.hathitrust.org/Record/001392073","HathiTrust Record")</f>
        <v>HathiTrust Record</v>
      </c>
      <c r="AU188" s="6" t="str">
        <f>HYPERLINK("https://creighton-primo.hosted.exlibrisgroup.com/primo-explore/search?tab=default_tab&amp;search_scope=EVERYTHING&amp;vid=01CRU&amp;lang=en_US&amp;offset=0&amp;query=any,contains,991000105689702656","Catalog Record")</f>
        <v>Catalog Record</v>
      </c>
      <c r="AV188" s="6" t="str">
        <f>HYPERLINK("http://www.worldcat.org/oclc/46381","WorldCat Record")</f>
        <v>WorldCat Record</v>
      </c>
      <c r="AW188" s="3" t="s">
        <v>2516</v>
      </c>
      <c r="AX188" s="3" t="s">
        <v>2517</v>
      </c>
      <c r="AY188" s="3" t="s">
        <v>2518</v>
      </c>
      <c r="AZ188" s="3" t="s">
        <v>2518</v>
      </c>
      <c r="BA188" s="3" t="s">
        <v>2519</v>
      </c>
      <c r="BB188" s="3" t="s">
        <v>77</v>
      </c>
      <c r="BE188" s="3" t="s">
        <v>2520</v>
      </c>
      <c r="BF188" s="3" t="s">
        <v>2521</v>
      </c>
    </row>
    <row r="189" spans="1:58" ht="41.25" customHeight="1" x14ac:dyDescent="0.25">
      <c r="A189" s="7" t="s">
        <v>62</v>
      </c>
      <c r="B189" s="2" t="s">
        <v>57</v>
      </c>
      <c r="C189" s="2" t="s">
        <v>58</v>
      </c>
      <c r="D189" s="2" t="s">
        <v>2522</v>
      </c>
      <c r="E189" s="2" t="s">
        <v>2523</v>
      </c>
      <c r="F189" s="2" t="s">
        <v>2524</v>
      </c>
      <c r="H189" s="3" t="s">
        <v>62</v>
      </c>
      <c r="I189" s="3" t="s">
        <v>63</v>
      </c>
      <c r="J189" s="3" t="s">
        <v>62</v>
      </c>
      <c r="K189" s="3" t="s">
        <v>62</v>
      </c>
      <c r="L189" s="3" t="s">
        <v>64</v>
      </c>
      <c r="M189" s="2" t="s">
        <v>2525</v>
      </c>
      <c r="N189" s="2" t="s">
        <v>2526</v>
      </c>
      <c r="O189" s="3" t="s">
        <v>312</v>
      </c>
      <c r="Q189" s="3" t="s">
        <v>68</v>
      </c>
      <c r="R189" s="3" t="s">
        <v>88</v>
      </c>
      <c r="S189" s="2" t="s">
        <v>2527</v>
      </c>
      <c r="T189" s="3" t="s">
        <v>70</v>
      </c>
      <c r="U189" s="4">
        <v>5</v>
      </c>
      <c r="V189" s="4">
        <v>5</v>
      </c>
      <c r="W189" s="5" t="s">
        <v>2528</v>
      </c>
      <c r="X189" s="5" t="s">
        <v>2528</v>
      </c>
      <c r="Y189" s="5" t="s">
        <v>2515</v>
      </c>
      <c r="Z189" s="5" t="s">
        <v>2515</v>
      </c>
      <c r="AA189" s="4">
        <v>196</v>
      </c>
      <c r="AB189" s="4">
        <v>147</v>
      </c>
      <c r="AC189" s="4">
        <v>327</v>
      </c>
      <c r="AD189" s="4">
        <v>3</v>
      </c>
      <c r="AE189" s="4">
        <v>5</v>
      </c>
      <c r="AF189" s="4">
        <v>9</v>
      </c>
      <c r="AG189" s="4">
        <v>20</v>
      </c>
      <c r="AH189" s="4">
        <v>2</v>
      </c>
      <c r="AI189" s="4">
        <v>4</v>
      </c>
      <c r="AJ189" s="4">
        <v>1</v>
      </c>
      <c r="AK189" s="4">
        <v>4</v>
      </c>
      <c r="AL189" s="4">
        <v>6</v>
      </c>
      <c r="AM189" s="4">
        <v>14</v>
      </c>
      <c r="AN189" s="4">
        <v>2</v>
      </c>
      <c r="AO189" s="4">
        <v>4</v>
      </c>
      <c r="AP189" s="4">
        <v>0</v>
      </c>
      <c r="AQ189" s="4">
        <v>0</v>
      </c>
      <c r="AR189" s="3" t="s">
        <v>62</v>
      </c>
      <c r="AS189" s="3" t="s">
        <v>62</v>
      </c>
      <c r="AU189" s="6" t="str">
        <f>HYPERLINK("https://creighton-primo.hosted.exlibrisgroup.com/primo-explore/search?tab=default_tab&amp;search_scope=EVERYTHING&amp;vid=01CRU&amp;lang=en_US&amp;offset=0&amp;query=any,contains,991001913609702656","Catalog Record")</f>
        <v>Catalog Record</v>
      </c>
      <c r="AV189" s="6" t="str">
        <f>HYPERLINK("http://www.worldcat.org/oclc/242877","WorldCat Record")</f>
        <v>WorldCat Record</v>
      </c>
      <c r="AW189" s="3" t="s">
        <v>2529</v>
      </c>
      <c r="AX189" s="3" t="s">
        <v>2530</v>
      </c>
      <c r="AY189" s="3" t="s">
        <v>2531</v>
      </c>
      <c r="AZ189" s="3" t="s">
        <v>2531</v>
      </c>
      <c r="BA189" s="3" t="s">
        <v>2532</v>
      </c>
      <c r="BB189" s="3" t="s">
        <v>77</v>
      </c>
      <c r="BE189" s="3" t="s">
        <v>2533</v>
      </c>
      <c r="BF189" s="3" t="s">
        <v>2534</v>
      </c>
    </row>
    <row r="190" spans="1:58" ht="41.25" customHeight="1" x14ac:dyDescent="0.25">
      <c r="A190" s="7" t="s">
        <v>62</v>
      </c>
      <c r="B190" s="2" t="s">
        <v>57</v>
      </c>
      <c r="C190" s="2" t="s">
        <v>58</v>
      </c>
      <c r="D190" s="2" t="s">
        <v>2535</v>
      </c>
      <c r="E190" s="2" t="s">
        <v>2536</v>
      </c>
      <c r="F190" s="2" t="s">
        <v>2537</v>
      </c>
      <c r="H190" s="3" t="s">
        <v>62</v>
      </c>
      <c r="I190" s="3" t="s">
        <v>63</v>
      </c>
      <c r="J190" s="3" t="s">
        <v>62</v>
      </c>
      <c r="K190" s="3" t="s">
        <v>62</v>
      </c>
      <c r="L190" s="3" t="s">
        <v>64</v>
      </c>
      <c r="M190" s="2" t="s">
        <v>2538</v>
      </c>
      <c r="N190" s="2" t="s">
        <v>2539</v>
      </c>
      <c r="O190" s="3" t="s">
        <v>1533</v>
      </c>
      <c r="Q190" s="3" t="s">
        <v>68</v>
      </c>
      <c r="R190" s="3" t="s">
        <v>69</v>
      </c>
      <c r="T190" s="3" t="s">
        <v>70</v>
      </c>
      <c r="U190" s="4">
        <v>5</v>
      </c>
      <c r="V190" s="4">
        <v>5</v>
      </c>
      <c r="W190" s="5" t="s">
        <v>2540</v>
      </c>
      <c r="X190" s="5" t="s">
        <v>2540</v>
      </c>
      <c r="Y190" s="5" t="s">
        <v>2515</v>
      </c>
      <c r="Z190" s="5" t="s">
        <v>2515</v>
      </c>
      <c r="AA190" s="4">
        <v>453</v>
      </c>
      <c r="AB190" s="4">
        <v>387</v>
      </c>
      <c r="AC190" s="4">
        <v>388</v>
      </c>
      <c r="AD190" s="4">
        <v>4</v>
      </c>
      <c r="AE190" s="4">
        <v>5</v>
      </c>
      <c r="AF190" s="4">
        <v>34</v>
      </c>
      <c r="AG190" s="4">
        <v>35</v>
      </c>
      <c r="AH190" s="4">
        <v>12</v>
      </c>
      <c r="AI190" s="4">
        <v>12</v>
      </c>
      <c r="AJ190" s="4">
        <v>9</v>
      </c>
      <c r="AK190" s="4">
        <v>9</v>
      </c>
      <c r="AL190" s="4">
        <v>20</v>
      </c>
      <c r="AM190" s="4">
        <v>20</v>
      </c>
      <c r="AN190" s="4">
        <v>3</v>
      </c>
      <c r="AO190" s="4">
        <v>4</v>
      </c>
      <c r="AP190" s="4">
        <v>0</v>
      </c>
      <c r="AQ190" s="4">
        <v>0</v>
      </c>
      <c r="AR190" s="3" t="s">
        <v>62</v>
      </c>
      <c r="AS190" s="3" t="s">
        <v>62</v>
      </c>
      <c r="AU190" s="6" t="str">
        <f>HYPERLINK("https://creighton-primo.hosted.exlibrisgroup.com/primo-explore/search?tab=default_tab&amp;search_scope=EVERYTHING&amp;vid=01CRU&amp;lang=en_US&amp;offset=0&amp;query=any,contains,991003545139702656","Catalog Record")</f>
        <v>Catalog Record</v>
      </c>
      <c r="AV190" s="6" t="str">
        <f>HYPERLINK("http://www.worldcat.org/oclc/1111247","WorldCat Record")</f>
        <v>WorldCat Record</v>
      </c>
      <c r="AW190" s="3" t="s">
        <v>2541</v>
      </c>
      <c r="AX190" s="3" t="s">
        <v>2542</v>
      </c>
      <c r="AY190" s="3" t="s">
        <v>2543</v>
      </c>
      <c r="AZ190" s="3" t="s">
        <v>2543</v>
      </c>
      <c r="BA190" s="3" t="s">
        <v>2544</v>
      </c>
      <c r="BB190" s="3" t="s">
        <v>77</v>
      </c>
      <c r="BD190" s="3" t="s">
        <v>2545</v>
      </c>
      <c r="BE190" s="3" t="s">
        <v>2546</v>
      </c>
      <c r="BF190" s="3" t="s">
        <v>2547</v>
      </c>
    </row>
    <row r="191" spans="1:58" ht="41.25" customHeight="1" x14ac:dyDescent="0.25">
      <c r="A191" s="7" t="s">
        <v>62</v>
      </c>
      <c r="B191" s="2" t="s">
        <v>57</v>
      </c>
      <c r="C191" s="2" t="s">
        <v>58</v>
      </c>
      <c r="D191" s="2" t="s">
        <v>2548</v>
      </c>
      <c r="E191" s="2" t="s">
        <v>2549</v>
      </c>
      <c r="F191" s="2" t="s">
        <v>2550</v>
      </c>
      <c r="H191" s="3" t="s">
        <v>62</v>
      </c>
      <c r="I191" s="3" t="s">
        <v>63</v>
      </c>
      <c r="J191" s="3" t="s">
        <v>62</v>
      </c>
      <c r="K191" s="3" t="s">
        <v>62</v>
      </c>
      <c r="L191" s="3" t="s">
        <v>64</v>
      </c>
      <c r="M191" s="2" t="s">
        <v>2551</v>
      </c>
      <c r="N191" s="2" t="s">
        <v>2552</v>
      </c>
      <c r="O191" s="3" t="s">
        <v>383</v>
      </c>
      <c r="Q191" s="3" t="s">
        <v>68</v>
      </c>
      <c r="R191" s="3" t="s">
        <v>69</v>
      </c>
      <c r="T191" s="3" t="s">
        <v>70</v>
      </c>
      <c r="U191" s="4">
        <v>6</v>
      </c>
      <c r="V191" s="4">
        <v>6</v>
      </c>
      <c r="W191" s="5" t="s">
        <v>2553</v>
      </c>
      <c r="X191" s="5" t="s">
        <v>2553</v>
      </c>
      <c r="Y191" s="5" t="s">
        <v>2554</v>
      </c>
      <c r="Z191" s="5" t="s">
        <v>2554</v>
      </c>
      <c r="AA191" s="4">
        <v>776</v>
      </c>
      <c r="AB191" s="4">
        <v>735</v>
      </c>
      <c r="AC191" s="4">
        <v>815</v>
      </c>
      <c r="AD191" s="4">
        <v>6</v>
      </c>
      <c r="AE191" s="4">
        <v>6</v>
      </c>
      <c r="AF191" s="4">
        <v>33</v>
      </c>
      <c r="AG191" s="4">
        <v>37</v>
      </c>
      <c r="AH191" s="4">
        <v>18</v>
      </c>
      <c r="AI191" s="4">
        <v>19</v>
      </c>
      <c r="AJ191" s="4">
        <v>7</v>
      </c>
      <c r="AK191" s="4">
        <v>8</v>
      </c>
      <c r="AL191" s="4">
        <v>13</v>
      </c>
      <c r="AM191" s="4">
        <v>16</v>
      </c>
      <c r="AN191" s="4">
        <v>5</v>
      </c>
      <c r="AO191" s="4">
        <v>5</v>
      </c>
      <c r="AP191" s="4">
        <v>0</v>
      </c>
      <c r="AQ191" s="4">
        <v>0</v>
      </c>
      <c r="AR191" s="3" t="s">
        <v>62</v>
      </c>
      <c r="AS191" s="3" t="s">
        <v>84</v>
      </c>
      <c r="AT191" s="6" t="str">
        <f>HYPERLINK("http://catalog.hathitrust.org/Record/004480002","HathiTrust Record")</f>
        <v>HathiTrust Record</v>
      </c>
      <c r="AU191" s="6" t="str">
        <f>HYPERLINK("https://creighton-primo.hosted.exlibrisgroup.com/primo-explore/search?tab=default_tab&amp;search_scope=EVERYTHING&amp;vid=01CRU&amp;lang=en_US&amp;offset=0&amp;query=any,contains,991000118019702656","Catalog Record")</f>
        <v>Catalog Record</v>
      </c>
      <c r="AV191" s="6" t="str">
        <f>HYPERLINK("http://www.worldcat.org/oclc/49407","WorldCat Record")</f>
        <v>WorldCat Record</v>
      </c>
      <c r="AW191" s="3" t="s">
        <v>2555</v>
      </c>
      <c r="AX191" s="3" t="s">
        <v>2556</v>
      </c>
      <c r="AY191" s="3" t="s">
        <v>2557</v>
      </c>
      <c r="AZ191" s="3" t="s">
        <v>2557</v>
      </c>
      <c r="BA191" s="3" t="s">
        <v>2558</v>
      </c>
      <c r="BB191" s="3" t="s">
        <v>77</v>
      </c>
      <c r="BE191" s="3" t="s">
        <v>2559</v>
      </c>
      <c r="BF191" s="3" t="s">
        <v>2560</v>
      </c>
    </row>
    <row r="192" spans="1:58" ht="41.25" customHeight="1" x14ac:dyDescent="0.25">
      <c r="A192" s="7" t="s">
        <v>62</v>
      </c>
      <c r="B192" s="2" t="s">
        <v>57</v>
      </c>
      <c r="C192" s="2" t="s">
        <v>58</v>
      </c>
      <c r="D192" s="2" t="s">
        <v>2561</v>
      </c>
      <c r="E192" s="2" t="s">
        <v>2562</v>
      </c>
      <c r="F192" s="2" t="s">
        <v>2563</v>
      </c>
      <c r="H192" s="3" t="s">
        <v>62</v>
      </c>
      <c r="I192" s="3" t="s">
        <v>63</v>
      </c>
      <c r="J192" s="3" t="s">
        <v>62</v>
      </c>
      <c r="K192" s="3" t="s">
        <v>62</v>
      </c>
      <c r="L192" s="3" t="s">
        <v>64</v>
      </c>
      <c r="M192" s="2" t="s">
        <v>2564</v>
      </c>
      <c r="N192" s="2" t="s">
        <v>2565</v>
      </c>
      <c r="O192" s="3" t="s">
        <v>1820</v>
      </c>
      <c r="Q192" s="3" t="s">
        <v>68</v>
      </c>
      <c r="R192" s="3" t="s">
        <v>69</v>
      </c>
      <c r="T192" s="3" t="s">
        <v>70</v>
      </c>
      <c r="U192" s="4">
        <v>2</v>
      </c>
      <c r="V192" s="4">
        <v>2</v>
      </c>
      <c r="W192" s="5" t="s">
        <v>2566</v>
      </c>
      <c r="X192" s="5" t="s">
        <v>2566</v>
      </c>
      <c r="Y192" s="5" t="s">
        <v>2515</v>
      </c>
      <c r="Z192" s="5" t="s">
        <v>2515</v>
      </c>
      <c r="AA192" s="4">
        <v>450</v>
      </c>
      <c r="AB192" s="4">
        <v>369</v>
      </c>
      <c r="AC192" s="4">
        <v>372</v>
      </c>
      <c r="AD192" s="4">
        <v>2</v>
      </c>
      <c r="AE192" s="4">
        <v>2</v>
      </c>
      <c r="AF192" s="4">
        <v>31</v>
      </c>
      <c r="AG192" s="4">
        <v>31</v>
      </c>
      <c r="AH192" s="4">
        <v>12</v>
      </c>
      <c r="AI192" s="4">
        <v>12</v>
      </c>
      <c r="AJ192" s="4">
        <v>7</v>
      </c>
      <c r="AK192" s="4">
        <v>7</v>
      </c>
      <c r="AL192" s="4">
        <v>21</v>
      </c>
      <c r="AM192" s="4">
        <v>21</v>
      </c>
      <c r="AN192" s="4">
        <v>1</v>
      </c>
      <c r="AO192" s="4">
        <v>1</v>
      </c>
      <c r="AP192" s="4">
        <v>0</v>
      </c>
      <c r="AQ192" s="4">
        <v>0</v>
      </c>
      <c r="AR192" s="3" t="s">
        <v>62</v>
      </c>
      <c r="AS192" s="3" t="s">
        <v>62</v>
      </c>
      <c r="AU192" s="6" t="str">
        <f>HYPERLINK("https://creighton-primo.hosted.exlibrisgroup.com/primo-explore/search?tab=default_tab&amp;search_scope=EVERYTHING&amp;vid=01CRU&amp;lang=en_US&amp;offset=0&amp;query=any,contains,991004907339702656","Catalog Record")</f>
        <v>Catalog Record</v>
      </c>
      <c r="AV192" s="6" t="str">
        <f>HYPERLINK("http://www.worldcat.org/oclc/5959352","WorldCat Record")</f>
        <v>WorldCat Record</v>
      </c>
      <c r="AW192" s="3" t="s">
        <v>2567</v>
      </c>
      <c r="AX192" s="3" t="s">
        <v>2568</v>
      </c>
      <c r="AY192" s="3" t="s">
        <v>2569</v>
      </c>
      <c r="AZ192" s="3" t="s">
        <v>2569</v>
      </c>
      <c r="BA192" s="3" t="s">
        <v>2570</v>
      </c>
      <c r="BB192" s="3" t="s">
        <v>77</v>
      </c>
      <c r="BD192" s="3" t="s">
        <v>2571</v>
      </c>
      <c r="BE192" s="3" t="s">
        <v>2572</v>
      </c>
      <c r="BF192" s="3" t="s">
        <v>2573</v>
      </c>
    </row>
    <row r="193" spans="1:58" ht="41.25" customHeight="1" x14ac:dyDescent="0.25">
      <c r="A193" s="7" t="s">
        <v>62</v>
      </c>
      <c r="B193" s="2" t="s">
        <v>57</v>
      </c>
      <c r="C193" s="2" t="s">
        <v>58</v>
      </c>
      <c r="D193" s="2" t="s">
        <v>2574</v>
      </c>
      <c r="E193" s="2" t="s">
        <v>2575</v>
      </c>
      <c r="F193" s="2" t="s">
        <v>2576</v>
      </c>
      <c r="H193" s="3" t="s">
        <v>62</v>
      </c>
      <c r="I193" s="3" t="s">
        <v>63</v>
      </c>
      <c r="J193" s="3" t="s">
        <v>62</v>
      </c>
      <c r="K193" s="3" t="s">
        <v>62</v>
      </c>
      <c r="L193" s="3" t="s">
        <v>64</v>
      </c>
      <c r="M193" s="2" t="s">
        <v>2577</v>
      </c>
      <c r="N193" s="2" t="s">
        <v>2578</v>
      </c>
      <c r="O193" s="3" t="s">
        <v>529</v>
      </c>
      <c r="Q193" s="3" t="s">
        <v>68</v>
      </c>
      <c r="R193" s="3" t="s">
        <v>69</v>
      </c>
      <c r="T193" s="3" t="s">
        <v>70</v>
      </c>
      <c r="U193" s="4">
        <v>2</v>
      </c>
      <c r="V193" s="4">
        <v>2</v>
      </c>
      <c r="W193" s="5" t="s">
        <v>2579</v>
      </c>
      <c r="X193" s="5" t="s">
        <v>2579</v>
      </c>
      <c r="Y193" s="5" t="s">
        <v>2580</v>
      </c>
      <c r="Z193" s="5" t="s">
        <v>2580</v>
      </c>
      <c r="AA193" s="4">
        <v>672</v>
      </c>
      <c r="AB193" s="4">
        <v>607</v>
      </c>
      <c r="AC193" s="4">
        <v>618</v>
      </c>
      <c r="AD193" s="4">
        <v>1</v>
      </c>
      <c r="AE193" s="4">
        <v>1</v>
      </c>
      <c r="AF193" s="4">
        <v>12</v>
      </c>
      <c r="AG193" s="4">
        <v>12</v>
      </c>
      <c r="AH193" s="4">
        <v>5</v>
      </c>
      <c r="AI193" s="4">
        <v>5</v>
      </c>
      <c r="AJ193" s="4">
        <v>4</v>
      </c>
      <c r="AK193" s="4">
        <v>4</v>
      </c>
      <c r="AL193" s="4">
        <v>8</v>
      </c>
      <c r="AM193" s="4">
        <v>8</v>
      </c>
      <c r="AN193" s="4">
        <v>0</v>
      </c>
      <c r="AO193" s="4">
        <v>0</v>
      </c>
      <c r="AP193" s="4">
        <v>0</v>
      </c>
      <c r="AQ193" s="4">
        <v>0</v>
      </c>
      <c r="AR193" s="3" t="s">
        <v>62</v>
      </c>
      <c r="AS193" s="3" t="s">
        <v>84</v>
      </c>
      <c r="AT193" s="6" t="str">
        <f>HYPERLINK("http://catalog.hathitrust.org/Record/009918549","HathiTrust Record")</f>
        <v>HathiTrust Record</v>
      </c>
      <c r="AU193" s="6" t="str">
        <f>HYPERLINK("https://creighton-primo.hosted.exlibrisgroup.com/primo-explore/search?tab=default_tab&amp;search_scope=EVERYTHING&amp;vid=01CRU&amp;lang=en_US&amp;offset=0&amp;query=any,contains,991005225469702656","Catalog Record")</f>
        <v>Catalog Record</v>
      </c>
      <c r="AV193" s="6" t="str">
        <f>HYPERLINK("http://www.worldcat.org/oclc/10324924","WorldCat Record")</f>
        <v>WorldCat Record</v>
      </c>
      <c r="AW193" s="3" t="s">
        <v>2581</v>
      </c>
      <c r="AX193" s="3" t="s">
        <v>2582</v>
      </c>
      <c r="AY193" s="3" t="s">
        <v>2583</v>
      </c>
      <c r="AZ193" s="3" t="s">
        <v>2583</v>
      </c>
      <c r="BA193" s="3" t="s">
        <v>2584</v>
      </c>
      <c r="BB193" s="3" t="s">
        <v>77</v>
      </c>
      <c r="BD193" s="3" t="s">
        <v>2585</v>
      </c>
      <c r="BE193" s="3" t="s">
        <v>2586</v>
      </c>
      <c r="BF193" s="3" t="s">
        <v>2587</v>
      </c>
    </row>
    <row r="194" spans="1:58" ht="41.25" customHeight="1" x14ac:dyDescent="0.25">
      <c r="A194" s="7" t="s">
        <v>62</v>
      </c>
      <c r="B194" s="2" t="s">
        <v>57</v>
      </c>
      <c r="C194" s="2" t="s">
        <v>58</v>
      </c>
      <c r="D194" s="2" t="s">
        <v>2588</v>
      </c>
      <c r="E194" s="2" t="s">
        <v>2589</v>
      </c>
      <c r="F194" s="2" t="s">
        <v>2590</v>
      </c>
      <c r="H194" s="3" t="s">
        <v>62</v>
      </c>
      <c r="I194" s="3" t="s">
        <v>63</v>
      </c>
      <c r="J194" s="3" t="s">
        <v>62</v>
      </c>
      <c r="K194" s="3" t="s">
        <v>62</v>
      </c>
      <c r="L194" s="3" t="s">
        <v>64</v>
      </c>
      <c r="M194" s="2" t="s">
        <v>2591</v>
      </c>
      <c r="N194" s="2" t="s">
        <v>2592</v>
      </c>
      <c r="O194" s="3" t="s">
        <v>312</v>
      </c>
      <c r="Q194" s="3" t="s">
        <v>68</v>
      </c>
      <c r="R194" s="3" t="s">
        <v>1723</v>
      </c>
      <c r="T194" s="3" t="s">
        <v>70</v>
      </c>
      <c r="U194" s="4">
        <v>4</v>
      </c>
      <c r="V194" s="4">
        <v>4</v>
      </c>
      <c r="W194" s="5" t="s">
        <v>2593</v>
      </c>
      <c r="X194" s="5" t="s">
        <v>2593</v>
      </c>
      <c r="Y194" s="5" t="s">
        <v>2594</v>
      </c>
      <c r="Z194" s="5" t="s">
        <v>2594</v>
      </c>
      <c r="AA194" s="4">
        <v>158</v>
      </c>
      <c r="AB194" s="4">
        <v>144</v>
      </c>
      <c r="AC194" s="4">
        <v>144</v>
      </c>
      <c r="AD194" s="4">
        <v>3</v>
      </c>
      <c r="AE194" s="4">
        <v>3</v>
      </c>
      <c r="AF194" s="4">
        <v>9</v>
      </c>
      <c r="AG194" s="4">
        <v>9</v>
      </c>
      <c r="AH194" s="4">
        <v>2</v>
      </c>
      <c r="AI194" s="4">
        <v>2</v>
      </c>
      <c r="AJ194" s="4">
        <v>2</v>
      </c>
      <c r="AK194" s="4">
        <v>2</v>
      </c>
      <c r="AL194" s="4">
        <v>7</v>
      </c>
      <c r="AM194" s="4">
        <v>7</v>
      </c>
      <c r="AN194" s="4">
        <v>1</v>
      </c>
      <c r="AO194" s="4">
        <v>1</v>
      </c>
      <c r="AP194" s="4">
        <v>0</v>
      </c>
      <c r="AQ194" s="4">
        <v>0</v>
      </c>
      <c r="AR194" s="3" t="s">
        <v>62</v>
      </c>
      <c r="AS194" s="3" t="s">
        <v>62</v>
      </c>
      <c r="AU194" s="6" t="str">
        <f>HYPERLINK("https://creighton-primo.hosted.exlibrisgroup.com/primo-explore/search?tab=default_tab&amp;search_scope=EVERYTHING&amp;vid=01CRU&amp;lang=en_US&amp;offset=0&amp;query=any,contains,991002172729702656","Catalog Record")</f>
        <v>Catalog Record</v>
      </c>
      <c r="AV194" s="6" t="str">
        <f>HYPERLINK("http://www.worldcat.org/oclc/277233","WorldCat Record")</f>
        <v>WorldCat Record</v>
      </c>
      <c r="AW194" s="3" t="s">
        <v>2595</v>
      </c>
      <c r="AX194" s="3" t="s">
        <v>2596</v>
      </c>
      <c r="AY194" s="3" t="s">
        <v>2597</v>
      </c>
      <c r="AZ194" s="3" t="s">
        <v>2597</v>
      </c>
      <c r="BA194" s="3" t="s">
        <v>2598</v>
      </c>
      <c r="BB194" s="3" t="s">
        <v>77</v>
      </c>
      <c r="BD194" s="3" t="s">
        <v>2599</v>
      </c>
      <c r="BE194" s="3" t="s">
        <v>2600</v>
      </c>
      <c r="BF194" s="3" t="s">
        <v>2601</v>
      </c>
    </row>
    <row r="195" spans="1:58" ht="41.25" customHeight="1" x14ac:dyDescent="0.25">
      <c r="A195" s="7" t="s">
        <v>62</v>
      </c>
      <c r="B195" s="2" t="s">
        <v>57</v>
      </c>
      <c r="C195" s="2" t="s">
        <v>58</v>
      </c>
      <c r="D195" s="2" t="s">
        <v>2602</v>
      </c>
      <c r="E195" s="2" t="s">
        <v>2603</v>
      </c>
      <c r="F195" s="2" t="s">
        <v>2604</v>
      </c>
      <c r="H195" s="3" t="s">
        <v>62</v>
      </c>
      <c r="I195" s="3" t="s">
        <v>63</v>
      </c>
      <c r="J195" s="3" t="s">
        <v>62</v>
      </c>
      <c r="K195" s="3" t="s">
        <v>84</v>
      </c>
      <c r="L195" s="3" t="s">
        <v>64</v>
      </c>
      <c r="M195" s="2" t="s">
        <v>2605</v>
      </c>
      <c r="N195" s="2" t="s">
        <v>2486</v>
      </c>
      <c r="O195" s="3" t="s">
        <v>67</v>
      </c>
      <c r="Q195" s="3" t="s">
        <v>68</v>
      </c>
      <c r="R195" s="3" t="s">
        <v>69</v>
      </c>
      <c r="T195" s="3" t="s">
        <v>70</v>
      </c>
      <c r="U195" s="4">
        <v>4</v>
      </c>
      <c r="V195" s="4">
        <v>4</v>
      </c>
      <c r="W195" s="5" t="s">
        <v>2606</v>
      </c>
      <c r="X195" s="5" t="s">
        <v>2606</v>
      </c>
      <c r="Y195" s="5" t="s">
        <v>2515</v>
      </c>
      <c r="Z195" s="5" t="s">
        <v>2515</v>
      </c>
      <c r="AA195" s="4">
        <v>1358</v>
      </c>
      <c r="AB195" s="4">
        <v>1282</v>
      </c>
      <c r="AC195" s="4">
        <v>2823</v>
      </c>
      <c r="AD195" s="4">
        <v>10</v>
      </c>
      <c r="AE195" s="4">
        <v>31</v>
      </c>
      <c r="AF195" s="4">
        <v>17</v>
      </c>
      <c r="AG195" s="4">
        <v>53</v>
      </c>
      <c r="AH195" s="4">
        <v>5</v>
      </c>
      <c r="AI195" s="4">
        <v>20</v>
      </c>
      <c r="AJ195" s="4">
        <v>3</v>
      </c>
      <c r="AK195" s="4">
        <v>8</v>
      </c>
      <c r="AL195" s="4">
        <v>8</v>
      </c>
      <c r="AM195" s="4">
        <v>23</v>
      </c>
      <c r="AN195" s="4">
        <v>5</v>
      </c>
      <c r="AO195" s="4">
        <v>10</v>
      </c>
      <c r="AP195" s="4">
        <v>0</v>
      </c>
      <c r="AQ195" s="4">
        <v>1</v>
      </c>
      <c r="AR195" s="3" t="s">
        <v>62</v>
      </c>
      <c r="AS195" s="3" t="s">
        <v>84</v>
      </c>
      <c r="AT195" s="6" t="str">
        <f>HYPERLINK("http://catalog.hathitrust.org/Record/007479444","HathiTrust Record")</f>
        <v>HathiTrust Record</v>
      </c>
      <c r="AU195" s="6" t="str">
        <f>HYPERLINK("https://creighton-primo.hosted.exlibrisgroup.com/primo-explore/search?tab=default_tab&amp;search_scope=EVERYTHING&amp;vid=01CRU&amp;lang=en_US&amp;offset=0&amp;query=any,contains,991000545709702656","Catalog Record")</f>
        <v>Catalog Record</v>
      </c>
      <c r="AV195" s="6" t="str">
        <f>HYPERLINK("http://www.worldcat.org/oclc/91343","WorldCat Record")</f>
        <v>WorldCat Record</v>
      </c>
      <c r="AW195" s="3" t="s">
        <v>2607</v>
      </c>
      <c r="AX195" s="3" t="s">
        <v>2608</v>
      </c>
      <c r="AY195" s="3" t="s">
        <v>2609</v>
      </c>
      <c r="AZ195" s="3" t="s">
        <v>2609</v>
      </c>
      <c r="BA195" s="3" t="s">
        <v>2610</v>
      </c>
      <c r="BB195" s="3" t="s">
        <v>77</v>
      </c>
      <c r="BE195" s="3" t="s">
        <v>2611</v>
      </c>
      <c r="BF195" s="3" t="s">
        <v>2612</v>
      </c>
    </row>
    <row r="196" spans="1:58" ht="41.25" customHeight="1" x14ac:dyDescent="0.25">
      <c r="A196" s="7" t="s">
        <v>62</v>
      </c>
      <c r="B196" s="2" t="s">
        <v>57</v>
      </c>
      <c r="C196" s="2" t="s">
        <v>58</v>
      </c>
      <c r="D196" s="2" t="s">
        <v>2613</v>
      </c>
      <c r="E196" s="2" t="s">
        <v>2614</v>
      </c>
      <c r="F196" s="2" t="s">
        <v>2615</v>
      </c>
      <c r="H196" s="3" t="s">
        <v>62</v>
      </c>
      <c r="I196" s="3" t="s">
        <v>63</v>
      </c>
      <c r="J196" s="3" t="s">
        <v>62</v>
      </c>
      <c r="K196" s="3" t="s">
        <v>84</v>
      </c>
      <c r="L196" s="3" t="s">
        <v>64</v>
      </c>
      <c r="M196" s="2" t="s">
        <v>2616</v>
      </c>
      <c r="N196" s="2" t="s">
        <v>2617</v>
      </c>
      <c r="O196" s="3" t="s">
        <v>629</v>
      </c>
      <c r="Q196" s="3" t="s">
        <v>68</v>
      </c>
      <c r="R196" s="3" t="s">
        <v>69</v>
      </c>
      <c r="T196" s="3" t="s">
        <v>70</v>
      </c>
      <c r="U196" s="4">
        <v>6</v>
      </c>
      <c r="V196" s="4">
        <v>6</v>
      </c>
      <c r="W196" s="5" t="s">
        <v>1563</v>
      </c>
      <c r="X196" s="5" t="s">
        <v>1563</v>
      </c>
      <c r="Y196" s="5" t="s">
        <v>2515</v>
      </c>
      <c r="Z196" s="5" t="s">
        <v>2515</v>
      </c>
      <c r="AA196" s="4">
        <v>106</v>
      </c>
      <c r="AB196" s="4">
        <v>96</v>
      </c>
      <c r="AC196" s="4">
        <v>598</v>
      </c>
      <c r="AD196" s="4">
        <v>3</v>
      </c>
      <c r="AE196" s="4">
        <v>8</v>
      </c>
      <c r="AF196" s="4">
        <v>4</v>
      </c>
      <c r="AG196" s="4">
        <v>21</v>
      </c>
      <c r="AH196" s="4">
        <v>2</v>
      </c>
      <c r="AI196" s="4">
        <v>8</v>
      </c>
      <c r="AJ196" s="4">
        <v>0</v>
      </c>
      <c r="AK196" s="4">
        <v>5</v>
      </c>
      <c r="AL196" s="4">
        <v>1</v>
      </c>
      <c r="AM196" s="4">
        <v>8</v>
      </c>
      <c r="AN196" s="4">
        <v>2</v>
      </c>
      <c r="AO196" s="4">
        <v>5</v>
      </c>
      <c r="AP196" s="4">
        <v>0</v>
      </c>
      <c r="AQ196" s="4">
        <v>0</v>
      </c>
      <c r="AR196" s="3" t="s">
        <v>62</v>
      </c>
      <c r="AS196" s="3" t="s">
        <v>62</v>
      </c>
      <c r="AU196" s="6" t="str">
        <f>HYPERLINK("https://creighton-primo.hosted.exlibrisgroup.com/primo-explore/search?tab=default_tab&amp;search_scope=EVERYTHING&amp;vid=01CRU&amp;lang=en_US&amp;offset=0&amp;query=any,contains,991004258459702656","Catalog Record")</f>
        <v>Catalog Record</v>
      </c>
      <c r="AV196" s="6" t="str">
        <f>HYPERLINK("http://www.worldcat.org/oclc/2834199","WorldCat Record")</f>
        <v>WorldCat Record</v>
      </c>
      <c r="AW196" s="3" t="s">
        <v>2618</v>
      </c>
      <c r="AX196" s="3" t="s">
        <v>2619</v>
      </c>
      <c r="AY196" s="3" t="s">
        <v>2620</v>
      </c>
      <c r="AZ196" s="3" t="s">
        <v>2620</v>
      </c>
      <c r="BA196" s="3" t="s">
        <v>2621</v>
      </c>
      <c r="BB196" s="3" t="s">
        <v>77</v>
      </c>
      <c r="BD196" s="3" t="s">
        <v>2622</v>
      </c>
      <c r="BE196" s="3" t="s">
        <v>2623</v>
      </c>
      <c r="BF196" s="3" t="s">
        <v>2624</v>
      </c>
    </row>
    <row r="197" spans="1:58" ht="41.25" customHeight="1" x14ac:dyDescent="0.25">
      <c r="A197" s="7" t="s">
        <v>62</v>
      </c>
      <c r="B197" s="2" t="s">
        <v>57</v>
      </c>
      <c r="C197" s="2" t="s">
        <v>58</v>
      </c>
      <c r="D197" s="2" t="s">
        <v>2625</v>
      </c>
      <c r="E197" s="2" t="s">
        <v>2626</v>
      </c>
      <c r="F197" s="2" t="s">
        <v>2615</v>
      </c>
      <c r="H197" s="3" t="s">
        <v>62</v>
      </c>
      <c r="I197" s="3" t="s">
        <v>63</v>
      </c>
      <c r="J197" s="3" t="s">
        <v>62</v>
      </c>
      <c r="K197" s="3" t="s">
        <v>84</v>
      </c>
      <c r="L197" s="3" t="s">
        <v>64</v>
      </c>
      <c r="M197" s="2" t="s">
        <v>2616</v>
      </c>
      <c r="N197" s="2" t="s">
        <v>2627</v>
      </c>
      <c r="O197" s="3" t="s">
        <v>629</v>
      </c>
      <c r="Q197" s="3" t="s">
        <v>68</v>
      </c>
      <c r="R197" s="3" t="s">
        <v>69</v>
      </c>
      <c r="T197" s="3" t="s">
        <v>70</v>
      </c>
      <c r="U197" s="4">
        <v>2</v>
      </c>
      <c r="V197" s="4">
        <v>2</v>
      </c>
      <c r="W197" s="5" t="s">
        <v>2628</v>
      </c>
      <c r="X197" s="5" t="s">
        <v>2628</v>
      </c>
      <c r="Y197" s="5" t="s">
        <v>2515</v>
      </c>
      <c r="Z197" s="5" t="s">
        <v>2515</v>
      </c>
      <c r="AA197" s="4">
        <v>13</v>
      </c>
      <c r="AB197" s="4">
        <v>12</v>
      </c>
      <c r="AC197" s="4">
        <v>598</v>
      </c>
      <c r="AD197" s="4">
        <v>1</v>
      </c>
      <c r="AE197" s="4">
        <v>8</v>
      </c>
      <c r="AF197" s="4">
        <v>1</v>
      </c>
      <c r="AG197" s="4">
        <v>21</v>
      </c>
      <c r="AH197" s="4">
        <v>1</v>
      </c>
      <c r="AI197" s="4">
        <v>8</v>
      </c>
      <c r="AJ197" s="4">
        <v>0</v>
      </c>
      <c r="AK197" s="4">
        <v>5</v>
      </c>
      <c r="AL197" s="4">
        <v>1</v>
      </c>
      <c r="AM197" s="4">
        <v>8</v>
      </c>
      <c r="AN197" s="4">
        <v>0</v>
      </c>
      <c r="AO197" s="4">
        <v>5</v>
      </c>
      <c r="AP197" s="4">
        <v>0</v>
      </c>
      <c r="AQ197" s="4">
        <v>0</v>
      </c>
      <c r="AR197" s="3" t="s">
        <v>62</v>
      </c>
      <c r="AS197" s="3" t="s">
        <v>62</v>
      </c>
      <c r="AU197" s="6" t="str">
        <f>HYPERLINK("https://creighton-primo.hosted.exlibrisgroup.com/primo-explore/search?tab=default_tab&amp;search_scope=EVERYTHING&amp;vid=01CRU&amp;lang=en_US&amp;offset=0&amp;query=any,contains,991004632279702656","Catalog Record")</f>
        <v>Catalog Record</v>
      </c>
      <c r="AV197" s="6" t="str">
        <f>HYPERLINK("http://www.worldcat.org/oclc/4380484","WorldCat Record")</f>
        <v>WorldCat Record</v>
      </c>
      <c r="AW197" s="3" t="s">
        <v>2618</v>
      </c>
      <c r="AX197" s="3" t="s">
        <v>2629</v>
      </c>
      <c r="AY197" s="3" t="s">
        <v>2630</v>
      </c>
      <c r="AZ197" s="3" t="s">
        <v>2630</v>
      </c>
      <c r="BA197" s="3" t="s">
        <v>2631</v>
      </c>
      <c r="BB197" s="3" t="s">
        <v>77</v>
      </c>
      <c r="BE197" s="3" t="s">
        <v>2632</v>
      </c>
      <c r="BF197" s="3" t="s">
        <v>2633</v>
      </c>
    </row>
    <row r="198" spans="1:58" ht="41.25" customHeight="1" x14ac:dyDescent="0.25">
      <c r="A198" s="7" t="s">
        <v>62</v>
      </c>
      <c r="B198" s="2" t="s">
        <v>57</v>
      </c>
      <c r="C198" s="2" t="s">
        <v>58</v>
      </c>
      <c r="D198" s="2" t="s">
        <v>2634</v>
      </c>
      <c r="E198" s="2" t="s">
        <v>2635</v>
      </c>
      <c r="F198" s="2" t="s">
        <v>2636</v>
      </c>
      <c r="H198" s="3" t="s">
        <v>62</v>
      </c>
      <c r="I198" s="3" t="s">
        <v>63</v>
      </c>
      <c r="J198" s="3" t="s">
        <v>62</v>
      </c>
      <c r="K198" s="3" t="s">
        <v>62</v>
      </c>
      <c r="L198" s="3" t="s">
        <v>64</v>
      </c>
      <c r="M198" s="2" t="s">
        <v>2637</v>
      </c>
      <c r="N198" s="2" t="s">
        <v>2638</v>
      </c>
      <c r="O198" s="3" t="s">
        <v>87</v>
      </c>
      <c r="Q198" s="3" t="s">
        <v>68</v>
      </c>
      <c r="R198" s="3" t="s">
        <v>888</v>
      </c>
      <c r="S198" s="2" t="s">
        <v>2639</v>
      </c>
      <c r="T198" s="3" t="s">
        <v>70</v>
      </c>
      <c r="U198" s="4">
        <v>8</v>
      </c>
      <c r="V198" s="4">
        <v>8</v>
      </c>
      <c r="W198" s="5" t="s">
        <v>2640</v>
      </c>
      <c r="X198" s="5" t="s">
        <v>2640</v>
      </c>
      <c r="Y198" s="5" t="s">
        <v>2515</v>
      </c>
      <c r="Z198" s="5" t="s">
        <v>2515</v>
      </c>
      <c r="AA198" s="4">
        <v>52</v>
      </c>
      <c r="AB198" s="4">
        <v>50</v>
      </c>
      <c r="AC198" s="4">
        <v>415</v>
      </c>
      <c r="AD198" s="4">
        <v>2</v>
      </c>
      <c r="AE198" s="4">
        <v>6</v>
      </c>
      <c r="AF198" s="4">
        <v>3</v>
      </c>
      <c r="AG198" s="4">
        <v>18</v>
      </c>
      <c r="AH198" s="4">
        <v>1</v>
      </c>
      <c r="AI198" s="4">
        <v>7</v>
      </c>
      <c r="AJ198" s="4">
        <v>1</v>
      </c>
      <c r="AK198" s="4">
        <v>4</v>
      </c>
      <c r="AL198" s="4">
        <v>1</v>
      </c>
      <c r="AM198" s="4">
        <v>5</v>
      </c>
      <c r="AN198" s="4">
        <v>1</v>
      </c>
      <c r="AO198" s="4">
        <v>5</v>
      </c>
      <c r="AP198" s="4">
        <v>0</v>
      </c>
      <c r="AQ198" s="4">
        <v>0</v>
      </c>
      <c r="AR198" s="3" t="s">
        <v>62</v>
      </c>
      <c r="AS198" s="3" t="s">
        <v>62</v>
      </c>
      <c r="AU198" s="6" t="str">
        <f>HYPERLINK("https://creighton-primo.hosted.exlibrisgroup.com/primo-explore/search?tab=default_tab&amp;search_scope=EVERYTHING&amp;vid=01CRU&amp;lang=en_US&amp;offset=0&amp;query=any,contains,991004879829702656","Catalog Record")</f>
        <v>Catalog Record</v>
      </c>
      <c r="AV198" s="6" t="str">
        <f>HYPERLINK("http://www.worldcat.org/oclc/5811727","WorldCat Record")</f>
        <v>WorldCat Record</v>
      </c>
      <c r="AW198" s="3" t="s">
        <v>2641</v>
      </c>
      <c r="AX198" s="3" t="s">
        <v>2642</v>
      </c>
      <c r="AY198" s="3" t="s">
        <v>2643</v>
      </c>
      <c r="AZ198" s="3" t="s">
        <v>2643</v>
      </c>
      <c r="BA198" s="3" t="s">
        <v>2644</v>
      </c>
      <c r="BB198" s="3" t="s">
        <v>77</v>
      </c>
      <c r="BE198" s="3" t="s">
        <v>2645</v>
      </c>
      <c r="BF198" s="3" t="s">
        <v>2646</v>
      </c>
    </row>
    <row r="199" spans="1:58" ht="41.25" customHeight="1" x14ac:dyDescent="0.25">
      <c r="A199" s="7" t="s">
        <v>62</v>
      </c>
      <c r="B199" s="2" t="s">
        <v>57</v>
      </c>
      <c r="C199" s="2" t="s">
        <v>58</v>
      </c>
      <c r="D199" s="2" t="s">
        <v>2647</v>
      </c>
      <c r="E199" s="2" t="s">
        <v>2648</v>
      </c>
      <c r="F199" s="2" t="s">
        <v>2649</v>
      </c>
      <c r="H199" s="3" t="s">
        <v>62</v>
      </c>
      <c r="I199" s="3" t="s">
        <v>63</v>
      </c>
      <c r="J199" s="3" t="s">
        <v>62</v>
      </c>
      <c r="K199" s="3" t="s">
        <v>62</v>
      </c>
      <c r="L199" s="3" t="s">
        <v>64</v>
      </c>
      <c r="M199" s="2" t="s">
        <v>2650</v>
      </c>
      <c r="N199" s="2" t="s">
        <v>2651</v>
      </c>
      <c r="O199" s="3" t="s">
        <v>1820</v>
      </c>
      <c r="Q199" s="3" t="s">
        <v>68</v>
      </c>
      <c r="R199" s="3" t="s">
        <v>166</v>
      </c>
      <c r="T199" s="3" t="s">
        <v>70</v>
      </c>
      <c r="U199" s="4">
        <v>3</v>
      </c>
      <c r="V199" s="4">
        <v>3</v>
      </c>
      <c r="W199" s="5" t="s">
        <v>2652</v>
      </c>
      <c r="X199" s="5" t="s">
        <v>2652</v>
      </c>
      <c r="Y199" s="5" t="s">
        <v>2515</v>
      </c>
      <c r="Z199" s="5" t="s">
        <v>2515</v>
      </c>
      <c r="AA199" s="4">
        <v>185</v>
      </c>
      <c r="AB199" s="4">
        <v>170</v>
      </c>
      <c r="AC199" s="4">
        <v>234</v>
      </c>
      <c r="AD199" s="4">
        <v>1</v>
      </c>
      <c r="AE199" s="4">
        <v>3</v>
      </c>
      <c r="AF199" s="4">
        <v>9</v>
      </c>
      <c r="AG199" s="4">
        <v>14</v>
      </c>
      <c r="AH199" s="4">
        <v>2</v>
      </c>
      <c r="AI199" s="4">
        <v>3</v>
      </c>
      <c r="AJ199" s="4">
        <v>5</v>
      </c>
      <c r="AK199" s="4">
        <v>6</v>
      </c>
      <c r="AL199" s="4">
        <v>5</v>
      </c>
      <c r="AM199" s="4">
        <v>8</v>
      </c>
      <c r="AN199" s="4">
        <v>0</v>
      </c>
      <c r="AO199" s="4">
        <v>2</v>
      </c>
      <c r="AP199" s="4">
        <v>0</v>
      </c>
      <c r="AQ199" s="4">
        <v>0</v>
      </c>
      <c r="AR199" s="3" t="s">
        <v>62</v>
      </c>
      <c r="AS199" s="3" t="s">
        <v>84</v>
      </c>
      <c r="AT199" s="6" t="str">
        <f>HYPERLINK("http://catalog.hathitrust.org/Record/000297768","HathiTrust Record")</f>
        <v>HathiTrust Record</v>
      </c>
      <c r="AU199" s="6" t="str">
        <f>HYPERLINK("https://creighton-primo.hosted.exlibrisgroup.com/primo-explore/search?tab=default_tab&amp;search_scope=EVERYTHING&amp;vid=01CRU&amp;lang=en_US&amp;offset=0&amp;query=any,contains,991004717129702656","Catalog Record")</f>
        <v>Catalog Record</v>
      </c>
      <c r="AV199" s="6" t="str">
        <f>HYPERLINK("http://www.worldcat.org/oclc/4776737","WorldCat Record")</f>
        <v>WorldCat Record</v>
      </c>
      <c r="AW199" s="3" t="s">
        <v>2653</v>
      </c>
      <c r="AX199" s="3" t="s">
        <v>2654</v>
      </c>
      <c r="AY199" s="3" t="s">
        <v>2655</v>
      </c>
      <c r="AZ199" s="3" t="s">
        <v>2655</v>
      </c>
      <c r="BA199" s="3" t="s">
        <v>2656</v>
      </c>
      <c r="BB199" s="3" t="s">
        <v>77</v>
      </c>
      <c r="BD199" s="3" t="s">
        <v>2657</v>
      </c>
      <c r="BE199" s="3" t="s">
        <v>2658</v>
      </c>
      <c r="BF199" s="3" t="s">
        <v>2659</v>
      </c>
    </row>
    <row r="200" spans="1:58" ht="41.25" customHeight="1" x14ac:dyDescent="0.25">
      <c r="A200" s="7" t="s">
        <v>62</v>
      </c>
      <c r="B200" s="2" t="s">
        <v>57</v>
      </c>
      <c r="C200" s="2" t="s">
        <v>58</v>
      </c>
      <c r="D200" s="2" t="s">
        <v>2660</v>
      </c>
      <c r="E200" s="2" t="s">
        <v>2661</v>
      </c>
      <c r="F200" s="2" t="s">
        <v>2662</v>
      </c>
      <c r="H200" s="3" t="s">
        <v>62</v>
      </c>
      <c r="I200" s="3" t="s">
        <v>63</v>
      </c>
      <c r="J200" s="3" t="s">
        <v>62</v>
      </c>
      <c r="K200" s="3" t="s">
        <v>62</v>
      </c>
      <c r="L200" s="3" t="s">
        <v>64</v>
      </c>
      <c r="M200" s="2" t="s">
        <v>2663</v>
      </c>
      <c r="N200" s="2" t="s">
        <v>2664</v>
      </c>
      <c r="O200" s="3" t="s">
        <v>355</v>
      </c>
      <c r="Q200" s="3" t="s">
        <v>68</v>
      </c>
      <c r="R200" s="3" t="s">
        <v>69</v>
      </c>
      <c r="S200" s="2" t="s">
        <v>2665</v>
      </c>
      <c r="T200" s="3" t="s">
        <v>70</v>
      </c>
      <c r="U200" s="4">
        <v>3</v>
      </c>
      <c r="V200" s="4">
        <v>3</v>
      </c>
      <c r="W200" s="5" t="s">
        <v>2666</v>
      </c>
      <c r="X200" s="5" t="s">
        <v>2666</v>
      </c>
      <c r="Y200" s="5" t="s">
        <v>2475</v>
      </c>
      <c r="Z200" s="5" t="s">
        <v>2475</v>
      </c>
      <c r="AA200" s="4">
        <v>335</v>
      </c>
      <c r="AB200" s="4">
        <v>293</v>
      </c>
      <c r="AC200" s="4">
        <v>1015</v>
      </c>
      <c r="AD200" s="4">
        <v>2</v>
      </c>
      <c r="AE200" s="4">
        <v>8</v>
      </c>
      <c r="AF200" s="4">
        <v>17</v>
      </c>
      <c r="AG200" s="4">
        <v>50</v>
      </c>
      <c r="AH200" s="4">
        <v>9</v>
      </c>
      <c r="AI200" s="4">
        <v>20</v>
      </c>
      <c r="AJ200" s="4">
        <v>0</v>
      </c>
      <c r="AK200" s="4">
        <v>11</v>
      </c>
      <c r="AL200" s="4">
        <v>10</v>
      </c>
      <c r="AM200" s="4">
        <v>24</v>
      </c>
      <c r="AN200" s="4">
        <v>0</v>
      </c>
      <c r="AO200" s="4">
        <v>6</v>
      </c>
      <c r="AP200" s="4">
        <v>0</v>
      </c>
      <c r="AQ200" s="4">
        <v>0</v>
      </c>
      <c r="AR200" s="3" t="s">
        <v>62</v>
      </c>
      <c r="AS200" s="3" t="s">
        <v>84</v>
      </c>
      <c r="AT200" s="6" t="str">
        <f>HYPERLINK("http://catalog.hathitrust.org/Record/001922138","HathiTrust Record")</f>
        <v>HathiTrust Record</v>
      </c>
      <c r="AU200" s="6" t="str">
        <f>HYPERLINK("https://creighton-primo.hosted.exlibrisgroup.com/primo-explore/search?tab=default_tab&amp;search_scope=EVERYTHING&amp;vid=01CRU&amp;lang=en_US&amp;offset=0&amp;query=any,contains,991004961649702656","Catalog Record")</f>
        <v>Catalog Record</v>
      </c>
      <c r="AV200" s="6" t="str">
        <f>HYPERLINK("http://www.worldcat.org/oclc/6306099","WorldCat Record")</f>
        <v>WorldCat Record</v>
      </c>
      <c r="AW200" s="3" t="s">
        <v>2667</v>
      </c>
      <c r="AX200" s="3" t="s">
        <v>2668</v>
      </c>
      <c r="AY200" s="3" t="s">
        <v>2669</v>
      </c>
      <c r="AZ200" s="3" t="s">
        <v>2669</v>
      </c>
      <c r="BA200" s="3" t="s">
        <v>2670</v>
      </c>
      <c r="BB200" s="3" t="s">
        <v>77</v>
      </c>
      <c r="BE200" s="3" t="s">
        <v>2671</v>
      </c>
      <c r="BF200" s="3" t="s">
        <v>2672</v>
      </c>
    </row>
    <row r="201" spans="1:58" ht="41.25" customHeight="1" x14ac:dyDescent="0.25">
      <c r="A201" s="7" t="s">
        <v>62</v>
      </c>
      <c r="B201" s="2" t="s">
        <v>57</v>
      </c>
      <c r="C201" s="2" t="s">
        <v>58</v>
      </c>
      <c r="D201" s="2" t="s">
        <v>2673</v>
      </c>
      <c r="E201" s="2" t="s">
        <v>2674</v>
      </c>
      <c r="F201" s="2" t="s">
        <v>2675</v>
      </c>
      <c r="H201" s="3" t="s">
        <v>62</v>
      </c>
      <c r="I201" s="3" t="s">
        <v>63</v>
      </c>
      <c r="J201" s="3" t="s">
        <v>62</v>
      </c>
      <c r="K201" s="3" t="s">
        <v>62</v>
      </c>
      <c r="L201" s="3" t="s">
        <v>64</v>
      </c>
      <c r="M201" s="2" t="s">
        <v>2676</v>
      </c>
      <c r="N201" s="2" t="s">
        <v>2677</v>
      </c>
      <c r="O201" s="3" t="s">
        <v>404</v>
      </c>
      <c r="Q201" s="3" t="s">
        <v>68</v>
      </c>
      <c r="R201" s="3" t="s">
        <v>1653</v>
      </c>
      <c r="T201" s="3" t="s">
        <v>70</v>
      </c>
      <c r="U201" s="4">
        <v>3</v>
      </c>
      <c r="V201" s="4">
        <v>3</v>
      </c>
      <c r="W201" s="5" t="s">
        <v>2678</v>
      </c>
      <c r="X201" s="5" t="s">
        <v>2678</v>
      </c>
      <c r="Y201" s="5" t="s">
        <v>2515</v>
      </c>
      <c r="Z201" s="5" t="s">
        <v>2515</v>
      </c>
      <c r="AA201" s="4">
        <v>1012</v>
      </c>
      <c r="AB201" s="4">
        <v>866</v>
      </c>
      <c r="AC201" s="4">
        <v>930</v>
      </c>
      <c r="AD201" s="4">
        <v>7</v>
      </c>
      <c r="AE201" s="4">
        <v>7</v>
      </c>
      <c r="AF201" s="4">
        <v>39</v>
      </c>
      <c r="AG201" s="4">
        <v>40</v>
      </c>
      <c r="AH201" s="4">
        <v>13</v>
      </c>
      <c r="AI201" s="4">
        <v>14</v>
      </c>
      <c r="AJ201" s="4">
        <v>9</v>
      </c>
      <c r="AK201" s="4">
        <v>9</v>
      </c>
      <c r="AL201" s="4">
        <v>22</v>
      </c>
      <c r="AM201" s="4">
        <v>22</v>
      </c>
      <c r="AN201" s="4">
        <v>6</v>
      </c>
      <c r="AO201" s="4">
        <v>6</v>
      </c>
      <c r="AP201" s="4">
        <v>0</v>
      </c>
      <c r="AQ201" s="4">
        <v>0</v>
      </c>
      <c r="AR201" s="3" t="s">
        <v>62</v>
      </c>
      <c r="AS201" s="3" t="s">
        <v>84</v>
      </c>
      <c r="AT201" s="6" t="str">
        <f>HYPERLINK("http://catalog.hathitrust.org/Record/001392124","HathiTrust Record")</f>
        <v>HathiTrust Record</v>
      </c>
      <c r="AU201" s="6" t="str">
        <f>HYPERLINK("https://creighton-primo.hosted.exlibrisgroup.com/primo-explore/search?tab=default_tab&amp;search_scope=EVERYTHING&amp;vid=01CRU&amp;lang=en_US&amp;offset=0&amp;query=any,contains,991002462859702656","Catalog Record")</f>
        <v>Catalog Record</v>
      </c>
      <c r="AV201" s="6" t="str">
        <f>HYPERLINK("http://www.worldcat.org/oclc/356627","WorldCat Record")</f>
        <v>WorldCat Record</v>
      </c>
      <c r="AW201" s="3" t="s">
        <v>2679</v>
      </c>
      <c r="AX201" s="3" t="s">
        <v>2680</v>
      </c>
      <c r="AY201" s="3" t="s">
        <v>2681</v>
      </c>
      <c r="AZ201" s="3" t="s">
        <v>2681</v>
      </c>
      <c r="BA201" s="3" t="s">
        <v>2682</v>
      </c>
      <c r="BB201" s="3" t="s">
        <v>77</v>
      </c>
      <c r="BD201" s="3" t="s">
        <v>2683</v>
      </c>
      <c r="BE201" s="3" t="s">
        <v>2684</v>
      </c>
      <c r="BF201" s="3" t="s">
        <v>2685</v>
      </c>
    </row>
    <row r="202" spans="1:58" ht="41.25" customHeight="1" x14ac:dyDescent="0.25">
      <c r="A202" s="7" t="s">
        <v>62</v>
      </c>
      <c r="B202" s="2" t="s">
        <v>57</v>
      </c>
      <c r="C202" s="2" t="s">
        <v>58</v>
      </c>
      <c r="D202" s="2" t="s">
        <v>2686</v>
      </c>
      <c r="E202" s="2" t="s">
        <v>2687</v>
      </c>
      <c r="F202" s="2" t="s">
        <v>2688</v>
      </c>
      <c r="H202" s="3" t="s">
        <v>62</v>
      </c>
      <c r="I202" s="3" t="s">
        <v>63</v>
      </c>
      <c r="J202" s="3" t="s">
        <v>62</v>
      </c>
      <c r="K202" s="3" t="s">
        <v>62</v>
      </c>
      <c r="L202" s="3" t="s">
        <v>64</v>
      </c>
      <c r="M202" s="2" t="s">
        <v>2689</v>
      </c>
      <c r="N202" s="2" t="s">
        <v>2690</v>
      </c>
      <c r="O202" s="3" t="s">
        <v>2303</v>
      </c>
      <c r="Q202" s="3" t="s">
        <v>68</v>
      </c>
      <c r="R202" s="3" t="s">
        <v>69</v>
      </c>
      <c r="S202" s="2" t="s">
        <v>2691</v>
      </c>
      <c r="T202" s="3" t="s">
        <v>70</v>
      </c>
      <c r="U202" s="4">
        <v>5</v>
      </c>
      <c r="V202" s="4">
        <v>5</v>
      </c>
      <c r="W202" s="5" t="s">
        <v>2692</v>
      </c>
      <c r="X202" s="5" t="s">
        <v>2692</v>
      </c>
      <c r="Y202" s="5" t="s">
        <v>2515</v>
      </c>
      <c r="Z202" s="5" t="s">
        <v>2515</v>
      </c>
      <c r="AA202" s="4">
        <v>477</v>
      </c>
      <c r="AB202" s="4">
        <v>417</v>
      </c>
      <c r="AC202" s="4">
        <v>520</v>
      </c>
      <c r="AD202" s="4">
        <v>5</v>
      </c>
      <c r="AE202" s="4">
        <v>5</v>
      </c>
      <c r="AF202" s="4">
        <v>15</v>
      </c>
      <c r="AG202" s="4">
        <v>17</v>
      </c>
      <c r="AH202" s="4">
        <v>6</v>
      </c>
      <c r="AI202" s="4">
        <v>8</v>
      </c>
      <c r="AJ202" s="4">
        <v>0</v>
      </c>
      <c r="AK202" s="4">
        <v>0</v>
      </c>
      <c r="AL202" s="4">
        <v>7</v>
      </c>
      <c r="AM202" s="4">
        <v>8</v>
      </c>
      <c r="AN202" s="4">
        <v>3</v>
      </c>
      <c r="AO202" s="4">
        <v>3</v>
      </c>
      <c r="AP202" s="4">
        <v>0</v>
      </c>
      <c r="AQ202" s="4">
        <v>0</v>
      </c>
      <c r="AR202" s="3" t="s">
        <v>62</v>
      </c>
      <c r="AS202" s="3" t="s">
        <v>84</v>
      </c>
      <c r="AT202" s="6" t="str">
        <f>HYPERLINK("http://catalog.hathitrust.org/Record/000008092","HathiTrust Record")</f>
        <v>HathiTrust Record</v>
      </c>
      <c r="AU202" s="6" t="str">
        <f>HYPERLINK("https://creighton-primo.hosted.exlibrisgroup.com/primo-explore/search?tab=default_tab&amp;search_scope=EVERYTHING&amp;vid=01CRU&amp;lang=en_US&amp;offset=0&amp;query=any,contains,991003031789702656","Catalog Record")</f>
        <v>Catalog Record</v>
      </c>
      <c r="AV202" s="6" t="str">
        <f>HYPERLINK("http://www.worldcat.org/oclc/594792","WorldCat Record")</f>
        <v>WorldCat Record</v>
      </c>
      <c r="AW202" s="3" t="s">
        <v>2693</v>
      </c>
      <c r="AX202" s="3" t="s">
        <v>2694</v>
      </c>
      <c r="AY202" s="3" t="s">
        <v>2695</v>
      </c>
      <c r="AZ202" s="3" t="s">
        <v>2695</v>
      </c>
      <c r="BA202" s="3" t="s">
        <v>2696</v>
      </c>
      <c r="BB202" s="3" t="s">
        <v>77</v>
      </c>
      <c r="BE202" s="3" t="s">
        <v>2697</v>
      </c>
      <c r="BF202" s="3" t="s">
        <v>2698</v>
      </c>
    </row>
    <row r="203" spans="1:58" ht="41.25" customHeight="1" x14ac:dyDescent="0.25">
      <c r="A203" s="7" t="s">
        <v>62</v>
      </c>
      <c r="B203" s="2" t="s">
        <v>57</v>
      </c>
      <c r="C203" s="2" t="s">
        <v>58</v>
      </c>
      <c r="D203" s="2" t="s">
        <v>2699</v>
      </c>
      <c r="E203" s="2" t="s">
        <v>2700</v>
      </c>
      <c r="F203" s="2" t="s">
        <v>2701</v>
      </c>
      <c r="H203" s="3" t="s">
        <v>62</v>
      </c>
      <c r="I203" s="3" t="s">
        <v>63</v>
      </c>
      <c r="J203" s="3" t="s">
        <v>62</v>
      </c>
      <c r="K203" s="3" t="s">
        <v>62</v>
      </c>
      <c r="L203" s="3" t="s">
        <v>64</v>
      </c>
      <c r="M203" s="2" t="s">
        <v>2702</v>
      </c>
      <c r="N203" s="2" t="s">
        <v>2703</v>
      </c>
      <c r="O203" s="3" t="s">
        <v>340</v>
      </c>
      <c r="Q203" s="3" t="s">
        <v>68</v>
      </c>
      <c r="R203" s="3" t="s">
        <v>369</v>
      </c>
      <c r="S203" s="2" t="s">
        <v>2704</v>
      </c>
      <c r="T203" s="3" t="s">
        <v>70</v>
      </c>
      <c r="U203" s="4">
        <v>4</v>
      </c>
      <c r="V203" s="4">
        <v>4</v>
      </c>
      <c r="W203" s="5" t="s">
        <v>2705</v>
      </c>
      <c r="X203" s="5" t="s">
        <v>2705</v>
      </c>
      <c r="Y203" s="5" t="s">
        <v>2706</v>
      </c>
      <c r="Z203" s="5" t="s">
        <v>2706</v>
      </c>
      <c r="AA203" s="4">
        <v>870</v>
      </c>
      <c r="AB203" s="4">
        <v>666</v>
      </c>
      <c r="AC203" s="4">
        <v>814</v>
      </c>
      <c r="AD203" s="4">
        <v>4</v>
      </c>
      <c r="AE203" s="4">
        <v>5</v>
      </c>
      <c r="AF203" s="4">
        <v>28</v>
      </c>
      <c r="AG203" s="4">
        <v>32</v>
      </c>
      <c r="AH203" s="4">
        <v>11</v>
      </c>
      <c r="AI203" s="4">
        <v>13</v>
      </c>
      <c r="AJ203" s="4">
        <v>6</v>
      </c>
      <c r="AK203" s="4">
        <v>6</v>
      </c>
      <c r="AL203" s="4">
        <v>17</v>
      </c>
      <c r="AM203" s="4">
        <v>20</v>
      </c>
      <c r="AN203" s="4">
        <v>3</v>
      </c>
      <c r="AO203" s="4">
        <v>3</v>
      </c>
      <c r="AP203" s="4">
        <v>0</v>
      </c>
      <c r="AQ203" s="4">
        <v>0</v>
      </c>
      <c r="AR203" s="3" t="s">
        <v>62</v>
      </c>
      <c r="AS203" s="3" t="s">
        <v>62</v>
      </c>
      <c r="AT203" s="6" t="str">
        <f>HYPERLINK("http://catalog.hathitrust.org/Record/001392127","HathiTrust Record")</f>
        <v>HathiTrust Record</v>
      </c>
      <c r="AU203" s="6" t="str">
        <f>HYPERLINK("https://creighton-primo.hosted.exlibrisgroup.com/primo-explore/search?tab=default_tab&amp;search_scope=EVERYTHING&amp;vid=01CRU&amp;lang=en_US&amp;offset=0&amp;query=any,contains,991002436719702656","Catalog Record")</f>
        <v>Catalog Record</v>
      </c>
      <c r="AV203" s="6" t="str">
        <f>HYPERLINK("http://www.worldcat.org/oclc/7315109","WorldCat Record")</f>
        <v>WorldCat Record</v>
      </c>
      <c r="AW203" s="3" t="s">
        <v>2707</v>
      </c>
      <c r="AX203" s="3" t="s">
        <v>2708</v>
      </c>
      <c r="AY203" s="3" t="s">
        <v>2709</v>
      </c>
      <c r="AZ203" s="3" t="s">
        <v>2709</v>
      </c>
      <c r="BA203" s="3" t="s">
        <v>2710</v>
      </c>
      <c r="BB203" s="3" t="s">
        <v>77</v>
      </c>
      <c r="BE203" s="3" t="s">
        <v>2711</v>
      </c>
      <c r="BF203" s="3" t="s">
        <v>2712</v>
      </c>
    </row>
    <row r="204" spans="1:58" ht="41.25" customHeight="1" x14ac:dyDescent="0.25">
      <c r="A204" s="7" t="s">
        <v>62</v>
      </c>
      <c r="B204" s="2" t="s">
        <v>57</v>
      </c>
      <c r="C204" s="2" t="s">
        <v>58</v>
      </c>
      <c r="D204" s="2" t="s">
        <v>2713</v>
      </c>
      <c r="E204" s="2" t="s">
        <v>2714</v>
      </c>
      <c r="F204" s="2" t="s">
        <v>2715</v>
      </c>
      <c r="H204" s="3" t="s">
        <v>62</v>
      </c>
      <c r="I204" s="3" t="s">
        <v>63</v>
      </c>
      <c r="J204" s="3" t="s">
        <v>62</v>
      </c>
      <c r="K204" s="3" t="s">
        <v>62</v>
      </c>
      <c r="L204" s="3" t="s">
        <v>64</v>
      </c>
      <c r="M204" s="2" t="s">
        <v>2716</v>
      </c>
      <c r="N204" s="2" t="s">
        <v>2717</v>
      </c>
      <c r="O204" s="3" t="s">
        <v>253</v>
      </c>
      <c r="Q204" s="3" t="s">
        <v>68</v>
      </c>
      <c r="R204" s="3" t="s">
        <v>69</v>
      </c>
      <c r="S204" s="2" t="s">
        <v>2718</v>
      </c>
      <c r="T204" s="3" t="s">
        <v>70</v>
      </c>
      <c r="U204" s="4">
        <v>6</v>
      </c>
      <c r="V204" s="4">
        <v>6</v>
      </c>
      <c r="W204" s="5" t="s">
        <v>2540</v>
      </c>
      <c r="X204" s="5" t="s">
        <v>2540</v>
      </c>
      <c r="Y204" s="5" t="s">
        <v>2515</v>
      </c>
      <c r="Z204" s="5" t="s">
        <v>2515</v>
      </c>
      <c r="AA204" s="4">
        <v>190</v>
      </c>
      <c r="AB204" s="4">
        <v>174</v>
      </c>
      <c r="AC204" s="4">
        <v>176</v>
      </c>
      <c r="AD204" s="4">
        <v>3</v>
      </c>
      <c r="AE204" s="4">
        <v>3</v>
      </c>
      <c r="AF204" s="4">
        <v>4</v>
      </c>
      <c r="AG204" s="4">
        <v>4</v>
      </c>
      <c r="AH204" s="4">
        <v>0</v>
      </c>
      <c r="AI204" s="4">
        <v>0</v>
      </c>
      <c r="AJ204" s="4">
        <v>1</v>
      </c>
      <c r="AK204" s="4">
        <v>1</v>
      </c>
      <c r="AL204" s="4">
        <v>3</v>
      </c>
      <c r="AM204" s="4">
        <v>3</v>
      </c>
      <c r="AN204" s="4">
        <v>1</v>
      </c>
      <c r="AO204" s="4">
        <v>1</v>
      </c>
      <c r="AP204" s="4">
        <v>0</v>
      </c>
      <c r="AQ204" s="4">
        <v>0</v>
      </c>
      <c r="AR204" s="3" t="s">
        <v>62</v>
      </c>
      <c r="AS204" s="3" t="s">
        <v>84</v>
      </c>
      <c r="AT204" s="6" t="str">
        <f>HYPERLINK("http://catalog.hathitrust.org/Record/001823475","HathiTrust Record")</f>
        <v>HathiTrust Record</v>
      </c>
      <c r="AU204" s="6" t="str">
        <f>HYPERLINK("https://creighton-primo.hosted.exlibrisgroup.com/primo-explore/search?tab=default_tab&amp;search_scope=EVERYTHING&amp;vid=01CRU&amp;lang=en_US&amp;offset=0&amp;query=any,contains,991000675109702656","Catalog Record")</f>
        <v>Catalog Record</v>
      </c>
      <c r="AV204" s="6" t="str">
        <f>HYPERLINK("http://www.worldcat.org/oclc/12344227","WorldCat Record")</f>
        <v>WorldCat Record</v>
      </c>
      <c r="AW204" s="3" t="s">
        <v>2719</v>
      </c>
      <c r="AX204" s="3" t="s">
        <v>2720</v>
      </c>
      <c r="AY204" s="3" t="s">
        <v>2721</v>
      </c>
      <c r="AZ204" s="3" t="s">
        <v>2721</v>
      </c>
      <c r="BA204" s="3" t="s">
        <v>2722</v>
      </c>
      <c r="BB204" s="3" t="s">
        <v>77</v>
      </c>
      <c r="BD204" s="3" t="s">
        <v>2723</v>
      </c>
      <c r="BE204" s="3" t="s">
        <v>2724</v>
      </c>
      <c r="BF204" s="3" t="s">
        <v>2725</v>
      </c>
    </row>
    <row r="205" spans="1:58" ht="41.25" customHeight="1" x14ac:dyDescent="0.25">
      <c r="A205" s="7" t="s">
        <v>62</v>
      </c>
      <c r="B205" s="2" t="s">
        <v>57</v>
      </c>
      <c r="C205" s="2" t="s">
        <v>58</v>
      </c>
      <c r="D205" s="2" t="s">
        <v>2726</v>
      </c>
      <c r="E205" s="2" t="s">
        <v>2727</v>
      </c>
      <c r="F205" s="2" t="s">
        <v>2728</v>
      </c>
      <c r="H205" s="3" t="s">
        <v>62</v>
      </c>
      <c r="I205" s="3" t="s">
        <v>63</v>
      </c>
      <c r="J205" s="3" t="s">
        <v>62</v>
      </c>
      <c r="K205" s="3" t="s">
        <v>62</v>
      </c>
      <c r="L205" s="3" t="s">
        <v>64</v>
      </c>
      <c r="M205" s="2" t="s">
        <v>2729</v>
      </c>
      <c r="N205" s="2" t="s">
        <v>2730</v>
      </c>
      <c r="O205" s="3" t="s">
        <v>820</v>
      </c>
      <c r="Q205" s="3" t="s">
        <v>68</v>
      </c>
      <c r="R205" s="3" t="s">
        <v>166</v>
      </c>
      <c r="T205" s="3" t="s">
        <v>70</v>
      </c>
      <c r="U205" s="4">
        <v>8</v>
      </c>
      <c r="V205" s="4">
        <v>8</v>
      </c>
      <c r="W205" s="5" t="s">
        <v>2731</v>
      </c>
      <c r="X205" s="5" t="s">
        <v>2731</v>
      </c>
      <c r="Y205" s="5" t="s">
        <v>2475</v>
      </c>
      <c r="Z205" s="5" t="s">
        <v>2475</v>
      </c>
      <c r="AA205" s="4">
        <v>609</v>
      </c>
      <c r="AB205" s="4">
        <v>494</v>
      </c>
      <c r="AC205" s="4">
        <v>495</v>
      </c>
      <c r="AD205" s="4">
        <v>4</v>
      </c>
      <c r="AE205" s="4">
        <v>4</v>
      </c>
      <c r="AF205" s="4">
        <v>25</v>
      </c>
      <c r="AG205" s="4">
        <v>25</v>
      </c>
      <c r="AH205" s="4">
        <v>11</v>
      </c>
      <c r="AI205" s="4">
        <v>11</v>
      </c>
      <c r="AJ205" s="4">
        <v>5</v>
      </c>
      <c r="AK205" s="4">
        <v>5</v>
      </c>
      <c r="AL205" s="4">
        <v>14</v>
      </c>
      <c r="AM205" s="4">
        <v>14</v>
      </c>
      <c r="AN205" s="4">
        <v>3</v>
      </c>
      <c r="AO205" s="4">
        <v>3</v>
      </c>
      <c r="AP205" s="4">
        <v>0</v>
      </c>
      <c r="AQ205" s="4">
        <v>0</v>
      </c>
      <c r="AR205" s="3" t="s">
        <v>62</v>
      </c>
      <c r="AS205" s="3" t="s">
        <v>84</v>
      </c>
      <c r="AT205" s="6" t="str">
        <f>HYPERLINK("http://catalog.hathitrust.org/Record/000145152","HathiTrust Record")</f>
        <v>HathiTrust Record</v>
      </c>
      <c r="AU205" s="6" t="str">
        <f>HYPERLINK("https://creighton-primo.hosted.exlibrisgroup.com/primo-explore/search?tab=default_tab&amp;search_scope=EVERYTHING&amp;vid=01CRU&amp;lang=en_US&amp;offset=0&amp;query=any,contains,991003378819702656","Catalog Record")</f>
        <v>Catalog Record</v>
      </c>
      <c r="AV205" s="6" t="str">
        <f>HYPERLINK("http://www.worldcat.org/oclc/914937","WorldCat Record")</f>
        <v>WorldCat Record</v>
      </c>
      <c r="AW205" s="3" t="s">
        <v>2732</v>
      </c>
      <c r="AX205" s="3" t="s">
        <v>2733</v>
      </c>
      <c r="AY205" s="3" t="s">
        <v>2734</v>
      </c>
      <c r="AZ205" s="3" t="s">
        <v>2734</v>
      </c>
      <c r="BA205" s="3" t="s">
        <v>2735</v>
      </c>
      <c r="BB205" s="3" t="s">
        <v>77</v>
      </c>
      <c r="BD205" s="3" t="s">
        <v>2736</v>
      </c>
      <c r="BE205" s="3" t="s">
        <v>2737</v>
      </c>
      <c r="BF205" s="3" t="s">
        <v>2738</v>
      </c>
    </row>
    <row r="206" spans="1:58" ht="41.25" customHeight="1" x14ac:dyDescent="0.25">
      <c r="A206" s="7" t="s">
        <v>62</v>
      </c>
      <c r="B206" s="2" t="s">
        <v>57</v>
      </c>
      <c r="C206" s="2" t="s">
        <v>58</v>
      </c>
      <c r="D206" s="2" t="s">
        <v>2739</v>
      </c>
      <c r="E206" s="2" t="s">
        <v>2740</v>
      </c>
      <c r="F206" s="2" t="s">
        <v>2741</v>
      </c>
      <c r="H206" s="3" t="s">
        <v>62</v>
      </c>
      <c r="I206" s="3" t="s">
        <v>63</v>
      </c>
      <c r="J206" s="3" t="s">
        <v>62</v>
      </c>
      <c r="K206" s="3" t="s">
        <v>62</v>
      </c>
      <c r="L206" s="3" t="s">
        <v>64</v>
      </c>
      <c r="M206" s="2" t="s">
        <v>2742</v>
      </c>
      <c r="N206" s="2" t="s">
        <v>2743</v>
      </c>
      <c r="O206" s="3" t="s">
        <v>267</v>
      </c>
      <c r="Q206" s="3" t="s">
        <v>68</v>
      </c>
      <c r="R206" s="3" t="s">
        <v>88</v>
      </c>
      <c r="S206" s="2" t="s">
        <v>2744</v>
      </c>
      <c r="T206" s="3" t="s">
        <v>70</v>
      </c>
      <c r="U206" s="4">
        <v>1</v>
      </c>
      <c r="V206" s="4">
        <v>1</v>
      </c>
      <c r="W206" s="5" t="s">
        <v>2745</v>
      </c>
      <c r="X206" s="5" t="s">
        <v>2745</v>
      </c>
      <c r="Y206" s="5" t="s">
        <v>2515</v>
      </c>
      <c r="Z206" s="5" t="s">
        <v>2515</v>
      </c>
      <c r="AA206" s="4">
        <v>378</v>
      </c>
      <c r="AB206" s="4">
        <v>314</v>
      </c>
      <c r="AC206" s="4">
        <v>1053</v>
      </c>
      <c r="AD206" s="4">
        <v>4</v>
      </c>
      <c r="AE206" s="4">
        <v>9</v>
      </c>
      <c r="AF206" s="4">
        <v>18</v>
      </c>
      <c r="AG206" s="4">
        <v>46</v>
      </c>
      <c r="AH206" s="4">
        <v>8</v>
      </c>
      <c r="AI206" s="4">
        <v>18</v>
      </c>
      <c r="AJ206" s="4">
        <v>3</v>
      </c>
      <c r="AK206" s="4">
        <v>9</v>
      </c>
      <c r="AL206" s="4">
        <v>9</v>
      </c>
      <c r="AM206" s="4">
        <v>22</v>
      </c>
      <c r="AN206" s="4">
        <v>3</v>
      </c>
      <c r="AO206" s="4">
        <v>7</v>
      </c>
      <c r="AP206" s="4">
        <v>0</v>
      </c>
      <c r="AQ206" s="4">
        <v>0</v>
      </c>
      <c r="AR206" s="3" t="s">
        <v>62</v>
      </c>
      <c r="AS206" s="3" t="s">
        <v>84</v>
      </c>
      <c r="AT206" s="6" t="str">
        <f>HYPERLINK("http://catalog.hathitrust.org/Record/000004967","HathiTrust Record")</f>
        <v>HathiTrust Record</v>
      </c>
      <c r="AU206" s="6" t="str">
        <f>HYPERLINK("https://creighton-primo.hosted.exlibrisgroup.com/primo-explore/search?tab=default_tab&amp;search_scope=EVERYTHING&amp;vid=01CRU&amp;lang=en_US&amp;offset=0&amp;query=any,contains,991002427859702656","Catalog Record")</f>
        <v>Catalog Record</v>
      </c>
      <c r="AV206" s="6" t="str">
        <f>HYPERLINK("http://www.worldcat.org/oclc/345559","WorldCat Record")</f>
        <v>WorldCat Record</v>
      </c>
      <c r="AW206" s="3" t="s">
        <v>2746</v>
      </c>
      <c r="AX206" s="3" t="s">
        <v>2747</v>
      </c>
      <c r="AY206" s="3" t="s">
        <v>2748</v>
      </c>
      <c r="AZ206" s="3" t="s">
        <v>2748</v>
      </c>
      <c r="BA206" s="3" t="s">
        <v>2749</v>
      </c>
      <c r="BB206" s="3" t="s">
        <v>77</v>
      </c>
      <c r="BE206" s="3" t="s">
        <v>2750</v>
      </c>
      <c r="BF206" s="3" t="s">
        <v>2751</v>
      </c>
    </row>
    <row r="207" spans="1:58" ht="41.25" customHeight="1" x14ac:dyDescent="0.25">
      <c r="A207" s="7" t="s">
        <v>62</v>
      </c>
      <c r="B207" s="2" t="s">
        <v>57</v>
      </c>
      <c r="C207" s="2" t="s">
        <v>58</v>
      </c>
      <c r="D207" s="2" t="s">
        <v>2752</v>
      </c>
      <c r="E207" s="2" t="s">
        <v>2753</v>
      </c>
      <c r="F207" s="2" t="s">
        <v>2754</v>
      </c>
      <c r="H207" s="3" t="s">
        <v>62</v>
      </c>
      <c r="I207" s="3" t="s">
        <v>63</v>
      </c>
      <c r="J207" s="3" t="s">
        <v>62</v>
      </c>
      <c r="K207" s="3" t="s">
        <v>62</v>
      </c>
      <c r="L207" s="3" t="s">
        <v>64</v>
      </c>
      <c r="M207" s="2" t="s">
        <v>2755</v>
      </c>
      <c r="N207" s="2" t="s">
        <v>2756</v>
      </c>
      <c r="O207" s="3" t="s">
        <v>804</v>
      </c>
      <c r="Q207" s="3" t="s">
        <v>68</v>
      </c>
      <c r="R207" s="3" t="s">
        <v>369</v>
      </c>
      <c r="T207" s="3" t="s">
        <v>70</v>
      </c>
      <c r="U207" s="4">
        <v>10</v>
      </c>
      <c r="V207" s="4">
        <v>10</v>
      </c>
      <c r="W207" s="5" t="s">
        <v>2757</v>
      </c>
      <c r="X207" s="5" t="s">
        <v>2757</v>
      </c>
      <c r="Y207" s="5" t="s">
        <v>2758</v>
      </c>
      <c r="Z207" s="5" t="s">
        <v>2758</v>
      </c>
      <c r="AA207" s="4">
        <v>873</v>
      </c>
      <c r="AB207" s="4">
        <v>738</v>
      </c>
      <c r="AC207" s="4">
        <v>820</v>
      </c>
      <c r="AD207" s="4">
        <v>2</v>
      </c>
      <c r="AE207" s="4">
        <v>2</v>
      </c>
      <c r="AF207" s="4">
        <v>31</v>
      </c>
      <c r="AG207" s="4">
        <v>33</v>
      </c>
      <c r="AH207" s="4">
        <v>11</v>
      </c>
      <c r="AI207" s="4">
        <v>12</v>
      </c>
      <c r="AJ207" s="4">
        <v>10</v>
      </c>
      <c r="AK207" s="4">
        <v>10</v>
      </c>
      <c r="AL207" s="4">
        <v>19</v>
      </c>
      <c r="AM207" s="4">
        <v>20</v>
      </c>
      <c r="AN207" s="4">
        <v>1</v>
      </c>
      <c r="AO207" s="4">
        <v>1</v>
      </c>
      <c r="AP207" s="4">
        <v>0</v>
      </c>
      <c r="AQ207" s="4">
        <v>0</v>
      </c>
      <c r="AR207" s="3" t="s">
        <v>62</v>
      </c>
      <c r="AS207" s="3" t="s">
        <v>84</v>
      </c>
      <c r="AT207" s="6" t="str">
        <f>HYPERLINK("http://catalog.hathitrust.org/Record/000826163","HathiTrust Record")</f>
        <v>HathiTrust Record</v>
      </c>
      <c r="AU207" s="6" t="str">
        <f>HYPERLINK("https://creighton-primo.hosted.exlibrisgroup.com/primo-explore/search?tab=default_tab&amp;search_scope=EVERYTHING&amp;vid=01CRU&amp;lang=en_US&amp;offset=0&amp;query=any,contains,991000915539702656","Catalog Record")</f>
        <v>Catalog Record</v>
      </c>
      <c r="AV207" s="6" t="str">
        <f>HYPERLINK("http://www.worldcat.org/oclc/14167890","WorldCat Record")</f>
        <v>WorldCat Record</v>
      </c>
      <c r="AW207" s="3" t="s">
        <v>2759</v>
      </c>
      <c r="AX207" s="3" t="s">
        <v>2760</v>
      </c>
      <c r="AY207" s="3" t="s">
        <v>2761</v>
      </c>
      <c r="AZ207" s="3" t="s">
        <v>2761</v>
      </c>
      <c r="BA207" s="3" t="s">
        <v>2762</v>
      </c>
      <c r="BB207" s="3" t="s">
        <v>77</v>
      </c>
      <c r="BD207" s="3" t="s">
        <v>2763</v>
      </c>
      <c r="BE207" s="3" t="s">
        <v>2764</v>
      </c>
      <c r="BF207" s="3" t="s">
        <v>2765</v>
      </c>
    </row>
    <row r="208" spans="1:58" ht="41.25" customHeight="1" x14ac:dyDescent="0.25">
      <c r="A208" s="7" t="s">
        <v>62</v>
      </c>
      <c r="B208" s="2" t="s">
        <v>57</v>
      </c>
      <c r="C208" s="2" t="s">
        <v>58</v>
      </c>
      <c r="D208" s="2" t="s">
        <v>2766</v>
      </c>
      <c r="E208" s="2" t="s">
        <v>2767</v>
      </c>
      <c r="F208" s="2" t="s">
        <v>2768</v>
      </c>
      <c r="H208" s="3" t="s">
        <v>62</v>
      </c>
      <c r="I208" s="3" t="s">
        <v>63</v>
      </c>
      <c r="J208" s="3" t="s">
        <v>62</v>
      </c>
      <c r="K208" s="3" t="s">
        <v>62</v>
      </c>
      <c r="L208" s="3" t="s">
        <v>64</v>
      </c>
      <c r="M208" s="2" t="s">
        <v>2769</v>
      </c>
      <c r="N208" s="2" t="s">
        <v>2770</v>
      </c>
      <c r="O208" s="3" t="s">
        <v>804</v>
      </c>
      <c r="P208" s="2" t="s">
        <v>834</v>
      </c>
      <c r="Q208" s="3" t="s">
        <v>68</v>
      </c>
      <c r="R208" s="3" t="s">
        <v>1238</v>
      </c>
      <c r="T208" s="3" t="s">
        <v>70</v>
      </c>
      <c r="U208" s="4">
        <v>11</v>
      </c>
      <c r="V208" s="4">
        <v>11</v>
      </c>
      <c r="W208" s="5" t="s">
        <v>2771</v>
      </c>
      <c r="X208" s="5" t="s">
        <v>2771</v>
      </c>
      <c r="Y208" s="5" t="s">
        <v>2515</v>
      </c>
      <c r="Z208" s="5" t="s">
        <v>2515</v>
      </c>
      <c r="AA208" s="4">
        <v>606</v>
      </c>
      <c r="AB208" s="4">
        <v>546</v>
      </c>
      <c r="AC208" s="4">
        <v>595</v>
      </c>
      <c r="AD208" s="4">
        <v>6</v>
      </c>
      <c r="AE208" s="4">
        <v>6</v>
      </c>
      <c r="AF208" s="4">
        <v>29</v>
      </c>
      <c r="AG208" s="4">
        <v>31</v>
      </c>
      <c r="AH208" s="4">
        <v>12</v>
      </c>
      <c r="AI208" s="4">
        <v>12</v>
      </c>
      <c r="AJ208" s="4">
        <v>6</v>
      </c>
      <c r="AK208" s="4">
        <v>8</v>
      </c>
      <c r="AL208" s="4">
        <v>13</v>
      </c>
      <c r="AM208" s="4">
        <v>14</v>
      </c>
      <c r="AN208" s="4">
        <v>5</v>
      </c>
      <c r="AO208" s="4">
        <v>5</v>
      </c>
      <c r="AP208" s="4">
        <v>0</v>
      </c>
      <c r="AQ208" s="4">
        <v>0</v>
      </c>
      <c r="AR208" s="3" t="s">
        <v>62</v>
      </c>
      <c r="AS208" s="3" t="s">
        <v>84</v>
      </c>
      <c r="AT208" s="6" t="str">
        <f>HYPERLINK("http://catalog.hathitrust.org/Record/000845854","HathiTrust Record")</f>
        <v>HathiTrust Record</v>
      </c>
      <c r="AU208" s="6" t="str">
        <f>HYPERLINK("https://creighton-primo.hosted.exlibrisgroup.com/primo-explore/search?tab=default_tab&amp;search_scope=EVERYTHING&amp;vid=01CRU&amp;lang=en_US&amp;offset=0&amp;query=any,contains,991001216089702656","Catalog Record")</f>
        <v>Catalog Record</v>
      </c>
      <c r="AV208" s="6" t="str">
        <f>HYPERLINK("http://www.worldcat.org/oclc/17425297","WorldCat Record")</f>
        <v>WorldCat Record</v>
      </c>
      <c r="AW208" s="3" t="s">
        <v>2772</v>
      </c>
      <c r="AX208" s="3" t="s">
        <v>2773</v>
      </c>
      <c r="AY208" s="3" t="s">
        <v>2774</v>
      </c>
      <c r="AZ208" s="3" t="s">
        <v>2774</v>
      </c>
      <c r="BA208" s="3" t="s">
        <v>2775</v>
      </c>
      <c r="BB208" s="3" t="s">
        <v>77</v>
      </c>
      <c r="BD208" s="3" t="s">
        <v>2776</v>
      </c>
      <c r="BE208" s="3" t="s">
        <v>2777</v>
      </c>
      <c r="BF208" s="3" t="s">
        <v>2778</v>
      </c>
    </row>
    <row r="209" spans="1:58" ht="41.25" customHeight="1" x14ac:dyDescent="0.25">
      <c r="A209" s="7" t="s">
        <v>62</v>
      </c>
      <c r="B209" s="2" t="s">
        <v>57</v>
      </c>
      <c r="C209" s="2" t="s">
        <v>58</v>
      </c>
      <c r="D209" s="2" t="s">
        <v>2779</v>
      </c>
      <c r="E209" s="2" t="s">
        <v>2780</v>
      </c>
      <c r="F209" s="2" t="s">
        <v>2781</v>
      </c>
      <c r="H209" s="3" t="s">
        <v>62</v>
      </c>
      <c r="I209" s="3" t="s">
        <v>63</v>
      </c>
      <c r="J209" s="3" t="s">
        <v>62</v>
      </c>
      <c r="K209" s="3" t="s">
        <v>62</v>
      </c>
      <c r="L209" s="3" t="s">
        <v>64</v>
      </c>
      <c r="M209" s="2" t="s">
        <v>2782</v>
      </c>
      <c r="N209" s="2" t="s">
        <v>2783</v>
      </c>
      <c r="O209" s="3" t="s">
        <v>383</v>
      </c>
      <c r="P209" s="2" t="s">
        <v>2784</v>
      </c>
      <c r="Q209" s="3" t="s">
        <v>68</v>
      </c>
      <c r="R209" s="3" t="s">
        <v>166</v>
      </c>
      <c r="S209" s="2" t="s">
        <v>2785</v>
      </c>
      <c r="T209" s="3" t="s">
        <v>70</v>
      </c>
      <c r="U209" s="4">
        <v>8</v>
      </c>
      <c r="V209" s="4">
        <v>8</v>
      </c>
      <c r="W209" s="5" t="s">
        <v>2786</v>
      </c>
      <c r="X209" s="5" t="s">
        <v>2786</v>
      </c>
      <c r="Y209" s="5" t="s">
        <v>2515</v>
      </c>
      <c r="Z209" s="5" t="s">
        <v>2515</v>
      </c>
      <c r="AA209" s="4">
        <v>688</v>
      </c>
      <c r="AB209" s="4">
        <v>610</v>
      </c>
      <c r="AC209" s="4">
        <v>672</v>
      </c>
      <c r="AD209" s="4">
        <v>3</v>
      </c>
      <c r="AE209" s="4">
        <v>3</v>
      </c>
      <c r="AF209" s="4">
        <v>19</v>
      </c>
      <c r="AG209" s="4">
        <v>21</v>
      </c>
      <c r="AH209" s="4">
        <v>6</v>
      </c>
      <c r="AI209" s="4">
        <v>8</v>
      </c>
      <c r="AJ209" s="4">
        <v>4</v>
      </c>
      <c r="AK209" s="4">
        <v>4</v>
      </c>
      <c r="AL209" s="4">
        <v>11</v>
      </c>
      <c r="AM209" s="4">
        <v>12</v>
      </c>
      <c r="AN209" s="4">
        <v>2</v>
      </c>
      <c r="AO209" s="4">
        <v>2</v>
      </c>
      <c r="AP209" s="4">
        <v>0</v>
      </c>
      <c r="AQ209" s="4">
        <v>0</v>
      </c>
      <c r="AR209" s="3" t="s">
        <v>62</v>
      </c>
      <c r="AS209" s="3" t="s">
        <v>62</v>
      </c>
      <c r="AU209" s="6" t="str">
        <f>HYPERLINK("https://creighton-primo.hosted.exlibrisgroup.com/primo-explore/search?tab=default_tab&amp;search_scope=EVERYTHING&amp;vid=01CRU&amp;lang=en_US&amp;offset=0&amp;query=any,contains,991002080749702656","Catalog Record")</f>
        <v>Catalog Record</v>
      </c>
      <c r="AV209" s="6" t="str">
        <f>HYPERLINK("http://www.worldcat.org/oclc/264584","WorldCat Record")</f>
        <v>WorldCat Record</v>
      </c>
      <c r="AW209" s="3" t="s">
        <v>2787</v>
      </c>
      <c r="AX209" s="3" t="s">
        <v>2788</v>
      </c>
      <c r="AY209" s="3" t="s">
        <v>2789</v>
      </c>
      <c r="AZ209" s="3" t="s">
        <v>2789</v>
      </c>
      <c r="BA209" s="3" t="s">
        <v>2790</v>
      </c>
      <c r="BB209" s="3" t="s">
        <v>77</v>
      </c>
      <c r="BD209" s="3" t="s">
        <v>2791</v>
      </c>
      <c r="BE209" s="3" t="s">
        <v>2792</v>
      </c>
      <c r="BF209" s="3" t="s">
        <v>2793</v>
      </c>
    </row>
    <row r="210" spans="1:58" ht="41.25" customHeight="1" x14ac:dyDescent="0.25">
      <c r="A210" s="7" t="s">
        <v>62</v>
      </c>
      <c r="B210" s="2" t="s">
        <v>57</v>
      </c>
      <c r="C210" s="2" t="s">
        <v>58</v>
      </c>
      <c r="D210" s="2" t="s">
        <v>2794</v>
      </c>
      <c r="E210" s="2" t="s">
        <v>2795</v>
      </c>
      <c r="F210" s="2" t="s">
        <v>2796</v>
      </c>
      <c r="H210" s="3" t="s">
        <v>62</v>
      </c>
      <c r="I210" s="3" t="s">
        <v>63</v>
      </c>
      <c r="J210" s="3" t="s">
        <v>62</v>
      </c>
      <c r="K210" s="3" t="s">
        <v>62</v>
      </c>
      <c r="L210" s="3" t="s">
        <v>64</v>
      </c>
      <c r="M210" s="2" t="s">
        <v>2797</v>
      </c>
      <c r="N210" s="2" t="s">
        <v>2798</v>
      </c>
      <c r="O210" s="3" t="s">
        <v>355</v>
      </c>
      <c r="Q210" s="3" t="s">
        <v>68</v>
      </c>
      <c r="R210" s="3" t="s">
        <v>69</v>
      </c>
      <c r="S210" s="2" t="s">
        <v>2799</v>
      </c>
      <c r="T210" s="3" t="s">
        <v>70</v>
      </c>
      <c r="U210" s="4">
        <v>1</v>
      </c>
      <c r="V210" s="4">
        <v>1</v>
      </c>
      <c r="W210" s="5" t="s">
        <v>2800</v>
      </c>
      <c r="X210" s="5" t="s">
        <v>2800</v>
      </c>
      <c r="Y210" s="5" t="s">
        <v>2515</v>
      </c>
      <c r="Z210" s="5" t="s">
        <v>2515</v>
      </c>
      <c r="AA210" s="4">
        <v>976</v>
      </c>
      <c r="AB210" s="4">
        <v>841</v>
      </c>
      <c r="AC210" s="4">
        <v>1007</v>
      </c>
      <c r="AD210" s="4">
        <v>4</v>
      </c>
      <c r="AE210" s="4">
        <v>5</v>
      </c>
      <c r="AF210" s="4">
        <v>33</v>
      </c>
      <c r="AG210" s="4">
        <v>39</v>
      </c>
      <c r="AH210" s="4">
        <v>16</v>
      </c>
      <c r="AI210" s="4">
        <v>19</v>
      </c>
      <c r="AJ210" s="4">
        <v>5</v>
      </c>
      <c r="AK210" s="4">
        <v>6</v>
      </c>
      <c r="AL210" s="4">
        <v>17</v>
      </c>
      <c r="AM210" s="4">
        <v>20</v>
      </c>
      <c r="AN210" s="4">
        <v>3</v>
      </c>
      <c r="AO210" s="4">
        <v>4</v>
      </c>
      <c r="AP210" s="4">
        <v>0</v>
      </c>
      <c r="AQ210" s="4">
        <v>0</v>
      </c>
      <c r="AR210" s="3" t="s">
        <v>62</v>
      </c>
      <c r="AS210" s="3" t="s">
        <v>84</v>
      </c>
      <c r="AT210" s="6" t="str">
        <f>HYPERLINK("http://catalog.hathitrust.org/Record/001392140","HathiTrust Record")</f>
        <v>HathiTrust Record</v>
      </c>
      <c r="AU210" s="6" t="str">
        <f>HYPERLINK("https://creighton-primo.hosted.exlibrisgroup.com/primo-explore/search?tab=default_tab&amp;search_scope=EVERYTHING&amp;vid=01CRU&amp;lang=en_US&amp;offset=0&amp;query=any,contains,991002611049702656","Catalog Record")</f>
        <v>Catalog Record</v>
      </c>
      <c r="AV210" s="6" t="str">
        <f>HYPERLINK("http://www.worldcat.org/oclc/377873","WorldCat Record")</f>
        <v>WorldCat Record</v>
      </c>
      <c r="AW210" s="3" t="s">
        <v>2801</v>
      </c>
      <c r="AX210" s="3" t="s">
        <v>2802</v>
      </c>
      <c r="AY210" s="3" t="s">
        <v>2803</v>
      </c>
      <c r="AZ210" s="3" t="s">
        <v>2803</v>
      </c>
      <c r="BA210" s="3" t="s">
        <v>2804</v>
      </c>
      <c r="BB210" s="3" t="s">
        <v>77</v>
      </c>
      <c r="BE210" s="3" t="s">
        <v>2805</v>
      </c>
      <c r="BF210" s="3" t="s">
        <v>2806</v>
      </c>
    </row>
    <row r="211" spans="1:58" ht="41.25" customHeight="1" x14ac:dyDescent="0.25">
      <c r="A211" s="7" t="s">
        <v>62</v>
      </c>
      <c r="B211" s="2" t="s">
        <v>57</v>
      </c>
      <c r="C211" s="2" t="s">
        <v>58</v>
      </c>
      <c r="D211" s="2" t="s">
        <v>2807</v>
      </c>
      <c r="E211" s="2" t="s">
        <v>2808</v>
      </c>
      <c r="F211" s="2" t="s">
        <v>2809</v>
      </c>
      <c r="H211" s="3" t="s">
        <v>62</v>
      </c>
      <c r="I211" s="3" t="s">
        <v>63</v>
      </c>
      <c r="J211" s="3" t="s">
        <v>62</v>
      </c>
      <c r="K211" s="3" t="s">
        <v>62</v>
      </c>
      <c r="L211" s="3" t="s">
        <v>64</v>
      </c>
      <c r="M211" s="2" t="s">
        <v>2810</v>
      </c>
      <c r="N211" s="2" t="s">
        <v>2811</v>
      </c>
      <c r="O211" s="3" t="s">
        <v>590</v>
      </c>
      <c r="Q211" s="3" t="s">
        <v>68</v>
      </c>
      <c r="R211" s="3" t="s">
        <v>69</v>
      </c>
      <c r="T211" s="3" t="s">
        <v>70</v>
      </c>
      <c r="U211" s="4">
        <v>11</v>
      </c>
      <c r="V211" s="4">
        <v>11</v>
      </c>
      <c r="W211" s="5" t="s">
        <v>2236</v>
      </c>
      <c r="X211" s="5" t="s">
        <v>2236</v>
      </c>
      <c r="Y211" s="5" t="s">
        <v>2515</v>
      </c>
      <c r="Z211" s="5" t="s">
        <v>2515</v>
      </c>
      <c r="AA211" s="4">
        <v>192</v>
      </c>
      <c r="AB211" s="4">
        <v>164</v>
      </c>
      <c r="AC211" s="4">
        <v>641</v>
      </c>
      <c r="AD211" s="4">
        <v>1</v>
      </c>
      <c r="AE211" s="4">
        <v>6</v>
      </c>
      <c r="AF211" s="4">
        <v>7</v>
      </c>
      <c r="AG211" s="4">
        <v>28</v>
      </c>
      <c r="AH211" s="4">
        <v>3</v>
      </c>
      <c r="AI211" s="4">
        <v>10</v>
      </c>
      <c r="AJ211" s="4">
        <v>1</v>
      </c>
      <c r="AK211" s="4">
        <v>4</v>
      </c>
      <c r="AL211" s="4">
        <v>5</v>
      </c>
      <c r="AM211" s="4">
        <v>13</v>
      </c>
      <c r="AN211" s="4">
        <v>0</v>
      </c>
      <c r="AO211" s="4">
        <v>5</v>
      </c>
      <c r="AP211" s="4">
        <v>0</v>
      </c>
      <c r="AQ211" s="4">
        <v>0</v>
      </c>
      <c r="AR211" s="3" t="s">
        <v>62</v>
      </c>
      <c r="AS211" s="3" t="s">
        <v>62</v>
      </c>
      <c r="AU211" s="6" t="str">
        <f>HYPERLINK("https://creighton-primo.hosted.exlibrisgroup.com/primo-explore/search?tab=default_tab&amp;search_scope=EVERYTHING&amp;vid=01CRU&amp;lang=en_US&amp;offset=0&amp;query=any,contains,991004326759702656","Catalog Record")</f>
        <v>Catalog Record</v>
      </c>
      <c r="AV211" s="6" t="str">
        <f>HYPERLINK("http://www.worldcat.org/oclc/3041420","WorldCat Record")</f>
        <v>WorldCat Record</v>
      </c>
      <c r="AW211" s="3" t="s">
        <v>2812</v>
      </c>
      <c r="AX211" s="3" t="s">
        <v>2813</v>
      </c>
      <c r="AY211" s="3" t="s">
        <v>2814</v>
      </c>
      <c r="AZ211" s="3" t="s">
        <v>2814</v>
      </c>
      <c r="BA211" s="3" t="s">
        <v>2815</v>
      </c>
      <c r="BB211" s="3" t="s">
        <v>77</v>
      </c>
      <c r="BE211" s="3" t="s">
        <v>2816</v>
      </c>
      <c r="BF211" s="3" t="s">
        <v>2817</v>
      </c>
    </row>
    <row r="212" spans="1:58" ht="41.25" customHeight="1" x14ac:dyDescent="0.25">
      <c r="A212" s="7" t="s">
        <v>62</v>
      </c>
      <c r="B212" s="2" t="s">
        <v>57</v>
      </c>
      <c r="C212" s="2" t="s">
        <v>58</v>
      </c>
      <c r="D212" s="2" t="s">
        <v>2818</v>
      </c>
      <c r="E212" s="2" t="s">
        <v>2819</v>
      </c>
      <c r="F212" s="2" t="s">
        <v>2820</v>
      </c>
      <c r="H212" s="3" t="s">
        <v>62</v>
      </c>
      <c r="I212" s="3" t="s">
        <v>63</v>
      </c>
      <c r="J212" s="3" t="s">
        <v>62</v>
      </c>
      <c r="K212" s="3" t="s">
        <v>62</v>
      </c>
      <c r="L212" s="3" t="s">
        <v>64</v>
      </c>
      <c r="N212" s="2" t="s">
        <v>2821</v>
      </c>
      <c r="O212" s="3" t="s">
        <v>629</v>
      </c>
      <c r="Q212" s="3" t="s">
        <v>68</v>
      </c>
      <c r="R212" s="3" t="s">
        <v>69</v>
      </c>
      <c r="T212" s="3" t="s">
        <v>70</v>
      </c>
      <c r="U212" s="4">
        <v>12</v>
      </c>
      <c r="V212" s="4">
        <v>12</v>
      </c>
      <c r="W212" s="5" t="s">
        <v>2822</v>
      </c>
      <c r="X212" s="5" t="s">
        <v>2822</v>
      </c>
      <c r="Y212" s="5" t="s">
        <v>2823</v>
      </c>
      <c r="Z212" s="5" t="s">
        <v>2823</v>
      </c>
      <c r="AA212" s="4">
        <v>886</v>
      </c>
      <c r="AB212" s="4">
        <v>823</v>
      </c>
      <c r="AC212" s="4">
        <v>829</v>
      </c>
      <c r="AD212" s="4">
        <v>3</v>
      </c>
      <c r="AE212" s="4">
        <v>3</v>
      </c>
      <c r="AF212" s="4">
        <v>22</v>
      </c>
      <c r="AG212" s="4">
        <v>22</v>
      </c>
      <c r="AH212" s="4">
        <v>8</v>
      </c>
      <c r="AI212" s="4">
        <v>8</v>
      </c>
      <c r="AJ212" s="4">
        <v>5</v>
      </c>
      <c r="AK212" s="4">
        <v>5</v>
      </c>
      <c r="AL212" s="4">
        <v>14</v>
      </c>
      <c r="AM212" s="4">
        <v>14</v>
      </c>
      <c r="AN212" s="4">
        <v>1</v>
      </c>
      <c r="AO212" s="4">
        <v>1</v>
      </c>
      <c r="AP212" s="4">
        <v>0</v>
      </c>
      <c r="AQ212" s="4">
        <v>0</v>
      </c>
      <c r="AR212" s="3" t="s">
        <v>62</v>
      </c>
      <c r="AS212" s="3" t="s">
        <v>84</v>
      </c>
      <c r="AT212" s="6" t="str">
        <f>HYPERLINK("http://catalog.hathitrust.org/Record/000085578","HathiTrust Record")</f>
        <v>HathiTrust Record</v>
      </c>
      <c r="AU212" s="6" t="str">
        <f>HYPERLINK("https://creighton-primo.hosted.exlibrisgroup.com/primo-explore/search?tab=default_tab&amp;search_scope=EVERYTHING&amp;vid=01CRU&amp;lang=en_US&amp;offset=0&amp;query=any,contains,991004165169702656","Catalog Record")</f>
        <v>Catalog Record</v>
      </c>
      <c r="AV212" s="6" t="str">
        <f>HYPERLINK("http://www.worldcat.org/oclc/2564936","WorldCat Record")</f>
        <v>WorldCat Record</v>
      </c>
      <c r="AW212" s="3" t="s">
        <v>2824</v>
      </c>
      <c r="AX212" s="3" t="s">
        <v>2825</v>
      </c>
      <c r="AY212" s="3" t="s">
        <v>2826</v>
      </c>
      <c r="AZ212" s="3" t="s">
        <v>2826</v>
      </c>
      <c r="BA212" s="3" t="s">
        <v>2827</v>
      </c>
      <c r="BB212" s="3" t="s">
        <v>77</v>
      </c>
      <c r="BD212" s="3" t="s">
        <v>2828</v>
      </c>
      <c r="BE212" s="3" t="s">
        <v>2829</v>
      </c>
      <c r="BF212" s="3" t="s">
        <v>2830</v>
      </c>
    </row>
    <row r="213" spans="1:58" ht="41.25" customHeight="1" x14ac:dyDescent="0.25">
      <c r="A213" s="7" t="s">
        <v>62</v>
      </c>
      <c r="B213" s="2" t="s">
        <v>57</v>
      </c>
      <c r="C213" s="2" t="s">
        <v>58</v>
      </c>
      <c r="D213" s="2" t="s">
        <v>2831</v>
      </c>
      <c r="E213" s="2" t="s">
        <v>2832</v>
      </c>
      <c r="F213" s="2" t="s">
        <v>2833</v>
      </c>
      <c r="H213" s="3" t="s">
        <v>62</v>
      </c>
      <c r="I213" s="3" t="s">
        <v>63</v>
      </c>
      <c r="J213" s="3" t="s">
        <v>62</v>
      </c>
      <c r="K213" s="3" t="s">
        <v>62</v>
      </c>
      <c r="L213" s="3" t="s">
        <v>64</v>
      </c>
      <c r="M213" s="2" t="s">
        <v>2834</v>
      </c>
      <c r="N213" s="2" t="s">
        <v>2835</v>
      </c>
      <c r="O213" s="3" t="s">
        <v>295</v>
      </c>
      <c r="Q213" s="3" t="s">
        <v>68</v>
      </c>
      <c r="R213" s="3" t="s">
        <v>1117</v>
      </c>
      <c r="S213" s="2" t="s">
        <v>2836</v>
      </c>
      <c r="T213" s="3" t="s">
        <v>70</v>
      </c>
      <c r="U213" s="4">
        <v>3</v>
      </c>
      <c r="V213" s="4">
        <v>3</v>
      </c>
      <c r="W213" s="5" t="s">
        <v>2837</v>
      </c>
      <c r="X213" s="5" t="s">
        <v>2837</v>
      </c>
      <c r="Y213" s="5" t="s">
        <v>2838</v>
      </c>
      <c r="Z213" s="5" t="s">
        <v>2838</v>
      </c>
      <c r="AA213" s="4">
        <v>150</v>
      </c>
      <c r="AB213" s="4">
        <v>126</v>
      </c>
      <c r="AC213" s="4">
        <v>129</v>
      </c>
      <c r="AD213" s="4">
        <v>2</v>
      </c>
      <c r="AE213" s="4">
        <v>2</v>
      </c>
      <c r="AF213" s="4">
        <v>8</v>
      </c>
      <c r="AG213" s="4">
        <v>9</v>
      </c>
      <c r="AH213" s="4">
        <v>2</v>
      </c>
      <c r="AI213" s="4">
        <v>2</v>
      </c>
      <c r="AJ213" s="4">
        <v>4</v>
      </c>
      <c r="AK213" s="4">
        <v>4</v>
      </c>
      <c r="AL213" s="4">
        <v>4</v>
      </c>
      <c r="AM213" s="4">
        <v>5</v>
      </c>
      <c r="AN213" s="4">
        <v>1</v>
      </c>
      <c r="AO213" s="4">
        <v>1</v>
      </c>
      <c r="AP213" s="4">
        <v>0</v>
      </c>
      <c r="AQ213" s="4">
        <v>0</v>
      </c>
      <c r="AR213" s="3" t="s">
        <v>62</v>
      </c>
      <c r="AS213" s="3" t="s">
        <v>84</v>
      </c>
      <c r="AT213" s="6" t="str">
        <f>HYPERLINK("http://catalog.hathitrust.org/Record/001830861","HathiTrust Record")</f>
        <v>HathiTrust Record</v>
      </c>
      <c r="AU213" s="6" t="str">
        <f>HYPERLINK("https://creighton-primo.hosted.exlibrisgroup.com/primo-explore/search?tab=default_tab&amp;search_scope=EVERYTHING&amp;vid=01CRU&amp;lang=en_US&amp;offset=0&amp;query=any,contains,991001418169702656","Catalog Record")</f>
        <v>Catalog Record</v>
      </c>
      <c r="AV213" s="6" t="str">
        <f>HYPERLINK("http://www.worldcat.org/oclc/18960007","WorldCat Record")</f>
        <v>WorldCat Record</v>
      </c>
      <c r="AW213" s="3" t="s">
        <v>2839</v>
      </c>
      <c r="AX213" s="3" t="s">
        <v>2840</v>
      </c>
      <c r="AY213" s="3" t="s">
        <v>2841</v>
      </c>
      <c r="AZ213" s="3" t="s">
        <v>2841</v>
      </c>
      <c r="BA213" s="3" t="s">
        <v>2842</v>
      </c>
      <c r="BB213" s="3" t="s">
        <v>77</v>
      </c>
      <c r="BD213" s="3" t="s">
        <v>2843</v>
      </c>
      <c r="BE213" s="3" t="s">
        <v>2844</v>
      </c>
      <c r="BF213" s="3" t="s">
        <v>2845</v>
      </c>
    </row>
    <row r="214" spans="1:58" ht="41.25" customHeight="1" x14ac:dyDescent="0.25">
      <c r="A214" s="7" t="s">
        <v>62</v>
      </c>
      <c r="B214" s="2" t="s">
        <v>57</v>
      </c>
      <c r="C214" s="2" t="s">
        <v>58</v>
      </c>
      <c r="D214" s="2" t="s">
        <v>2846</v>
      </c>
      <c r="E214" s="2" t="s">
        <v>2847</v>
      </c>
      <c r="F214" s="2" t="s">
        <v>2848</v>
      </c>
      <c r="H214" s="3" t="s">
        <v>62</v>
      </c>
      <c r="I214" s="3" t="s">
        <v>63</v>
      </c>
      <c r="J214" s="3" t="s">
        <v>62</v>
      </c>
      <c r="K214" s="3" t="s">
        <v>62</v>
      </c>
      <c r="L214" s="3" t="s">
        <v>64</v>
      </c>
      <c r="M214" s="2" t="s">
        <v>2849</v>
      </c>
      <c r="N214" s="2" t="s">
        <v>2850</v>
      </c>
      <c r="O214" s="3" t="s">
        <v>340</v>
      </c>
      <c r="Q214" s="3" t="s">
        <v>68</v>
      </c>
      <c r="R214" s="3" t="s">
        <v>88</v>
      </c>
      <c r="T214" s="3" t="s">
        <v>70</v>
      </c>
      <c r="U214" s="4">
        <v>11</v>
      </c>
      <c r="V214" s="4">
        <v>11</v>
      </c>
      <c r="W214" s="5" t="s">
        <v>2851</v>
      </c>
      <c r="X214" s="5" t="s">
        <v>2851</v>
      </c>
      <c r="Y214" s="5" t="s">
        <v>2852</v>
      </c>
      <c r="Z214" s="5" t="s">
        <v>2852</v>
      </c>
      <c r="AA214" s="4">
        <v>495</v>
      </c>
      <c r="AB214" s="4">
        <v>347</v>
      </c>
      <c r="AC214" s="4">
        <v>350</v>
      </c>
      <c r="AD214" s="4">
        <v>1</v>
      </c>
      <c r="AE214" s="4">
        <v>1</v>
      </c>
      <c r="AF214" s="4">
        <v>20</v>
      </c>
      <c r="AG214" s="4">
        <v>20</v>
      </c>
      <c r="AH214" s="4">
        <v>8</v>
      </c>
      <c r="AI214" s="4">
        <v>8</v>
      </c>
      <c r="AJ214" s="4">
        <v>5</v>
      </c>
      <c r="AK214" s="4">
        <v>5</v>
      </c>
      <c r="AL214" s="4">
        <v>12</v>
      </c>
      <c r="AM214" s="4">
        <v>12</v>
      </c>
      <c r="AN214" s="4">
        <v>0</v>
      </c>
      <c r="AO214" s="4">
        <v>0</v>
      </c>
      <c r="AP214" s="4">
        <v>0</v>
      </c>
      <c r="AQ214" s="4">
        <v>0</v>
      </c>
      <c r="AR214" s="3" t="s">
        <v>62</v>
      </c>
      <c r="AS214" s="3" t="s">
        <v>84</v>
      </c>
      <c r="AT214" s="6" t="str">
        <f>HYPERLINK("http://catalog.hathitrust.org/Record/102578563","HathiTrust Record")</f>
        <v>HathiTrust Record</v>
      </c>
      <c r="AU214" s="6" t="str">
        <f>HYPERLINK("https://creighton-primo.hosted.exlibrisgroup.com/primo-explore/search?tab=default_tab&amp;search_scope=EVERYTHING&amp;vid=01CRU&amp;lang=en_US&amp;offset=0&amp;query=any,contains,991002385289702656","Catalog Record")</f>
        <v>Catalog Record</v>
      </c>
      <c r="AV214" s="6" t="str">
        <f>HYPERLINK("http://www.worldcat.org/oclc/329716","WorldCat Record")</f>
        <v>WorldCat Record</v>
      </c>
      <c r="AW214" s="3" t="s">
        <v>2853</v>
      </c>
      <c r="AX214" s="3" t="s">
        <v>2854</v>
      </c>
      <c r="AY214" s="3" t="s">
        <v>2855</v>
      </c>
      <c r="AZ214" s="3" t="s">
        <v>2855</v>
      </c>
      <c r="BA214" s="3" t="s">
        <v>2856</v>
      </c>
      <c r="BB214" s="3" t="s">
        <v>77</v>
      </c>
      <c r="BE214" s="3" t="s">
        <v>2857</v>
      </c>
      <c r="BF214" s="3" t="s">
        <v>2858</v>
      </c>
    </row>
    <row r="215" spans="1:58" ht="41.25" customHeight="1" x14ac:dyDescent="0.25">
      <c r="A215" s="7" t="s">
        <v>62</v>
      </c>
      <c r="B215" s="2" t="s">
        <v>57</v>
      </c>
      <c r="C215" s="2" t="s">
        <v>58</v>
      </c>
      <c r="D215" s="2" t="s">
        <v>2859</v>
      </c>
      <c r="E215" s="2" t="s">
        <v>2860</v>
      </c>
      <c r="F215" s="2" t="s">
        <v>2861</v>
      </c>
      <c r="H215" s="3" t="s">
        <v>62</v>
      </c>
      <c r="I215" s="3" t="s">
        <v>63</v>
      </c>
      <c r="J215" s="3" t="s">
        <v>62</v>
      </c>
      <c r="K215" s="3" t="s">
        <v>62</v>
      </c>
      <c r="L215" s="3" t="s">
        <v>64</v>
      </c>
      <c r="M215" s="2" t="s">
        <v>2862</v>
      </c>
      <c r="N215" s="2" t="s">
        <v>2863</v>
      </c>
      <c r="O215" s="3" t="s">
        <v>355</v>
      </c>
      <c r="Q215" s="3" t="s">
        <v>68</v>
      </c>
      <c r="R215" s="3" t="s">
        <v>531</v>
      </c>
      <c r="S215" s="2" t="s">
        <v>2864</v>
      </c>
      <c r="T215" s="3" t="s">
        <v>70</v>
      </c>
      <c r="U215" s="4">
        <v>2</v>
      </c>
      <c r="V215" s="4">
        <v>2</v>
      </c>
      <c r="W215" s="5" t="s">
        <v>2865</v>
      </c>
      <c r="X215" s="5" t="s">
        <v>2865</v>
      </c>
      <c r="Y215" s="5" t="s">
        <v>2515</v>
      </c>
      <c r="Z215" s="5" t="s">
        <v>2515</v>
      </c>
      <c r="AA215" s="4">
        <v>367</v>
      </c>
      <c r="AB215" s="4">
        <v>342</v>
      </c>
      <c r="AC215" s="4">
        <v>353</v>
      </c>
      <c r="AD215" s="4">
        <v>3</v>
      </c>
      <c r="AE215" s="4">
        <v>3</v>
      </c>
      <c r="AF215" s="4">
        <v>18</v>
      </c>
      <c r="AG215" s="4">
        <v>18</v>
      </c>
      <c r="AH215" s="4">
        <v>3</v>
      </c>
      <c r="AI215" s="4">
        <v>3</v>
      </c>
      <c r="AJ215" s="4">
        <v>5</v>
      </c>
      <c r="AK215" s="4">
        <v>5</v>
      </c>
      <c r="AL215" s="4">
        <v>11</v>
      </c>
      <c r="AM215" s="4">
        <v>11</v>
      </c>
      <c r="AN215" s="4">
        <v>2</v>
      </c>
      <c r="AO215" s="4">
        <v>2</v>
      </c>
      <c r="AP215" s="4">
        <v>0</v>
      </c>
      <c r="AQ215" s="4">
        <v>0</v>
      </c>
      <c r="AR215" s="3" t="s">
        <v>62</v>
      </c>
      <c r="AS215" s="3" t="s">
        <v>84</v>
      </c>
      <c r="AT215" s="6" t="str">
        <f>HYPERLINK("http://catalog.hathitrust.org/Record/001397175","HathiTrust Record")</f>
        <v>HathiTrust Record</v>
      </c>
      <c r="AU215" s="6" t="str">
        <f>HYPERLINK("https://creighton-primo.hosted.exlibrisgroup.com/primo-explore/search?tab=default_tab&amp;search_scope=EVERYTHING&amp;vid=01CRU&amp;lang=en_US&amp;offset=0&amp;query=any,contains,991003358449702656","Catalog Record")</f>
        <v>Catalog Record</v>
      </c>
      <c r="AV215" s="6" t="str">
        <f>HYPERLINK("http://www.worldcat.org/oclc/893323","WorldCat Record")</f>
        <v>WorldCat Record</v>
      </c>
      <c r="AW215" s="3" t="s">
        <v>2866</v>
      </c>
      <c r="AX215" s="3" t="s">
        <v>2867</v>
      </c>
      <c r="AY215" s="3" t="s">
        <v>2868</v>
      </c>
      <c r="AZ215" s="3" t="s">
        <v>2868</v>
      </c>
      <c r="BA215" s="3" t="s">
        <v>2869</v>
      </c>
      <c r="BB215" s="3" t="s">
        <v>77</v>
      </c>
      <c r="BE215" s="3" t="s">
        <v>2870</v>
      </c>
      <c r="BF215" s="3" t="s">
        <v>2871</v>
      </c>
    </row>
    <row r="216" spans="1:58" ht="41.25" customHeight="1" x14ac:dyDescent="0.25">
      <c r="A216" s="7" t="s">
        <v>62</v>
      </c>
      <c r="B216" s="2" t="s">
        <v>57</v>
      </c>
      <c r="C216" s="2" t="s">
        <v>58</v>
      </c>
      <c r="D216" s="2" t="s">
        <v>2872</v>
      </c>
      <c r="E216" s="2" t="s">
        <v>2873</v>
      </c>
      <c r="F216" s="2" t="s">
        <v>2874</v>
      </c>
      <c r="H216" s="3" t="s">
        <v>62</v>
      </c>
      <c r="I216" s="3" t="s">
        <v>63</v>
      </c>
      <c r="J216" s="3" t="s">
        <v>62</v>
      </c>
      <c r="K216" s="3" t="s">
        <v>62</v>
      </c>
      <c r="L216" s="3" t="s">
        <v>64</v>
      </c>
      <c r="M216" s="2" t="s">
        <v>2875</v>
      </c>
      <c r="N216" s="2" t="s">
        <v>2876</v>
      </c>
      <c r="O216" s="3" t="s">
        <v>218</v>
      </c>
      <c r="Q216" s="3" t="s">
        <v>68</v>
      </c>
      <c r="R216" s="3" t="s">
        <v>531</v>
      </c>
      <c r="S216" s="2" t="s">
        <v>2877</v>
      </c>
      <c r="T216" s="3" t="s">
        <v>70</v>
      </c>
      <c r="U216" s="4">
        <v>1</v>
      </c>
      <c r="V216" s="4">
        <v>1</v>
      </c>
      <c r="W216" s="5" t="s">
        <v>2878</v>
      </c>
      <c r="X216" s="5" t="s">
        <v>2878</v>
      </c>
      <c r="Y216" s="5" t="s">
        <v>2879</v>
      </c>
      <c r="Z216" s="5" t="s">
        <v>2879</v>
      </c>
      <c r="AA216" s="4">
        <v>1025</v>
      </c>
      <c r="AB216" s="4">
        <v>867</v>
      </c>
      <c r="AC216" s="4">
        <v>1075</v>
      </c>
      <c r="AD216" s="4">
        <v>8</v>
      </c>
      <c r="AE216" s="4">
        <v>10</v>
      </c>
      <c r="AF216" s="4">
        <v>42</v>
      </c>
      <c r="AG216" s="4">
        <v>52</v>
      </c>
      <c r="AH216" s="4">
        <v>15</v>
      </c>
      <c r="AI216" s="4">
        <v>22</v>
      </c>
      <c r="AJ216" s="4">
        <v>9</v>
      </c>
      <c r="AK216" s="4">
        <v>9</v>
      </c>
      <c r="AL216" s="4">
        <v>21</v>
      </c>
      <c r="AM216" s="4">
        <v>24</v>
      </c>
      <c r="AN216" s="4">
        <v>7</v>
      </c>
      <c r="AO216" s="4">
        <v>9</v>
      </c>
      <c r="AP216" s="4">
        <v>0</v>
      </c>
      <c r="AQ216" s="4">
        <v>0</v>
      </c>
      <c r="AR216" s="3" t="s">
        <v>62</v>
      </c>
      <c r="AS216" s="3" t="s">
        <v>62</v>
      </c>
      <c r="AU216" s="6" t="str">
        <f>HYPERLINK("https://creighton-primo.hosted.exlibrisgroup.com/primo-explore/search?tab=default_tab&amp;search_scope=EVERYTHING&amp;vid=01CRU&amp;lang=en_US&amp;offset=0&amp;query=any,contains,991004576089702656","Catalog Record")</f>
        <v>Catalog Record</v>
      </c>
      <c r="AV216" s="6" t="str">
        <f>HYPERLINK("http://www.worldcat.org/oclc/223504","WorldCat Record")</f>
        <v>WorldCat Record</v>
      </c>
      <c r="AW216" s="3" t="s">
        <v>2880</v>
      </c>
      <c r="AX216" s="3" t="s">
        <v>2881</v>
      </c>
      <c r="AY216" s="3" t="s">
        <v>2882</v>
      </c>
      <c r="AZ216" s="3" t="s">
        <v>2882</v>
      </c>
      <c r="BA216" s="3" t="s">
        <v>2883</v>
      </c>
      <c r="BB216" s="3" t="s">
        <v>77</v>
      </c>
      <c r="BD216" s="3" t="s">
        <v>2884</v>
      </c>
      <c r="BE216" s="3" t="s">
        <v>2885</v>
      </c>
      <c r="BF216" s="3" t="s">
        <v>2886</v>
      </c>
    </row>
    <row r="217" spans="1:58" ht="41.25" customHeight="1" x14ac:dyDescent="0.25">
      <c r="A217" s="7" t="s">
        <v>62</v>
      </c>
      <c r="B217" s="2" t="s">
        <v>57</v>
      </c>
      <c r="C217" s="2" t="s">
        <v>58</v>
      </c>
      <c r="D217" s="2" t="s">
        <v>2887</v>
      </c>
      <c r="E217" s="2" t="s">
        <v>2888</v>
      </c>
      <c r="F217" s="2" t="s">
        <v>2889</v>
      </c>
      <c r="H217" s="3" t="s">
        <v>62</v>
      </c>
      <c r="I217" s="3" t="s">
        <v>63</v>
      </c>
      <c r="J217" s="3" t="s">
        <v>62</v>
      </c>
      <c r="K217" s="3" t="s">
        <v>62</v>
      </c>
      <c r="L217" s="3" t="s">
        <v>64</v>
      </c>
      <c r="M217" s="2" t="s">
        <v>2890</v>
      </c>
      <c r="N217" s="2" t="s">
        <v>2891</v>
      </c>
      <c r="O217" s="3" t="s">
        <v>2303</v>
      </c>
      <c r="Q217" s="3" t="s">
        <v>68</v>
      </c>
      <c r="R217" s="3" t="s">
        <v>88</v>
      </c>
      <c r="T217" s="3" t="s">
        <v>70</v>
      </c>
      <c r="U217" s="4">
        <v>5</v>
      </c>
      <c r="V217" s="4">
        <v>5</v>
      </c>
      <c r="W217" s="5" t="s">
        <v>2892</v>
      </c>
      <c r="X217" s="5" t="s">
        <v>2892</v>
      </c>
      <c r="Y217" s="5" t="s">
        <v>808</v>
      </c>
      <c r="Z217" s="5" t="s">
        <v>808</v>
      </c>
      <c r="AA217" s="4">
        <v>207</v>
      </c>
      <c r="AB217" s="4">
        <v>176</v>
      </c>
      <c r="AC217" s="4">
        <v>179</v>
      </c>
      <c r="AD217" s="4">
        <v>2</v>
      </c>
      <c r="AE217" s="4">
        <v>2</v>
      </c>
      <c r="AF217" s="4">
        <v>16</v>
      </c>
      <c r="AG217" s="4">
        <v>17</v>
      </c>
      <c r="AH217" s="4">
        <v>4</v>
      </c>
      <c r="AI217" s="4">
        <v>4</v>
      </c>
      <c r="AJ217" s="4">
        <v>4</v>
      </c>
      <c r="AK217" s="4">
        <v>4</v>
      </c>
      <c r="AL217" s="4">
        <v>12</v>
      </c>
      <c r="AM217" s="4">
        <v>13</v>
      </c>
      <c r="AN217" s="4">
        <v>0</v>
      </c>
      <c r="AO217" s="4">
        <v>0</v>
      </c>
      <c r="AP217" s="4">
        <v>0</v>
      </c>
      <c r="AQ217" s="4">
        <v>0</v>
      </c>
      <c r="AR217" s="3" t="s">
        <v>62</v>
      </c>
      <c r="AS217" s="3" t="s">
        <v>62</v>
      </c>
      <c r="AU217" s="6" t="str">
        <f>HYPERLINK("https://creighton-primo.hosted.exlibrisgroup.com/primo-explore/search?tab=default_tab&amp;search_scope=EVERYTHING&amp;vid=01CRU&amp;lang=en_US&amp;offset=0&amp;query=any,contains,991003372579702656","Catalog Record")</f>
        <v>Catalog Record</v>
      </c>
      <c r="AV217" s="6" t="str">
        <f>HYPERLINK("http://www.worldcat.org/oclc/908478","WorldCat Record")</f>
        <v>WorldCat Record</v>
      </c>
      <c r="AW217" s="3" t="s">
        <v>2893</v>
      </c>
      <c r="AX217" s="3" t="s">
        <v>2894</v>
      </c>
      <c r="AY217" s="3" t="s">
        <v>2895</v>
      </c>
      <c r="AZ217" s="3" t="s">
        <v>2895</v>
      </c>
      <c r="BA217" s="3" t="s">
        <v>2896</v>
      </c>
      <c r="BB217" s="3" t="s">
        <v>77</v>
      </c>
      <c r="BE217" s="3" t="s">
        <v>2897</v>
      </c>
      <c r="BF217" s="3" t="s">
        <v>2898</v>
      </c>
    </row>
    <row r="218" spans="1:58" ht="41.25" customHeight="1" x14ac:dyDescent="0.25">
      <c r="A218" s="7" t="s">
        <v>62</v>
      </c>
      <c r="B218" s="2" t="s">
        <v>57</v>
      </c>
      <c r="C218" s="2" t="s">
        <v>58</v>
      </c>
      <c r="D218" s="2" t="s">
        <v>2899</v>
      </c>
      <c r="E218" s="2" t="s">
        <v>2900</v>
      </c>
      <c r="F218" s="2" t="s">
        <v>2901</v>
      </c>
      <c r="H218" s="3" t="s">
        <v>62</v>
      </c>
      <c r="I218" s="3" t="s">
        <v>63</v>
      </c>
      <c r="J218" s="3" t="s">
        <v>62</v>
      </c>
      <c r="K218" s="3" t="s">
        <v>62</v>
      </c>
      <c r="L218" s="3" t="s">
        <v>64</v>
      </c>
      <c r="N218" s="2" t="s">
        <v>2902</v>
      </c>
      <c r="O218" s="3" t="s">
        <v>970</v>
      </c>
      <c r="Q218" s="3" t="s">
        <v>68</v>
      </c>
      <c r="R218" s="3" t="s">
        <v>1144</v>
      </c>
      <c r="S218" s="2" t="s">
        <v>2903</v>
      </c>
      <c r="T218" s="3" t="s">
        <v>70</v>
      </c>
      <c r="U218" s="4">
        <v>6</v>
      </c>
      <c r="V218" s="4">
        <v>6</v>
      </c>
      <c r="W218" s="5" t="s">
        <v>2904</v>
      </c>
      <c r="X218" s="5" t="s">
        <v>2904</v>
      </c>
      <c r="Y218" s="5" t="s">
        <v>2905</v>
      </c>
      <c r="Z218" s="5" t="s">
        <v>2905</v>
      </c>
      <c r="AA218" s="4">
        <v>328</v>
      </c>
      <c r="AB218" s="4">
        <v>274</v>
      </c>
      <c r="AC218" s="4">
        <v>276</v>
      </c>
      <c r="AD218" s="4">
        <v>1</v>
      </c>
      <c r="AE218" s="4">
        <v>1</v>
      </c>
      <c r="AF218" s="4">
        <v>20</v>
      </c>
      <c r="AG218" s="4">
        <v>20</v>
      </c>
      <c r="AH218" s="4">
        <v>7</v>
      </c>
      <c r="AI218" s="4">
        <v>7</v>
      </c>
      <c r="AJ218" s="4">
        <v>5</v>
      </c>
      <c r="AK218" s="4">
        <v>5</v>
      </c>
      <c r="AL218" s="4">
        <v>14</v>
      </c>
      <c r="AM218" s="4">
        <v>14</v>
      </c>
      <c r="AN218" s="4">
        <v>0</v>
      </c>
      <c r="AO218" s="4">
        <v>0</v>
      </c>
      <c r="AP218" s="4">
        <v>0</v>
      </c>
      <c r="AQ218" s="4">
        <v>0</v>
      </c>
      <c r="AR218" s="3" t="s">
        <v>62</v>
      </c>
      <c r="AS218" s="3" t="s">
        <v>84</v>
      </c>
      <c r="AT218" s="6" t="str">
        <f>HYPERLINK("http://catalog.hathitrust.org/Record/002437684","HathiTrust Record")</f>
        <v>HathiTrust Record</v>
      </c>
      <c r="AU218" s="6" t="str">
        <f>HYPERLINK("https://creighton-primo.hosted.exlibrisgroup.com/primo-explore/search?tab=default_tab&amp;search_scope=EVERYTHING&amp;vid=01CRU&amp;lang=en_US&amp;offset=0&amp;query=any,contains,991001773249702656","Catalog Record")</f>
        <v>Catalog Record</v>
      </c>
      <c r="AV218" s="6" t="str">
        <f>HYPERLINK("http://www.worldcat.org/oclc/22387635","WorldCat Record")</f>
        <v>WorldCat Record</v>
      </c>
      <c r="AW218" s="3" t="s">
        <v>2906</v>
      </c>
      <c r="AX218" s="3" t="s">
        <v>2907</v>
      </c>
      <c r="AY218" s="3" t="s">
        <v>2908</v>
      </c>
      <c r="AZ218" s="3" t="s">
        <v>2908</v>
      </c>
      <c r="BA218" s="3" t="s">
        <v>2909</v>
      </c>
      <c r="BB218" s="3" t="s">
        <v>77</v>
      </c>
      <c r="BD218" s="3" t="s">
        <v>2910</v>
      </c>
      <c r="BE218" s="3" t="s">
        <v>2911</v>
      </c>
      <c r="BF218" s="3" t="s">
        <v>2912</v>
      </c>
    </row>
    <row r="219" spans="1:58" ht="41.25" customHeight="1" x14ac:dyDescent="0.25">
      <c r="A219" s="7" t="s">
        <v>62</v>
      </c>
      <c r="B219" s="2" t="s">
        <v>57</v>
      </c>
      <c r="C219" s="2" t="s">
        <v>58</v>
      </c>
      <c r="D219" s="2" t="s">
        <v>2913</v>
      </c>
      <c r="E219" s="2" t="s">
        <v>2914</v>
      </c>
      <c r="F219" s="2" t="s">
        <v>2915</v>
      </c>
      <c r="H219" s="3" t="s">
        <v>62</v>
      </c>
      <c r="I219" s="3" t="s">
        <v>63</v>
      </c>
      <c r="J219" s="3" t="s">
        <v>62</v>
      </c>
      <c r="K219" s="3" t="s">
        <v>62</v>
      </c>
      <c r="L219" s="3" t="s">
        <v>64</v>
      </c>
      <c r="M219" s="2" t="s">
        <v>2916</v>
      </c>
      <c r="N219" s="2" t="s">
        <v>2917</v>
      </c>
      <c r="O219" s="3" t="s">
        <v>546</v>
      </c>
      <c r="Q219" s="3" t="s">
        <v>68</v>
      </c>
      <c r="R219" s="3" t="s">
        <v>531</v>
      </c>
      <c r="T219" s="3" t="s">
        <v>70</v>
      </c>
      <c r="U219" s="4">
        <v>6</v>
      </c>
      <c r="V219" s="4">
        <v>6</v>
      </c>
      <c r="W219" s="5" t="s">
        <v>2918</v>
      </c>
      <c r="X219" s="5" t="s">
        <v>2918</v>
      </c>
      <c r="Y219" s="5" t="s">
        <v>808</v>
      </c>
      <c r="Z219" s="5" t="s">
        <v>808</v>
      </c>
      <c r="AA219" s="4">
        <v>1070</v>
      </c>
      <c r="AB219" s="4">
        <v>895</v>
      </c>
      <c r="AC219" s="4">
        <v>920</v>
      </c>
      <c r="AD219" s="4">
        <v>6</v>
      </c>
      <c r="AE219" s="4">
        <v>6</v>
      </c>
      <c r="AF219" s="4">
        <v>48</v>
      </c>
      <c r="AG219" s="4">
        <v>48</v>
      </c>
      <c r="AH219" s="4">
        <v>21</v>
      </c>
      <c r="AI219" s="4">
        <v>21</v>
      </c>
      <c r="AJ219" s="4">
        <v>9</v>
      </c>
      <c r="AK219" s="4">
        <v>9</v>
      </c>
      <c r="AL219" s="4">
        <v>25</v>
      </c>
      <c r="AM219" s="4">
        <v>25</v>
      </c>
      <c r="AN219" s="4">
        <v>5</v>
      </c>
      <c r="AO219" s="4">
        <v>5</v>
      </c>
      <c r="AP219" s="4">
        <v>0</v>
      </c>
      <c r="AQ219" s="4">
        <v>0</v>
      </c>
      <c r="AR219" s="3" t="s">
        <v>62</v>
      </c>
      <c r="AS219" s="3" t="s">
        <v>62</v>
      </c>
      <c r="AU219" s="6" t="str">
        <f>HYPERLINK("https://creighton-primo.hosted.exlibrisgroup.com/primo-explore/search?tab=default_tab&amp;search_scope=EVERYTHING&amp;vid=01CRU&amp;lang=en_US&amp;offset=0&amp;query=any,contains,991003175689702656","Catalog Record")</f>
        <v>Catalog Record</v>
      </c>
      <c r="AV219" s="6" t="str">
        <f>HYPERLINK("http://www.worldcat.org/oclc/710691","WorldCat Record")</f>
        <v>WorldCat Record</v>
      </c>
      <c r="AW219" s="3" t="s">
        <v>2919</v>
      </c>
      <c r="AX219" s="3" t="s">
        <v>2920</v>
      </c>
      <c r="AY219" s="3" t="s">
        <v>2921</v>
      </c>
      <c r="AZ219" s="3" t="s">
        <v>2921</v>
      </c>
      <c r="BA219" s="3" t="s">
        <v>2922</v>
      </c>
      <c r="BB219" s="3" t="s">
        <v>77</v>
      </c>
      <c r="BE219" s="3" t="s">
        <v>2923</v>
      </c>
      <c r="BF219" s="3" t="s">
        <v>2924</v>
      </c>
    </row>
    <row r="220" spans="1:58" ht="41.25" customHeight="1" x14ac:dyDescent="0.25">
      <c r="A220" s="7" t="s">
        <v>62</v>
      </c>
      <c r="B220" s="2" t="s">
        <v>57</v>
      </c>
      <c r="C220" s="2" t="s">
        <v>58</v>
      </c>
      <c r="D220" s="2" t="s">
        <v>2925</v>
      </c>
      <c r="E220" s="2" t="s">
        <v>2926</v>
      </c>
      <c r="F220" s="2" t="s">
        <v>2927</v>
      </c>
      <c r="H220" s="3" t="s">
        <v>62</v>
      </c>
      <c r="I220" s="3" t="s">
        <v>63</v>
      </c>
      <c r="J220" s="3" t="s">
        <v>62</v>
      </c>
      <c r="K220" s="3" t="s">
        <v>62</v>
      </c>
      <c r="L220" s="3" t="s">
        <v>64</v>
      </c>
      <c r="N220" s="2" t="s">
        <v>2928</v>
      </c>
      <c r="O220" s="3" t="s">
        <v>355</v>
      </c>
      <c r="Q220" s="3" t="s">
        <v>68</v>
      </c>
      <c r="R220" s="3" t="s">
        <v>531</v>
      </c>
      <c r="S220" s="2" t="s">
        <v>2929</v>
      </c>
      <c r="T220" s="3" t="s">
        <v>70</v>
      </c>
      <c r="U220" s="4">
        <v>4</v>
      </c>
      <c r="V220" s="4">
        <v>4</v>
      </c>
      <c r="W220" s="5" t="s">
        <v>2930</v>
      </c>
      <c r="X220" s="5" t="s">
        <v>2930</v>
      </c>
      <c r="Y220" s="5" t="s">
        <v>808</v>
      </c>
      <c r="Z220" s="5" t="s">
        <v>808</v>
      </c>
      <c r="AA220" s="4">
        <v>1037</v>
      </c>
      <c r="AB220" s="4">
        <v>897</v>
      </c>
      <c r="AC220" s="4">
        <v>1030</v>
      </c>
      <c r="AD220" s="4">
        <v>8</v>
      </c>
      <c r="AE220" s="4">
        <v>9</v>
      </c>
      <c r="AF220" s="4">
        <v>41</v>
      </c>
      <c r="AG220" s="4">
        <v>46</v>
      </c>
      <c r="AH220" s="4">
        <v>14</v>
      </c>
      <c r="AI220" s="4">
        <v>18</v>
      </c>
      <c r="AJ220" s="4">
        <v>8</v>
      </c>
      <c r="AK220" s="4">
        <v>8</v>
      </c>
      <c r="AL220" s="4">
        <v>22</v>
      </c>
      <c r="AM220" s="4">
        <v>25</v>
      </c>
      <c r="AN220" s="4">
        <v>7</v>
      </c>
      <c r="AO220" s="4">
        <v>8</v>
      </c>
      <c r="AP220" s="4">
        <v>0</v>
      </c>
      <c r="AQ220" s="4">
        <v>0</v>
      </c>
      <c r="AR220" s="3" t="s">
        <v>62</v>
      </c>
      <c r="AS220" s="3" t="s">
        <v>84</v>
      </c>
      <c r="AT220" s="6" t="str">
        <f>HYPERLINK("http://catalog.hathitrust.org/Record/001391068","HathiTrust Record")</f>
        <v>HathiTrust Record</v>
      </c>
      <c r="AU220" s="6" t="str">
        <f>HYPERLINK("https://creighton-primo.hosted.exlibrisgroup.com/primo-explore/search?tab=default_tab&amp;search_scope=EVERYTHING&amp;vid=01CRU&amp;lang=en_US&amp;offset=0&amp;query=any,contains,991003474999702656","Catalog Record")</f>
        <v>Catalog Record</v>
      </c>
      <c r="AV220" s="6" t="str">
        <f>HYPERLINK("http://www.worldcat.org/oclc/321148","WorldCat Record")</f>
        <v>WorldCat Record</v>
      </c>
      <c r="AW220" s="3" t="s">
        <v>2931</v>
      </c>
      <c r="AX220" s="3" t="s">
        <v>2932</v>
      </c>
      <c r="AY220" s="3" t="s">
        <v>2933</v>
      </c>
      <c r="AZ220" s="3" t="s">
        <v>2933</v>
      </c>
      <c r="BA220" s="3" t="s">
        <v>2934</v>
      </c>
      <c r="BB220" s="3" t="s">
        <v>77</v>
      </c>
      <c r="BE220" s="3" t="s">
        <v>2935</v>
      </c>
      <c r="BF220" s="3" t="s">
        <v>2936</v>
      </c>
    </row>
    <row r="221" spans="1:58" ht="41.25" customHeight="1" x14ac:dyDescent="0.25">
      <c r="A221" s="7" t="s">
        <v>62</v>
      </c>
      <c r="B221" s="2" t="s">
        <v>57</v>
      </c>
      <c r="C221" s="2" t="s">
        <v>58</v>
      </c>
      <c r="D221" s="2" t="s">
        <v>2937</v>
      </c>
      <c r="E221" s="2" t="s">
        <v>2938</v>
      </c>
      <c r="F221" s="2" t="s">
        <v>2939</v>
      </c>
      <c r="H221" s="3" t="s">
        <v>62</v>
      </c>
      <c r="I221" s="3" t="s">
        <v>63</v>
      </c>
      <c r="J221" s="3" t="s">
        <v>62</v>
      </c>
      <c r="K221" s="3" t="s">
        <v>62</v>
      </c>
      <c r="L221" s="3" t="s">
        <v>64</v>
      </c>
      <c r="N221" s="2" t="s">
        <v>2940</v>
      </c>
      <c r="O221" s="3" t="s">
        <v>1750</v>
      </c>
      <c r="Q221" s="3" t="s">
        <v>68</v>
      </c>
      <c r="R221" s="3" t="s">
        <v>1144</v>
      </c>
      <c r="S221" s="2" t="s">
        <v>2941</v>
      </c>
      <c r="T221" s="3" t="s">
        <v>70</v>
      </c>
      <c r="U221" s="4">
        <v>4</v>
      </c>
      <c r="V221" s="4">
        <v>4</v>
      </c>
      <c r="W221" s="5" t="s">
        <v>2942</v>
      </c>
      <c r="X221" s="5" t="s">
        <v>2942</v>
      </c>
      <c r="Y221" s="5" t="s">
        <v>2905</v>
      </c>
      <c r="Z221" s="5" t="s">
        <v>2905</v>
      </c>
      <c r="AA221" s="4">
        <v>328</v>
      </c>
      <c r="AB221" s="4">
        <v>266</v>
      </c>
      <c r="AC221" s="4">
        <v>268</v>
      </c>
      <c r="AD221" s="4">
        <v>1</v>
      </c>
      <c r="AE221" s="4">
        <v>1</v>
      </c>
      <c r="AF221" s="4">
        <v>26</v>
      </c>
      <c r="AG221" s="4">
        <v>26</v>
      </c>
      <c r="AH221" s="4">
        <v>10</v>
      </c>
      <c r="AI221" s="4">
        <v>10</v>
      </c>
      <c r="AJ221" s="4">
        <v>5</v>
      </c>
      <c r="AK221" s="4">
        <v>5</v>
      </c>
      <c r="AL221" s="4">
        <v>18</v>
      </c>
      <c r="AM221" s="4">
        <v>18</v>
      </c>
      <c r="AN221" s="4">
        <v>0</v>
      </c>
      <c r="AO221" s="4">
        <v>0</v>
      </c>
      <c r="AP221" s="4">
        <v>0</v>
      </c>
      <c r="AQ221" s="4">
        <v>0</v>
      </c>
      <c r="AR221" s="3" t="s">
        <v>62</v>
      </c>
      <c r="AS221" s="3" t="s">
        <v>84</v>
      </c>
      <c r="AT221" s="6" t="str">
        <f>HYPERLINK("http://catalog.hathitrust.org/Record/002503173","HathiTrust Record")</f>
        <v>HathiTrust Record</v>
      </c>
      <c r="AU221" s="6" t="str">
        <f>HYPERLINK("https://creighton-primo.hosted.exlibrisgroup.com/primo-explore/search?tab=default_tab&amp;search_scope=EVERYTHING&amp;vid=01CRU&amp;lang=en_US&amp;offset=0&amp;query=any,contains,991001814309702656","Catalog Record")</f>
        <v>Catalog Record</v>
      </c>
      <c r="AV221" s="6" t="str">
        <f>HYPERLINK("http://www.worldcat.org/oclc/22767592","WorldCat Record")</f>
        <v>WorldCat Record</v>
      </c>
      <c r="AW221" s="3" t="s">
        <v>2943</v>
      </c>
      <c r="AX221" s="3" t="s">
        <v>2944</v>
      </c>
      <c r="AY221" s="3" t="s">
        <v>2945</v>
      </c>
      <c r="AZ221" s="3" t="s">
        <v>2945</v>
      </c>
      <c r="BA221" s="3" t="s">
        <v>2946</v>
      </c>
      <c r="BB221" s="3" t="s">
        <v>77</v>
      </c>
      <c r="BD221" s="3" t="s">
        <v>2947</v>
      </c>
      <c r="BE221" s="3" t="s">
        <v>2948</v>
      </c>
      <c r="BF221" s="3" t="s">
        <v>2949</v>
      </c>
    </row>
    <row r="222" spans="1:58" ht="41.25" customHeight="1" x14ac:dyDescent="0.25">
      <c r="A222" s="7" t="s">
        <v>62</v>
      </c>
      <c r="B222" s="2" t="s">
        <v>57</v>
      </c>
      <c r="C222" s="2" t="s">
        <v>58</v>
      </c>
      <c r="D222" s="2" t="s">
        <v>2950</v>
      </c>
      <c r="E222" s="2" t="s">
        <v>2951</v>
      </c>
      <c r="F222" s="2" t="s">
        <v>2952</v>
      </c>
      <c r="H222" s="3" t="s">
        <v>62</v>
      </c>
      <c r="I222" s="3" t="s">
        <v>63</v>
      </c>
      <c r="J222" s="3" t="s">
        <v>62</v>
      </c>
      <c r="K222" s="3" t="s">
        <v>62</v>
      </c>
      <c r="L222" s="3" t="s">
        <v>64</v>
      </c>
      <c r="N222" s="2" t="s">
        <v>2940</v>
      </c>
      <c r="O222" s="3" t="s">
        <v>1750</v>
      </c>
      <c r="Q222" s="3" t="s">
        <v>68</v>
      </c>
      <c r="R222" s="3" t="s">
        <v>1144</v>
      </c>
      <c r="S222" s="2" t="s">
        <v>2953</v>
      </c>
      <c r="T222" s="3" t="s">
        <v>70</v>
      </c>
      <c r="U222" s="4">
        <v>1</v>
      </c>
      <c r="V222" s="4">
        <v>1</v>
      </c>
      <c r="W222" s="5" t="s">
        <v>2954</v>
      </c>
      <c r="X222" s="5" t="s">
        <v>2954</v>
      </c>
      <c r="Y222" s="5" t="s">
        <v>2955</v>
      </c>
      <c r="Z222" s="5" t="s">
        <v>2955</v>
      </c>
      <c r="AA222" s="4">
        <v>217</v>
      </c>
      <c r="AB222" s="4">
        <v>176</v>
      </c>
      <c r="AC222" s="4">
        <v>181</v>
      </c>
      <c r="AD222" s="4">
        <v>2</v>
      </c>
      <c r="AE222" s="4">
        <v>2</v>
      </c>
      <c r="AF222" s="4">
        <v>12</v>
      </c>
      <c r="AG222" s="4">
        <v>12</v>
      </c>
      <c r="AH222" s="4">
        <v>4</v>
      </c>
      <c r="AI222" s="4">
        <v>4</v>
      </c>
      <c r="AJ222" s="4">
        <v>1</v>
      </c>
      <c r="AK222" s="4">
        <v>1</v>
      </c>
      <c r="AL222" s="4">
        <v>8</v>
      </c>
      <c r="AM222" s="4">
        <v>8</v>
      </c>
      <c r="AN222" s="4">
        <v>1</v>
      </c>
      <c r="AO222" s="4">
        <v>1</v>
      </c>
      <c r="AP222" s="4">
        <v>0</v>
      </c>
      <c r="AQ222" s="4">
        <v>0</v>
      </c>
      <c r="AR222" s="3" t="s">
        <v>62</v>
      </c>
      <c r="AS222" s="3" t="s">
        <v>84</v>
      </c>
      <c r="AT222" s="6" t="str">
        <f>HYPERLINK("http://catalog.hathitrust.org/Record/101936978","HathiTrust Record")</f>
        <v>HathiTrust Record</v>
      </c>
      <c r="AU222" s="6" t="str">
        <f>HYPERLINK("https://creighton-primo.hosted.exlibrisgroup.com/primo-explore/search?tab=default_tab&amp;search_scope=EVERYTHING&amp;vid=01CRU&amp;lang=en_US&amp;offset=0&amp;query=any,contains,991001933839702656","Catalog Record")</f>
        <v>Catalog Record</v>
      </c>
      <c r="AV222" s="6" t="str">
        <f>HYPERLINK("http://www.worldcat.org/oclc/24429859","WorldCat Record")</f>
        <v>WorldCat Record</v>
      </c>
      <c r="AW222" s="3" t="s">
        <v>2956</v>
      </c>
      <c r="AX222" s="3" t="s">
        <v>2957</v>
      </c>
      <c r="AY222" s="3" t="s">
        <v>2958</v>
      </c>
      <c r="AZ222" s="3" t="s">
        <v>2958</v>
      </c>
      <c r="BA222" s="3" t="s">
        <v>2959</v>
      </c>
      <c r="BB222" s="3" t="s">
        <v>77</v>
      </c>
      <c r="BD222" s="3" t="s">
        <v>2960</v>
      </c>
      <c r="BE222" s="3" t="s">
        <v>2961</v>
      </c>
      <c r="BF222" s="3" t="s">
        <v>2962</v>
      </c>
    </row>
    <row r="223" spans="1:58" ht="41.25" customHeight="1" x14ac:dyDescent="0.25">
      <c r="A223" s="7" t="s">
        <v>62</v>
      </c>
      <c r="B223" s="2" t="s">
        <v>57</v>
      </c>
      <c r="C223" s="2" t="s">
        <v>58</v>
      </c>
      <c r="D223" s="2" t="s">
        <v>2963</v>
      </c>
      <c r="E223" s="2" t="s">
        <v>2964</v>
      </c>
      <c r="F223" s="2" t="s">
        <v>2965</v>
      </c>
      <c r="H223" s="3" t="s">
        <v>62</v>
      </c>
      <c r="I223" s="3" t="s">
        <v>63</v>
      </c>
      <c r="J223" s="3" t="s">
        <v>62</v>
      </c>
      <c r="K223" s="3" t="s">
        <v>62</v>
      </c>
      <c r="L223" s="3" t="s">
        <v>64</v>
      </c>
      <c r="M223" s="2" t="s">
        <v>2966</v>
      </c>
      <c r="N223" s="2" t="s">
        <v>2967</v>
      </c>
      <c r="O223" s="3" t="s">
        <v>355</v>
      </c>
      <c r="Q223" s="3" t="s">
        <v>68</v>
      </c>
      <c r="R223" s="3" t="s">
        <v>69</v>
      </c>
      <c r="T223" s="3" t="s">
        <v>70</v>
      </c>
      <c r="U223" s="4">
        <v>3</v>
      </c>
      <c r="V223" s="4">
        <v>3</v>
      </c>
      <c r="W223" s="5" t="s">
        <v>672</v>
      </c>
      <c r="X223" s="5" t="s">
        <v>672</v>
      </c>
      <c r="Y223" s="5" t="s">
        <v>808</v>
      </c>
      <c r="Z223" s="5" t="s">
        <v>808</v>
      </c>
      <c r="AA223" s="4">
        <v>551</v>
      </c>
      <c r="AB223" s="4">
        <v>464</v>
      </c>
      <c r="AC223" s="4">
        <v>470</v>
      </c>
      <c r="AD223" s="4">
        <v>3</v>
      </c>
      <c r="AE223" s="4">
        <v>3</v>
      </c>
      <c r="AF223" s="4">
        <v>29</v>
      </c>
      <c r="AG223" s="4">
        <v>29</v>
      </c>
      <c r="AH223" s="4">
        <v>14</v>
      </c>
      <c r="AI223" s="4">
        <v>14</v>
      </c>
      <c r="AJ223" s="4">
        <v>4</v>
      </c>
      <c r="AK223" s="4">
        <v>4</v>
      </c>
      <c r="AL223" s="4">
        <v>19</v>
      </c>
      <c r="AM223" s="4">
        <v>19</v>
      </c>
      <c r="AN223" s="4">
        <v>2</v>
      </c>
      <c r="AO223" s="4">
        <v>2</v>
      </c>
      <c r="AP223" s="4">
        <v>0</v>
      </c>
      <c r="AQ223" s="4">
        <v>0</v>
      </c>
      <c r="AR223" s="3" t="s">
        <v>62</v>
      </c>
      <c r="AS223" s="3" t="s">
        <v>84</v>
      </c>
      <c r="AT223" s="6" t="str">
        <f>HYPERLINK("http://catalog.hathitrust.org/Record/009496792","HathiTrust Record")</f>
        <v>HathiTrust Record</v>
      </c>
      <c r="AU223" s="6" t="str">
        <f>HYPERLINK("https://creighton-primo.hosted.exlibrisgroup.com/primo-explore/search?tab=default_tab&amp;search_scope=EVERYTHING&amp;vid=01CRU&amp;lang=en_US&amp;offset=0&amp;query=any,contains,991002723679702656","Catalog Record")</f>
        <v>Catalog Record</v>
      </c>
      <c r="AV223" s="6" t="str">
        <f>HYPERLINK("http://www.worldcat.org/oclc/413702","WorldCat Record")</f>
        <v>WorldCat Record</v>
      </c>
      <c r="AW223" s="3" t="s">
        <v>2968</v>
      </c>
      <c r="AX223" s="3" t="s">
        <v>2969</v>
      </c>
      <c r="AY223" s="3" t="s">
        <v>2970</v>
      </c>
      <c r="AZ223" s="3" t="s">
        <v>2970</v>
      </c>
      <c r="BA223" s="3" t="s">
        <v>2971</v>
      </c>
      <c r="BB223" s="3" t="s">
        <v>77</v>
      </c>
      <c r="BE223" s="3" t="s">
        <v>2972</v>
      </c>
      <c r="BF223" s="3" t="s">
        <v>2973</v>
      </c>
    </row>
    <row r="224" spans="1:58" ht="41.25" customHeight="1" x14ac:dyDescent="0.25">
      <c r="A224" s="7" t="s">
        <v>62</v>
      </c>
      <c r="B224" s="2" t="s">
        <v>57</v>
      </c>
      <c r="C224" s="2" t="s">
        <v>58</v>
      </c>
      <c r="D224" s="2" t="s">
        <v>2974</v>
      </c>
      <c r="E224" s="2" t="s">
        <v>2975</v>
      </c>
      <c r="F224" s="2" t="s">
        <v>2976</v>
      </c>
      <c r="H224" s="3" t="s">
        <v>62</v>
      </c>
      <c r="I224" s="3" t="s">
        <v>63</v>
      </c>
      <c r="J224" s="3" t="s">
        <v>62</v>
      </c>
      <c r="K224" s="3" t="s">
        <v>62</v>
      </c>
      <c r="L224" s="3" t="s">
        <v>64</v>
      </c>
      <c r="M224" s="2" t="s">
        <v>2132</v>
      </c>
      <c r="N224" s="2" t="s">
        <v>2977</v>
      </c>
      <c r="O224" s="3" t="s">
        <v>1251</v>
      </c>
      <c r="Q224" s="3" t="s">
        <v>68</v>
      </c>
      <c r="R224" s="3" t="s">
        <v>69</v>
      </c>
      <c r="T224" s="3" t="s">
        <v>70</v>
      </c>
      <c r="U224" s="4">
        <v>4</v>
      </c>
      <c r="V224" s="4">
        <v>4</v>
      </c>
      <c r="W224" s="5" t="s">
        <v>672</v>
      </c>
      <c r="X224" s="5" t="s">
        <v>672</v>
      </c>
      <c r="Y224" s="5" t="s">
        <v>2978</v>
      </c>
      <c r="Z224" s="5" t="s">
        <v>2978</v>
      </c>
      <c r="AA224" s="4">
        <v>631</v>
      </c>
      <c r="AB224" s="4">
        <v>568</v>
      </c>
      <c r="AC224" s="4">
        <v>577</v>
      </c>
      <c r="AD224" s="4">
        <v>6</v>
      </c>
      <c r="AE224" s="4">
        <v>6</v>
      </c>
      <c r="AF224" s="4">
        <v>36</v>
      </c>
      <c r="AG224" s="4">
        <v>36</v>
      </c>
      <c r="AH224" s="4">
        <v>16</v>
      </c>
      <c r="AI224" s="4">
        <v>16</v>
      </c>
      <c r="AJ224" s="4">
        <v>9</v>
      </c>
      <c r="AK224" s="4">
        <v>9</v>
      </c>
      <c r="AL224" s="4">
        <v>16</v>
      </c>
      <c r="AM224" s="4">
        <v>16</v>
      </c>
      <c r="AN224" s="4">
        <v>5</v>
      </c>
      <c r="AO224" s="4">
        <v>5</v>
      </c>
      <c r="AP224" s="4">
        <v>0</v>
      </c>
      <c r="AQ224" s="4">
        <v>0</v>
      </c>
      <c r="AR224" s="3" t="s">
        <v>62</v>
      </c>
      <c r="AS224" s="3" t="s">
        <v>84</v>
      </c>
      <c r="AT224" s="6" t="str">
        <f>HYPERLINK("http://catalog.hathitrust.org/Record/001081004","HathiTrust Record")</f>
        <v>HathiTrust Record</v>
      </c>
      <c r="AU224" s="6" t="str">
        <f>HYPERLINK("https://creighton-primo.hosted.exlibrisgroup.com/primo-explore/search?tab=default_tab&amp;search_scope=EVERYTHING&amp;vid=01CRU&amp;lang=en_US&amp;offset=0&amp;query=any,contains,991001101059702656","Catalog Record")</f>
        <v>Catalog Record</v>
      </c>
      <c r="AV224" s="6" t="str">
        <f>HYPERLINK("http://www.worldcat.org/oclc/16353125","WorldCat Record")</f>
        <v>WorldCat Record</v>
      </c>
      <c r="AW224" s="3" t="s">
        <v>2979</v>
      </c>
      <c r="AX224" s="3" t="s">
        <v>2980</v>
      </c>
      <c r="AY224" s="3" t="s">
        <v>2981</v>
      </c>
      <c r="AZ224" s="3" t="s">
        <v>2981</v>
      </c>
      <c r="BA224" s="3" t="s">
        <v>2982</v>
      </c>
      <c r="BB224" s="3" t="s">
        <v>77</v>
      </c>
      <c r="BD224" s="3" t="s">
        <v>2983</v>
      </c>
      <c r="BE224" s="3" t="s">
        <v>2984</v>
      </c>
      <c r="BF224" s="3" t="s">
        <v>2985</v>
      </c>
    </row>
    <row r="225" spans="1:58" ht="41.25" customHeight="1" x14ac:dyDescent="0.25">
      <c r="A225" s="7" t="s">
        <v>62</v>
      </c>
      <c r="B225" s="2" t="s">
        <v>57</v>
      </c>
      <c r="C225" s="2" t="s">
        <v>58</v>
      </c>
      <c r="D225" s="2" t="s">
        <v>2986</v>
      </c>
      <c r="E225" s="2" t="s">
        <v>2987</v>
      </c>
      <c r="F225" s="2" t="s">
        <v>2988</v>
      </c>
      <c r="H225" s="3" t="s">
        <v>62</v>
      </c>
      <c r="I225" s="3" t="s">
        <v>63</v>
      </c>
      <c r="J225" s="3" t="s">
        <v>62</v>
      </c>
      <c r="K225" s="3" t="s">
        <v>62</v>
      </c>
      <c r="L225" s="3" t="s">
        <v>64</v>
      </c>
      <c r="M225" s="2" t="s">
        <v>2989</v>
      </c>
      <c r="N225" s="2" t="s">
        <v>2990</v>
      </c>
      <c r="O225" s="3" t="s">
        <v>1805</v>
      </c>
      <c r="Q225" s="3" t="s">
        <v>68</v>
      </c>
      <c r="R225" s="3" t="s">
        <v>531</v>
      </c>
      <c r="S225" s="2" t="s">
        <v>2991</v>
      </c>
      <c r="T225" s="3" t="s">
        <v>70</v>
      </c>
      <c r="U225" s="4">
        <v>2</v>
      </c>
      <c r="V225" s="4">
        <v>2</v>
      </c>
      <c r="W225" s="5" t="s">
        <v>2992</v>
      </c>
      <c r="X225" s="5" t="s">
        <v>2992</v>
      </c>
      <c r="Y225" s="5" t="s">
        <v>2594</v>
      </c>
      <c r="Z225" s="5" t="s">
        <v>2594</v>
      </c>
      <c r="AA225" s="4">
        <v>787</v>
      </c>
      <c r="AB225" s="4">
        <v>640</v>
      </c>
      <c r="AC225" s="4">
        <v>641</v>
      </c>
      <c r="AD225" s="4">
        <v>4</v>
      </c>
      <c r="AE225" s="4">
        <v>4</v>
      </c>
      <c r="AF225" s="4">
        <v>29</v>
      </c>
      <c r="AG225" s="4">
        <v>29</v>
      </c>
      <c r="AH225" s="4">
        <v>11</v>
      </c>
      <c r="AI225" s="4">
        <v>11</v>
      </c>
      <c r="AJ225" s="4">
        <v>5</v>
      </c>
      <c r="AK225" s="4">
        <v>5</v>
      </c>
      <c r="AL225" s="4">
        <v>16</v>
      </c>
      <c r="AM225" s="4">
        <v>16</v>
      </c>
      <c r="AN225" s="4">
        <v>3</v>
      </c>
      <c r="AO225" s="4">
        <v>3</v>
      </c>
      <c r="AP225" s="4">
        <v>0</v>
      </c>
      <c r="AQ225" s="4">
        <v>0</v>
      </c>
      <c r="AR225" s="3" t="s">
        <v>62</v>
      </c>
      <c r="AS225" s="3" t="s">
        <v>84</v>
      </c>
      <c r="AT225" s="6" t="str">
        <f>HYPERLINK("http://catalog.hathitrust.org/Record/000145295","HathiTrust Record")</f>
        <v>HathiTrust Record</v>
      </c>
      <c r="AU225" s="6" t="str">
        <f>HYPERLINK("https://creighton-primo.hosted.exlibrisgroup.com/primo-explore/search?tab=default_tab&amp;search_scope=EVERYTHING&amp;vid=01CRU&amp;lang=en_US&amp;offset=0&amp;query=any,contains,991005208419702656","Catalog Record")</f>
        <v>Catalog Record</v>
      </c>
      <c r="AV225" s="6" t="str">
        <f>HYPERLINK("http://www.worldcat.org/oclc/8133395","WorldCat Record")</f>
        <v>WorldCat Record</v>
      </c>
      <c r="AW225" s="3" t="s">
        <v>2993</v>
      </c>
      <c r="AX225" s="3" t="s">
        <v>2994</v>
      </c>
      <c r="AY225" s="3" t="s">
        <v>2995</v>
      </c>
      <c r="AZ225" s="3" t="s">
        <v>2995</v>
      </c>
      <c r="BA225" s="3" t="s">
        <v>2996</v>
      </c>
      <c r="BB225" s="3" t="s">
        <v>77</v>
      </c>
      <c r="BD225" s="3" t="s">
        <v>2997</v>
      </c>
      <c r="BE225" s="3" t="s">
        <v>2998</v>
      </c>
      <c r="BF225" s="3" t="s">
        <v>2999</v>
      </c>
    </row>
    <row r="226" spans="1:58" ht="41.25" customHeight="1" x14ac:dyDescent="0.25">
      <c r="A226" s="7" t="s">
        <v>62</v>
      </c>
      <c r="B226" s="2" t="s">
        <v>57</v>
      </c>
      <c r="C226" s="2" t="s">
        <v>58</v>
      </c>
      <c r="D226" s="2" t="s">
        <v>3000</v>
      </c>
      <c r="E226" s="2" t="s">
        <v>3001</v>
      </c>
      <c r="F226" s="2" t="s">
        <v>3002</v>
      </c>
      <c r="H226" s="3" t="s">
        <v>62</v>
      </c>
      <c r="I226" s="3" t="s">
        <v>63</v>
      </c>
      <c r="J226" s="3" t="s">
        <v>62</v>
      </c>
      <c r="K226" s="3" t="s">
        <v>62</v>
      </c>
      <c r="L226" s="3" t="s">
        <v>64</v>
      </c>
      <c r="M226" s="2" t="s">
        <v>3003</v>
      </c>
      <c r="N226" s="2" t="s">
        <v>3004</v>
      </c>
      <c r="O226" s="3" t="s">
        <v>253</v>
      </c>
      <c r="Q226" s="3" t="s">
        <v>68</v>
      </c>
      <c r="R226" s="3" t="s">
        <v>69</v>
      </c>
      <c r="T226" s="3" t="s">
        <v>70</v>
      </c>
      <c r="U226" s="4">
        <v>4</v>
      </c>
      <c r="V226" s="4">
        <v>4</v>
      </c>
      <c r="W226" s="5" t="s">
        <v>3005</v>
      </c>
      <c r="X226" s="5" t="s">
        <v>3005</v>
      </c>
      <c r="Y226" s="5" t="s">
        <v>3006</v>
      </c>
      <c r="Z226" s="5" t="s">
        <v>3006</v>
      </c>
      <c r="AA226" s="4">
        <v>587</v>
      </c>
      <c r="AB226" s="4">
        <v>474</v>
      </c>
      <c r="AC226" s="4">
        <v>479</v>
      </c>
      <c r="AD226" s="4">
        <v>4</v>
      </c>
      <c r="AE226" s="4">
        <v>4</v>
      </c>
      <c r="AF226" s="4">
        <v>31</v>
      </c>
      <c r="AG226" s="4">
        <v>31</v>
      </c>
      <c r="AH226" s="4">
        <v>11</v>
      </c>
      <c r="AI226" s="4">
        <v>11</v>
      </c>
      <c r="AJ226" s="4">
        <v>7</v>
      </c>
      <c r="AK226" s="4">
        <v>7</v>
      </c>
      <c r="AL226" s="4">
        <v>17</v>
      </c>
      <c r="AM226" s="4">
        <v>17</v>
      </c>
      <c r="AN226" s="4">
        <v>3</v>
      </c>
      <c r="AO226" s="4">
        <v>3</v>
      </c>
      <c r="AP226" s="4">
        <v>0</v>
      </c>
      <c r="AQ226" s="4">
        <v>0</v>
      </c>
      <c r="AR226" s="3" t="s">
        <v>62</v>
      </c>
      <c r="AS226" s="3" t="s">
        <v>84</v>
      </c>
      <c r="AT226" s="6" t="str">
        <f>HYPERLINK("http://catalog.hathitrust.org/Record/000455993","HathiTrust Record")</f>
        <v>HathiTrust Record</v>
      </c>
      <c r="AU226" s="6" t="str">
        <f>HYPERLINK("https://creighton-primo.hosted.exlibrisgroup.com/primo-explore/search?tab=default_tab&amp;search_scope=EVERYTHING&amp;vid=01CRU&amp;lang=en_US&amp;offset=0&amp;query=any,contains,991000458339702656","Catalog Record")</f>
        <v>Catalog Record</v>
      </c>
      <c r="AV226" s="6" t="str">
        <f>HYPERLINK("http://www.worldcat.org/oclc/10923567","WorldCat Record")</f>
        <v>WorldCat Record</v>
      </c>
      <c r="AW226" s="3" t="s">
        <v>3007</v>
      </c>
      <c r="AX226" s="3" t="s">
        <v>3008</v>
      </c>
      <c r="AY226" s="3" t="s">
        <v>3009</v>
      </c>
      <c r="AZ226" s="3" t="s">
        <v>3009</v>
      </c>
      <c r="BA226" s="3" t="s">
        <v>3010</v>
      </c>
      <c r="BB226" s="3" t="s">
        <v>77</v>
      </c>
      <c r="BD226" s="3" t="s">
        <v>3011</v>
      </c>
      <c r="BE226" s="3" t="s">
        <v>3012</v>
      </c>
      <c r="BF226" s="3" t="s">
        <v>3013</v>
      </c>
    </row>
    <row r="227" spans="1:58" ht="41.25" customHeight="1" x14ac:dyDescent="0.25">
      <c r="A227" s="7" t="s">
        <v>62</v>
      </c>
      <c r="B227" s="2" t="s">
        <v>57</v>
      </c>
      <c r="C227" s="2" t="s">
        <v>58</v>
      </c>
      <c r="D227" s="2" t="s">
        <v>3014</v>
      </c>
      <c r="E227" s="2" t="s">
        <v>3015</v>
      </c>
      <c r="F227" s="2" t="s">
        <v>3016</v>
      </c>
      <c r="H227" s="3" t="s">
        <v>62</v>
      </c>
      <c r="I227" s="3" t="s">
        <v>63</v>
      </c>
      <c r="J227" s="3" t="s">
        <v>62</v>
      </c>
      <c r="K227" s="3" t="s">
        <v>62</v>
      </c>
      <c r="L227" s="3" t="s">
        <v>64</v>
      </c>
      <c r="N227" s="2" t="s">
        <v>3017</v>
      </c>
      <c r="O227" s="3" t="s">
        <v>970</v>
      </c>
      <c r="Q227" s="3" t="s">
        <v>68</v>
      </c>
      <c r="R227" s="3" t="s">
        <v>219</v>
      </c>
      <c r="T227" s="3" t="s">
        <v>70</v>
      </c>
      <c r="U227" s="4">
        <v>5</v>
      </c>
      <c r="V227" s="4">
        <v>5</v>
      </c>
      <c r="W227" s="5" t="s">
        <v>3018</v>
      </c>
      <c r="X227" s="5" t="s">
        <v>3018</v>
      </c>
      <c r="Y227" s="5" t="s">
        <v>3019</v>
      </c>
      <c r="Z227" s="5" t="s">
        <v>3019</v>
      </c>
      <c r="AA227" s="4">
        <v>270</v>
      </c>
      <c r="AB227" s="4">
        <v>204</v>
      </c>
      <c r="AC227" s="4">
        <v>207</v>
      </c>
      <c r="AD227" s="4">
        <v>2</v>
      </c>
      <c r="AE227" s="4">
        <v>2</v>
      </c>
      <c r="AF227" s="4">
        <v>20</v>
      </c>
      <c r="AG227" s="4">
        <v>20</v>
      </c>
      <c r="AH227" s="4">
        <v>7</v>
      </c>
      <c r="AI227" s="4">
        <v>7</v>
      </c>
      <c r="AJ227" s="4">
        <v>8</v>
      </c>
      <c r="AK227" s="4">
        <v>8</v>
      </c>
      <c r="AL227" s="4">
        <v>12</v>
      </c>
      <c r="AM227" s="4">
        <v>12</v>
      </c>
      <c r="AN227" s="4">
        <v>1</v>
      </c>
      <c r="AO227" s="4">
        <v>1</v>
      </c>
      <c r="AP227" s="4">
        <v>0</v>
      </c>
      <c r="AQ227" s="4">
        <v>0</v>
      </c>
      <c r="AR227" s="3" t="s">
        <v>62</v>
      </c>
      <c r="AS227" s="3" t="s">
        <v>84</v>
      </c>
      <c r="AT227" s="6" t="str">
        <f>HYPERLINK("http://catalog.hathitrust.org/Record/002167572","HathiTrust Record")</f>
        <v>HathiTrust Record</v>
      </c>
      <c r="AU227" s="6" t="str">
        <f>HYPERLINK("https://creighton-primo.hosted.exlibrisgroup.com/primo-explore/search?tab=default_tab&amp;search_scope=EVERYTHING&amp;vid=01CRU&amp;lang=en_US&amp;offset=0&amp;query=any,contains,991001655039702656","Catalog Record")</f>
        <v>Catalog Record</v>
      </c>
      <c r="AV227" s="6" t="str">
        <f>HYPERLINK("http://www.worldcat.org/oclc/21118784","WorldCat Record")</f>
        <v>WorldCat Record</v>
      </c>
      <c r="AW227" s="3" t="s">
        <v>3020</v>
      </c>
      <c r="AX227" s="3" t="s">
        <v>3021</v>
      </c>
      <c r="AY227" s="3" t="s">
        <v>3022</v>
      </c>
      <c r="AZ227" s="3" t="s">
        <v>3022</v>
      </c>
      <c r="BA227" s="3" t="s">
        <v>3023</v>
      </c>
      <c r="BB227" s="3" t="s">
        <v>77</v>
      </c>
      <c r="BD227" s="3" t="s">
        <v>3024</v>
      </c>
      <c r="BE227" s="3" t="s">
        <v>3025</v>
      </c>
      <c r="BF227" s="3" t="s">
        <v>3026</v>
      </c>
    </row>
    <row r="228" spans="1:58" ht="41.25" customHeight="1" x14ac:dyDescent="0.25">
      <c r="A228" s="7" t="s">
        <v>62</v>
      </c>
      <c r="B228" s="2" t="s">
        <v>57</v>
      </c>
      <c r="C228" s="2" t="s">
        <v>58</v>
      </c>
      <c r="D228" s="2" t="s">
        <v>3027</v>
      </c>
      <c r="E228" s="2" t="s">
        <v>3028</v>
      </c>
      <c r="F228" s="2" t="s">
        <v>3029</v>
      </c>
      <c r="H228" s="3" t="s">
        <v>62</v>
      </c>
      <c r="I228" s="3" t="s">
        <v>63</v>
      </c>
      <c r="J228" s="3" t="s">
        <v>62</v>
      </c>
      <c r="K228" s="3" t="s">
        <v>62</v>
      </c>
      <c r="L228" s="3" t="s">
        <v>64</v>
      </c>
      <c r="M228" s="2" t="s">
        <v>3030</v>
      </c>
      <c r="N228" s="2" t="s">
        <v>3031</v>
      </c>
      <c r="O228" s="3" t="s">
        <v>1805</v>
      </c>
      <c r="Q228" s="3" t="s">
        <v>68</v>
      </c>
      <c r="R228" s="3" t="s">
        <v>3032</v>
      </c>
      <c r="T228" s="3" t="s">
        <v>70</v>
      </c>
      <c r="U228" s="4">
        <v>2</v>
      </c>
      <c r="V228" s="4">
        <v>2</v>
      </c>
      <c r="W228" s="5" t="s">
        <v>3033</v>
      </c>
      <c r="X228" s="5" t="s">
        <v>3033</v>
      </c>
      <c r="Y228" s="5" t="s">
        <v>808</v>
      </c>
      <c r="Z228" s="5" t="s">
        <v>808</v>
      </c>
      <c r="AA228" s="4">
        <v>300</v>
      </c>
      <c r="AB228" s="4">
        <v>242</v>
      </c>
      <c r="AC228" s="4">
        <v>302</v>
      </c>
      <c r="AD228" s="4">
        <v>3</v>
      </c>
      <c r="AE228" s="4">
        <v>3</v>
      </c>
      <c r="AF228" s="4">
        <v>19</v>
      </c>
      <c r="AG228" s="4">
        <v>23</v>
      </c>
      <c r="AH228" s="4">
        <v>7</v>
      </c>
      <c r="AI228" s="4">
        <v>8</v>
      </c>
      <c r="AJ228" s="4">
        <v>3</v>
      </c>
      <c r="AK228" s="4">
        <v>4</v>
      </c>
      <c r="AL228" s="4">
        <v>11</v>
      </c>
      <c r="AM228" s="4">
        <v>14</v>
      </c>
      <c r="AN228" s="4">
        <v>2</v>
      </c>
      <c r="AO228" s="4">
        <v>2</v>
      </c>
      <c r="AP228" s="4">
        <v>0</v>
      </c>
      <c r="AQ228" s="4">
        <v>0</v>
      </c>
      <c r="AR228" s="3" t="s">
        <v>62</v>
      </c>
      <c r="AS228" s="3" t="s">
        <v>84</v>
      </c>
      <c r="AT228" s="6" t="str">
        <f>HYPERLINK("http://catalog.hathitrust.org/Record/009124331","HathiTrust Record")</f>
        <v>HathiTrust Record</v>
      </c>
      <c r="AU228" s="6" t="str">
        <f>HYPERLINK("https://creighton-primo.hosted.exlibrisgroup.com/primo-explore/search?tab=default_tab&amp;search_scope=EVERYTHING&amp;vid=01CRU&amp;lang=en_US&amp;offset=0&amp;query=any,contains,991005225229702656","Catalog Record")</f>
        <v>Catalog Record</v>
      </c>
      <c r="AV228" s="6" t="str">
        <f>HYPERLINK("http://www.worldcat.org/oclc/8280947","WorldCat Record")</f>
        <v>WorldCat Record</v>
      </c>
      <c r="AW228" s="3" t="s">
        <v>3034</v>
      </c>
      <c r="AX228" s="3" t="s">
        <v>3035</v>
      </c>
      <c r="AY228" s="3" t="s">
        <v>3036</v>
      </c>
      <c r="AZ228" s="3" t="s">
        <v>3036</v>
      </c>
      <c r="BA228" s="3" t="s">
        <v>3037</v>
      </c>
      <c r="BB228" s="3" t="s">
        <v>77</v>
      </c>
      <c r="BD228" s="3" t="s">
        <v>3038</v>
      </c>
      <c r="BE228" s="3" t="s">
        <v>3039</v>
      </c>
      <c r="BF228" s="3" t="s">
        <v>3040</v>
      </c>
    </row>
    <row r="229" spans="1:58" ht="41.25" customHeight="1" x14ac:dyDescent="0.25">
      <c r="A229" s="7" t="s">
        <v>62</v>
      </c>
      <c r="B229" s="2" t="s">
        <v>57</v>
      </c>
      <c r="C229" s="2" t="s">
        <v>58</v>
      </c>
      <c r="D229" s="2" t="s">
        <v>3041</v>
      </c>
      <c r="E229" s="2" t="s">
        <v>3042</v>
      </c>
      <c r="F229" s="2" t="s">
        <v>3043</v>
      </c>
      <c r="H229" s="3" t="s">
        <v>62</v>
      </c>
      <c r="I229" s="3" t="s">
        <v>63</v>
      </c>
      <c r="J229" s="3" t="s">
        <v>62</v>
      </c>
      <c r="K229" s="3" t="s">
        <v>62</v>
      </c>
      <c r="L229" s="3" t="s">
        <v>64</v>
      </c>
      <c r="M229" s="2" t="s">
        <v>3044</v>
      </c>
      <c r="N229" s="2" t="s">
        <v>3045</v>
      </c>
      <c r="O229" s="3" t="s">
        <v>218</v>
      </c>
      <c r="Q229" s="3" t="s">
        <v>68</v>
      </c>
      <c r="R229" s="3" t="s">
        <v>297</v>
      </c>
      <c r="T229" s="3" t="s">
        <v>70</v>
      </c>
      <c r="U229" s="4">
        <v>1</v>
      </c>
      <c r="V229" s="4">
        <v>1</v>
      </c>
      <c r="W229" s="5" t="s">
        <v>3046</v>
      </c>
      <c r="X229" s="5" t="s">
        <v>3046</v>
      </c>
      <c r="Y229" s="5" t="s">
        <v>808</v>
      </c>
      <c r="Z229" s="5" t="s">
        <v>808</v>
      </c>
      <c r="AA229" s="4">
        <v>386</v>
      </c>
      <c r="AB229" s="4">
        <v>238</v>
      </c>
      <c r="AC229" s="4">
        <v>268</v>
      </c>
      <c r="AD229" s="4">
        <v>3</v>
      </c>
      <c r="AE229" s="4">
        <v>3</v>
      </c>
      <c r="AF229" s="4">
        <v>15</v>
      </c>
      <c r="AG229" s="4">
        <v>15</v>
      </c>
      <c r="AH229" s="4">
        <v>4</v>
      </c>
      <c r="AI229" s="4">
        <v>4</v>
      </c>
      <c r="AJ229" s="4">
        <v>3</v>
      </c>
      <c r="AK229" s="4">
        <v>3</v>
      </c>
      <c r="AL229" s="4">
        <v>9</v>
      </c>
      <c r="AM229" s="4">
        <v>9</v>
      </c>
      <c r="AN229" s="4">
        <v>2</v>
      </c>
      <c r="AO229" s="4">
        <v>2</v>
      </c>
      <c r="AP229" s="4">
        <v>0</v>
      </c>
      <c r="AQ229" s="4">
        <v>0</v>
      </c>
      <c r="AR229" s="3" t="s">
        <v>62</v>
      </c>
      <c r="AS229" s="3" t="s">
        <v>84</v>
      </c>
      <c r="AT229" s="6" t="str">
        <f>HYPERLINK("http://catalog.hathitrust.org/Record/000260198","HathiTrust Record")</f>
        <v>HathiTrust Record</v>
      </c>
      <c r="AU229" s="6" t="str">
        <f>HYPERLINK("https://creighton-primo.hosted.exlibrisgroup.com/primo-explore/search?tab=default_tab&amp;search_scope=EVERYTHING&amp;vid=01CRU&amp;lang=en_US&amp;offset=0&amp;query=any,contains,991004696769702656","Catalog Record")</f>
        <v>Catalog Record</v>
      </c>
      <c r="AV229" s="6" t="str">
        <f>HYPERLINK("http://www.worldcat.org/oclc/4642123","WorldCat Record")</f>
        <v>WorldCat Record</v>
      </c>
      <c r="AW229" s="3" t="s">
        <v>3047</v>
      </c>
      <c r="AX229" s="3" t="s">
        <v>3048</v>
      </c>
      <c r="AY229" s="3" t="s">
        <v>3049</v>
      </c>
      <c r="AZ229" s="3" t="s">
        <v>3049</v>
      </c>
      <c r="BA229" s="3" t="s">
        <v>3050</v>
      </c>
      <c r="BB229" s="3" t="s">
        <v>77</v>
      </c>
      <c r="BD229" s="3" t="s">
        <v>3051</v>
      </c>
      <c r="BE229" s="3" t="s">
        <v>3052</v>
      </c>
      <c r="BF229" s="3" t="s">
        <v>3053</v>
      </c>
    </row>
    <row r="230" spans="1:58" ht="41.25" customHeight="1" x14ac:dyDescent="0.25">
      <c r="A230" s="7" t="s">
        <v>62</v>
      </c>
      <c r="B230" s="2" t="s">
        <v>57</v>
      </c>
      <c r="C230" s="2" t="s">
        <v>58</v>
      </c>
      <c r="D230" s="2" t="s">
        <v>3054</v>
      </c>
      <c r="E230" s="2" t="s">
        <v>3055</v>
      </c>
      <c r="F230" s="2" t="s">
        <v>3056</v>
      </c>
      <c r="H230" s="3" t="s">
        <v>62</v>
      </c>
      <c r="I230" s="3" t="s">
        <v>63</v>
      </c>
      <c r="J230" s="3" t="s">
        <v>62</v>
      </c>
      <c r="K230" s="3" t="s">
        <v>62</v>
      </c>
      <c r="L230" s="3" t="s">
        <v>64</v>
      </c>
      <c r="M230" s="2" t="s">
        <v>3057</v>
      </c>
      <c r="N230" s="2" t="s">
        <v>3058</v>
      </c>
      <c r="O230" s="3" t="s">
        <v>1682</v>
      </c>
      <c r="Q230" s="3" t="s">
        <v>68</v>
      </c>
      <c r="R230" s="3" t="s">
        <v>1653</v>
      </c>
      <c r="T230" s="3" t="s">
        <v>70</v>
      </c>
      <c r="U230" s="4">
        <v>5</v>
      </c>
      <c r="V230" s="4">
        <v>5</v>
      </c>
      <c r="W230" s="5" t="s">
        <v>3059</v>
      </c>
      <c r="X230" s="5" t="s">
        <v>3059</v>
      </c>
      <c r="Y230" s="5" t="s">
        <v>3060</v>
      </c>
      <c r="Z230" s="5" t="s">
        <v>3060</v>
      </c>
      <c r="AA230" s="4">
        <v>260</v>
      </c>
      <c r="AB230" s="4">
        <v>218</v>
      </c>
      <c r="AC230" s="4">
        <v>218</v>
      </c>
      <c r="AD230" s="4">
        <v>3</v>
      </c>
      <c r="AE230" s="4">
        <v>3</v>
      </c>
      <c r="AF230" s="4">
        <v>19</v>
      </c>
      <c r="AG230" s="4">
        <v>19</v>
      </c>
      <c r="AH230" s="4">
        <v>9</v>
      </c>
      <c r="AI230" s="4">
        <v>9</v>
      </c>
      <c r="AJ230" s="4">
        <v>2</v>
      </c>
      <c r="AK230" s="4">
        <v>2</v>
      </c>
      <c r="AL230" s="4">
        <v>10</v>
      </c>
      <c r="AM230" s="4">
        <v>10</v>
      </c>
      <c r="AN230" s="4">
        <v>2</v>
      </c>
      <c r="AO230" s="4">
        <v>2</v>
      </c>
      <c r="AP230" s="4">
        <v>0</v>
      </c>
      <c r="AQ230" s="4">
        <v>0</v>
      </c>
      <c r="AR230" s="3" t="s">
        <v>62</v>
      </c>
      <c r="AS230" s="3" t="s">
        <v>62</v>
      </c>
      <c r="AU230" s="6" t="str">
        <f>HYPERLINK("https://creighton-primo.hosted.exlibrisgroup.com/primo-explore/search?tab=default_tab&amp;search_scope=EVERYTHING&amp;vid=01CRU&amp;lang=en_US&amp;offset=0&amp;query=any,contains,991002065149702656","Catalog Record")</f>
        <v>Catalog Record</v>
      </c>
      <c r="AV230" s="6" t="str">
        <f>HYPERLINK("http://www.worldcat.org/oclc/26401971","WorldCat Record")</f>
        <v>WorldCat Record</v>
      </c>
      <c r="AW230" s="3" t="s">
        <v>3061</v>
      </c>
      <c r="AX230" s="3" t="s">
        <v>3062</v>
      </c>
      <c r="AY230" s="3" t="s">
        <v>3063</v>
      </c>
      <c r="AZ230" s="3" t="s">
        <v>3063</v>
      </c>
      <c r="BA230" s="3" t="s">
        <v>3064</v>
      </c>
      <c r="BB230" s="3" t="s">
        <v>77</v>
      </c>
      <c r="BE230" s="3" t="s">
        <v>3065</v>
      </c>
      <c r="BF230" s="3" t="s">
        <v>3066</v>
      </c>
    </row>
    <row r="231" spans="1:58" ht="41.25" customHeight="1" x14ac:dyDescent="0.25">
      <c r="A231" s="7" t="s">
        <v>62</v>
      </c>
      <c r="B231" s="2" t="s">
        <v>57</v>
      </c>
      <c r="C231" s="2" t="s">
        <v>58</v>
      </c>
      <c r="D231" s="2" t="s">
        <v>3067</v>
      </c>
      <c r="E231" s="2" t="s">
        <v>3068</v>
      </c>
      <c r="F231" s="2" t="s">
        <v>3069</v>
      </c>
      <c r="H231" s="3" t="s">
        <v>62</v>
      </c>
      <c r="I231" s="3" t="s">
        <v>63</v>
      </c>
      <c r="J231" s="3" t="s">
        <v>62</v>
      </c>
      <c r="K231" s="3" t="s">
        <v>62</v>
      </c>
      <c r="L231" s="3" t="s">
        <v>64</v>
      </c>
      <c r="M231" s="2" t="s">
        <v>3070</v>
      </c>
      <c r="N231" s="2" t="s">
        <v>3071</v>
      </c>
      <c r="O231" s="3" t="s">
        <v>137</v>
      </c>
      <c r="Q231" s="3" t="s">
        <v>68</v>
      </c>
      <c r="R231" s="3" t="s">
        <v>3072</v>
      </c>
      <c r="T231" s="3" t="s">
        <v>70</v>
      </c>
      <c r="U231" s="4">
        <v>12</v>
      </c>
      <c r="V231" s="4">
        <v>12</v>
      </c>
      <c r="W231" s="5" t="s">
        <v>3073</v>
      </c>
      <c r="X231" s="5" t="s">
        <v>3073</v>
      </c>
      <c r="Y231" s="5" t="s">
        <v>808</v>
      </c>
      <c r="Z231" s="5" t="s">
        <v>808</v>
      </c>
      <c r="AA231" s="4">
        <v>223</v>
      </c>
      <c r="AB231" s="4">
        <v>178</v>
      </c>
      <c r="AC231" s="4">
        <v>178</v>
      </c>
      <c r="AD231" s="4">
        <v>2</v>
      </c>
      <c r="AE231" s="4">
        <v>2</v>
      </c>
      <c r="AF231" s="4">
        <v>21</v>
      </c>
      <c r="AG231" s="4">
        <v>21</v>
      </c>
      <c r="AH231" s="4">
        <v>4</v>
      </c>
      <c r="AI231" s="4">
        <v>4</v>
      </c>
      <c r="AJ231" s="4">
        <v>8</v>
      </c>
      <c r="AK231" s="4">
        <v>8</v>
      </c>
      <c r="AL231" s="4">
        <v>14</v>
      </c>
      <c r="AM231" s="4">
        <v>14</v>
      </c>
      <c r="AN231" s="4">
        <v>1</v>
      </c>
      <c r="AO231" s="4">
        <v>1</v>
      </c>
      <c r="AP231" s="4">
        <v>0</v>
      </c>
      <c r="AQ231" s="4">
        <v>0</v>
      </c>
      <c r="AR231" s="3" t="s">
        <v>62</v>
      </c>
      <c r="AS231" s="3" t="s">
        <v>62</v>
      </c>
      <c r="AU231" s="6" t="str">
        <f>HYPERLINK("https://creighton-primo.hosted.exlibrisgroup.com/primo-explore/search?tab=default_tab&amp;search_scope=EVERYTHING&amp;vid=01CRU&amp;lang=en_US&amp;offset=0&amp;query=any,contains,991005171019702656","Catalog Record")</f>
        <v>Catalog Record</v>
      </c>
      <c r="AV231" s="6" t="str">
        <f>HYPERLINK("http://www.worldcat.org/oclc/7871496","WorldCat Record")</f>
        <v>WorldCat Record</v>
      </c>
      <c r="AW231" s="3" t="s">
        <v>3074</v>
      </c>
      <c r="AX231" s="3" t="s">
        <v>3075</v>
      </c>
      <c r="AY231" s="3" t="s">
        <v>3076</v>
      </c>
      <c r="AZ231" s="3" t="s">
        <v>3076</v>
      </c>
      <c r="BA231" s="3" t="s">
        <v>3077</v>
      </c>
      <c r="BB231" s="3" t="s">
        <v>77</v>
      </c>
      <c r="BD231" s="3" t="s">
        <v>3078</v>
      </c>
      <c r="BE231" s="3" t="s">
        <v>3079</v>
      </c>
      <c r="BF231" s="3" t="s">
        <v>3080</v>
      </c>
    </row>
    <row r="232" spans="1:58" ht="41.25" customHeight="1" x14ac:dyDescent="0.25">
      <c r="A232" s="7" t="s">
        <v>62</v>
      </c>
      <c r="B232" s="2" t="s">
        <v>57</v>
      </c>
      <c r="C232" s="2" t="s">
        <v>58</v>
      </c>
      <c r="D232" s="2" t="s">
        <v>3081</v>
      </c>
      <c r="E232" s="2" t="s">
        <v>3082</v>
      </c>
      <c r="F232" s="2" t="s">
        <v>3083</v>
      </c>
      <c r="H232" s="3" t="s">
        <v>62</v>
      </c>
      <c r="I232" s="3" t="s">
        <v>63</v>
      </c>
      <c r="J232" s="3" t="s">
        <v>62</v>
      </c>
      <c r="K232" s="3" t="s">
        <v>62</v>
      </c>
      <c r="L232" s="3" t="s">
        <v>64</v>
      </c>
      <c r="M232" s="2" t="s">
        <v>3084</v>
      </c>
      <c r="N232" s="2" t="s">
        <v>3085</v>
      </c>
      <c r="O232" s="3" t="s">
        <v>1750</v>
      </c>
      <c r="Q232" s="3" t="s">
        <v>68</v>
      </c>
      <c r="R232" s="3" t="s">
        <v>3086</v>
      </c>
      <c r="T232" s="3" t="s">
        <v>70</v>
      </c>
      <c r="U232" s="4">
        <v>2</v>
      </c>
      <c r="V232" s="4">
        <v>2</v>
      </c>
      <c r="W232" s="5" t="s">
        <v>3087</v>
      </c>
      <c r="X232" s="5" t="s">
        <v>3087</v>
      </c>
      <c r="Y232" s="5" t="s">
        <v>3088</v>
      </c>
      <c r="Z232" s="5" t="s">
        <v>3088</v>
      </c>
      <c r="AA232" s="4">
        <v>298</v>
      </c>
      <c r="AB232" s="4">
        <v>247</v>
      </c>
      <c r="AC232" s="4">
        <v>247</v>
      </c>
      <c r="AD232" s="4">
        <v>3</v>
      </c>
      <c r="AE232" s="4">
        <v>3</v>
      </c>
      <c r="AF232" s="4">
        <v>21</v>
      </c>
      <c r="AG232" s="4">
        <v>21</v>
      </c>
      <c r="AH232" s="4">
        <v>10</v>
      </c>
      <c r="AI232" s="4">
        <v>10</v>
      </c>
      <c r="AJ232" s="4">
        <v>3</v>
      </c>
      <c r="AK232" s="4">
        <v>3</v>
      </c>
      <c r="AL232" s="4">
        <v>10</v>
      </c>
      <c r="AM232" s="4">
        <v>10</v>
      </c>
      <c r="AN232" s="4">
        <v>2</v>
      </c>
      <c r="AO232" s="4">
        <v>2</v>
      </c>
      <c r="AP232" s="4">
        <v>0</v>
      </c>
      <c r="AQ232" s="4">
        <v>0</v>
      </c>
      <c r="AR232" s="3" t="s">
        <v>62</v>
      </c>
      <c r="AS232" s="3" t="s">
        <v>62</v>
      </c>
      <c r="AU232" s="6" t="str">
        <f>HYPERLINK("https://creighton-primo.hosted.exlibrisgroup.com/primo-explore/search?tab=default_tab&amp;search_scope=EVERYTHING&amp;vid=01CRU&amp;lang=en_US&amp;offset=0&amp;query=any,contains,991001948709702656","Catalog Record")</f>
        <v>Catalog Record</v>
      </c>
      <c r="AV232" s="6" t="str">
        <f>HYPERLINK("http://www.worldcat.org/oclc/24629118","WorldCat Record")</f>
        <v>WorldCat Record</v>
      </c>
      <c r="AW232" s="3" t="s">
        <v>3089</v>
      </c>
      <c r="AX232" s="3" t="s">
        <v>3090</v>
      </c>
      <c r="AY232" s="3" t="s">
        <v>3091</v>
      </c>
      <c r="AZ232" s="3" t="s">
        <v>3091</v>
      </c>
      <c r="BA232" s="3" t="s">
        <v>3092</v>
      </c>
      <c r="BB232" s="3" t="s">
        <v>77</v>
      </c>
      <c r="BD232" s="3" t="s">
        <v>3093</v>
      </c>
      <c r="BE232" s="3" t="s">
        <v>3094</v>
      </c>
      <c r="BF232" s="3" t="s">
        <v>3095</v>
      </c>
    </row>
    <row r="233" spans="1:58" ht="41.25" customHeight="1" x14ac:dyDescent="0.25">
      <c r="A233" s="7" t="s">
        <v>62</v>
      </c>
      <c r="B233" s="2" t="s">
        <v>57</v>
      </c>
      <c r="C233" s="2" t="s">
        <v>58</v>
      </c>
      <c r="D233" s="2" t="s">
        <v>3096</v>
      </c>
      <c r="E233" s="2" t="s">
        <v>3097</v>
      </c>
      <c r="F233" s="2" t="s">
        <v>3098</v>
      </c>
      <c r="H233" s="3" t="s">
        <v>62</v>
      </c>
      <c r="I233" s="3" t="s">
        <v>63</v>
      </c>
      <c r="J233" s="3" t="s">
        <v>62</v>
      </c>
      <c r="K233" s="3" t="s">
        <v>62</v>
      </c>
      <c r="L233" s="3" t="s">
        <v>64</v>
      </c>
      <c r="M233" s="2" t="s">
        <v>3099</v>
      </c>
      <c r="N233" s="2" t="s">
        <v>3100</v>
      </c>
      <c r="O233" s="3" t="s">
        <v>516</v>
      </c>
      <c r="Q233" s="3" t="s">
        <v>68</v>
      </c>
      <c r="R233" s="3" t="s">
        <v>88</v>
      </c>
      <c r="S233" s="2" t="s">
        <v>3101</v>
      </c>
      <c r="T233" s="3" t="s">
        <v>70</v>
      </c>
      <c r="U233" s="4">
        <v>5</v>
      </c>
      <c r="V233" s="4">
        <v>5</v>
      </c>
      <c r="W233" s="5" t="s">
        <v>3102</v>
      </c>
      <c r="X233" s="5" t="s">
        <v>3102</v>
      </c>
      <c r="Y233" s="5" t="s">
        <v>2515</v>
      </c>
      <c r="Z233" s="5" t="s">
        <v>2515</v>
      </c>
      <c r="AA233" s="4">
        <v>227</v>
      </c>
      <c r="AB233" s="4">
        <v>150</v>
      </c>
      <c r="AC233" s="4">
        <v>213</v>
      </c>
      <c r="AD233" s="4">
        <v>1</v>
      </c>
      <c r="AE233" s="4">
        <v>2</v>
      </c>
      <c r="AF233" s="4">
        <v>11</v>
      </c>
      <c r="AG233" s="4">
        <v>14</v>
      </c>
      <c r="AH233" s="4">
        <v>4</v>
      </c>
      <c r="AI233" s="4">
        <v>5</v>
      </c>
      <c r="AJ233" s="4">
        <v>0</v>
      </c>
      <c r="AK233" s="4">
        <v>0</v>
      </c>
      <c r="AL233" s="4">
        <v>11</v>
      </c>
      <c r="AM233" s="4">
        <v>12</v>
      </c>
      <c r="AN233" s="4">
        <v>0</v>
      </c>
      <c r="AO233" s="4">
        <v>1</v>
      </c>
      <c r="AP233" s="4">
        <v>0</v>
      </c>
      <c r="AQ233" s="4">
        <v>0</v>
      </c>
      <c r="AR233" s="3" t="s">
        <v>62</v>
      </c>
      <c r="AS233" s="3" t="s">
        <v>62</v>
      </c>
      <c r="AU233" s="6" t="str">
        <f>HYPERLINK("https://creighton-primo.hosted.exlibrisgroup.com/primo-explore/search?tab=default_tab&amp;search_scope=EVERYTHING&amp;vid=01CRU&amp;lang=en_US&amp;offset=0&amp;query=any,contains,991002078299702656","Catalog Record")</f>
        <v>Catalog Record</v>
      </c>
      <c r="AV233" s="6" t="str">
        <f>HYPERLINK("http://www.worldcat.org/oclc/263996","WorldCat Record")</f>
        <v>WorldCat Record</v>
      </c>
      <c r="AW233" s="3" t="s">
        <v>3103</v>
      </c>
      <c r="AX233" s="3" t="s">
        <v>3104</v>
      </c>
      <c r="AY233" s="3" t="s">
        <v>3105</v>
      </c>
      <c r="AZ233" s="3" t="s">
        <v>3105</v>
      </c>
      <c r="BA233" s="3" t="s">
        <v>3106</v>
      </c>
      <c r="BB233" s="3" t="s">
        <v>77</v>
      </c>
      <c r="BE233" s="3" t="s">
        <v>3107</v>
      </c>
      <c r="BF233" s="3" t="s">
        <v>3108</v>
      </c>
    </row>
    <row r="234" spans="1:58" ht="41.25" customHeight="1" x14ac:dyDescent="0.25">
      <c r="A234" s="7" t="s">
        <v>62</v>
      </c>
      <c r="B234" s="2" t="s">
        <v>57</v>
      </c>
      <c r="C234" s="2" t="s">
        <v>58</v>
      </c>
      <c r="D234" s="2" t="s">
        <v>3109</v>
      </c>
      <c r="E234" s="2" t="s">
        <v>3110</v>
      </c>
      <c r="F234" s="2" t="s">
        <v>3111</v>
      </c>
      <c r="G234" s="3" t="s">
        <v>245</v>
      </c>
      <c r="H234" s="3" t="s">
        <v>62</v>
      </c>
      <c r="I234" s="3" t="s">
        <v>63</v>
      </c>
      <c r="J234" s="3" t="s">
        <v>62</v>
      </c>
      <c r="K234" s="3" t="s">
        <v>62</v>
      </c>
      <c r="L234" s="3" t="s">
        <v>64</v>
      </c>
      <c r="M234" s="2" t="s">
        <v>2663</v>
      </c>
      <c r="N234" s="2" t="s">
        <v>3112</v>
      </c>
      <c r="O234" s="3" t="s">
        <v>137</v>
      </c>
      <c r="P234" s="2" t="s">
        <v>834</v>
      </c>
      <c r="Q234" s="3" t="s">
        <v>68</v>
      </c>
      <c r="R234" s="3" t="s">
        <v>204</v>
      </c>
      <c r="S234" s="2" t="s">
        <v>3113</v>
      </c>
      <c r="T234" s="3" t="s">
        <v>70</v>
      </c>
      <c r="U234" s="4">
        <v>1</v>
      </c>
      <c r="V234" s="4">
        <v>1</v>
      </c>
      <c r="W234" s="5" t="s">
        <v>3114</v>
      </c>
      <c r="X234" s="5" t="s">
        <v>3114</v>
      </c>
      <c r="Y234" s="5" t="s">
        <v>808</v>
      </c>
      <c r="Z234" s="5" t="s">
        <v>808</v>
      </c>
      <c r="AA234" s="4">
        <v>408</v>
      </c>
      <c r="AB234" s="4">
        <v>370</v>
      </c>
      <c r="AC234" s="4">
        <v>383</v>
      </c>
      <c r="AD234" s="4">
        <v>1</v>
      </c>
      <c r="AE234" s="4">
        <v>1</v>
      </c>
      <c r="AF234" s="4">
        <v>22</v>
      </c>
      <c r="AG234" s="4">
        <v>24</v>
      </c>
      <c r="AH234" s="4">
        <v>12</v>
      </c>
      <c r="AI234" s="4">
        <v>13</v>
      </c>
      <c r="AJ234" s="4">
        <v>3</v>
      </c>
      <c r="AK234" s="4">
        <v>3</v>
      </c>
      <c r="AL234" s="4">
        <v>15</v>
      </c>
      <c r="AM234" s="4">
        <v>16</v>
      </c>
      <c r="AN234" s="4">
        <v>0</v>
      </c>
      <c r="AO234" s="4">
        <v>0</v>
      </c>
      <c r="AP234" s="4">
        <v>0</v>
      </c>
      <c r="AQ234" s="4">
        <v>0</v>
      </c>
      <c r="AR234" s="3" t="s">
        <v>62</v>
      </c>
      <c r="AS234" s="3" t="s">
        <v>84</v>
      </c>
      <c r="AT234" s="6" t="str">
        <f>HYPERLINK("http://catalog.hathitrust.org/Record/007116606","HathiTrust Record")</f>
        <v>HathiTrust Record</v>
      </c>
      <c r="AU234" s="6" t="str">
        <f>HYPERLINK("https://creighton-primo.hosted.exlibrisgroup.com/primo-explore/search?tab=default_tab&amp;search_scope=EVERYTHING&amp;vid=01CRU&amp;lang=en_US&amp;offset=0&amp;query=any,contains,991005126249702656","Catalog Record")</f>
        <v>Catalog Record</v>
      </c>
      <c r="AV234" s="6" t="str">
        <f>HYPERLINK("http://www.worldcat.org/oclc/7553748","WorldCat Record")</f>
        <v>WorldCat Record</v>
      </c>
      <c r="AW234" s="3" t="s">
        <v>3115</v>
      </c>
      <c r="AX234" s="3" t="s">
        <v>3116</v>
      </c>
      <c r="AY234" s="3" t="s">
        <v>3117</v>
      </c>
      <c r="AZ234" s="3" t="s">
        <v>3117</v>
      </c>
      <c r="BA234" s="3" t="s">
        <v>3118</v>
      </c>
      <c r="BB234" s="3" t="s">
        <v>77</v>
      </c>
      <c r="BD234" s="3" t="s">
        <v>3119</v>
      </c>
      <c r="BE234" s="3" t="s">
        <v>3120</v>
      </c>
      <c r="BF234" s="3" t="s">
        <v>3121</v>
      </c>
    </row>
    <row r="235" spans="1:58" ht="41.25" customHeight="1" x14ac:dyDescent="0.25">
      <c r="A235" s="7" t="s">
        <v>62</v>
      </c>
      <c r="B235" s="2" t="s">
        <v>57</v>
      </c>
      <c r="C235" s="2" t="s">
        <v>58</v>
      </c>
      <c r="D235" s="2" t="s">
        <v>3122</v>
      </c>
      <c r="E235" s="2" t="s">
        <v>3123</v>
      </c>
      <c r="F235" s="2" t="s">
        <v>3124</v>
      </c>
      <c r="G235" s="3" t="s">
        <v>242</v>
      </c>
      <c r="H235" s="3" t="s">
        <v>62</v>
      </c>
      <c r="I235" s="3" t="s">
        <v>63</v>
      </c>
      <c r="J235" s="3" t="s">
        <v>62</v>
      </c>
      <c r="K235" s="3" t="s">
        <v>62</v>
      </c>
      <c r="L235" s="3" t="s">
        <v>64</v>
      </c>
      <c r="M235" s="2" t="s">
        <v>2663</v>
      </c>
      <c r="N235" s="2" t="s">
        <v>3125</v>
      </c>
      <c r="O235" s="3" t="s">
        <v>1251</v>
      </c>
      <c r="Q235" s="3" t="s">
        <v>68</v>
      </c>
      <c r="R235" s="3" t="s">
        <v>531</v>
      </c>
      <c r="S235" s="2" t="s">
        <v>3126</v>
      </c>
      <c r="T235" s="3" t="s">
        <v>70</v>
      </c>
      <c r="U235" s="4">
        <v>1</v>
      </c>
      <c r="V235" s="4">
        <v>1</v>
      </c>
      <c r="W235" s="5" t="s">
        <v>3127</v>
      </c>
      <c r="X235" s="5" t="s">
        <v>3127</v>
      </c>
      <c r="Y235" s="5" t="s">
        <v>3128</v>
      </c>
      <c r="Z235" s="5" t="s">
        <v>3128</v>
      </c>
      <c r="AA235" s="4">
        <v>301</v>
      </c>
      <c r="AB235" s="4">
        <v>257</v>
      </c>
      <c r="AC235" s="4">
        <v>262</v>
      </c>
      <c r="AD235" s="4">
        <v>1</v>
      </c>
      <c r="AE235" s="4">
        <v>1</v>
      </c>
      <c r="AF235" s="4">
        <v>12</v>
      </c>
      <c r="AG235" s="4">
        <v>12</v>
      </c>
      <c r="AH235" s="4">
        <v>4</v>
      </c>
      <c r="AI235" s="4">
        <v>4</v>
      </c>
      <c r="AJ235" s="4">
        <v>2</v>
      </c>
      <c r="AK235" s="4">
        <v>2</v>
      </c>
      <c r="AL235" s="4">
        <v>8</v>
      </c>
      <c r="AM235" s="4">
        <v>8</v>
      </c>
      <c r="AN235" s="4">
        <v>0</v>
      </c>
      <c r="AO235" s="4">
        <v>0</v>
      </c>
      <c r="AP235" s="4">
        <v>0</v>
      </c>
      <c r="AQ235" s="4">
        <v>0</v>
      </c>
      <c r="AR235" s="3" t="s">
        <v>62</v>
      </c>
      <c r="AS235" s="3" t="s">
        <v>62</v>
      </c>
      <c r="AU235" s="6" t="str">
        <f>HYPERLINK("https://creighton-primo.hosted.exlibrisgroup.com/primo-explore/search?tab=default_tab&amp;search_scope=EVERYTHING&amp;vid=01CRU&amp;lang=en_US&amp;offset=0&amp;query=any,contains,991001235679702656","Catalog Record")</f>
        <v>Catalog Record</v>
      </c>
      <c r="AV235" s="6" t="str">
        <f>HYPERLINK("http://www.worldcat.org/oclc/17550213","WorldCat Record")</f>
        <v>WorldCat Record</v>
      </c>
      <c r="AW235" s="3" t="s">
        <v>3129</v>
      </c>
      <c r="AX235" s="3" t="s">
        <v>3130</v>
      </c>
      <c r="AY235" s="3" t="s">
        <v>3131</v>
      </c>
      <c r="AZ235" s="3" t="s">
        <v>3131</v>
      </c>
      <c r="BA235" s="3" t="s">
        <v>3132</v>
      </c>
      <c r="BB235" s="3" t="s">
        <v>77</v>
      </c>
      <c r="BD235" s="3" t="s">
        <v>3133</v>
      </c>
      <c r="BE235" s="3" t="s">
        <v>3134</v>
      </c>
      <c r="BF235" s="3" t="s">
        <v>3135</v>
      </c>
    </row>
    <row r="236" spans="1:58" ht="41.25" customHeight="1" x14ac:dyDescent="0.25">
      <c r="A236" s="7" t="s">
        <v>62</v>
      </c>
      <c r="B236" s="2" t="s">
        <v>57</v>
      </c>
      <c r="C236" s="2" t="s">
        <v>58</v>
      </c>
      <c r="D236" s="2" t="s">
        <v>3136</v>
      </c>
      <c r="E236" s="2" t="s">
        <v>3137</v>
      </c>
      <c r="F236" s="2" t="s">
        <v>3138</v>
      </c>
      <c r="H236" s="3" t="s">
        <v>62</v>
      </c>
      <c r="I236" s="3" t="s">
        <v>63</v>
      </c>
      <c r="J236" s="3" t="s">
        <v>62</v>
      </c>
      <c r="K236" s="3" t="s">
        <v>62</v>
      </c>
      <c r="L236" s="3" t="s">
        <v>64</v>
      </c>
      <c r="M236" s="2" t="s">
        <v>2663</v>
      </c>
      <c r="N236" s="2" t="s">
        <v>3139</v>
      </c>
      <c r="O236" s="3" t="s">
        <v>1805</v>
      </c>
      <c r="Q236" s="3" t="s">
        <v>68</v>
      </c>
      <c r="R236" s="3" t="s">
        <v>531</v>
      </c>
      <c r="T236" s="3" t="s">
        <v>70</v>
      </c>
      <c r="U236" s="4">
        <v>1</v>
      </c>
      <c r="V236" s="4">
        <v>1</v>
      </c>
      <c r="W236" s="5" t="s">
        <v>1351</v>
      </c>
      <c r="X236" s="5" t="s">
        <v>1351</v>
      </c>
      <c r="Y236" s="5" t="s">
        <v>808</v>
      </c>
      <c r="Z236" s="5" t="s">
        <v>808</v>
      </c>
      <c r="AA236" s="4">
        <v>549</v>
      </c>
      <c r="AB236" s="4">
        <v>484</v>
      </c>
      <c r="AC236" s="4">
        <v>499</v>
      </c>
      <c r="AD236" s="4">
        <v>2</v>
      </c>
      <c r="AE236" s="4">
        <v>2</v>
      </c>
      <c r="AF236" s="4">
        <v>28</v>
      </c>
      <c r="AG236" s="4">
        <v>28</v>
      </c>
      <c r="AH236" s="4">
        <v>11</v>
      </c>
      <c r="AI236" s="4">
        <v>11</v>
      </c>
      <c r="AJ236" s="4">
        <v>7</v>
      </c>
      <c r="AK236" s="4">
        <v>7</v>
      </c>
      <c r="AL236" s="4">
        <v>18</v>
      </c>
      <c r="AM236" s="4">
        <v>18</v>
      </c>
      <c r="AN236" s="4">
        <v>1</v>
      </c>
      <c r="AO236" s="4">
        <v>1</v>
      </c>
      <c r="AP236" s="4">
        <v>0</v>
      </c>
      <c r="AQ236" s="4">
        <v>0</v>
      </c>
      <c r="AR236" s="3" t="s">
        <v>62</v>
      </c>
      <c r="AS236" s="3" t="s">
        <v>62</v>
      </c>
      <c r="AU236" s="6" t="str">
        <f>HYPERLINK("https://creighton-primo.hosted.exlibrisgroup.com/primo-explore/search?tab=default_tab&amp;search_scope=EVERYTHING&amp;vid=01CRU&amp;lang=en_US&amp;offset=0&amp;query=any,contains,991005195399702656","Catalog Record")</f>
        <v>Catalog Record</v>
      </c>
      <c r="AV236" s="6" t="str">
        <f>HYPERLINK("http://www.worldcat.org/oclc/8034806","WorldCat Record")</f>
        <v>WorldCat Record</v>
      </c>
      <c r="AW236" s="3" t="s">
        <v>3140</v>
      </c>
      <c r="AX236" s="3" t="s">
        <v>3141</v>
      </c>
      <c r="AY236" s="3" t="s">
        <v>3142</v>
      </c>
      <c r="AZ236" s="3" t="s">
        <v>3142</v>
      </c>
      <c r="BA236" s="3" t="s">
        <v>3143</v>
      </c>
      <c r="BB236" s="3" t="s">
        <v>77</v>
      </c>
      <c r="BD236" s="3" t="s">
        <v>3144</v>
      </c>
      <c r="BE236" s="3" t="s">
        <v>3145</v>
      </c>
      <c r="BF236" s="3" t="s">
        <v>3146</v>
      </c>
    </row>
    <row r="237" spans="1:58" ht="41.25" customHeight="1" x14ac:dyDescent="0.25">
      <c r="A237" s="7" t="s">
        <v>62</v>
      </c>
      <c r="B237" s="2" t="s">
        <v>57</v>
      </c>
      <c r="C237" s="2" t="s">
        <v>58</v>
      </c>
      <c r="D237" s="2" t="s">
        <v>3147</v>
      </c>
      <c r="E237" s="2" t="s">
        <v>3148</v>
      </c>
      <c r="F237" s="2" t="s">
        <v>3149</v>
      </c>
      <c r="H237" s="3" t="s">
        <v>62</v>
      </c>
      <c r="I237" s="3" t="s">
        <v>63</v>
      </c>
      <c r="J237" s="3" t="s">
        <v>62</v>
      </c>
      <c r="K237" s="3" t="s">
        <v>62</v>
      </c>
      <c r="L237" s="3" t="s">
        <v>64</v>
      </c>
      <c r="M237" s="2" t="s">
        <v>2663</v>
      </c>
      <c r="N237" s="2" t="s">
        <v>3150</v>
      </c>
      <c r="O237" s="3" t="s">
        <v>165</v>
      </c>
      <c r="P237" s="2" t="s">
        <v>834</v>
      </c>
      <c r="Q237" s="3" t="s">
        <v>68</v>
      </c>
      <c r="R237" s="3" t="s">
        <v>69</v>
      </c>
      <c r="T237" s="3" t="s">
        <v>70</v>
      </c>
      <c r="U237" s="4">
        <v>2</v>
      </c>
      <c r="V237" s="4">
        <v>2</v>
      </c>
      <c r="W237" s="5" t="s">
        <v>3151</v>
      </c>
      <c r="X237" s="5" t="s">
        <v>3151</v>
      </c>
      <c r="Y237" s="5" t="s">
        <v>808</v>
      </c>
      <c r="Z237" s="5" t="s">
        <v>808</v>
      </c>
      <c r="AA237" s="4">
        <v>719</v>
      </c>
      <c r="AB237" s="4">
        <v>651</v>
      </c>
      <c r="AC237" s="4">
        <v>678</v>
      </c>
      <c r="AD237" s="4">
        <v>3</v>
      </c>
      <c r="AE237" s="4">
        <v>3</v>
      </c>
      <c r="AF237" s="4">
        <v>31</v>
      </c>
      <c r="AG237" s="4">
        <v>32</v>
      </c>
      <c r="AH237" s="4">
        <v>13</v>
      </c>
      <c r="AI237" s="4">
        <v>13</v>
      </c>
      <c r="AJ237" s="4">
        <v>8</v>
      </c>
      <c r="AK237" s="4">
        <v>8</v>
      </c>
      <c r="AL237" s="4">
        <v>18</v>
      </c>
      <c r="AM237" s="4">
        <v>19</v>
      </c>
      <c r="AN237" s="4">
        <v>2</v>
      </c>
      <c r="AO237" s="4">
        <v>2</v>
      </c>
      <c r="AP237" s="4">
        <v>0</v>
      </c>
      <c r="AQ237" s="4">
        <v>0</v>
      </c>
      <c r="AR237" s="3" t="s">
        <v>62</v>
      </c>
      <c r="AS237" s="3" t="s">
        <v>84</v>
      </c>
      <c r="AT237" s="6" t="str">
        <f>HYPERLINK("http://catalog.hathitrust.org/Record/000086675","HathiTrust Record")</f>
        <v>HathiTrust Record</v>
      </c>
      <c r="AU237" s="6" t="str">
        <f>HYPERLINK("https://creighton-primo.hosted.exlibrisgroup.com/primo-explore/search?tab=default_tab&amp;search_scope=EVERYTHING&amp;vid=01CRU&amp;lang=en_US&amp;offset=0&amp;query=any,contains,991004177559702656","Catalog Record")</f>
        <v>Catalog Record</v>
      </c>
      <c r="AV237" s="6" t="str">
        <f>HYPERLINK("http://www.worldcat.org/oclc/2597489","WorldCat Record")</f>
        <v>WorldCat Record</v>
      </c>
      <c r="AW237" s="3" t="s">
        <v>3152</v>
      </c>
      <c r="AX237" s="3" t="s">
        <v>3153</v>
      </c>
      <c r="AY237" s="3" t="s">
        <v>3154</v>
      </c>
      <c r="AZ237" s="3" t="s">
        <v>3154</v>
      </c>
      <c r="BA237" s="3" t="s">
        <v>3155</v>
      </c>
      <c r="BB237" s="3" t="s">
        <v>77</v>
      </c>
      <c r="BD237" s="3" t="s">
        <v>3156</v>
      </c>
      <c r="BE237" s="3" t="s">
        <v>3157</v>
      </c>
      <c r="BF237" s="3" t="s">
        <v>3158</v>
      </c>
    </row>
    <row r="238" spans="1:58" ht="41.25" customHeight="1" x14ac:dyDescent="0.25">
      <c r="A238" s="7" t="s">
        <v>62</v>
      </c>
      <c r="B238" s="2" t="s">
        <v>57</v>
      </c>
      <c r="C238" s="2" t="s">
        <v>58</v>
      </c>
      <c r="D238" s="2" t="s">
        <v>3159</v>
      </c>
      <c r="E238" s="2" t="s">
        <v>3160</v>
      </c>
      <c r="F238" s="2" t="s">
        <v>3161</v>
      </c>
      <c r="H238" s="3" t="s">
        <v>62</v>
      </c>
      <c r="I238" s="3" t="s">
        <v>63</v>
      </c>
      <c r="J238" s="3" t="s">
        <v>62</v>
      </c>
      <c r="K238" s="3" t="s">
        <v>62</v>
      </c>
      <c r="L238" s="3" t="s">
        <v>64</v>
      </c>
      <c r="M238" s="2" t="s">
        <v>3162</v>
      </c>
      <c r="N238" s="2" t="s">
        <v>3163</v>
      </c>
      <c r="O238" s="3" t="s">
        <v>3164</v>
      </c>
      <c r="Q238" s="3" t="s">
        <v>68</v>
      </c>
      <c r="R238" s="3" t="s">
        <v>88</v>
      </c>
      <c r="S238" s="2" t="s">
        <v>3165</v>
      </c>
      <c r="T238" s="3" t="s">
        <v>70</v>
      </c>
      <c r="U238" s="4">
        <v>2</v>
      </c>
      <c r="V238" s="4">
        <v>2</v>
      </c>
      <c r="W238" s="5" t="s">
        <v>3166</v>
      </c>
      <c r="X238" s="5" t="s">
        <v>3166</v>
      </c>
      <c r="Y238" s="5" t="s">
        <v>2515</v>
      </c>
      <c r="Z238" s="5" t="s">
        <v>2515</v>
      </c>
      <c r="AA238" s="4">
        <v>137</v>
      </c>
      <c r="AB238" s="4">
        <v>108</v>
      </c>
      <c r="AC238" s="4">
        <v>227</v>
      </c>
      <c r="AD238" s="4">
        <v>2</v>
      </c>
      <c r="AE238" s="4">
        <v>2</v>
      </c>
      <c r="AF238" s="4">
        <v>6</v>
      </c>
      <c r="AG238" s="4">
        <v>9</v>
      </c>
      <c r="AH238" s="4">
        <v>4</v>
      </c>
      <c r="AI238" s="4">
        <v>4</v>
      </c>
      <c r="AJ238" s="4">
        <v>1</v>
      </c>
      <c r="AK238" s="4">
        <v>2</v>
      </c>
      <c r="AL238" s="4">
        <v>1</v>
      </c>
      <c r="AM238" s="4">
        <v>4</v>
      </c>
      <c r="AN238" s="4">
        <v>1</v>
      </c>
      <c r="AO238" s="4">
        <v>1</v>
      </c>
      <c r="AP238" s="4">
        <v>0</v>
      </c>
      <c r="AQ238" s="4">
        <v>0</v>
      </c>
      <c r="AR238" s="3" t="s">
        <v>84</v>
      </c>
      <c r="AS238" s="3" t="s">
        <v>62</v>
      </c>
      <c r="AT238" s="6" t="str">
        <f>HYPERLINK("http://catalog.hathitrust.org/Record/005776173","HathiTrust Record")</f>
        <v>HathiTrust Record</v>
      </c>
      <c r="AU238" s="6" t="str">
        <f>HYPERLINK("https://creighton-primo.hosted.exlibrisgroup.com/primo-explore/search?tab=default_tab&amp;search_scope=EVERYTHING&amp;vid=01CRU&amp;lang=en_US&amp;offset=0&amp;query=any,contains,991003743269702656","Catalog Record")</f>
        <v>Catalog Record</v>
      </c>
      <c r="AV238" s="6" t="str">
        <f>HYPERLINK("http://www.worldcat.org/oclc/1410781","WorldCat Record")</f>
        <v>WorldCat Record</v>
      </c>
      <c r="AW238" s="3" t="s">
        <v>3167</v>
      </c>
      <c r="AX238" s="3" t="s">
        <v>3168</v>
      </c>
      <c r="AY238" s="3" t="s">
        <v>3169</v>
      </c>
      <c r="AZ238" s="3" t="s">
        <v>3169</v>
      </c>
      <c r="BA238" s="3" t="s">
        <v>3170</v>
      </c>
      <c r="BB238" s="3" t="s">
        <v>77</v>
      </c>
      <c r="BE238" s="3" t="s">
        <v>3171</v>
      </c>
      <c r="BF238" s="3" t="s">
        <v>3172</v>
      </c>
    </row>
    <row r="239" spans="1:58" ht="41.25" customHeight="1" x14ac:dyDescent="0.25">
      <c r="A239" s="7" t="s">
        <v>62</v>
      </c>
      <c r="B239" s="2" t="s">
        <v>57</v>
      </c>
      <c r="C239" s="2" t="s">
        <v>58</v>
      </c>
      <c r="D239" s="2" t="s">
        <v>3173</v>
      </c>
      <c r="E239" s="2" t="s">
        <v>3174</v>
      </c>
      <c r="F239" s="2" t="s">
        <v>3175</v>
      </c>
      <c r="H239" s="3" t="s">
        <v>62</v>
      </c>
      <c r="I239" s="3" t="s">
        <v>63</v>
      </c>
      <c r="J239" s="3" t="s">
        <v>62</v>
      </c>
      <c r="K239" s="3" t="s">
        <v>62</v>
      </c>
      <c r="L239" s="3" t="s">
        <v>64</v>
      </c>
      <c r="M239" s="2" t="s">
        <v>3176</v>
      </c>
      <c r="N239" s="2" t="s">
        <v>3177</v>
      </c>
      <c r="O239" s="3" t="s">
        <v>2067</v>
      </c>
      <c r="Q239" s="3" t="s">
        <v>68</v>
      </c>
      <c r="R239" s="3" t="s">
        <v>69</v>
      </c>
      <c r="T239" s="3" t="s">
        <v>70</v>
      </c>
      <c r="U239" s="4">
        <v>2</v>
      </c>
      <c r="V239" s="4">
        <v>2</v>
      </c>
      <c r="W239" s="5" t="s">
        <v>3178</v>
      </c>
      <c r="X239" s="5" t="s">
        <v>3178</v>
      </c>
      <c r="Y239" s="5" t="s">
        <v>2515</v>
      </c>
      <c r="Z239" s="5" t="s">
        <v>2515</v>
      </c>
      <c r="AA239" s="4">
        <v>39</v>
      </c>
      <c r="AB239" s="4">
        <v>38</v>
      </c>
      <c r="AC239" s="4">
        <v>441</v>
      </c>
      <c r="AD239" s="4">
        <v>1</v>
      </c>
      <c r="AE239" s="4">
        <v>2</v>
      </c>
      <c r="AF239" s="4">
        <v>4</v>
      </c>
      <c r="AG239" s="4">
        <v>28</v>
      </c>
      <c r="AH239" s="4">
        <v>0</v>
      </c>
      <c r="AI239" s="4">
        <v>9</v>
      </c>
      <c r="AJ239" s="4">
        <v>1</v>
      </c>
      <c r="AK239" s="4">
        <v>7</v>
      </c>
      <c r="AL239" s="4">
        <v>3</v>
      </c>
      <c r="AM239" s="4">
        <v>20</v>
      </c>
      <c r="AN239" s="4">
        <v>0</v>
      </c>
      <c r="AO239" s="4">
        <v>1</v>
      </c>
      <c r="AP239" s="4">
        <v>0</v>
      </c>
      <c r="AQ239" s="4">
        <v>0</v>
      </c>
      <c r="AR239" s="3" t="s">
        <v>62</v>
      </c>
      <c r="AS239" s="3" t="s">
        <v>62</v>
      </c>
      <c r="AU239" s="6" t="str">
        <f>HYPERLINK("https://creighton-primo.hosted.exlibrisgroup.com/primo-explore/search?tab=default_tab&amp;search_scope=EVERYTHING&amp;vid=01CRU&amp;lang=en_US&amp;offset=0&amp;query=any,contains,991004827129702656","Catalog Record")</f>
        <v>Catalog Record</v>
      </c>
      <c r="AV239" s="6" t="str">
        <f>HYPERLINK("http://www.worldcat.org/oclc/5363282","WorldCat Record")</f>
        <v>WorldCat Record</v>
      </c>
      <c r="AW239" s="3" t="s">
        <v>3179</v>
      </c>
      <c r="AX239" s="3" t="s">
        <v>3180</v>
      </c>
      <c r="AY239" s="3" t="s">
        <v>3181</v>
      </c>
      <c r="AZ239" s="3" t="s">
        <v>3181</v>
      </c>
      <c r="BA239" s="3" t="s">
        <v>3182</v>
      </c>
      <c r="BB239" s="3" t="s">
        <v>77</v>
      </c>
      <c r="BE239" s="3" t="s">
        <v>3183</v>
      </c>
      <c r="BF239" s="3" t="s">
        <v>3184</v>
      </c>
    </row>
    <row r="240" spans="1:58" ht="41.25" customHeight="1" x14ac:dyDescent="0.25">
      <c r="A240" s="7" t="s">
        <v>62</v>
      </c>
      <c r="B240" s="2" t="s">
        <v>57</v>
      </c>
      <c r="C240" s="2" t="s">
        <v>58</v>
      </c>
      <c r="D240" s="2" t="s">
        <v>3185</v>
      </c>
      <c r="E240" s="2" t="s">
        <v>3186</v>
      </c>
      <c r="F240" s="2" t="s">
        <v>3187</v>
      </c>
      <c r="H240" s="3" t="s">
        <v>62</v>
      </c>
      <c r="I240" s="3" t="s">
        <v>63</v>
      </c>
      <c r="J240" s="3" t="s">
        <v>62</v>
      </c>
      <c r="K240" s="3" t="s">
        <v>62</v>
      </c>
      <c r="L240" s="3" t="s">
        <v>64</v>
      </c>
      <c r="M240" s="2" t="s">
        <v>3188</v>
      </c>
      <c r="N240" s="2" t="s">
        <v>3189</v>
      </c>
      <c r="O240" s="3" t="s">
        <v>590</v>
      </c>
      <c r="Q240" s="3" t="s">
        <v>68</v>
      </c>
      <c r="R240" s="3" t="s">
        <v>69</v>
      </c>
      <c r="T240" s="3" t="s">
        <v>70</v>
      </c>
      <c r="U240" s="4">
        <v>9</v>
      </c>
      <c r="V240" s="4">
        <v>9</v>
      </c>
      <c r="W240" s="5" t="s">
        <v>3190</v>
      </c>
      <c r="X240" s="5" t="s">
        <v>3190</v>
      </c>
      <c r="Y240" s="5" t="s">
        <v>2515</v>
      </c>
      <c r="Z240" s="5" t="s">
        <v>2515</v>
      </c>
      <c r="AA240" s="4">
        <v>690</v>
      </c>
      <c r="AB240" s="4">
        <v>647</v>
      </c>
      <c r="AC240" s="4">
        <v>654</v>
      </c>
      <c r="AD240" s="4">
        <v>5</v>
      </c>
      <c r="AE240" s="4">
        <v>5</v>
      </c>
      <c r="AF240" s="4">
        <v>19</v>
      </c>
      <c r="AG240" s="4">
        <v>19</v>
      </c>
      <c r="AH240" s="4">
        <v>8</v>
      </c>
      <c r="AI240" s="4">
        <v>8</v>
      </c>
      <c r="AJ240" s="4">
        <v>5</v>
      </c>
      <c r="AK240" s="4">
        <v>5</v>
      </c>
      <c r="AL240" s="4">
        <v>8</v>
      </c>
      <c r="AM240" s="4">
        <v>8</v>
      </c>
      <c r="AN240" s="4">
        <v>4</v>
      </c>
      <c r="AO240" s="4">
        <v>4</v>
      </c>
      <c r="AP240" s="4">
        <v>0</v>
      </c>
      <c r="AQ240" s="4">
        <v>0</v>
      </c>
      <c r="AR240" s="3" t="s">
        <v>62</v>
      </c>
      <c r="AS240" s="3" t="s">
        <v>84</v>
      </c>
      <c r="AT240" s="6" t="str">
        <f>HYPERLINK("http://catalog.hathitrust.org/Record/000268221","HathiTrust Record")</f>
        <v>HathiTrust Record</v>
      </c>
      <c r="AU240" s="6" t="str">
        <f>HYPERLINK("https://creighton-primo.hosted.exlibrisgroup.com/primo-explore/search?tab=default_tab&amp;search_scope=EVERYTHING&amp;vid=01CRU&amp;lang=en_US&amp;offset=0&amp;query=any,contains,991003349809702656","Catalog Record")</f>
        <v>Catalog Record</v>
      </c>
      <c r="AV240" s="6" t="str">
        <f>HYPERLINK("http://www.worldcat.org/oclc/882705","WorldCat Record")</f>
        <v>WorldCat Record</v>
      </c>
      <c r="AW240" s="3" t="s">
        <v>3191</v>
      </c>
      <c r="AX240" s="3" t="s">
        <v>3192</v>
      </c>
      <c r="AY240" s="3" t="s">
        <v>3193</v>
      </c>
      <c r="AZ240" s="3" t="s">
        <v>3193</v>
      </c>
      <c r="BA240" s="3" t="s">
        <v>3194</v>
      </c>
      <c r="BB240" s="3" t="s">
        <v>77</v>
      </c>
      <c r="BE240" s="3" t="s">
        <v>3195</v>
      </c>
      <c r="BF240" s="3" t="s">
        <v>3196</v>
      </c>
    </row>
    <row r="241" spans="1:58" ht="41.25" customHeight="1" x14ac:dyDescent="0.25">
      <c r="A241" s="7" t="s">
        <v>62</v>
      </c>
      <c r="B241" s="2" t="s">
        <v>57</v>
      </c>
      <c r="C241" s="2" t="s">
        <v>58</v>
      </c>
      <c r="D241" s="2" t="s">
        <v>3197</v>
      </c>
      <c r="E241" s="2" t="s">
        <v>3198</v>
      </c>
      <c r="F241" s="2" t="s">
        <v>3199</v>
      </c>
      <c r="H241" s="3" t="s">
        <v>62</v>
      </c>
      <c r="I241" s="3" t="s">
        <v>63</v>
      </c>
      <c r="J241" s="3" t="s">
        <v>62</v>
      </c>
      <c r="K241" s="3" t="s">
        <v>62</v>
      </c>
      <c r="L241" s="3" t="s">
        <v>64</v>
      </c>
      <c r="M241" s="2" t="s">
        <v>3200</v>
      </c>
      <c r="N241" s="2" t="s">
        <v>3201</v>
      </c>
      <c r="O241" s="3" t="s">
        <v>1158</v>
      </c>
      <c r="Q241" s="3" t="s">
        <v>68</v>
      </c>
      <c r="R241" s="3" t="s">
        <v>138</v>
      </c>
      <c r="T241" s="3" t="s">
        <v>70</v>
      </c>
      <c r="U241" s="4">
        <v>2</v>
      </c>
      <c r="V241" s="4">
        <v>2</v>
      </c>
      <c r="W241" s="5" t="s">
        <v>1172</v>
      </c>
      <c r="X241" s="5" t="s">
        <v>1172</v>
      </c>
      <c r="Y241" s="5" t="s">
        <v>2515</v>
      </c>
      <c r="Z241" s="5" t="s">
        <v>2515</v>
      </c>
      <c r="AA241" s="4">
        <v>98</v>
      </c>
      <c r="AB241" s="4">
        <v>83</v>
      </c>
      <c r="AC241" s="4">
        <v>383</v>
      </c>
      <c r="AD241" s="4">
        <v>1</v>
      </c>
      <c r="AE241" s="4">
        <v>3</v>
      </c>
      <c r="AF241" s="4">
        <v>2</v>
      </c>
      <c r="AG241" s="4">
        <v>16</v>
      </c>
      <c r="AH241" s="4">
        <v>1</v>
      </c>
      <c r="AI241" s="4">
        <v>5</v>
      </c>
      <c r="AJ241" s="4">
        <v>0</v>
      </c>
      <c r="AK241" s="4">
        <v>4</v>
      </c>
      <c r="AL241" s="4">
        <v>1</v>
      </c>
      <c r="AM241" s="4">
        <v>7</v>
      </c>
      <c r="AN241" s="4">
        <v>0</v>
      </c>
      <c r="AO241" s="4">
        <v>2</v>
      </c>
      <c r="AP241" s="4">
        <v>0</v>
      </c>
      <c r="AQ241" s="4">
        <v>0</v>
      </c>
      <c r="AR241" s="3" t="s">
        <v>62</v>
      </c>
      <c r="AS241" s="3" t="s">
        <v>84</v>
      </c>
      <c r="AT241" s="6" t="str">
        <f>HYPERLINK("http://catalog.hathitrust.org/Record/006811268","HathiTrust Record")</f>
        <v>HathiTrust Record</v>
      </c>
      <c r="AU241" s="6" t="str">
        <f>HYPERLINK("https://creighton-primo.hosted.exlibrisgroup.com/primo-explore/search?tab=default_tab&amp;search_scope=EVERYTHING&amp;vid=01CRU&amp;lang=en_US&amp;offset=0&amp;query=any,contains,991002885189702656","Catalog Record")</f>
        <v>Catalog Record</v>
      </c>
      <c r="AV241" s="6" t="str">
        <f>HYPERLINK("http://www.worldcat.org/oclc/508008","WorldCat Record")</f>
        <v>WorldCat Record</v>
      </c>
      <c r="AW241" s="3" t="s">
        <v>3202</v>
      </c>
      <c r="AX241" s="3" t="s">
        <v>3203</v>
      </c>
      <c r="AY241" s="3" t="s">
        <v>3204</v>
      </c>
      <c r="AZ241" s="3" t="s">
        <v>3204</v>
      </c>
      <c r="BA241" s="3" t="s">
        <v>3205</v>
      </c>
      <c r="BB241" s="3" t="s">
        <v>77</v>
      </c>
      <c r="BD241" s="3" t="s">
        <v>3206</v>
      </c>
      <c r="BE241" s="3" t="s">
        <v>3207</v>
      </c>
      <c r="BF241" s="3" t="s">
        <v>3208</v>
      </c>
    </row>
    <row r="242" spans="1:58" ht="41.25" customHeight="1" x14ac:dyDescent="0.25">
      <c r="A242" s="7" t="s">
        <v>62</v>
      </c>
      <c r="B242" s="2" t="s">
        <v>57</v>
      </c>
      <c r="C242" s="2" t="s">
        <v>58</v>
      </c>
      <c r="D242" s="2" t="s">
        <v>3209</v>
      </c>
      <c r="E242" s="2" t="s">
        <v>3210</v>
      </c>
      <c r="F242" s="2" t="s">
        <v>3211</v>
      </c>
      <c r="H242" s="3" t="s">
        <v>62</v>
      </c>
      <c r="I242" s="3" t="s">
        <v>63</v>
      </c>
      <c r="J242" s="3" t="s">
        <v>62</v>
      </c>
      <c r="K242" s="3" t="s">
        <v>62</v>
      </c>
      <c r="L242" s="3" t="s">
        <v>64</v>
      </c>
      <c r="M242" s="2" t="s">
        <v>2663</v>
      </c>
      <c r="N242" s="2" t="s">
        <v>3212</v>
      </c>
      <c r="O242" s="3" t="s">
        <v>218</v>
      </c>
      <c r="P242" s="2" t="s">
        <v>2054</v>
      </c>
      <c r="Q242" s="3" t="s">
        <v>68</v>
      </c>
      <c r="R242" s="3" t="s">
        <v>531</v>
      </c>
      <c r="T242" s="3" t="s">
        <v>70</v>
      </c>
      <c r="U242" s="4">
        <v>3</v>
      </c>
      <c r="V242" s="4">
        <v>3</v>
      </c>
      <c r="W242" s="5" t="s">
        <v>3213</v>
      </c>
      <c r="X242" s="5" t="s">
        <v>3213</v>
      </c>
      <c r="Y242" s="5" t="s">
        <v>2515</v>
      </c>
      <c r="Z242" s="5" t="s">
        <v>2515</v>
      </c>
      <c r="AA242" s="4">
        <v>454</v>
      </c>
      <c r="AB242" s="4">
        <v>359</v>
      </c>
      <c r="AC242" s="4">
        <v>767</v>
      </c>
      <c r="AD242" s="4">
        <v>3</v>
      </c>
      <c r="AE242" s="4">
        <v>5</v>
      </c>
      <c r="AF242" s="4">
        <v>8</v>
      </c>
      <c r="AG242" s="4">
        <v>34</v>
      </c>
      <c r="AH242" s="4">
        <v>2</v>
      </c>
      <c r="AI242" s="4">
        <v>11</v>
      </c>
      <c r="AJ242" s="4">
        <v>1</v>
      </c>
      <c r="AK242" s="4">
        <v>8</v>
      </c>
      <c r="AL242" s="4">
        <v>4</v>
      </c>
      <c r="AM242" s="4">
        <v>20</v>
      </c>
      <c r="AN242" s="4">
        <v>2</v>
      </c>
      <c r="AO242" s="4">
        <v>4</v>
      </c>
      <c r="AP242" s="4">
        <v>0</v>
      </c>
      <c r="AQ242" s="4">
        <v>0</v>
      </c>
      <c r="AR242" s="3" t="s">
        <v>62</v>
      </c>
      <c r="AS242" s="3" t="s">
        <v>62</v>
      </c>
      <c r="AU242" s="6" t="str">
        <f>HYPERLINK("https://creighton-primo.hosted.exlibrisgroup.com/primo-explore/search?tab=default_tab&amp;search_scope=EVERYTHING&amp;vid=01CRU&amp;lang=en_US&amp;offset=0&amp;query=any,contains,991004739119702656","Catalog Record")</f>
        <v>Catalog Record</v>
      </c>
      <c r="AV242" s="6" t="str">
        <f>HYPERLINK("http://www.worldcat.org/oclc/4873250","WorldCat Record")</f>
        <v>WorldCat Record</v>
      </c>
      <c r="AW242" s="3" t="s">
        <v>3214</v>
      </c>
      <c r="AX242" s="3" t="s">
        <v>3215</v>
      </c>
      <c r="AY242" s="3" t="s">
        <v>3216</v>
      </c>
      <c r="AZ242" s="3" t="s">
        <v>3216</v>
      </c>
      <c r="BA242" s="3" t="s">
        <v>3217</v>
      </c>
      <c r="BB242" s="3" t="s">
        <v>77</v>
      </c>
      <c r="BD242" s="3" t="s">
        <v>3218</v>
      </c>
      <c r="BE242" s="3" t="s">
        <v>3219</v>
      </c>
      <c r="BF242" s="3" t="s">
        <v>3220</v>
      </c>
    </row>
    <row r="243" spans="1:58" ht="41.25" customHeight="1" x14ac:dyDescent="0.25">
      <c r="A243" s="7" t="s">
        <v>62</v>
      </c>
      <c r="B243" s="2" t="s">
        <v>57</v>
      </c>
      <c r="C243" s="2" t="s">
        <v>58</v>
      </c>
      <c r="D243" s="2" t="s">
        <v>3221</v>
      </c>
      <c r="E243" s="2" t="s">
        <v>3222</v>
      </c>
      <c r="F243" s="2" t="s">
        <v>3223</v>
      </c>
      <c r="H243" s="3" t="s">
        <v>62</v>
      </c>
      <c r="I243" s="3" t="s">
        <v>63</v>
      </c>
      <c r="J243" s="3" t="s">
        <v>62</v>
      </c>
      <c r="K243" s="3" t="s">
        <v>62</v>
      </c>
      <c r="L243" s="3" t="s">
        <v>64</v>
      </c>
      <c r="M243" s="2" t="s">
        <v>3224</v>
      </c>
      <c r="N243" s="2" t="s">
        <v>3225</v>
      </c>
      <c r="O243" s="3" t="s">
        <v>561</v>
      </c>
      <c r="Q243" s="3" t="s">
        <v>68</v>
      </c>
      <c r="R243" s="3" t="s">
        <v>888</v>
      </c>
      <c r="S243" s="2" t="s">
        <v>3226</v>
      </c>
      <c r="T243" s="3" t="s">
        <v>70</v>
      </c>
      <c r="U243" s="4">
        <v>1</v>
      </c>
      <c r="V243" s="4">
        <v>1</v>
      </c>
      <c r="W243" s="5" t="s">
        <v>3227</v>
      </c>
      <c r="X243" s="5" t="s">
        <v>3227</v>
      </c>
      <c r="Y243" s="5" t="s">
        <v>2489</v>
      </c>
      <c r="Z243" s="5" t="s">
        <v>2489</v>
      </c>
      <c r="AA243" s="4">
        <v>499</v>
      </c>
      <c r="AB243" s="4">
        <v>461</v>
      </c>
      <c r="AC243" s="4">
        <v>472</v>
      </c>
      <c r="AD243" s="4">
        <v>2</v>
      </c>
      <c r="AE243" s="4">
        <v>2</v>
      </c>
      <c r="AF243" s="4">
        <v>23</v>
      </c>
      <c r="AG243" s="4">
        <v>23</v>
      </c>
      <c r="AH243" s="4">
        <v>5</v>
      </c>
      <c r="AI243" s="4">
        <v>5</v>
      </c>
      <c r="AJ243" s="4">
        <v>7</v>
      </c>
      <c r="AK243" s="4">
        <v>7</v>
      </c>
      <c r="AL243" s="4">
        <v>15</v>
      </c>
      <c r="AM243" s="4">
        <v>15</v>
      </c>
      <c r="AN243" s="4">
        <v>1</v>
      </c>
      <c r="AO243" s="4">
        <v>1</v>
      </c>
      <c r="AP243" s="4">
        <v>0</v>
      </c>
      <c r="AQ243" s="4">
        <v>0</v>
      </c>
      <c r="AR243" s="3" t="s">
        <v>62</v>
      </c>
      <c r="AS243" s="3" t="s">
        <v>84</v>
      </c>
      <c r="AT243" s="6" t="str">
        <f>HYPERLINK("http://catalog.hathitrust.org/Record/000868555","HathiTrust Record")</f>
        <v>HathiTrust Record</v>
      </c>
      <c r="AU243" s="6" t="str">
        <f>HYPERLINK("https://creighton-primo.hosted.exlibrisgroup.com/primo-explore/search?tab=default_tab&amp;search_scope=EVERYTHING&amp;vid=01CRU&amp;lang=en_US&amp;offset=0&amp;query=any,contains,991002077299702656","Catalog Record")</f>
        <v>Catalog Record</v>
      </c>
      <c r="AV243" s="6" t="str">
        <f>HYPERLINK("http://www.worldcat.org/oclc/14167987","WorldCat Record")</f>
        <v>WorldCat Record</v>
      </c>
      <c r="AW243" s="3" t="s">
        <v>3228</v>
      </c>
      <c r="AX243" s="3" t="s">
        <v>3229</v>
      </c>
      <c r="AY243" s="3" t="s">
        <v>3230</v>
      </c>
      <c r="AZ243" s="3" t="s">
        <v>3230</v>
      </c>
      <c r="BA243" s="3" t="s">
        <v>3231</v>
      </c>
      <c r="BB243" s="3" t="s">
        <v>77</v>
      </c>
      <c r="BD243" s="3" t="s">
        <v>3232</v>
      </c>
      <c r="BE243" s="3" t="s">
        <v>3233</v>
      </c>
      <c r="BF243" s="3" t="s">
        <v>3234</v>
      </c>
    </row>
    <row r="244" spans="1:58" ht="41.25" customHeight="1" x14ac:dyDescent="0.25">
      <c r="A244" s="7" t="s">
        <v>62</v>
      </c>
      <c r="B244" s="2" t="s">
        <v>57</v>
      </c>
      <c r="C244" s="2" t="s">
        <v>58</v>
      </c>
      <c r="D244" s="2" t="s">
        <v>3235</v>
      </c>
      <c r="E244" s="2" t="s">
        <v>3236</v>
      </c>
      <c r="F244" s="2" t="s">
        <v>3237</v>
      </c>
      <c r="H244" s="3" t="s">
        <v>62</v>
      </c>
      <c r="I244" s="3" t="s">
        <v>63</v>
      </c>
      <c r="J244" s="3" t="s">
        <v>62</v>
      </c>
      <c r="K244" s="3" t="s">
        <v>62</v>
      </c>
      <c r="L244" s="3" t="s">
        <v>64</v>
      </c>
      <c r="N244" s="2" t="s">
        <v>3238</v>
      </c>
      <c r="O244" s="3" t="s">
        <v>165</v>
      </c>
      <c r="Q244" s="3" t="s">
        <v>68</v>
      </c>
      <c r="R244" s="3" t="s">
        <v>435</v>
      </c>
      <c r="S244" s="2" t="s">
        <v>3239</v>
      </c>
      <c r="T244" s="3" t="s">
        <v>70</v>
      </c>
      <c r="U244" s="4">
        <v>7</v>
      </c>
      <c r="V244" s="4">
        <v>7</v>
      </c>
      <c r="W244" s="5" t="s">
        <v>3240</v>
      </c>
      <c r="X244" s="5" t="s">
        <v>3240</v>
      </c>
      <c r="Y244" s="5" t="s">
        <v>2515</v>
      </c>
      <c r="Z244" s="5" t="s">
        <v>2515</v>
      </c>
      <c r="AA244" s="4">
        <v>469</v>
      </c>
      <c r="AB244" s="4">
        <v>376</v>
      </c>
      <c r="AC244" s="4">
        <v>377</v>
      </c>
      <c r="AD244" s="4">
        <v>2</v>
      </c>
      <c r="AE244" s="4">
        <v>2</v>
      </c>
      <c r="AF244" s="4">
        <v>30</v>
      </c>
      <c r="AG244" s="4">
        <v>30</v>
      </c>
      <c r="AH244" s="4">
        <v>11</v>
      </c>
      <c r="AI244" s="4">
        <v>11</v>
      </c>
      <c r="AJ244" s="4">
        <v>6</v>
      </c>
      <c r="AK244" s="4">
        <v>6</v>
      </c>
      <c r="AL244" s="4">
        <v>19</v>
      </c>
      <c r="AM244" s="4">
        <v>19</v>
      </c>
      <c r="AN244" s="4">
        <v>1</v>
      </c>
      <c r="AO244" s="4">
        <v>1</v>
      </c>
      <c r="AP244" s="4">
        <v>0</v>
      </c>
      <c r="AQ244" s="4">
        <v>0</v>
      </c>
      <c r="AR244" s="3" t="s">
        <v>62</v>
      </c>
      <c r="AS244" s="3" t="s">
        <v>84</v>
      </c>
      <c r="AT244" s="6" t="str">
        <f>HYPERLINK("http://catalog.hathitrust.org/Record/102001356","HathiTrust Record")</f>
        <v>HathiTrust Record</v>
      </c>
      <c r="AU244" s="6" t="str">
        <f>HYPERLINK("https://creighton-primo.hosted.exlibrisgroup.com/primo-explore/search?tab=default_tab&amp;search_scope=EVERYTHING&amp;vid=01CRU&amp;lang=en_US&amp;offset=0&amp;query=any,contains,991004403559702656","Catalog Record")</f>
        <v>Catalog Record</v>
      </c>
      <c r="AV244" s="6" t="str">
        <f>HYPERLINK("http://www.worldcat.org/oclc/3311698","WorldCat Record")</f>
        <v>WorldCat Record</v>
      </c>
      <c r="AW244" s="3" t="s">
        <v>3241</v>
      </c>
      <c r="AX244" s="3" t="s">
        <v>3242</v>
      </c>
      <c r="AY244" s="3" t="s">
        <v>3243</v>
      </c>
      <c r="AZ244" s="3" t="s">
        <v>3243</v>
      </c>
      <c r="BA244" s="3" t="s">
        <v>3244</v>
      </c>
      <c r="BB244" s="3" t="s">
        <v>77</v>
      </c>
      <c r="BD244" s="3" t="s">
        <v>3245</v>
      </c>
      <c r="BE244" s="3" t="s">
        <v>3246</v>
      </c>
      <c r="BF244" s="3" t="s">
        <v>3247</v>
      </c>
    </row>
    <row r="245" spans="1:58" ht="41.25" customHeight="1" x14ac:dyDescent="0.25">
      <c r="A245" s="7" t="s">
        <v>62</v>
      </c>
      <c r="B245" s="2" t="s">
        <v>57</v>
      </c>
      <c r="C245" s="2" t="s">
        <v>58</v>
      </c>
      <c r="D245" s="2" t="s">
        <v>3248</v>
      </c>
      <c r="E245" s="2" t="s">
        <v>3249</v>
      </c>
      <c r="F245" s="2" t="s">
        <v>3250</v>
      </c>
      <c r="H245" s="3" t="s">
        <v>62</v>
      </c>
      <c r="I245" s="3" t="s">
        <v>63</v>
      </c>
      <c r="J245" s="3" t="s">
        <v>62</v>
      </c>
      <c r="K245" s="3" t="s">
        <v>62</v>
      </c>
      <c r="L245" s="3" t="s">
        <v>64</v>
      </c>
      <c r="M245" s="2" t="s">
        <v>3251</v>
      </c>
      <c r="N245" s="2" t="s">
        <v>3252</v>
      </c>
      <c r="O245" s="3" t="s">
        <v>1158</v>
      </c>
      <c r="Q245" s="3" t="s">
        <v>68</v>
      </c>
      <c r="R245" s="3" t="s">
        <v>69</v>
      </c>
      <c r="S245" s="2" t="s">
        <v>3253</v>
      </c>
      <c r="T245" s="3" t="s">
        <v>70</v>
      </c>
      <c r="U245" s="4">
        <v>5</v>
      </c>
      <c r="V245" s="4">
        <v>5</v>
      </c>
      <c r="W245" s="5" t="s">
        <v>3240</v>
      </c>
      <c r="X245" s="5" t="s">
        <v>3240</v>
      </c>
      <c r="Y245" s="5" t="s">
        <v>2515</v>
      </c>
      <c r="Z245" s="5" t="s">
        <v>2515</v>
      </c>
      <c r="AA245" s="4">
        <v>299</v>
      </c>
      <c r="AB245" s="4">
        <v>253</v>
      </c>
      <c r="AC245" s="4">
        <v>262</v>
      </c>
      <c r="AD245" s="4">
        <v>2</v>
      </c>
      <c r="AE245" s="4">
        <v>2</v>
      </c>
      <c r="AF245" s="4">
        <v>15</v>
      </c>
      <c r="AG245" s="4">
        <v>15</v>
      </c>
      <c r="AH245" s="4">
        <v>5</v>
      </c>
      <c r="AI245" s="4">
        <v>5</v>
      </c>
      <c r="AJ245" s="4">
        <v>4</v>
      </c>
      <c r="AK245" s="4">
        <v>4</v>
      </c>
      <c r="AL245" s="4">
        <v>11</v>
      </c>
      <c r="AM245" s="4">
        <v>11</v>
      </c>
      <c r="AN245" s="4">
        <v>1</v>
      </c>
      <c r="AO245" s="4">
        <v>1</v>
      </c>
      <c r="AP245" s="4">
        <v>0</v>
      </c>
      <c r="AQ245" s="4">
        <v>0</v>
      </c>
      <c r="AR245" s="3" t="s">
        <v>62</v>
      </c>
      <c r="AS245" s="3" t="s">
        <v>62</v>
      </c>
      <c r="AU245" s="6" t="str">
        <f>HYPERLINK("https://creighton-primo.hosted.exlibrisgroup.com/primo-explore/search?tab=default_tab&amp;search_scope=EVERYTHING&amp;vid=01CRU&amp;lang=en_US&amp;offset=0&amp;query=any,contains,991003162359702656","Catalog Record")</f>
        <v>Catalog Record</v>
      </c>
      <c r="AV245" s="6" t="str">
        <f>HYPERLINK("http://www.worldcat.org/oclc/700984","WorldCat Record")</f>
        <v>WorldCat Record</v>
      </c>
      <c r="AW245" s="3" t="s">
        <v>3254</v>
      </c>
      <c r="AX245" s="3" t="s">
        <v>3255</v>
      </c>
      <c r="AY245" s="3" t="s">
        <v>3256</v>
      </c>
      <c r="AZ245" s="3" t="s">
        <v>3256</v>
      </c>
      <c r="BA245" s="3" t="s">
        <v>3257</v>
      </c>
      <c r="BB245" s="3" t="s">
        <v>77</v>
      </c>
      <c r="BD245" s="3" t="s">
        <v>3258</v>
      </c>
      <c r="BE245" s="3" t="s">
        <v>3259</v>
      </c>
      <c r="BF245" s="3" t="s">
        <v>3260</v>
      </c>
    </row>
    <row r="246" spans="1:58" ht="41.25" customHeight="1" x14ac:dyDescent="0.25">
      <c r="A246" s="7" t="s">
        <v>62</v>
      </c>
      <c r="B246" s="2" t="s">
        <v>57</v>
      </c>
      <c r="C246" s="2" t="s">
        <v>58</v>
      </c>
      <c r="D246" s="2" t="s">
        <v>3261</v>
      </c>
      <c r="E246" s="2" t="s">
        <v>3262</v>
      </c>
      <c r="F246" s="2" t="s">
        <v>3263</v>
      </c>
      <c r="H246" s="3" t="s">
        <v>62</v>
      </c>
      <c r="I246" s="3" t="s">
        <v>63</v>
      </c>
      <c r="J246" s="3" t="s">
        <v>62</v>
      </c>
      <c r="K246" s="3" t="s">
        <v>62</v>
      </c>
      <c r="L246" s="3" t="s">
        <v>64</v>
      </c>
      <c r="M246" s="2" t="s">
        <v>3264</v>
      </c>
      <c r="N246" s="2" t="s">
        <v>3265</v>
      </c>
      <c r="O246" s="3" t="s">
        <v>561</v>
      </c>
      <c r="Q246" s="3" t="s">
        <v>68</v>
      </c>
      <c r="R246" s="3" t="s">
        <v>69</v>
      </c>
      <c r="S246" s="2" t="s">
        <v>3266</v>
      </c>
      <c r="T246" s="3" t="s">
        <v>70</v>
      </c>
      <c r="U246" s="4">
        <v>2</v>
      </c>
      <c r="V246" s="4">
        <v>2</v>
      </c>
      <c r="W246" s="5" t="s">
        <v>3267</v>
      </c>
      <c r="X246" s="5" t="s">
        <v>3267</v>
      </c>
      <c r="Y246" s="5" t="s">
        <v>2489</v>
      </c>
      <c r="Z246" s="5" t="s">
        <v>2489</v>
      </c>
      <c r="AA246" s="4">
        <v>418</v>
      </c>
      <c r="AB246" s="4">
        <v>374</v>
      </c>
      <c r="AC246" s="4">
        <v>375</v>
      </c>
      <c r="AD246" s="4">
        <v>3</v>
      </c>
      <c r="AE246" s="4">
        <v>3</v>
      </c>
      <c r="AF246" s="4">
        <v>21</v>
      </c>
      <c r="AG246" s="4">
        <v>21</v>
      </c>
      <c r="AH246" s="4">
        <v>8</v>
      </c>
      <c r="AI246" s="4">
        <v>8</v>
      </c>
      <c r="AJ246" s="4">
        <v>7</v>
      </c>
      <c r="AK246" s="4">
        <v>7</v>
      </c>
      <c r="AL246" s="4">
        <v>12</v>
      </c>
      <c r="AM246" s="4">
        <v>12</v>
      </c>
      <c r="AN246" s="4">
        <v>2</v>
      </c>
      <c r="AO246" s="4">
        <v>2</v>
      </c>
      <c r="AP246" s="4">
        <v>0</v>
      </c>
      <c r="AQ246" s="4">
        <v>0</v>
      </c>
      <c r="AR246" s="3" t="s">
        <v>62</v>
      </c>
      <c r="AS246" s="3" t="s">
        <v>84</v>
      </c>
      <c r="AT246" s="6" t="str">
        <f>HYPERLINK("http://catalog.hathitrust.org/Record/000590705","HathiTrust Record")</f>
        <v>HathiTrust Record</v>
      </c>
      <c r="AU246" s="6" t="str">
        <f>HYPERLINK("https://creighton-primo.hosted.exlibrisgroup.com/primo-explore/search?tab=default_tab&amp;search_scope=EVERYTHING&amp;vid=01CRU&amp;lang=en_US&amp;offset=0&amp;query=any,contains,991002057879702656","Catalog Record")</f>
        <v>Catalog Record</v>
      </c>
      <c r="AV246" s="6" t="str">
        <f>HYPERLINK("http://www.worldcat.org/oclc/13270368","WorldCat Record")</f>
        <v>WorldCat Record</v>
      </c>
      <c r="AW246" s="3" t="s">
        <v>3268</v>
      </c>
      <c r="AX246" s="3" t="s">
        <v>3269</v>
      </c>
      <c r="AY246" s="3" t="s">
        <v>3270</v>
      </c>
      <c r="AZ246" s="3" t="s">
        <v>3270</v>
      </c>
      <c r="BA246" s="3" t="s">
        <v>3271</v>
      </c>
      <c r="BB246" s="3" t="s">
        <v>77</v>
      </c>
      <c r="BD246" s="3" t="s">
        <v>3272</v>
      </c>
      <c r="BE246" s="3" t="s">
        <v>3273</v>
      </c>
      <c r="BF246" s="3" t="s">
        <v>3274</v>
      </c>
    </row>
    <row r="247" spans="1:58" ht="41.25" customHeight="1" x14ac:dyDescent="0.25">
      <c r="A247" s="7" t="s">
        <v>62</v>
      </c>
      <c r="B247" s="2" t="s">
        <v>57</v>
      </c>
      <c r="C247" s="2" t="s">
        <v>58</v>
      </c>
      <c r="D247" s="2" t="s">
        <v>3275</v>
      </c>
      <c r="E247" s="2" t="s">
        <v>3276</v>
      </c>
      <c r="F247" s="2" t="s">
        <v>3277</v>
      </c>
      <c r="H247" s="3" t="s">
        <v>62</v>
      </c>
      <c r="I247" s="3" t="s">
        <v>63</v>
      </c>
      <c r="J247" s="3" t="s">
        <v>62</v>
      </c>
      <c r="K247" s="3" t="s">
        <v>62</v>
      </c>
      <c r="L247" s="3" t="s">
        <v>64</v>
      </c>
      <c r="M247" s="2" t="s">
        <v>3278</v>
      </c>
      <c r="N247" s="2" t="s">
        <v>3279</v>
      </c>
      <c r="O247" s="3" t="s">
        <v>1820</v>
      </c>
      <c r="Q247" s="3" t="s">
        <v>68</v>
      </c>
      <c r="R247" s="3" t="s">
        <v>888</v>
      </c>
      <c r="T247" s="3" t="s">
        <v>70</v>
      </c>
      <c r="U247" s="4">
        <v>3</v>
      </c>
      <c r="V247" s="4">
        <v>3</v>
      </c>
      <c r="W247" s="5" t="s">
        <v>3280</v>
      </c>
      <c r="X247" s="5" t="s">
        <v>3280</v>
      </c>
      <c r="Y247" s="5" t="s">
        <v>2515</v>
      </c>
      <c r="Z247" s="5" t="s">
        <v>2515</v>
      </c>
      <c r="AA247" s="4">
        <v>1078</v>
      </c>
      <c r="AB247" s="4">
        <v>935</v>
      </c>
      <c r="AC247" s="4">
        <v>941</v>
      </c>
      <c r="AD247" s="4">
        <v>7</v>
      </c>
      <c r="AE247" s="4">
        <v>7</v>
      </c>
      <c r="AF247" s="4">
        <v>43</v>
      </c>
      <c r="AG247" s="4">
        <v>43</v>
      </c>
      <c r="AH247" s="4">
        <v>20</v>
      </c>
      <c r="AI247" s="4">
        <v>20</v>
      </c>
      <c r="AJ247" s="4">
        <v>9</v>
      </c>
      <c r="AK247" s="4">
        <v>9</v>
      </c>
      <c r="AL247" s="4">
        <v>19</v>
      </c>
      <c r="AM247" s="4">
        <v>19</v>
      </c>
      <c r="AN247" s="4">
        <v>6</v>
      </c>
      <c r="AO247" s="4">
        <v>6</v>
      </c>
      <c r="AP247" s="4">
        <v>0</v>
      </c>
      <c r="AQ247" s="4">
        <v>0</v>
      </c>
      <c r="AR247" s="3" t="s">
        <v>62</v>
      </c>
      <c r="AS247" s="3" t="s">
        <v>84</v>
      </c>
      <c r="AT247" s="6" t="str">
        <f>HYPERLINK("http://catalog.hathitrust.org/Record/000256301","HathiTrust Record")</f>
        <v>HathiTrust Record</v>
      </c>
      <c r="AU247" s="6" t="str">
        <f>HYPERLINK("https://creighton-primo.hosted.exlibrisgroup.com/primo-explore/search?tab=default_tab&amp;search_scope=EVERYTHING&amp;vid=01CRU&amp;lang=en_US&amp;offset=0&amp;query=any,contains,991004657499702656","Catalog Record")</f>
        <v>Catalog Record</v>
      </c>
      <c r="AV247" s="6" t="str">
        <f>HYPERLINK("http://www.worldcat.org/oclc/4495692","WorldCat Record")</f>
        <v>WorldCat Record</v>
      </c>
      <c r="AW247" s="3" t="s">
        <v>3281</v>
      </c>
      <c r="AX247" s="3" t="s">
        <v>3282</v>
      </c>
      <c r="AY247" s="3" t="s">
        <v>3283</v>
      </c>
      <c r="AZ247" s="3" t="s">
        <v>3283</v>
      </c>
      <c r="BA247" s="3" t="s">
        <v>3284</v>
      </c>
      <c r="BB247" s="3" t="s">
        <v>77</v>
      </c>
      <c r="BD247" s="3" t="s">
        <v>3285</v>
      </c>
      <c r="BE247" s="3" t="s">
        <v>3286</v>
      </c>
      <c r="BF247" s="3" t="s">
        <v>3287</v>
      </c>
    </row>
    <row r="248" spans="1:58" ht="41.25" customHeight="1" x14ac:dyDescent="0.25">
      <c r="A248" s="7" t="s">
        <v>62</v>
      </c>
      <c r="B248" s="2" t="s">
        <v>57</v>
      </c>
      <c r="C248" s="2" t="s">
        <v>58</v>
      </c>
      <c r="D248" s="2" t="s">
        <v>3288</v>
      </c>
      <c r="E248" s="2" t="s">
        <v>3289</v>
      </c>
      <c r="F248" s="2" t="s">
        <v>3290</v>
      </c>
      <c r="H248" s="3" t="s">
        <v>62</v>
      </c>
      <c r="I248" s="3" t="s">
        <v>63</v>
      </c>
      <c r="J248" s="3" t="s">
        <v>62</v>
      </c>
      <c r="K248" s="3" t="s">
        <v>62</v>
      </c>
      <c r="L248" s="3" t="s">
        <v>64</v>
      </c>
      <c r="M248" s="2" t="s">
        <v>3291</v>
      </c>
      <c r="N248" s="2" t="s">
        <v>3292</v>
      </c>
      <c r="O248" s="3" t="s">
        <v>137</v>
      </c>
      <c r="Q248" s="3" t="s">
        <v>68</v>
      </c>
      <c r="R248" s="3" t="s">
        <v>1653</v>
      </c>
      <c r="T248" s="3" t="s">
        <v>70</v>
      </c>
      <c r="U248" s="4">
        <v>3</v>
      </c>
      <c r="V248" s="4">
        <v>3</v>
      </c>
      <c r="W248" s="5" t="s">
        <v>3240</v>
      </c>
      <c r="X248" s="5" t="s">
        <v>3240</v>
      </c>
      <c r="Y248" s="5" t="s">
        <v>2515</v>
      </c>
      <c r="Z248" s="5" t="s">
        <v>2515</v>
      </c>
      <c r="AA248" s="4">
        <v>680</v>
      </c>
      <c r="AB248" s="4">
        <v>592</v>
      </c>
      <c r="AC248" s="4">
        <v>603</v>
      </c>
      <c r="AD248" s="4">
        <v>5</v>
      </c>
      <c r="AE248" s="4">
        <v>5</v>
      </c>
      <c r="AF248" s="4">
        <v>34</v>
      </c>
      <c r="AG248" s="4">
        <v>34</v>
      </c>
      <c r="AH248" s="4">
        <v>12</v>
      </c>
      <c r="AI248" s="4">
        <v>12</v>
      </c>
      <c r="AJ248" s="4">
        <v>9</v>
      </c>
      <c r="AK248" s="4">
        <v>9</v>
      </c>
      <c r="AL248" s="4">
        <v>17</v>
      </c>
      <c r="AM248" s="4">
        <v>17</v>
      </c>
      <c r="AN248" s="4">
        <v>4</v>
      </c>
      <c r="AO248" s="4">
        <v>4</v>
      </c>
      <c r="AP248" s="4">
        <v>0</v>
      </c>
      <c r="AQ248" s="4">
        <v>0</v>
      </c>
      <c r="AR248" s="3" t="s">
        <v>62</v>
      </c>
      <c r="AS248" s="3" t="s">
        <v>84</v>
      </c>
      <c r="AT248" s="6" t="str">
        <f>HYPERLINK("http://catalog.hathitrust.org/Record/000184590","HathiTrust Record")</f>
        <v>HathiTrust Record</v>
      </c>
      <c r="AU248" s="6" t="str">
        <f>HYPERLINK("https://creighton-primo.hosted.exlibrisgroup.com/primo-explore/search?tab=default_tab&amp;search_scope=EVERYTHING&amp;vid=01CRU&amp;lang=en_US&amp;offset=0&amp;query=any,contains,991005113629702656","Catalog Record")</f>
        <v>Catalog Record</v>
      </c>
      <c r="AV248" s="6" t="str">
        <f>HYPERLINK("http://www.worldcat.org/oclc/7460225","WorldCat Record")</f>
        <v>WorldCat Record</v>
      </c>
      <c r="AW248" s="3" t="s">
        <v>3293</v>
      </c>
      <c r="AX248" s="3" t="s">
        <v>3294</v>
      </c>
      <c r="AY248" s="3" t="s">
        <v>3295</v>
      </c>
      <c r="AZ248" s="3" t="s">
        <v>3295</v>
      </c>
      <c r="BA248" s="3" t="s">
        <v>3296</v>
      </c>
      <c r="BB248" s="3" t="s">
        <v>77</v>
      </c>
      <c r="BD248" s="3" t="s">
        <v>3297</v>
      </c>
      <c r="BE248" s="3" t="s">
        <v>3298</v>
      </c>
      <c r="BF248" s="3" t="s">
        <v>3299</v>
      </c>
    </row>
    <row r="249" spans="1:58" ht="41.25" customHeight="1" x14ac:dyDescent="0.25">
      <c r="A249" s="7" t="s">
        <v>62</v>
      </c>
      <c r="B249" s="2" t="s">
        <v>57</v>
      </c>
      <c r="C249" s="2" t="s">
        <v>58</v>
      </c>
      <c r="D249" s="2" t="s">
        <v>3300</v>
      </c>
      <c r="E249" s="2" t="s">
        <v>3301</v>
      </c>
      <c r="F249" s="2" t="s">
        <v>3302</v>
      </c>
      <c r="H249" s="3" t="s">
        <v>62</v>
      </c>
      <c r="I249" s="3" t="s">
        <v>63</v>
      </c>
      <c r="J249" s="3" t="s">
        <v>62</v>
      </c>
      <c r="K249" s="3" t="s">
        <v>62</v>
      </c>
      <c r="L249" s="3" t="s">
        <v>64</v>
      </c>
      <c r="M249" s="2" t="s">
        <v>2616</v>
      </c>
      <c r="N249" s="2" t="s">
        <v>3303</v>
      </c>
      <c r="O249" s="3" t="s">
        <v>516</v>
      </c>
      <c r="Q249" s="3" t="s">
        <v>68</v>
      </c>
      <c r="R249" s="3" t="s">
        <v>69</v>
      </c>
      <c r="S249" s="2" t="s">
        <v>3304</v>
      </c>
      <c r="T249" s="3" t="s">
        <v>70</v>
      </c>
      <c r="U249" s="4">
        <v>1</v>
      </c>
      <c r="V249" s="4">
        <v>1</v>
      </c>
      <c r="W249" s="5" t="s">
        <v>1563</v>
      </c>
      <c r="X249" s="5" t="s">
        <v>1563</v>
      </c>
      <c r="Y249" s="5" t="s">
        <v>3305</v>
      </c>
      <c r="Z249" s="5" t="s">
        <v>3305</v>
      </c>
      <c r="AA249" s="4">
        <v>298</v>
      </c>
      <c r="AB249" s="4">
        <v>277</v>
      </c>
      <c r="AC249" s="4">
        <v>385</v>
      </c>
      <c r="AD249" s="4">
        <v>4</v>
      </c>
      <c r="AE249" s="4">
        <v>6</v>
      </c>
      <c r="AF249" s="4">
        <v>14</v>
      </c>
      <c r="AG249" s="4">
        <v>19</v>
      </c>
      <c r="AH249" s="4">
        <v>4</v>
      </c>
      <c r="AI249" s="4">
        <v>4</v>
      </c>
      <c r="AJ249" s="4">
        <v>1</v>
      </c>
      <c r="AK249" s="4">
        <v>3</v>
      </c>
      <c r="AL249" s="4">
        <v>7</v>
      </c>
      <c r="AM249" s="4">
        <v>8</v>
      </c>
      <c r="AN249" s="4">
        <v>3</v>
      </c>
      <c r="AO249" s="4">
        <v>5</v>
      </c>
      <c r="AP249" s="4">
        <v>0</v>
      </c>
      <c r="AQ249" s="4">
        <v>0</v>
      </c>
      <c r="AR249" s="3" t="s">
        <v>62</v>
      </c>
      <c r="AS249" s="3" t="s">
        <v>84</v>
      </c>
      <c r="AT249" s="6" t="str">
        <f>HYPERLINK("http://catalog.hathitrust.org/Record/007046556","HathiTrust Record")</f>
        <v>HathiTrust Record</v>
      </c>
      <c r="AU249" s="6" t="str">
        <f>HYPERLINK("https://creighton-primo.hosted.exlibrisgroup.com/primo-explore/search?tab=default_tab&amp;search_scope=EVERYTHING&amp;vid=01CRU&amp;lang=en_US&amp;offset=0&amp;query=any,contains,991001063789702656","Catalog Record")</f>
        <v>Catalog Record</v>
      </c>
      <c r="AV249" s="6" t="str">
        <f>HYPERLINK("http://www.worldcat.org/oclc/178191","WorldCat Record")</f>
        <v>WorldCat Record</v>
      </c>
      <c r="AW249" s="3" t="s">
        <v>3306</v>
      </c>
      <c r="AX249" s="3" t="s">
        <v>3307</v>
      </c>
      <c r="AY249" s="3" t="s">
        <v>3308</v>
      </c>
      <c r="AZ249" s="3" t="s">
        <v>3308</v>
      </c>
      <c r="BA249" s="3" t="s">
        <v>3309</v>
      </c>
      <c r="BB249" s="3" t="s">
        <v>77</v>
      </c>
      <c r="BE249" s="3" t="s">
        <v>3310</v>
      </c>
      <c r="BF249" s="3" t="s">
        <v>3311</v>
      </c>
    </row>
    <row r="250" spans="1:58" ht="41.25" customHeight="1" x14ac:dyDescent="0.25">
      <c r="A250" s="7" t="s">
        <v>62</v>
      </c>
      <c r="B250" s="2" t="s">
        <v>57</v>
      </c>
      <c r="C250" s="2" t="s">
        <v>58</v>
      </c>
      <c r="D250" s="2" t="s">
        <v>3312</v>
      </c>
      <c r="E250" s="2" t="s">
        <v>3313</v>
      </c>
      <c r="F250" s="2" t="s">
        <v>3314</v>
      </c>
      <c r="H250" s="3" t="s">
        <v>62</v>
      </c>
      <c r="I250" s="3" t="s">
        <v>63</v>
      </c>
      <c r="J250" s="3" t="s">
        <v>62</v>
      </c>
      <c r="K250" s="3" t="s">
        <v>62</v>
      </c>
      <c r="L250" s="3" t="s">
        <v>64</v>
      </c>
      <c r="M250" s="2" t="s">
        <v>3315</v>
      </c>
      <c r="N250" s="2" t="s">
        <v>3316</v>
      </c>
      <c r="O250" s="3" t="s">
        <v>1637</v>
      </c>
      <c r="Q250" s="3" t="s">
        <v>68</v>
      </c>
      <c r="R250" s="3" t="s">
        <v>369</v>
      </c>
      <c r="S250" s="2" t="s">
        <v>3317</v>
      </c>
      <c r="T250" s="3" t="s">
        <v>70</v>
      </c>
      <c r="U250" s="4">
        <v>3</v>
      </c>
      <c r="V250" s="4">
        <v>3</v>
      </c>
      <c r="W250" s="5" t="s">
        <v>3318</v>
      </c>
      <c r="X250" s="5" t="s">
        <v>3318</v>
      </c>
      <c r="Y250" s="5" t="s">
        <v>3305</v>
      </c>
      <c r="Z250" s="5" t="s">
        <v>3305</v>
      </c>
      <c r="AA250" s="4">
        <v>306</v>
      </c>
      <c r="AB250" s="4">
        <v>241</v>
      </c>
      <c r="AC250" s="4">
        <v>242</v>
      </c>
      <c r="AD250" s="4">
        <v>3</v>
      </c>
      <c r="AE250" s="4">
        <v>3</v>
      </c>
      <c r="AF250" s="4">
        <v>13</v>
      </c>
      <c r="AG250" s="4">
        <v>13</v>
      </c>
      <c r="AH250" s="4">
        <v>1</v>
      </c>
      <c r="AI250" s="4">
        <v>1</v>
      </c>
      <c r="AJ250" s="4">
        <v>3</v>
      </c>
      <c r="AK250" s="4">
        <v>3</v>
      </c>
      <c r="AL250" s="4">
        <v>8</v>
      </c>
      <c r="AM250" s="4">
        <v>8</v>
      </c>
      <c r="AN250" s="4">
        <v>2</v>
      </c>
      <c r="AO250" s="4">
        <v>2</v>
      </c>
      <c r="AP250" s="4">
        <v>1</v>
      </c>
      <c r="AQ250" s="4">
        <v>1</v>
      </c>
      <c r="AR250" s="3" t="s">
        <v>62</v>
      </c>
      <c r="AS250" s="3" t="s">
        <v>84</v>
      </c>
      <c r="AT250" s="6" t="str">
        <f>HYPERLINK("http://catalog.hathitrust.org/Record/000240068","HathiTrust Record")</f>
        <v>HathiTrust Record</v>
      </c>
      <c r="AU250" s="6" t="str">
        <f>HYPERLINK("https://creighton-primo.hosted.exlibrisgroup.com/primo-explore/search?tab=default_tab&amp;search_scope=EVERYTHING&amp;vid=01CRU&amp;lang=en_US&amp;offset=0&amp;query=any,contains,991000044989702656","Catalog Record")</f>
        <v>Catalog Record</v>
      </c>
      <c r="AV250" s="6" t="str">
        <f>HYPERLINK("http://www.worldcat.org/oclc/8667928","WorldCat Record")</f>
        <v>WorldCat Record</v>
      </c>
      <c r="AW250" s="3" t="s">
        <v>3319</v>
      </c>
      <c r="AX250" s="3" t="s">
        <v>3320</v>
      </c>
      <c r="AY250" s="3" t="s">
        <v>3321</v>
      </c>
      <c r="AZ250" s="3" t="s">
        <v>3321</v>
      </c>
      <c r="BA250" s="3" t="s">
        <v>3322</v>
      </c>
      <c r="BB250" s="3" t="s">
        <v>77</v>
      </c>
      <c r="BD250" s="3" t="s">
        <v>3323</v>
      </c>
      <c r="BE250" s="3" t="s">
        <v>3324</v>
      </c>
      <c r="BF250" s="3" t="s">
        <v>3325</v>
      </c>
    </row>
    <row r="251" spans="1:58" ht="41.25" customHeight="1" x14ac:dyDescent="0.25">
      <c r="A251" s="7" t="s">
        <v>62</v>
      </c>
      <c r="B251" s="2" t="s">
        <v>57</v>
      </c>
      <c r="C251" s="2" t="s">
        <v>58</v>
      </c>
      <c r="D251" s="2" t="s">
        <v>3326</v>
      </c>
      <c r="E251" s="2" t="s">
        <v>3327</v>
      </c>
      <c r="F251" s="2" t="s">
        <v>3328</v>
      </c>
      <c r="H251" s="3" t="s">
        <v>62</v>
      </c>
      <c r="I251" s="3" t="s">
        <v>63</v>
      </c>
      <c r="J251" s="3" t="s">
        <v>62</v>
      </c>
      <c r="K251" s="3" t="s">
        <v>62</v>
      </c>
      <c r="L251" s="3" t="s">
        <v>64</v>
      </c>
      <c r="M251" s="2" t="s">
        <v>3329</v>
      </c>
      <c r="N251" s="2" t="s">
        <v>3330</v>
      </c>
      <c r="O251" s="3" t="s">
        <v>1251</v>
      </c>
      <c r="Q251" s="3" t="s">
        <v>68</v>
      </c>
      <c r="R251" s="3" t="s">
        <v>219</v>
      </c>
      <c r="T251" s="3" t="s">
        <v>70</v>
      </c>
      <c r="U251" s="4">
        <v>3</v>
      </c>
      <c r="V251" s="4">
        <v>3</v>
      </c>
      <c r="W251" s="5" t="s">
        <v>3331</v>
      </c>
      <c r="X251" s="5" t="s">
        <v>3331</v>
      </c>
      <c r="Y251" s="5" t="s">
        <v>3332</v>
      </c>
      <c r="Z251" s="5" t="s">
        <v>3332</v>
      </c>
      <c r="AA251" s="4">
        <v>365</v>
      </c>
      <c r="AB251" s="4">
        <v>316</v>
      </c>
      <c r="AC251" s="4">
        <v>321</v>
      </c>
      <c r="AD251" s="4">
        <v>3</v>
      </c>
      <c r="AE251" s="4">
        <v>3</v>
      </c>
      <c r="AF251" s="4">
        <v>24</v>
      </c>
      <c r="AG251" s="4">
        <v>24</v>
      </c>
      <c r="AH251" s="4">
        <v>10</v>
      </c>
      <c r="AI251" s="4">
        <v>10</v>
      </c>
      <c r="AJ251" s="4">
        <v>3</v>
      </c>
      <c r="AK251" s="4">
        <v>3</v>
      </c>
      <c r="AL251" s="4">
        <v>16</v>
      </c>
      <c r="AM251" s="4">
        <v>16</v>
      </c>
      <c r="AN251" s="4">
        <v>2</v>
      </c>
      <c r="AO251" s="4">
        <v>2</v>
      </c>
      <c r="AP251" s="4">
        <v>0</v>
      </c>
      <c r="AQ251" s="4">
        <v>0</v>
      </c>
      <c r="AR251" s="3" t="s">
        <v>62</v>
      </c>
      <c r="AS251" s="3" t="s">
        <v>62</v>
      </c>
      <c r="AU251" s="6" t="str">
        <f>HYPERLINK("https://creighton-primo.hosted.exlibrisgroup.com/primo-explore/search?tab=default_tab&amp;search_scope=EVERYTHING&amp;vid=01CRU&amp;lang=en_US&amp;offset=0&amp;query=any,contains,991001164879702656","Catalog Record")</f>
        <v>Catalog Record</v>
      </c>
      <c r="AV251" s="6" t="str">
        <f>HYPERLINK("http://www.worldcat.org/oclc/16922516","WorldCat Record")</f>
        <v>WorldCat Record</v>
      </c>
      <c r="AW251" s="3" t="s">
        <v>3333</v>
      </c>
      <c r="AX251" s="3" t="s">
        <v>3334</v>
      </c>
      <c r="AY251" s="3" t="s">
        <v>3335</v>
      </c>
      <c r="AZ251" s="3" t="s">
        <v>3335</v>
      </c>
      <c r="BA251" s="3" t="s">
        <v>3336</v>
      </c>
      <c r="BB251" s="3" t="s">
        <v>77</v>
      </c>
      <c r="BD251" s="3" t="s">
        <v>3337</v>
      </c>
      <c r="BE251" s="3" t="s">
        <v>3338</v>
      </c>
      <c r="BF251" s="3" t="s">
        <v>3339</v>
      </c>
    </row>
    <row r="252" spans="1:58" ht="41.25" customHeight="1" x14ac:dyDescent="0.25">
      <c r="A252" s="7" t="s">
        <v>62</v>
      </c>
      <c r="B252" s="2" t="s">
        <v>57</v>
      </c>
      <c r="C252" s="2" t="s">
        <v>58</v>
      </c>
      <c r="D252" s="2" t="s">
        <v>3340</v>
      </c>
      <c r="E252" s="2" t="s">
        <v>3341</v>
      </c>
      <c r="F252" s="2" t="s">
        <v>3342</v>
      </c>
      <c r="H252" s="3" t="s">
        <v>62</v>
      </c>
      <c r="I252" s="3" t="s">
        <v>63</v>
      </c>
      <c r="J252" s="3" t="s">
        <v>62</v>
      </c>
      <c r="K252" s="3" t="s">
        <v>62</v>
      </c>
      <c r="L252" s="3" t="s">
        <v>64</v>
      </c>
      <c r="M252" s="2" t="s">
        <v>3343</v>
      </c>
      <c r="N252" s="2" t="s">
        <v>3344</v>
      </c>
      <c r="O252" s="3" t="s">
        <v>820</v>
      </c>
      <c r="Q252" s="3" t="s">
        <v>68</v>
      </c>
      <c r="R252" s="3" t="s">
        <v>69</v>
      </c>
      <c r="S252" s="2" t="s">
        <v>3345</v>
      </c>
      <c r="T252" s="3" t="s">
        <v>70</v>
      </c>
      <c r="U252" s="4">
        <v>5</v>
      </c>
      <c r="V252" s="4">
        <v>5</v>
      </c>
      <c r="W252" s="5" t="s">
        <v>3346</v>
      </c>
      <c r="X252" s="5" t="s">
        <v>3346</v>
      </c>
      <c r="Y252" s="5" t="s">
        <v>3305</v>
      </c>
      <c r="Z252" s="5" t="s">
        <v>3305</v>
      </c>
      <c r="AA252" s="4">
        <v>219</v>
      </c>
      <c r="AB252" s="4">
        <v>210</v>
      </c>
      <c r="AC252" s="4">
        <v>339</v>
      </c>
      <c r="AD252" s="4">
        <v>1</v>
      </c>
      <c r="AE252" s="4">
        <v>2</v>
      </c>
      <c r="AF252" s="4">
        <v>7</v>
      </c>
      <c r="AG252" s="4">
        <v>12</v>
      </c>
      <c r="AH252" s="4">
        <v>2</v>
      </c>
      <c r="AI252" s="4">
        <v>6</v>
      </c>
      <c r="AJ252" s="4">
        <v>1</v>
      </c>
      <c r="AK252" s="4">
        <v>1</v>
      </c>
      <c r="AL252" s="4">
        <v>5</v>
      </c>
      <c r="AM252" s="4">
        <v>6</v>
      </c>
      <c r="AN252" s="4">
        <v>0</v>
      </c>
      <c r="AO252" s="4">
        <v>1</v>
      </c>
      <c r="AP252" s="4">
        <v>0</v>
      </c>
      <c r="AQ252" s="4">
        <v>0</v>
      </c>
      <c r="AR252" s="3" t="s">
        <v>62</v>
      </c>
      <c r="AS252" s="3" t="s">
        <v>84</v>
      </c>
      <c r="AT252" s="6" t="str">
        <f>HYPERLINK("http://catalog.hathitrust.org/Record/007145741","HathiTrust Record")</f>
        <v>HathiTrust Record</v>
      </c>
      <c r="AU252" s="6" t="str">
        <f>HYPERLINK("https://creighton-primo.hosted.exlibrisgroup.com/primo-explore/search?tab=default_tab&amp;search_scope=EVERYTHING&amp;vid=01CRU&amp;lang=en_US&amp;offset=0&amp;query=any,contains,991005192009702656","Catalog Record")</f>
        <v>Catalog Record</v>
      </c>
      <c r="AV252" s="6" t="str">
        <f>HYPERLINK("http://www.worldcat.org/oclc/8012218","WorldCat Record")</f>
        <v>WorldCat Record</v>
      </c>
      <c r="AW252" s="3" t="s">
        <v>3347</v>
      </c>
      <c r="AX252" s="3" t="s">
        <v>3348</v>
      </c>
      <c r="AY252" s="3" t="s">
        <v>3349</v>
      </c>
      <c r="AZ252" s="3" t="s">
        <v>3349</v>
      </c>
      <c r="BA252" s="3" t="s">
        <v>3350</v>
      </c>
      <c r="BB252" s="3" t="s">
        <v>77</v>
      </c>
      <c r="BE252" s="3" t="s">
        <v>3351</v>
      </c>
      <c r="BF252" s="3" t="s">
        <v>3352</v>
      </c>
    </row>
    <row r="253" spans="1:58" ht="41.25" customHeight="1" x14ac:dyDescent="0.25">
      <c r="A253" s="7" t="s">
        <v>62</v>
      </c>
      <c r="B253" s="2" t="s">
        <v>57</v>
      </c>
      <c r="C253" s="2" t="s">
        <v>58</v>
      </c>
      <c r="D253" s="2" t="s">
        <v>3353</v>
      </c>
      <c r="E253" s="2" t="s">
        <v>3354</v>
      </c>
      <c r="F253" s="2" t="s">
        <v>3355</v>
      </c>
      <c r="H253" s="3" t="s">
        <v>62</v>
      </c>
      <c r="I253" s="3" t="s">
        <v>63</v>
      </c>
      <c r="J253" s="3" t="s">
        <v>62</v>
      </c>
      <c r="K253" s="3" t="s">
        <v>62</v>
      </c>
      <c r="L253" s="3" t="s">
        <v>64</v>
      </c>
      <c r="M253" s="2" t="s">
        <v>3356</v>
      </c>
      <c r="N253" s="2" t="s">
        <v>3357</v>
      </c>
      <c r="O253" s="3" t="s">
        <v>295</v>
      </c>
      <c r="Q253" s="3" t="s">
        <v>68</v>
      </c>
      <c r="R253" s="3" t="s">
        <v>69</v>
      </c>
      <c r="T253" s="3" t="s">
        <v>70</v>
      </c>
      <c r="U253" s="4">
        <v>4</v>
      </c>
      <c r="V253" s="4">
        <v>4</v>
      </c>
      <c r="W253" s="5" t="s">
        <v>3358</v>
      </c>
      <c r="X253" s="5" t="s">
        <v>3358</v>
      </c>
      <c r="Y253" s="5" t="s">
        <v>407</v>
      </c>
      <c r="Z253" s="5" t="s">
        <v>407</v>
      </c>
      <c r="AA253" s="4">
        <v>461</v>
      </c>
      <c r="AB253" s="4">
        <v>351</v>
      </c>
      <c r="AC253" s="4">
        <v>386</v>
      </c>
      <c r="AD253" s="4">
        <v>3</v>
      </c>
      <c r="AE253" s="4">
        <v>3</v>
      </c>
      <c r="AF253" s="4">
        <v>20</v>
      </c>
      <c r="AG253" s="4">
        <v>20</v>
      </c>
      <c r="AH253" s="4">
        <v>5</v>
      </c>
      <c r="AI253" s="4">
        <v>5</v>
      </c>
      <c r="AJ253" s="4">
        <v>6</v>
      </c>
      <c r="AK253" s="4">
        <v>6</v>
      </c>
      <c r="AL253" s="4">
        <v>12</v>
      </c>
      <c r="AM253" s="4">
        <v>12</v>
      </c>
      <c r="AN253" s="4">
        <v>2</v>
      </c>
      <c r="AO253" s="4">
        <v>2</v>
      </c>
      <c r="AP253" s="4">
        <v>0</v>
      </c>
      <c r="AQ253" s="4">
        <v>0</v>
      </c>
      <c r="AR253" s="3" t="s">
        <v>62</v>
      </c>
      <c r="AS253" s="3" t="s">
        <v>84</v>
      </c>
      <c r="AT253" s="6" t="str">
        <f>HYPERLINK("http://catalog.hathitrust.org/Record/004534822","HathiTrust Record")</f>
        <v>HathiTrust Record</v>
      </c>
      <c r="AU253" s="6" t="str">
        <f>HYPERLINK("https://creighton-primo.hosted.exlibrisgroup.com/primo-explore/search?tab=default_tab&amp;search_scope=EVERYTHING&amp;vid=01CRU&amp;lang=en_US&amp;offset=0&amp;query=any,contains,991001319899702656","Catalog Record")</f>
        <v>Catalog Record</v>
      </c>
      <c r="AV253" s="6" t="str">
        <f>HYPERLINK("http://www.worldcat.org/oclc/18221741","WorldCat Record")</f>
        <v>WorldCat Record</v>
      </c>
      <c r="AW253" s="3" t="s">
        <v>3359</v>
      </c>
      <c r="AX253" s="3" t="s">
        <v>3360</v>
      </c>
      <c r="AY253" s="3" t="s">
        <v>3361</v>
      </c>
      <c r="AZ253" s="3" t="s">
        <v>3361</v>
      </c>
      <c r="BA253" s="3" t="s">
        <v>3362</v>
      </c>
      <c r="BB253" s="3" t="s">
        <v>77</v>
      </c>
      <c r="BD253" s="3" t="s">
        <v>3363</v>
      </c>
      <c r="BE253" s="3" t="s">
        <v>3364</v>
      </c>
      <c r="BF253" s="3" t="s">
        <v>3365</v>
      </c>
    </row>
    <row r="254" spans="1:58" ht="41.25" customHeight="1" x14ac:dyDescent="0.25">
      <c r="A254" s="7" t="s">
        <v>62</v>
      </c>
      <c r="B254" s="2" t="s">
        <v>57</v>
      </c>
      <c r="C254" s="2" t="s">
        <v>58</v>
      </c>
      <c r="D254" s="2" t="s">
        <v>3366</v>
      </c>
      <c r="E254" s="2" t="s">
        <v>3367</v>
      </c>
      <c r="F254" s="2" t="s">
        <v>3368</v>
      </c>
      <c r="H254" s="3" t="s">
        <v>62</v>
      </c>
      <c r="I254" s="3" t="s">
        <v>63</v>
      </c>
      <c r="J254" s="3" t="s">
        <v>62</v>
      </c>
      <c r="K254" s="3" t="s">
        <v>62</v>
      </c>
      <c r="L254" s="3" t="s">
        <v>64</v>
      </c>
      <c r="M254" s="2" t="s">
        <v>3369</v>
      </c>
      <c r="N254" s="2" t="s">
        <v>3370</v>
      </c>
      <c r="O254" s="3" t="s">
        <v>404</v>
      </c>
      <c r="Q254" s="3" t="s">
        <v>68</v>
      </c>
      <c r="R254" s="3" t="s">
        <v>88</v>
      </c>
      <c r="S254" s="2" t="s">
        <v>370</v>
      </c>
      <c r="T254" s="3" t="s">
        <v>70</v>
      </c>
      <c r="U254" s="4">
        <v>3</v>
      </c>
      <c r="V254" s="4">
        <v>3</v>
      </c>
      <c r="W254" s="5" t="s">
        <v>3371</v>
      </c>
      <c r="X254" s="5" t="s">
        <v>3371</v>
      </c>
      <c r="Y254" s="5" t="s">
        <v>3372</v>
      </c>
      <c r="Z254" s="5" t="s">
        <v>3372</v>
      </c>
      <c r="AA254" s="4">
        <v>103</v>
      </c>
      <c r="AB254" s="4">
        <v>51</v>
      </c>
      <c r="AC254" s="4">
        <v>147</v>
      </c>
      <c r="AD254" s="4">
        <v>1</v>
      </c>
      <c r="AE254" s="4">
        <v>2</v>
      </c>
      <c r="AF254" s="4">
        <v>3</v>
      </c>
      <c r="AG254" s="4">
        <v>8</v>
      </c>
      <c r="AH254" s="4">
        <v>1</v>
      </c>
      <c r="AI254" s="4">
        <v>3</v>
      </c>
      <c r="AJ254" s="4">
        <v>0</v>
      </c>
      <c r="AK254" s="4">
        <v>0</v>
      </c>
      <c r="AL254" s="4">
        <v>3</v>
      </c>
      <c r="AM254" s="4">
        <v>5</v>
      </c>
      <c r="AN254" s="4">
        <v>0</v>
      </c>
      <c r="AO254" s="4">
        <v>1</v>
      </c>
      <c r="AP254" s="4">
        <v>0</v>
      </c>
      <c r="AQ254" s="4">
        <v>0</v>
      </c>
      <c r="AR254" s="3" t="s">
        <v>62</v>
      </c>
      <c r="AS254" s="3" t="s">
        <v>62</v>
      </c>
      <c r="AU254" s="6" t="str">
        <f>HYPERLINK("https://creighton-primo.hosted.exlibrisgroup.com/primo-explore/search?tab=default_tab&amp;search_scope=EVERYTHING&amp;vid=01CRU&amp;lang=en_US&amp;offset=0&amp;query=any,contains,991003348849702656","Catalog Record")</f>
        <v>Catalog Record</v>
      </c>
      <c r="AV254" s="6" t="str">
        <f>HYPERLINK("http://www.worldcat.org/oclc/881050","WorldCat Record")</f>
        <v>WorldCat Record</v>
      </c>
      <c r="AW254" s="3" t="s">
        <v>3373</v>
      </c>
      <c r="AX254" s="3" t="s">
        <v>3374</v>
      </c>
      <c r="AY254" s="3" t="s">
        <v>3375</v>
      </c>
      <c r="AZ254" s="3" t="s">
        <v>3375</v>
      </c>
      <c r="BA254" s="3" t="s">
        <v>3376</v>
      </c>
      <c r="BB254" s="3" t="s">
        <v>77</v>
      </c>
      <c r="BD254" s="3" t="s">
        <v>3377</v>
      </c>
      <c r="BE254" s="3" t="s">
        <v>3378</v>
      </c>
      <c r="BF254" s="3" t="s">
        <v>3379</v>
      </c>
    </row>
    <row r="255" spans="1:58" ht="41.25" customHeight="1" x14ac:dyDescent="0.25">
      <c r="A255" s="7" t="s">
        <v>62</v>
      </c>
      <c r="B255" s="2" t="s">
        <v>57</v>
      </c>
      <c r="C255" s="2" t="s">
        <v>58</v>
      </c>
      <c r="D255" s="2" t="s">
        <v>3380</v>
      </c>
      <c r="E255" s="2" t="s">
        <v>3381</v>
      </c>
      <c r="F255" s="2" t="s">
        <v>3382</v>
      </c>
      <c r="H255" s="3" t="s">
        <v>62</v>
      </c>
      <c r="I255" s="3" t="s">
        <v>63</v>
      </c>
      <c r="J255" s="3" t="s">
        <v>62</v>
      </c>
      <c r="K255" s="3" t="s">
        <v>62</v>
      </c>
      <c r="L255" s="3" t="s">
        <v>64</v>
      </c>
      <c r="M255" s="2" t="s">
        <v>2834</v>
      </c>
      <c r="N255" s="2" t="s">
        <v>3383</v>
      </c>
      <c r="O255" s="3" t="s">
        <v>970</v>
      </c>
      <c r="P255" s="2" t="s">
        <v>3384</v>
      </c>
      <c r="Q255" s="3" t="s">
        <v>68</v>
      </c>
      <c r="R255" s="3" t="s">
        <v>69</v>
      </c>
      <c r="T255" s="3" t="s">
        <v>70</v>
      </c>
      <c r="U255" s="4">
        <v>5</v>
      </c>
      <c r="V255" s="4">
        <v>5</v>
      </c>
      <c r="W255" s="5" t="s">
        <v>3385</v>
      </c>
      <c r="X255" s="5" t="s">
        <v>3385</v>
      </c>
      <c r="Y255" s="5" t="s">
        <v>3386</v>
      </c>
      <c r="Z255" s="5" t="s">
        <v>3386</v>
      </c>
      <c r="AA255" s="4">
        <v>311</v>
      </c>
      <c r="AB255" s="4">
        <v>290</v>
      </c>
      <c r="AC255" s="4">
        <v>755</v>
      </c>
      <c r="AD255" s="4">
        <v>3</v>
      </c>
      <c r="AE255" s="4">
        <v>5</v>
      </c>
      <c r="AF255" s="4">
        <v>15</v>
      </c>
      <c r="AG255" s="4">
        <v>32</v>
      </c>
      <c r="AH255" s="4">
        <v>6</v>
      </c>
      <c r="AI255" s="4">
        <v>15</v>
      </c>
      <c r="AJ255" s="4">
        <v>4</v>
      </c>
      <c r="AK255" s="4">
        <v>6</v>
      </c>
      <c r="AL255" s="4">
        <v>5</v>
      </c>
      <c r="AM255" s="4">
        <v>12</v>
      </c>
      <c r="AN255" s="4">
        <v>2</v>
      </c>
      <c r="AO255" s="4">
        <v>4</v>
      </c>
      <c r="AP255" s="4">
        <v>0</v>
      </c>
      <c r="AQ255" s="4">
        <v>0</v>
      </c>
      <c r="AR255" s="3" t="s">
        <v>62</v>
      </c>
      <c r="AS255" s="3" t="s">
        <v>62</v>
      </c>
      <c r="AU255" s="6" t="str">
        <f>HYPERLINK("https://creighton-primo.hosted.exlibrisgroup.com/primo-explore/search?tab=default_tab&amp;search_scope=EVERYTHING&amp;vid=01CRU&amp;lang=en_US&amp;offset=0&amp;query=any,contains,991001513479702656","Catalog Record")</f>
        <v>Catalog Record</v>
      </c>
      <c r="AV255" s="6" t="str">
        <f>HYPERLINK("http://www.worldcat.org/oclc/19920594","WorldCat Record")</f>
        <v>WorldCat Record</v>
      </c>
      <c r="AW255" s="3" t="s">
        <v>3387</v>
      </c>
      <c r="AX255" s="3" t="s">
        <v>3388</v>
      </c>
      <c r="AY255" s="3" t="s">
        <v>3389</v>
      </c>
      <c r="AZ255" s="3" t="s">
        <v>3389</v>
      </c>
      <c r="BA255" s="3" t="s">
        <v>3390</v>
      </c>
      <c r="BB255" s="3" t="s">
        <v>77</v>
      </c>
      <c r="BD255" s="3" t="s">
        <v>3391</v>
      </c>
      <c r="BE255" s="3" t="s">
        <v>3392</v>
      </c>
      <c r="BF255" s="3" t="s">
        <v>3393</v>
      </c>
    </row>
    <row r="256" spans="1:58" ht="41.25" customHeight="1" x14ac:dyDescent="0.25">
      <c r="A256" s="7" t="s">
        <v>62</v>
      </c>
      <c r="B256" s="2" t="s">
        <v>57</v>
      </c>
      <c r="C256" s="2" t="s">
        <v>58</v>
      </c>
      <c r="D256" s="2" t="s">
        <v>3394</v>
      </c>
      <c r="E256" s="2" t="s">
        <v>3395</v>
      </c>
      <c r="F256" s="2" t="s">
        <v>3396</v>
      </c>
      <c r="H256" s="3" t="s">
        <v>62</v>
      </c>
      <c r="I256" s="3" t="s">
        <v>63</v>
      </c>
      <c r="J256" s="3" t="s">
        <v>62</v>
      </c>
      <c r="K256" s="3" t="s">
        <v>62</v>
      </c>
      <c r="L256" s="3" t="s">
        <v>64</v>
      </c>
      <c r="M256" s="2" t="s">
        <v>3397</v>
      </c>
      <c r="N256" s="2" t="s">
        <v>3398</v>
      </c>
      <c r="O256" s="3" t="s">
        <v>940</v>
      </c>
      <c r="Q256" s="3" t="s">
        <v>68</v>
      </c>
      <c r="R256" s="3" t="s">
        <v>69</v>
      </c>
      <c r="T256" s="3" t="s">
        <v>70</v>
      </c>
      <c r="U256" s="4">
        <v>4</v>
      </c>
      <c r="V256" s="4">
        <v>4</v>
      </c>
      <c r="W256" s="5" t="s">
        <v>3399</v>
      </c>
      <c r="X256" s="5" t="s">
        <v>3399</v>
      </c>
      <c r="Y256" s="5" t="s">
        <v>3400</v>
      </c>
      <c r="Z256" s="5" t="s">
        <v>3400</v>
      </c>
      <c r="AA256" s="4">
        <v>325</v>
      </c>
      <c r="AB256" s="4">
        <v>237</v>
      </c>
      <c r="AC256" s="4">
        <v>256</v>
      </c>
      <c r="AD256" s="4">
        <v>3</v>
      </c>
      <c r="AE256" s="4">
        <v>3</v>
      </c>
      <c r="AF256" s="4">
        <v>19</v>
      </c>
      <c r="AG256" s="4">
        <v>19</v>
      </c>
      <c r="AH256" s="4">
        <v>7</v>
      </c>
      <c r="AI256" s="4">
        <v>7</v>
      </c>
      <c r="AJ256" s="4">
        <v>3</v>
      </c>
      <c r="AK256" s="4">
        <v>3</v>
      </c>
      <c r="AL256" s="4">
        <v>13</v>
      </c>
      <c r="AM256" s="4">
        <v>13</v>
      </c>
      <c r="AN256" s="4">
        <v>2</v>
      </c>
      <c r="AO256" s="4">
        <v>2</v>
      </c>
      <c r="AP256" s="4">
        <v>0</v>
      </c>
      <c r="AQ256" s="4">
        <v>0</v>
      </c>
      <c r="AR256" s="3" t="s">
        <v>62</v>
      </c>
      <c r="AS256" s="3" t="s">
        <v>62</v>
      </c>
      <c r="AU256" s="6" t="str">
        <f>HYPERLINK("https://creighton-primo.hosted.exlibrisgroup.com/primo-explore/search?tab=default_tab&amp;search_scope=EVERYTHING&amp;vid=01CRU&amp;lang=en_US&amp;offset=0&amp;query=any,contains,991002111229702656","Catalog Record")</f>
        <v>Catalog Record</v>
      </c>
      <c r="AV256" s="6" t="str">
        <f>HYPERLINK("http://www.worldcat.org/oclc/27066321","WorldCat Record")</f>
        <v>WorldCat Record</v>
      </c>
      <c r="AW256" s="3" t="s">
        <v>3401</v>
      </c>
      <c r="AX256" s="3" t="s">
        <v>3402</v>
      </c>
      <c r="AY256" s="3" t="s">
        <v>3403</v>
      </c>
      <c r="AZ256" s="3" t="s">
        <v>3403</v>
      </c>
      <c r="BA256" s="3" t="s">
        <v>3404</v>
      </c>
      <c r="BB256" s="3" t="s">
        <v>77</v>
      </c>
      <c r="BD256" s="3" t="s">
        <v>3405</v>
      </c>
      <c r="BE256" s="3" t="s">
        <v>3406</v>
      </c>
      <c r="BF256" s="3" t="s">
        <v>3407</v>
      </c>
    </row>
    <row r="257" spans="1:58" ht="41.25" customHeight="1" x14ac:dyDescent="0.25">
      <c r="A257" s="7" t="s">
        <v>62</v>
      </c>
      <c r="B257" s="2" t="s">
        <v>57</v>
      </c>
      <c r="C257" s="2" t="s">
        <v>58</v>
      </c>
      <c r="D257" s="2" t="s">
        <v>3408</v>
      </c>
      <c r="E257" s="2" t="s">
        <v>3409</v>
      </c>
      <c r="F257" s="2" t="s">
        <v>3410</v>
      </c>
      <c r="H257" s="3" t="s">
        <v>62</v>
      </c>
      <c r="I257" s="3" t="s">
        <v>63</v>
      </c>
      <c r="J257" s="3" t="s">
        <v>62</v>
      </c>
      <c r="K257" s="3" t="s">
        <v>62</v>
      </c>
      <c r="L257" s="3" t="s">
        <v>64</v>
      </c>
      <c r="M257" s="2" t="s">
        <v>3411</v>
      </c>
      <c r="N257" s="2" t="s">
        <v>3412</v>
      </c>
      <c r="O257" s="3" t="s">
        <v>1750</v>
      </c>
      <c r="Q257" s="3" t="s">
        <v>68</v>
      </c>
      <c r="R257" s="3" t="s">
        <v>1653</v>
      </c>
      <c r="T257" s="3" t="s">
        <v>70</v>
      </c>
      <c r="U257" s="4">
        <v>3</v>
      </c>
      <c r="V257" s="4">
        <v>3</v>
      </c>
      <c r="W257" s="5" t="s">
        <v>3413</v>
      </c>
      <c r="X257" s="5" t="s">
        <v>3413</v>
      </c>
      <c r="Y257" s="5" t="s">
        <v>3019</v>
      </c>
      <c r="Z257" s="5" t="s">
        <v>3019</v>
      </c>
      <c r="AA257" s="4">
        <v>462</v>
      </c>
      <c r="AB257" s="4">
        <v>375</v>
      </c>
      <c r="AC257" s="4">
        <v>882</v>
      </c>
      <c r="AD257" s="4">
        <v>4</v>
      </c>
      <c r="AE257" s="4">
        <v>4</v>
      </c>
      <c r="AF257" s="4">
        <v>26</v>
      </c>
      <c r="AG257" s="4">
        <v>35</v>
      </c>
      <c r="AH257" s="4">
        <v>9</v>
      </c>
      <c r="AI257" s="4">
        <v>15</v>
      </c>
      <c r="AJ257" s="4">
        <v>7</v>
      </c>
      <c r="AK257" s="4">
        <v>10</v>
      </c>
      <c r="AL257" s="4">
        <v>12</v>
      </c>
      <c r="AM257" s="4">
        <v>17</v>
      </c>
      <c r="AN257" s="4">
        <v>3</v>
      </c>
      <c r="AO257" s="4">
        <v>3</v>
      </c>
      <c r="AP257" s="4">
        <v>0</v>
      </c>
      <c r="AQ257" s="4">
        <v>0</v>
      </c>
      <c r="AR257" s="3" t="s">
        <v>62</v>
      </c>
      <c r="AS257" s="3" t="s">
        <v>84</v>
      </c>
      <c r="AT257" s="6" t="str">
        <f>HYPERLINK("http://catalog.hathitrust.org/Record/002574804","HathiTrust Record")</f>
        <v>HathiTrust Record</v>
      </c>
      <c r="AU257" s="6" t="str">
        <f>HYPERLINK("https://creighton-primo.hosted.exlibrisgroup.com/primo-explore/search?tab=default_tab&amp;search_scope=EVERYTHING&amp;vid=01CRU&amp;lang=en_US&amp;offset=0&amp;query=any,contains,991001929609702656","Catalog Record")</f>
        <v>Catalog Record</v>
      </c>
      <c r="AV257" s="6" t="str">
        <f>HYPERLINK("http://www.worldcat.org/oclc/24375107","WorldCat Record")</f>
        <v>WorldCat Record</v>
      </c>
      <c r="AW257" s="3" t="s">
        <v>3414</v>
      </c>
      <c r="AX257" s="3" t="s">
        <v>3415</v>
      </c>
      <c r="AY257" s="3" t="s">
        <v>3416</v>
      </c>
      <c r="AZ257" s="3" t="s">
        <v>3416</v>
      </c>
      <c r="BA257" s="3" t="s">
        <v>3417</v>
      </c>
      <c r="BB257" s="3" t="s">
        <v>77</v>
      </c>
      <c r="BD257" s="3" t="s">
        <v>3418</v>
      </c>
      <c r="BE257" s="3" t="s">
        <v>3419</v>
      </c>
      <c r="BF257" s="3" t="s">
        <v>3420</v>
      </c>
    </row>
    <row r="258" spans="1:58" ht="41.25" customHeight="1" x14ac:dyDescent="0.25">
      <c r="A258" s="7" t="s">
        <v>62</v>
      </c>
      <c r="B258" s="2" t="s">
        <v>57</v>
      </c>
      <c r="C258" s="2" t="s">
        <v>58</v>
      </c>
      <c r="D258" s="2" t="s">
        <v>3421</v>
      </c>
      <c r="E258" s="2" t="s">
        <v>3422</v>
      </c>
      <c r="F258" s="2" t="s">
        <v>3423</v>
      </c>
      <c r="H258" s="3" t="s">
        <v>62</v>
      </c>
      <c r="I258" s="3" t="s">
        <v>63</v>
      </c>
      <c r="J258" s="3" t="s">
        <v>62</v>
      </c>
      <c r="K258" s="3" t="s">
        <v>62</v>
      </c>
      <c r="L258" s="3" t="s">
        <v>64</v>
      </c>
      <c r="M258" s="2" t="s">
        <v>3424</v>
      </c>
      <c r="N258" s="2" t="s">
        <v>3425</v>
      </c>
      <c r="O258" s="3" t="s">
        <v>267</v>
      </c>
      <c r="Q258" s="3" t="s">
        <v>68</v>
      </c>
      <c r="R258" s="3" t="s">
        <v>69</v>
      </c>
      <c r="S258" s="2" t="s">
        <v>3426</v>
      </c>
      <c r="T258" s="3" t="s">
        <v>70</v>
      </c>
      <c r="U258" s="4">
        <v>1</v>
      </c>
      <c r="V258" s="4">
        <v>1</v>
      </c>
      <c r="W258" s="5" t="s">
        <v>3427</v>
      </c>
      <c r="X258" s="5" t="s">
        <v>3427</v>
      </c>
      <c r="Y258" s="5" t="s">
        <v>3372</v>
      </c>
      <c r="Z258" s="5" t="s">
        <v>3372</v>
      </c>
      <c r="AA258" s="4">
        <v>461</v>
      </c>
      <c r="AB258" s="4">
        <v>421</v>
      </c>
      <c r="AC258" s="4">
        <v>495</v>
      </c>
      <c r="AD258" s="4">
        <v>4</v>
      </c>
      <c r="AE258" s="4">
        <v>4</v>
      </c>
      <c r="AF258" s="4">
        <v>24</v>
      </c>
      <c r="AG258" s="4">
        <v>29</v>
      </c>
      <c r="AH258" s="4">
        <v>8</v>
      </c>
      <c r="AI258" s="4">
        <v>10</v>
      </c>
      <c r="AJ258" s="4">
        <v>5</v>
      </c>
      <c r="AK258" s="4">
        <v>6</v>
      </c>
      <c r="AL258" s="4">
        <v>16</v>
      </c>
      <c r="AM258" s="4">
        <v>19</v>
      </c>
      <c r="AN258" s="4">
        <v>3</v>
      </c>
      <c r="AO258" s="4">
        <v>3</v>
      </c>
      <c r="AP258" s="4">
        <v>0</v>
      </c>
      <c r="AQ258" s="4">
        <v>0</v>
      </c>
      <c r="AR258" s="3" t="s">
        <v>62</v>
      </c>
      <c r="AS258" s="3" t="s">
        <v>84</v>
      </c>
      <c r="AT258" s="6" t="str">
        <f>HYPERLINK("http://catalog.hathitrust.org/Record/001391100","HathiTrust Record")</f>
        <v>HathiTrust Record</v>
      </c>
      <c r="AU258" s="6" t="str">
        <f>HYPERLINK("https://creighton-primo.hosted.exlibrisgroup.com/primo-explore/search?tab=default_tab&amp;search_scope=EVERYTHING&amp;vid=01CRU&amp;lang=en_US&amp;offset=0&amp;query=any,contains,991002803879702656","Catalog Record")</f>
        <v>Catalog Record</v>
      </c>
      <c r="AV258" s="6" t="str">
        <f>HYPERLINK("http://www.worldcat.org/oclc/448821","WorldCat Record")</f>
        <v>WorldCat Record</v>
      </c>
      <c r="AW258" s="3" t="s">
        <v>3428</v>
      </c>
      <c r="AX258" s="3" t="s">
        <v>3429</v>
      </c>
      <c r="AY258" s="3" t="s">
        <v>3430</v>
      </c>
      <c r="AZ258" s="3" t="s">
        <v>3430</v>
      </c>
      <c r="BA258" s="3" t="s">
        <v>3431</v>
      </c>
      <c r="BB258" s="3" t="s">
        <v>77</v>
      </c>
      <c r="BE258" s="3" t="s">
        <v>3432</v>
      </c>
      <c r="BF258" s="3" t="s">
        <v>3433</v>
      </c>
    </row>
    <row r="259" spans="1:58" ht="41.25" customHeight="1" x14ac:dyDescent="0.25">
      <c r="A259" s="7" t="s">
        <v>62</v>
      </c>
      <c r="B259" s="2" t="s">
        <v>57</v>
      </c>
      <c r="C259" s="2" t="s">
        <v>58</v>
      </c>
      <c r="D259" s="2" t="s">
        <v>3434</v>
      </c>
      <c r="E259" s="2" t="s">
        <v>3435</v>
      </c>
      <c r="F259" s="2" t="s">
        <v>3436</v>
      </c>
      <c r="H259" s="3" t="s">
        <v>62</v>
      </c>
      <c r="I259" s="3" t="s">
        <v>63</v>
      </c>
      <c r="J259" s="3" t="s">
        <v>62</v>
      </c>
      <c r="K259" s="3" t="s">
        <v>62</v>
      </c>
      <c r="L259" s="3" t="s">
        <v>64</v>
      </c>
      <c r="M259" s="2" t="s">
        <v>3437</v>
      </c>
      <c r="N259" s="2" t="s">
        <v>3438</v>
      </c>
      <c r="O259" s="3" t="s">
        <v>218</v>
      </c>
      <c r="Q259" s="3" t="s">
        <v>68</v>
      </c>
      <c r="R259" s="3" t="s">
        <v>166</v>
      </c>
      <c r="S259" s="2" t="s">
        <v>3439</v>
      </c>
      <c r="T259" s="3" t="s">
        <v>70</v>
      </c>
      <c r="U259" s="4">
        <v>3</v>
      </c>
      <c r="V259" s="4">
        <v>3</v>
      </c>
      <c r="W259" s="5" t="s">
        <v>3440</v>
      </c>
      <c r="X259" s="5" t="s">
        <v>3440</v>
      </c>
      <c r="Y259" s="5" t="s">
        <v>3372</v>
      </c>
      <c r="Z259" s="5" t="s">
        <v>3372</v>
      </c>
      <c r="AA259" s="4">
        <v>184</v>
      </c>
      <c r="AB259" s="4">
        <v>146</v>
      </c>
      <c r="AC259" s="4">
        <v>250</v>
      </c>
      <c r="AD259" s="4">
        <v>1</v>
      </c>
      <c r="AE259" s="4">
        <v>1</v>
      </c>
      <c r="AF259" s="4">
        <v>8</v>
      </c>
      <c r="AG259" s="4">
        <v>12</v>
      </c>
      <c r="AH259" s="4">
        <v>4</v>
      </c>
      <c r="AI259" s="4">
        <v>6</v>
      </c>
      <c r="AJ259" s="4">
        <v>0</v>
      </c>
      <c r="AK259" s="4">
        <v>2</v>
      </c>
      <c r="AL259" s="4">
        <v>6</v>
      </c>
      <c r="AM259" s="4">
        <v>7</v>
      </c>
      <c r="AN259" s="4">
        <v>0</v>
      </c>
      <c r="AO259" s="4">
        <v>0</v>
      </c>
      <c r="AP259" s="4">
        <v>0</v>
      </c>
      <c r="AQ259" s="4">
        <v>0</v>
      </c>
      <c r="AR259" s="3" t="s">
        <v>62</v>
      </c>
      <c r="AS259" s="3" t="s">
        <v>62</v>
      </c>
      <c r="AU259" s="6" t="str">
        <f>HYPERLINK("https://creighton-primo.hosted.exlibrisgroup.com/primo-explore/search?tab=default_tab&amp;search_scope=EVERYTHING&amp;vid=01CRU&amp;lang=en_US&amp;offset=0&amp;query=any,contains,991004512109702656","Catalog Record")</f>
        <v>Catalog Record</v>
      </c>
      <c r="AV259" s="6" t="str">
        <f>HYPERLINK("http://www.worldcat.org/oclc/3770759","WorldCat Record")</f>
        <v>WorldCat Record</v>
      </c>
      <c r="AW259" s="3" t="s">
        <v>3441</v>
      </c>
      <c r="AX259" s="3" t="s">
        <v>3442</v>
      </c>
      <c r="AY259" s="3" t="s">
        <v>3443</v>
      </c>
      <c r="AZ259" s="3" t="s">
        <v>3443</v>
      </c>
      <c r="BA259" s="3" t="s">
        <v>3444</v>
      </c>
      <c r="BB259" s="3" t="s">
        <v>77</v>
      </c>
      <c r="BD259" s="3" t="s">
        <v>3445</v>
      </c>
      <c r="BE259" s="3" t="s">
        <v>3446</v>
      </c>
      <c r="BF259" s="3" t="s">
        <v>3447</v>
      </c>
    </row>
    <row r="260" spans="1:58" ht="41.25" customHeight="1" x14ac:dyDescent="0.25">
      <c r="A260" s="7" t="s">
        <v>62</v>
      </c>
      <c r="B260" s="2" t="s">
        <v>57</v>
      </c>
      <c r="C260" s="2" t="s">
        <v>58</v>
      </c>
      <c r="D260" s="2" t="s">
        <v>3448</v>
      </c>
      <c r="E260" s="2" t="s">
        <v>3449</v>
      </c>
      <c r="F260" s="2" t="s">
        <v>3450</v>
      </c>
      <c r="H260" s="3" t="s">
        <v>62</v>
      </c>
      <c r="I260" s="3" t="s">
        <v>63</v>
      </c>
      <c r="J260" s="3" t="s">
        <v>62</v>
      </c>
      <c r="K260" s="3" t="s">
        <v>62</v>
      </c>
      <c r="L260" s="3" t="s">
        <v>64</v>
      </c>
      <c r="M260" s="2" t="s">
        <v>3451</v>
      </c>
      <c r="N260" s="2" t="s">
        <v>3452</v>
      </c>
      <c r="O260" s="3" t="s">
        <v>1533</v>
      </c>
      <c r="P260" s="2" t="s">
        <v>3453</v>
      </c>
      <c r="Q260" s="3" t="s">
        <v>68</v>
      </c>
      <c r="R260" s="3" t="s">
        <v>69</v>
      </c>
      <c r="T260" s="3" t="s">
        <v>70</v>
      </c>
      <c r="U260" s="4">
        <v>1</v>
      </c>
      <c r="V260" s="4">
        <v>1</v>
      </c>
      <c r="W260" s="5" t="s">
        <v>3454</v>
      </c>
      <c r="X260" s="5" t="s">
        <v>3454</v>
      </c>
      <c r="Y260" s="5" t="s">
        <v>3372</v>
      </c>
      <c r="Z260" s="5" t="s">
        <v>3372</v>
      </c>
      <c r="AA260" s="4">
        <v>370</v>
      </c>
      <c r="AB260" s="4">
        <v>346</v>
      </c>
      <c r="AC260" s="4">
        <v>384</v>
      </c>
      <c r="AD260" s="4">
        <v>1</v>
      </c>
      <c r="AE260" s="4">
        <v>1</v>
      </c>
      <c r="AF260" s="4">
        <v>22</v>
      </c>
      <c r="AG260" s="4">
        <v>24</v>
      </c>
      <c r="AH260" s="4">
        <v>10</v>
      </c>
      <c r="AI260" s="4">
        <v>10</v>
      </c>
      <c r="AJ260" s="4">
        <v>5</v>
      </c>
      <c r="AK260" s="4">
        <v>6</v>
      </c>
      <c r="AL260" s="4">
        <v>15</v>
      </c>
      <c r="AM260" s="4">
        <v>17</v>
      </c>
      <c r="AN260" s="4">
        <v>0</v>
      </c>
      <c r="AO260" s="4">
        <v>0</v>
      </c>
      <c r="AP260" s="4">
        <v>0</v>
      </c>
      <c r="AQ260" s="4">
        <v>0</v>
      </c>
      <c r="AR260" s="3" t="s">
        <v>62</v>
      </c>
      <c r="AS260" s="3" t="s">
        <v>84</v>
      </c>
      <c r="AT260" s="6" t="str">
        <f>HYPERLINK("http://catalog.hathitrust.org/Record/101870662","HathiTrust Record")</f>
        <v>HathiTrust Record</v>
      </c>
      <c r="AU260" s="6" t="str">
        <f>HYPERLINK("https://creighton-primo.hosted.exlibrisgroup.com/primo-explore/search?tab=default_tab&amp;search_scope=EVERYTHING&amp;vid=01CRU&amp;lang=en_US&amp;offset=0&amp;query=any,contains,991003171439702656","Catalog Record")</f>
        <v>Catalog Record</v>
      </c>
      <c r="AV260" s="6" t="str">
        <f>HYPERLINK("http://www.worldcat.org/oclc/707230","WorldCat Record")</f>
        <v>WorldCat Record</v>
      </c>
      <c r="AW260" s="3" t="s">
        <v>3455</v>
      </c>
      <c r="AX260" s="3" t="s">
        <v>3456</v>
      </c>
      <c r="AY260" s="3" t="s">
        <v>3457</v>
      </c>
      <c r="AZ260" s="3" t="s">
        <v>3457</v>
      </c>
      <c r="BA260" s="3" t="s">
        <v>3458</v>
      </c>
      <c r="BB260" s="3" t="s">
        <v>77</v>
      </c>
      <c r="BD260" s="3" t="s">
        <v>3459</v>
      </c>
      <c r="BE260" s="3" t="s">
        <v>3460</v>
      </c>
      <c r="BF260" s="3" t="s">
        <v>3461</v>
      </c>
    </row>
    <row r="261" spans="1:58" ht="41.25" customHeight="1" x14ac:dyDescent="0.25">
      <c r="A261" s="7" t="s">
        <v>62</v>
      </c>
      <c r="B261" s="2" t="s">
        <v>57</v>
      </c>
      <c r="C261" s="2" t="s">
        <v>58</v>
      </c>
      <c r="D261" s="2" t="s">
        <v>3462</v>
      </c>
      <c r="E261" s="2" t="s">
        <v>3463</v>
      </c>
      <c r="F261" s="2" t="s">
        <v>3464</v>
      </c>
      <c r="H261" s="3" t="s">
        <v>62</v>
      </c>
      <c r="I261" s="3" t="s">
        <v>63</v>
      </c>
      <c r="J261" s="3" t="s">
        <v>62</v>
      </c>
      <c r="K261" s="3" t="s">
        <v>62</v>
      </c>
      <c r="L261" s="3" t="s">
        <v>64</v>
      </c>
      <c r="M261" s="2" t="s">
        <v>3465</v>
      </c>
      <c r="N261" s="2" t="s">
        <v>3466</v>
      </c>
      <c r="O261" s="3" t="s">
        <v>1482</v>
      </c>
      <c r="Q261" s="3" t="s">
        <v>68</v>
      </c>
      <c r="R261" s="3" t="s">
        <v>88</v>
      </c>
      <c r="T261" s="3" t="s">
        <v>70</v>
      </c>
      <c r="U261" s="4">
        <v>4</v>
      </c>
      <c r="V261" s="4">
        <v>4</v>
      </c>
      <c r="W261" s="5" t="s">
        <v>3467</v>
      </c>
      <c r="X261" s="5" t="s">
        <v>3467</v>
      </c>
      <c r="Y261" s="5" t="s">
        <v>3372</v>
      </c>
      <c r="Z261" s="5" t="s">
        <v>3372</v>
      </c>
      <c r="AA261" s="4">
        <v>572</v>
      </c>
      <c r="AB261" s="4">
        <v>512</v>
      </c>
      <c r="AC261" s="4">
        <v>518</v>
      </c>
      <c r="AD261" s="4">
        <v>3</v>
      </c>
      <c r="AE261" s="4">
        <v>3</v>
      </c>
      <c r="AF261" s="4">
        <v>26</v>
      </c>
      <c r="AG261" s="4">
        <v>26</v>
      </c>
      <c r="AH261" s="4">
        <v>12</v>
      </c>
      <c r="AI261" s="4">
        <v>12</v>
      </c>
      <c r="AJ261" s="4">
        <v>6</v>
      </c>
      <c r="AK261" s="4">
        <v>6</v>
      </c>
      <c r="AL261" s="4">
        <v>11</v>
      </c>
      <c r="AM261" s="4">
        <v>11</v>
      </c>
      <c r="AN261" s="4">
        <v>2</v>
      </c>
      <c r="AO261" s="4">
        <v>2</v>
      </c>
      <c r="AP261" s="4">
        <v>0</v>
      </c>
      <c r="AQ261" s="4">
        <v>0</v>
      </c>
      <c r="AR261" s="3" t="s">
        <v>84</v>
      </c>
      <c r="AS261" s="3" t="s">
        <v>62</v>
      </c>
      <c r="AT261" s="6" t="str">
        <f>HYPERLINK("http://catalog.hathitrust.org/Record/001391108","HathiTrust Record")</f>
        <v>HathiTrust Record</v>
      </c>
      <c r="AU261" s="6" t="str">
        <f>HYPERLINK("https://creighton-primo.hosted.exlibrisgroup.com/primo-explore/search?tab=default_tab&amp;search_scope=EVERYTHING&amp;vid=01CRU&amp;lang=en_US&amp;offset=0&amp;query=any,contains,991002612819702656","Catalog Record")</f>
        <v>Catalog Record</v>
      </c>
      <c r="AV261" s="6" t="str">
        <f>HYPERLINK("http://www.worldcat.org/oclc/378521","WorldCat Record")</f>
        <v>WorldCat Record</v>
      </c>
      <c r="AW261" s="3" t="s">
        <v>3468</v>
      </c>
      <c r="AX261" s="3" t="s">
        <v>3469</v>
      </c>
      <c r="AY261" s="3" t="s">
        <v>3470</v>
      </c>
      <c r="AZ261" s="3" t="s">
        <v>3470</v>
      </c>
      <c r="BA261" s="3" t="s">
        <v>3471</v>
      </c>
      <c r="BB261" s="3" t="s">
        <v>77</v>
      </c>
      <c r="BE261" s="3" t="s">
        <v>3472</v>
      </c>
      <c r="BF261" s="3" t="s">
        <v>3473</v>
      </c>
    </row>
    <row r="262" spans="1:58" ht="41.25" customHeight="1" x14ac:dyDescent="0.25">
      <c r="A262" s="7" t="s">
        <v>62</v>
      </c>
      <c r="B262" s="2" t="s">
        <v>57</v>
      </c>
      <c r="C262" s="2" t="s">
        <v>58</v>
      </c>
      <c r="D262" s="2" t="s">
        <v>3474</v>
      </c>
      <c r="E262" s="2" t="s">
        <v>3475</v>
      </c>
      <c r="F262" s="2" t="s">
        <v>3476</v>
      </c>
      <c r="H262" s="3" t="s">
        <v>62</v>
      </c>
      <c r="I262" s="3" t="s">
        <v>63</v>
      </c>
      <c r="J262" s="3" t="s">
        <v>62</v>
      </c>
      <c r="K262" s="3" t="s">
        <v>62</v>
      </c>
      <c r="L262" s="3" t="s">
        <v>64</v>
      </c>
      <c r="M262" s="2" t="s">
        <v>3477</v>
      </c>
      <c r="N262" s="2" t="s">
        <v>3478</v>
      </c>
      <c r="O262" s="3" t="s">
        <v>791</v>
      </c>
      <c r="P262" s="2" t="s">
        <v>834</v>
      </c>
      <c r="Q262" s="3" t="s">
        <v>68</v>
      </c>
      <c r="R262" s="3" t="s">
        <v>88</v>
      </c>
      <c r="S262" s="2" t="s">
        <v>3479</v>
      </c>
      <c r="T262" s="3" t="s">
        <v>70</v>
      </c>
      <c r="U262" s="4">
        <v>4</v>
      </c>
      <c r="V262" s="4">
        <v>4</v>
      </c>
      <c r="W262" s="5" t="s">
        <v>3480</v>
      </c>
      <c r="X262" s="5" t="s">
        <v>3480</v>
      </c>
      <c r="Y262" s="5" t="s">
        <v>3372</v>
      </c>
      <c r="Z262" s="5" t="s">
        <v>3372</v>
      </c>
      <c r="AA262" s="4">
        <v>414</v>
      </c>
      <c r="AB262" s="4">
        <v>362</v>
      </c>
      <c r="AC262" s="4">
        <v>547</v>
      </c>
      <c r="AD262" s="4">
        <v>4</v>
      </c>
      <c r="AE262" s="4">
        <v>5</v>
      </c>
      <c r="AF262" s="4">
        <v>13</v>
      </c>
      <c r="AG262" s="4">
        <v>24</v>
      </c>
      <c r="AH262" s="4">
        <v>4</v>
      </c>
      <c r="AI262" s="4">
        <v>8</v>
      </c>
      <c r="AJ262" s="4">
        <v>1</v>
      </c>
      <c r="AK262" s="4">
        <v>3</v>
      </c>
      <c r="AL262" s="4">
        <v>6</v>
      </c>
      <c r="AM262" s="4">
        <v>11</v>
      </c>
      <c r="AN262" s="4">
        <v>3</v>
      </c>
      <c r="AO262" s="4">
        <v>4</v>
      </c>
      <c r="AP262" s="4">
        <v>0</v>
      </c>
      <c r="AQ262" s="4">
        <v>0</v>
      </c>
      <c r="AR262" s="3" t="s">
        <v>84</v>
      </c>
      <c r="AS262" s="3" t="s">
        <v>62</v>
      </c>
      <c r="AT262" s="6" t="str">
        <f>HYPERLINK("http://catalog.hathitrust.org/Record/001391109","HathiTrust Record")</f>
        <v>HathiTrust Record</v>
      </c>
      <c r="AU262" s="6" t="str">
        <f>HYPERLINK("https://creighton-primo.hosted.exlibrisgroup.com/primo-explore/search?tab=default_tab&amp;search_scope=EVERYTHING&amp;vid=01CRU&amp;lang=en_US&amp;offset=0&amp;query=any,contains,991003573649702656","Catalog Record")</f>
        <v>Catalog Record</v>
      </c>
      <c r="AV262" s="6" t="str">
        <f>HYPERLINK("http://www.worldcat.org/oclc/1149663","WorldCat Record")</f>
        <v>WorldCat Record</v>
      </c>
      <c r="AW262" s="3" t="s">
        <v>3481</v>
      </c>
      <c r="AX262" s="3" t="s">
        <v>3482</v>
      </c>
      <c r="AY262" s="3" t="s">
        <v>3483</v>
      </c>
      <c r="AZ262" s="3" t="s">
        <v>3483</v>
      </c>
      <c r="BA262" s="3" t="s">
        <v>3484</v>
      </c>
      <c r="BB262" s="3" t="s">
        <v>77</v>
      </c>
      <c r="BE262" s="3" t="s">
        <v>3485</v>
      </c>
      <c r="BF262" s="3" t="s">
        <v>3486</v>
      </c>
    </row>
    <row r="263" spans="1:58" ht="41.25" customHeight="1" x14ac:dyDescent="0.25">
      <c r="A263" s="7" t="s">
        <v>62</v>
      </c>
      <c r="B263" s="2" t="s">
        <v>57</v>
      </c>
      <c r="C263" s="2" t="s">
        <v>58</v>
      </c>
      <c r="D263" s="2" t="s">
        <v>3487</v>
      </c>
      <c r="E263" s="2" t="s">
        <v>3488</v>
      </c>
      <c r="F263" s="2" t="s">
        <v>3489</v>
      </c>
      <c r="H263" s="3" t="s">
        <v>62</v>
      </c>
      <c r="I263" s="3" t="s">
        <v>63</v>
      </c>
      <c r="J263" s="3" t="s">
        <v>62</v>
      </c>
      <c r="K263" s="3" t="s">
        <v>62</v>
      </c>
      <c r="L263" s="3" t="s">
        <v>64</v>
      </c>
      <c r="M263" s="2" t="s">
        <v>3490</v>
      </c>
      <c r="N263" s="2" t="s">
        <v>3491</v>
      </c>
      <c r="O263" s="3" t="s">
        <v>404</v>
      </c>
      <c r="P263" s="2" t="s">
        <v>268</v>
      </c>
      <c r="Q263" s="3" t="s">
        <v>68</v>
      </c>
      <c r="R263" s="3" t="s">
        <v>69</v>
      </c>
      <c r="T263" s="3" t="s">
        <v>70</v>
      </c>
      <c r="U263" s="4">
        <v>6</v>
      </c>
      <c r="V263" s="4">
        <v>6</v>
      </c>
      <c r="W263" s="5" t="s">
        <v>3492</v>
      </c>
      <c r="X263" s="5" t="s">
        <v>3492</v>
      </c>
      <c r="Y263" s="5" t="s">
        <v>3372</v>
      </c>
      <c r="Z263" s="5" t="s">
        <v>3372</v>
      </c>
      <c r="AA263" s="4">
        <v>519</v>
      </c>
      <c r="AB263" s="4">
        <v>446</v>
      </c>
      <c r="AC263" s="4">
        <v>507</v>
      </c>
      <c r="AD263" s="4">
        <v>6</v>
      </c>
      <c r="AE263" s="4">
        <v>7</v>
      </c>
      <c r="AF263" s="4">
        <v>34</v>
      </c>
      <c r="AG263" s="4">
        <v>36</v>
      </c>
      <c r="AH263" s="4">
        <v>11</v>
      </c>
      <c r="AI263" s="4">
        <v>12</v>
      </c>
      <c r="AJ263" s="4">
        <v>9</v>
      </c>
      <c r="AK263" s="4">
        <v>9</v>
      </c>
      <c r="AL263" s="4">
        <v>21</v>
      </c>
      <c r="AM263" s="4">
        <v>22</v>
      </c>
      <c r="AN263" s="4">
        <v>3</v>
      </c>
      <c r="AO263" s="4">
        <v>4</v>
      </c>
      <c r="AP263" s="4">
        <v>0</v>
      </c>
      <c r="AQ263" s="4">
        <v>0</v>
      </c>
      <c r="AR263" s="3" t="s">
        <v>62</v>
      </c>
      <c r="AS263" s="3" t="s">
        <v>84</v>
      </c>
      <c r="AT263" s="6" t="str">
        <f>HYPERLINK("http://catalog.hathitrust.org/Record/001391110","HathiTrust Record")</f>
        <v>HathiTrust Record</v>
      </c>
      <c r="AU263" s="6" t="str">
        <f>HYPERLINK("https://creighton-primo.hosted.exlibrisgroup.com/primo-explore/search?tab=default_tab&amp;search_scope=EVERYTHING&amp;vid=01CRU&amp;lang=en_US&amp;offset=0&amp;query=any,contains,991001950639702656","Catalog Record")</f>
        <v>Catalog Record</v>
      </c>
      <c r="AV263" s="6" t="str">
        <f>HYPERLINK("http://www.worldcat.org/oclc/252061","WorldCat Record")</f>
        <v>WorldCat Record</v>
      </c>
      <c r="AW263" s="3" t="s">
        <v>3493</v>
      </c>
      <c r="AX263" s="3" t="s">
        <v>3494</v>
      </c>
      <c r="AY263" s="3" t="s">
        <v>3495</v>
      </c>
      <c r="AZ263" s="3" t="s">
        <v>3495</v>
      </c>
      <c r="BA263" s="3" t="s">
        <v>3496</v>
      </c>
      <c r="BB263" s="3" t="s">
        <v>77</v>
      </c>
      <c r="BE263" s="3" t="s">
        <v>3497</v>
      </c>
      <c r="BF263" s="3" t="s">
        <v>3498</v>
      </c>
    </row>
    <row r="264" spans="1:58" ht="41.25" customHeight="1" x14ac:dyDescent="0.25">
      <c r="A264" s="7" t="s">
        <v>62</v>
      </c>
      <c r="B264" s="2" t="s">
        <v>57</v>
      </c>
      <c r="C264" s="2" t="s">
        <v>58</v>
      </c>
      <c r="D264" s="2" t="s">
        <v>3499</v>
      </c>
      <c r="E264" s="2" t="s">
        <v>3500</v>
      </c>
      <c r="F264" s="2" t="s">
        <v>3501</v>
      </c>
      <c r="H264" s="3" t="s">
        <v>62</v>
      </c>
      <c r="I264" s="3" t="s">
        <v>63</v>
      </c>
      <c r="J264" s="3" t="s">
        <v>62</v>
      </c>
      <c r="K264" s="3" t="s">
        <v>62</v>
      </c>
      <c r="L264" s="3" t="s">
        <v>64</v>
      </c>
      <c r="M264" s="2" t="s">
        <v>1818</v>
      </c>
      <c r="N264" s="2" t="s">
        <v>3502</v>
      </c>
      <c r="O264" s="3" t="s">
        <v>1251</v>
      </c>
      <c r="Q264" s="3" t="s">
        <v>68</v>
      </c>
      <c r="R264" s="3" t="s">
        <v>69</v>
      </c>
      <c r="T264" s="3" t="s">
        <v>70</v>
      </c>
      <c r="U264" s="4">
        <v>4</v>
      </c>
      <c r="V264" s="4">
        <v>4</v>
      </c>
      <c r="W264" s="5" t="s">
        <v>3503</v>
      </c>
      <c r="X264" s="5" t="s">
        <v>3503</v>
      </c>
      <c r="Y264" s="5" t="s">
        <v>3504</v>
      </c>
      <c r="Z264" s="5" t="s">
        <v>3504</v>
      </c>
      <c r="AA264" s="4">
        <v>293</v>
      </c>
      <c r="AB264" s="4">
        <v>244</v>
      </c>
      <c r="AC264" s="4">
        <v>247</v>
      </c>
      <c r="AD264" s="4">
        <v>2</v>
      </c>
      <c r="AE264" s="4">
        <v>2</v>
      </c>
      <c r="AF264" s="4">
        <v>10</v>
      </c>
      <c r="AG264" s="4">
        <v>10</v>
      </c>
      <c r="AH264" s="4">
        <v>0</v>
      </c>
      <c r="AI264" s="4">
        <v>0</v>
      </c>
      <c r="AJ264" s="4">
        <v>5</v>
      </c>
      <c r="AK264" s="4">
        <v>5</v>
      </c>
      <c r="AL264" s="4">
        <v>6</v>
      </c>
      <c r="AM264" s="4">
        <v>6</v>
      </c>
      <c r="AN264" s="4">
        <v>1</v>
      </c>
      <c r="AO264" s="4">
        <v>1</v>
      </c>
      <c r="AP264" s="4">
        <v>0</v>
      </c>
      <c r="AQ264" s="4">
        <v>0</v>
      </c>
      <c r="AR264" s="3" t="s">
        <v>62</v>
      </c>
      <c r="AS264" s="3" t="s">
        <v>62</v>
      </c>
      <c r="AU264" s="6" t="str">
        <f>HYPERLINK("https://creighton-primo.hosted.exlibrisgroup.com/primo-explore/search?tab=default_tab&amp;search_scope=EVERYTHING&amp;vid=01CRU&amp;lang=en_US&amp;offset=0&amp;query=any,contains,991001240539702656","Catalog Record")</f>
        <v>Catalog Record</v>
      </c>
      <c r="AV264" s="6" t="str">
        <f>HYPERLINK("http://www.worldcat.org/oclc/17618848","WorldCat Record")</f>
        <v>WorldCat Record</v>
      </c>
      <c r="AW264" s="3" t="s">
        <v>3505</v>
      </c>
      <c r="AX264" s="3" t="s">
        <v>3506</v>
      </c>
      <c r="AY264" s="3" t="s">
        <v>3507</v>
      </c>
      <c r="AZ264" s="3" t="s">
        <v>3507</v>
      </c>
      <c r="BA264" s="3" t="s">
        <v>3508</v>
      </c>
      <c r="BB264" s="3" t="s">
        <v>77</v>
      </c>
      <c r="BD264" s="3" t="s">
        <v>3509</v>
      </c>
      <c r="BE264" s="3" t="s">
        <v>3510</v>
      </c>
      <c r="BF264" s="3" t="s">
        <v>3511</v>
      </c>
    </row>
    <row r="265" spans="1:58" ht="41.25" customHeight="1" x14ac:dyDescent="0.25">
      <c r="A265" s="7" t="s">
        <v>62</v>
      </c>
      <c r="B265" s="2" t="s">
        <v>57</v>
      </c>
      <c r="C265" s="2" t="s">
        <v>58</v>
      </c>
      <c r="D265" s="2" t="s">
        <v>3512</v>
      </c>
      <c r="E265" s="2" t="s">
        <v>3513</v>
      </c>
      <c r="F265" s="2" t="s">
        <v>3514</v>
      </c>
      <c r="H265" s="3" t="s">
        <v>62</v>
      </c>
      <c r="I265" s="3" t="s">
        <v>63</v>
      </c>
      <c r="J265" s="3" t="s">
        <v>62</v>
      </c>
      <c r="K265" s="3" t="s">
        <v>62</v>
      </c>
      <c r="L265" s="3" t="s">
        <v>64</v>
      </c>
      <c r="M265" s="2" t="s">
        <v>3515</v>
      </c>
      <c r="N265" s="2" t="s">
        <v>3516</v>
      </c>
      <c r="O265" s="3" t="s">
        <v>404</v>
      </c>
      <c r="P265" s="2" t="s">
        <v>268</v>
      </c>
      <c r="Q265" s="3" t="s">
        <v>68</v>
      </c>
      <c r="R265" s="3" t="s">
        <v>69</v>
      </c>
      <c r="T265" s="3" t="s">
        <v>70</v>
      </c>
      <c r="U265" s="4">
        <v>2</v>
      </c>
      <c r="V265" s="4">
        <v>2</v>
      </c>
      <c r="W265" s="5" t="s">
        <v>3517</v>
      </c>
      <c r="X265" s="5" t="s">
        <v>3517</v>
      </c>
      <c r="Y265" s="5" t="s">
        <v>3372</v>
      </c>
      <c r="Z265" s="5" t="s">
        <v>3372</v>
      </c>
      <c r="AA265" s="4">
        <v>310</v>
      </c>
      <c r="AB265" s="4">
        <v>275</v>
      </c>
      <c r="AC265" s="4">
        <v>323</v>
      </c>
      <c r="AD265" s="4">
        <v>2</v>
      </c>
      <c r="AE265" s="4">
        <v>3</v>
      </c>
      <c r="AF265" s="4">
        <v>12</v>
      </c>
      <c r="AG265" s="4">
        <v>15</v>
      </c>
      <c r="AH265" s="4">
        <v>3</v>
      </c>
      <c r="AI265" s="4">
        <v>3</v>
      </c>
      <c r="AJ265" s="4">
        <v>3</v>
      </c>
      <c r="AK265" s="4">
        <v>4</v>
      </c>
      <c r="AL265" s="4">
        <v>7</v>
      </c>
      <c r="AM265" s="4">
        <v>9</v>
      </c>
      <c r="AN265" s="4">
        <v>1</v>
      </c>
      <c r="AO265" s="4">
        <v>1</v>
      </c>
      <c r="AP265" s="4">
        <v>0</v>
      </c>
      <c r="AQ265" s="4">
        <v>0</v>
      </c>
      <c r="AR265" s="3" t="s">
        <v>62</v>
      </c>
      <c r="AS265" s="3" t="s">
        <v>84</v>
      </c>
      <c r="AT265" s="6" t="str">
        <f>HYPERLINK("http://catalog.hathitrust.org/Record/001391114","HathiTrust Record")</f>
        <v>HathiTrust Record</v>
      </c>
      <c r="AU265" s="6" t="str">
        <f>HYPERLINK("https://creighton-primo.hosted.exlibrisgroup.com/primo-explore/search?tab=default_tab&amp;search_scope=EVERYTHING&amp;vid=01CRU&amp;lang=en_US&amp;offset=0&amp;query=any,contains,991001906559702656","Catalog Record")</f>
        <v>Catalog Record</v>
      </c>
      <c r="AV265" s="6" t="str">
        <f>HYPERLINK("http://www.worldcat.org/oclc/240712","WorldCat Record")</f>
        <v>WorldCat Record</v>
      </c>
      <c r="AW265" s="3" t="s">
        <v>3518</v>
      </c>
      <c r="AX265" s="3" t="s">
        <v>3519</v>
      </c>
      <c r="AY265" s="3" t="s">
        <v>3520</v>
      </c>
      <c r="AZ265" s="3" t="s">
        <v>3520</v>
      </c>
      <c r="BA265" s="3" t="s">
        <v>3521</v>
      </c>
      <c r="BB265" s="3" t="s">
        <v>77</v>
      </c>
      <c r="BD265" s="3" t="s">
        <v>3522</v>
      </c>
      <c r="BE265" s="3" t="s">
        <v>3523</v>
      </c>
      <c r="BF265" s="3" t="s">
        <v>3524</v>
      </c>
    </row>
    <row r="266" spans="1:58" ht="41.25" customHeight="1" x14ac:dyDescent="0.25">
      <c r="A266" s="7" t="s">
        <v>62</v>
      </c>
      <c r="B266" s="2" t="s">
        <v>57</v>
      </c>
      <c r="C266" s="2" t="s">
        <v>58</v>
      </c>
      <c r="D266" s="2" t="s">
        <v>3525</v>
      </c>
      <c r="E266" s="2" t="s">
        <v>3526</v>
      </c>
      <c r="F266" s="2" t="s">
        <v>3527</v>
      </c>
      <c r="H266" s="3" t="s">
        <v>62</v>
      </c>
      <c r="I266" s="3" t="s">
        <v>63</v>
      </c>
      <c r="J266" s="3" t="s">
        <v>62</v>
      </c>
      <c r="K266" s="3" t="s">
        <v>62</v>
      </c>
      <c r="L266" s="3" t="s">
        <v>64</v>
      </c>
      <c r="M266" s="2" t="s">
        <v>3528</v>
      </c>
      <c r="N266" s="2" t="s">
        <v>3529</v>
      </c>
      <c r="O266" s="3" t="s">
        <v>1251</v>
      </c>
      <c r="Q266" s="3" t="s">
        <v>68</v>
      </c>
      <c r="R266" s="3" t="s">
        <v>1653</v>
      </c>
      <c r="T266" s="3" t="s">
        <v>70</v>
      </c>
      <c r="U266" s="4">
        <v>3</v>
      </c>
      <c r="V266" s="4">
        <v>3</v>
      </c>
      <c r="W266" s="5" t="s">
        <v>1625</v>
      </c>
      <c r="X266" s="5" t="s">
        <v>1625</v>
      </c>
      <c r="Y266" s="5" t="s">
        <v>3530</v>
      </c>
      <c r="Z266" s="5" t="s">
        <v>3530</v>
      </c>
      <c r="AA266" s="4">
        <v>491</v>
      </c>
      <c r="AB266" s="4">
        <v>389</v>
      </c>
      <c r="AC266" s="4">
        <v>671</v>
      </c>
      <c r="AD266" s="4">
        <v>3</v>
      </c>
      <c r="AE266" s="4">
        <v>5</v>
      </c>
      <c r="AF266" s="4">
        <v>16</v>
      </c>
      <c r="AG266" s="4">
        <v>28</v>
      </c>
      <c r="AH266" s="4">
        <v>5</v>
      </c>
      <c r="AI266" s="4">
        <v>12</v>
      </c>
      <c r="AJ266" s="4">
        <v>7</v>
      </c>
      <c r="AK266" s="4">
        <v>8</v>
      </c>
      <c r="AL266" s="4">
        <v>8</v>
      </c>
      <c r="AM266" s="4">
        <v>13</v>
      </c>
      <c r="AN266" s="4">
        <v>2</v>
      </c>
      <c r="AO266" s="4">
        <v>3</v>
      </c>
      <c r="AP266" s="4">
        <v>0</v>
      </c>
      <c r="AQ266" s="4">
        <v>0</v>
      </c>
      <c r="AR266" s="3" t="s">
        <v>62</v>
      </c>
      <c r="AS266" s="3" t="s">
        <v>84</v>
      </c>
      <c r="AT266" s="6" t="str">
        <f>HYPERLINK("http://catalog.hathitrust.org/Record/001077552","HathiTrust Record")</f>
        <v>HathiTrust Record</v>
      </c>
      <c r="AU266" s="6" t="str">
        <f>HYPERLINK("https://creighton-primo.hosted.exlibrisgroup.com/primo-explore/search?tab=default_tab&amp;search_scope=EVERYTHING&amp;vid=01CRU&amp;lang=en_US&amp;offset=0&amp;query=any,contains,991001222289702656","Catalog Record")</f>
        <v>Catalog Record</v>
      </c>
      <c r="AV266" s="6" t="str">
        <f>HYPERLINK("http://www.worldcat.org/oclc/17479928","WorldCat Record")</f>
        <v>WorldCat Record</v>
      </c>
      <c r="AW266" s="3" t="s">
        <v>3531</v>
      </c>
      <c r="AX266" s="3" t="s">
        <v>3532</v>
      </c>
      <c r="AY266" s="3" t="s">
        <v>3533</v>
      </c>
      <c r="AZ266" s="3" t="s">
        <v>3533</v>
      </c>
      <c r="BA266" s="3" t="s">
        <v>3534</v>
      </c>
      <c r="BB266" s="3" t="s">
        <v>77</v>
      </c>
      <c r="BD266" s="3" t="s">
        <v>3535</v>
      </c>
      <c r="BE266" s="3" t="s">
        <v>3536</v>
      </c>
      <c r="BF266" s="3" t="s">
        <v>3537</v>
      </c>
    </row>
    <row r="267" spans="1:58" ht="41.25" customHeight="1" x14ac:dyDescent="0.25">
      <c r="A267" s="7" t="s">
        <v>62</v>
      </c>
      <c r="B267" s="2" t="s">
        <v>57</v>
      </c>
      <c r="C267" s="2" t="s">
        <v>58</v>
      </c>
      <c r="D267" s="2" t="s">
        <v>3538</v>
      </c>
      <c r="E267" s="2" t="s">
        <v>3539</v>
      </c>
      <c r="F267" s="2" t="s">
        <v>3540</v>
      </c>
      <c r="H267" s="3" t="s">
        <v>62</v>
      </c>
      <c r="I267" s="3" t="s">
        <v>63</v>
      </c>
      <c r="J267" s="3" t="s">
        <v>62</v>
      </c>
      <c r="K267" s="3" t="s">
        <v>62</v>
      </c>
      <c r="L267" s="3" t="s">
        <v>64</v>
      </c>
      <c r="N267" s="2" t="s">
        <v>3541</v>
      </c>
      <c r="O267" s="3" t="s">
        <v>218</v>
      </c>
      <c r="P267" s="2" t="s">
        <v>834</v>
      </c>
      <c r="Q267" s="3" t="s">
        <v>68</v>
      </c>
      <c r="R267" s="3" t="s">
        <v>69</v>
      </c>
      <c r="T267" s="3" t="s">
        <v>70</v>
      </c>
      <c r="U267" s="4">
        <v>1</v>
      </c>
      <c r="V267" s="4">
        <v>1</v>
      </c>
      <c r="W267" s="5" t="s">
        <v>3542</v>
      </c>
      <c r="X267" s="5" t="s">
        <v>3542</v>
      </c>
      <c r="Y267" s="5" t="s">
        <v>3372</v>
      </c>
      <c r="Z267" s="5" t="s">
        <v>3372</v>
      </c>
      <c r="AA267" s="4">
        <v>303</v>
      </c>
      <c r="AB267" s="4">
        <v>246</v>
      </c>
      <c r="AC267" s="4">
        <v>252</v>
      </c>
      <c r="AD267" s="4">
        <v>2</v>
      </c>
      <c r="AE267" s="4">
        <v>2</v>
      </c>
      <c r="AF267" s="4">
        <v>15</v>
      </c>
      <c r="AG267" s="4">
        <v>15</v>
      </c>
      <c r="AH267" s="4">
        <v>4</v>
      </c>
      <c r="AI267" s="4">
        <v>4</v>
      </c>
      <c r="AJ267" s="4">
        <v>2</v>
      </c>
      <c r="AK267" s="4">
        <v>2</v>
      </c>
      <c r="AL267" s="4">
        <v>10</v>
      </c>
      <c r="AM267" s="4">
        <v>10</v>
      </c>
      <c r="AN267" s="4">
        <v>1</v>
      </c>
      <c r="AO267" s="4">
        <v>1</v>
      </c>
      <c r="AP267" s="4">
        <v>0</v>
      </c>
      <c r="AQ267" s="4">
        <v>0</v>
      </c>
      <c r="AR267" s="3" t="s">
        <v>62</v>
      </c>
      <c r="AS267" s="3" t="s">
        <v>84</v>
      </c>
      <c r="AT267" s="6" t="str">
        <f>HYPERLINK("http://catalog.hathitrust.org/Record/007115189","HathiTrust Record")</f>
        <v>HathiTrust Record</v>
      </c>
      <c r="AU267" s="6" t="str">
        <f>HYPERLINK("https://creighton-primo.hosted.exlibrisgroup.com/primo-explore/search?tab=default_tab&amp;search_scope=EVERYTHING&amp;vid=01CRU&amp;lang=en_US&amp;offset=0&amp;query=any,contains,991004541239702656","Catalog Record")</f>
        <v>Catalog Record</v>
      </c>
      <c r="AV267" s="6" t="str">
        <f>HYPERLINK("http://www.worldcat.org/oclc/3893838","WorldCat Record")</f>
        <v>WorldCat Record</v>
      </c>
      <c r="AW267" s="3" t="s">
        <v>3543</v>
      </c>
      <c r="AX267" s="3" t="s">
        <v>3544</v>
      </c>
      <c r="AY267" s="3" t="s">
        <v>3545</v>
      </c>
      <c r="AZ267" s="3" t="s">
        <v>3545</v>
      </c>
      <c r="BA267" s="3" t="s">
        <v>3546</v>
      </c>
      <c r="BB267" s="3" t="s">
        <v>77</v>
      </c>
      <c r="BD267" s="3" t="s">
        <v>3547</v>
      </c>
      <c r="BE267" s="3" t="s">
        <v>3548</v>
      </c>
      <c r="BF267" s="3" t="s">
        <v>3549</v>
      </c>
    </row>
    <row r="268" spans="1:58" ht="41.25" customHeight="1" x14ac:dyDescent="0.25">
      <c r="A268" s="7" t="s">
        <v>62</v>
      </c>
      <c r="B268" s="2" t="s">
        <v>57</v>
      </c>
      <c r="C268" s="2" t="s">
        <v>58</v>
      </c>
      <c r="D268" s="2" t="s">
        <v>3550</v>
      </c>
      <c r="E268" s="2" t="s">
        <v>3551</v>
      </c>
      <c r="F268" s="2" t="s">
        <v>3552</v>
      </c>
      <c r="H268" s="3" t="s">
        <v>62</v>
      </c>
      <c r="I268" s="3" t="s">
        <v>63</v>
      </c>
      <c r="J268" s="3" t="s">
        <v>62</v>
      </c>
      <c r="K268" s="3" t="s">
        <v>62</v>
      </c>
      <c r="L268" s="3" t="s">
        <v>64</v>
      </c>
      <c r="M268" s="2" t="s">
        <v>3553</v>
      </c>
      <c r="N268" s="2" t="s">
        <v>3554</v>
      </c>
      <c r="O268" s="3" t="s">
        <v>67</v>
      </c>
      <c r="Q268" s="3" t="s">
        <v>68</v>
      </c>
      <c r="R268" s="3" t="s">
        <v>138</v>
      </c>
      <c r="T268" s="3" t="s">
        <v>70</v>
      </c>
      <c r="U268" s="4">
        <v>1</v>
      </c>
      <c r="V268" s="4">
        <v>1</v>
      </c>
      <c r="W268" s="5" t="s">
        <v>3454</v>
      </c>
      <c r="X268" s="5" t="s">
        <v>3454</v>
      </c>
      <c r="Y268" s="5" t="s">
        <v>3372</v>
      </c>
      <c r="Z268" s="5" t="s">
        <v>3372</v>
      </c>
      <c r="AA268" s="4">
        <v>177</v>
      </c>
      <c r="AB268" s="4">
        <v>158</v>
      </c>
      <c r="AC268" s="4">
        <v>297</v>
      </c>
      <c r="AD268" s="4">
        <v>2</v>
      </c>
      <c r="AE268" s="4">
        <v>3</v>
      </c>
      <c r="AF268" s="4">
        <v>10</v>
      </c>
      <c r="AG268" s="4">
        <v>15</v>
      </c>
      <c r="AH268" s="4">
        <v>3</v>
      </c>
      <c r="AI268" s="4">
        <v>5</v>
      </c>
      <c r="AJ268" s="4">
        <v>1</v>
      </c>
      <c r="AK268" s="4">
        <v>2</v>
      </c>
      <c r="AL268" s="4">
        <v>6</v>
      </c>
      <c r="AM268" s="4">
        <v>8</v>
      </c>
      <c r="AN268" s="4">
        <v>1</v>
      </c>
      <c r="AO268" s="4">
        <v>2</v>
      </c>
      <c r="AP268" s="4">
        <v>0</v>
      </c>
      <c r="AQ268" s="4">
        <v>0</v>
      </c>
      <c r="AR268" s="3" t="s">
        <v>62</v>
      </c>
      <c r="AS268" s="3" t="s">
        <v>62</v>
      </c>
      <c r="AU268" s="6" t="str">
        <f>HYPERLINK("https://creighton-primo.hosted.exlibrisgroup.com/primo-explore/search?tab=default_tab&amp;search_scope=EVERYTHING&amp;vid=01CRU&amp;lang=en_US&amp;offset=0&amp;query=any,contains,991001949569702656","Catalog Record")</f>
        <v>Catalog Record</v>
      </c>
      <c r="AV268" s="6" t="str">
        <f>HYPERLINK("http://www.worldcat.org/oclc/251468","WorldCat Record")</f>
        <v>WorldCat Record</v>
      </c>
      <c r="AW268" s="3" t="s">
        <v>3555</v>
      </c>
      <c r="AX268" s="3" t="s">
        <v>3556</v>
      </c>
      <c r="AY268" s="3" t="s">
        <v>3557</v>
      </c>
      <c r="AZ268" s="3" t="s">
        <v>3557</v>
      </c>
      <c r="BA268" s="3" t="s">
        <v>3558</v>
      </c>
      <c r="BB268" s="3" t="s">
        <v>77</v>
      </c>
      <c r="BD268" s="3" t="s">
        <v>3559</v>
      </c>
      <c r="BE268" s="3" t="s">
        <v>3560</v>
      </c>
      <c r="BF268" s="3" t="s">
        <v>3561</v>
      </c>
    </row>
    <row r="269" spans="1:58" ht="41.25" customHeight="1" x14ac:dyDescent="0.25">
      <c r="A269" s="7" t="s">
        <v>62</v>
      </c>
      <c r="B269" s="2" t="s">
        <v>57</v>
      </c>
      <c r="C269" s="2" t="s">
        <v>58</v>
      </c>
      <c r="D269" s="2" t="s">
        <v>3562</v>
      </c>
      <c r="E269" s="2" t="s">
        <v>3563</v>
      </c>
      <c r="F269" s="2" t="s">
        <v>3564</v>
      </c>
      <c r="H269" s="3" t="s">
        <v>62</v>
      </c>
      <c r="I269" s="3" t="s">
        <v>63</v>
      </c>
      <c r="J269" s="3" t="s">
        <v>62</v>
      </c>
      <c r="K269" s="3" t="s">
        <v>62</v>
      </c>
      <c r="L269" s="3" t="s">
        <v>64</v>
      </c>
      <c r="M269" s="2" t="s">
        <v>3565</v>
      </c>
      <c r="N269" s="2" t="s">
        <v>3566</v>
      </c>
      <c r="O269" s="3" t="s">
        <v>404</v>
      </c>
      <c r="Q269" s="3" t="s">
        <v>68</v>
      </c>
      <c r="R269" s="3" t="s">
        <v>69</v>
      </c>
      <c r="S269" s="2" t="s">
        <v>3567</v>
      </c>
      <c r="T269" s="3" t="s">
        <v>70</v>
      </c>
      <c r="U269" s="4">
        <v>7</v>
      </c>
      <c r="V269" s="4">
        <v>7</v>
      </c>
      <c r="W269" s="5" t="s">
        <v>3568</v>
      </c>
      <c r="X269" s="5" t="s">
        <v>3568</v>
      </c>
      <c r="Y269" s="5" t="s">
        <v>3372</v>
      </c>
      <c r="Z269" s="5" t="s">
        <v>3372</v>
      </c>
      <c r="AA269" s="4">
        <v>290</v>
      </c>
      <c r="AB269" s="4">
        <v>249</v>
      </c>
      <c r="AC269" s="4">
        <v>950</v>
      </c>
      <c r="AD269" s="4">
        <v>3</v>
      </c>
      <c r="AE269" s="4">
        <v>8</v>
      </c>
      <c r="AF269" s="4">
        <v>11</v>
      </c>
      <c r="AG269" s="4">
        <v>43</v>
      </c>
      <c r="AH269" s="4">
        <v>4</v>
      </c>
      <c r="AI269" s="4">
        <v>17</v>
      </c>
      <c r="AJ269" s="4">
        <v>3</v>
      </c>
      <c r="AK269" s="4">
        <v>9</v>
      </c>
      <c r="AL269" s="4">
        <v>4</v>
      </c>
      <c r="AM269" s="4">
        <v>21</v>
      </c>
      <c r="AN269" s="4">
        <v>2</v>
      </c>
      <c r="AO269" s="4">
        <v>7</v>
      </c>
      <c r="AP269" s="4">
        <v>0</v>
      </c>
      <c r="AQ269" s="4">
        <v>0</v>
      </c>
      <c r="AR269" s="3" t="s">
        <v>62</v>
      </c>
      <c r="AS269" s="3" t="s">
        <v>84</v>
      </c>
      <c r="AT269" s="6" t="str">
        <f>HYPERLINK("http://catalog.hathitrust.org/Record/000723217","HathiTrust Record")</f>
        <v>HathiTrust Record</v>
      </c>
      <c r="AU269" s="6" t="str">
        <f>HYPERLINK("https://creighton-primo.hosted.exlibrisgroup.com/primo-explore/search?tab=default_tab&amp;search_scope=EVERYTHING&amp;vid=01CRU&amp;lang=en_US&amp;offset=0&amp;query=any,contains,991003442559702656","Catalog Record")</f>
        <v>Catalog Record</v>
      </c>
      <c r="AV269" s="6" t="str">
        <f>HYPERLINK("http://www.worldcat.org/oclc/978906","WorldCat Record")</f>
        <v>WorldCat Record</v>
      </c>
      <c r="AW269" s="3" t="s">
        <v>3569</v>
      </c>
      <c r="AX269" s="3" t="s">
        <v>3570</v>
      </c>
      <c r="AY269" s="3" t="s">
        <v>3571</v>
      </c>
      <c r="AZ269" s="3" t="s">
        <v>3571</v>
      </c>
      <c r="BA269" s="3" t="s">
        <v>3572</v>
      </c>
      <c r="BB269" s="3" t="s">
        <v>77</v>
      </c>
      <c r="BD269" s="3" t="s">
        <v>3573</v>
      </c>
      <c r="BE269" s="3" t="s">
        <v>3574</v>
      </c>
      <c r="BF269" s="3" t="s">
        <v>3575</v>
      </c>
    </row>
    <row r="270" spans="1:58" ht="41.25" customHeight="1" x14ac:dyDescent="0.25">
      <c r="A270" s="7" t="s">
        <v>62</v>
      </c>
      <c r="B270" s="2" t="s">
        <v>57</v>
      </c>
      <c r="C270" s="2" t="s">
        <v>58</v>
      </c>
      <c r="D270" s="2" t="s">
        <v>3576</v>
      </c>
      <c r="E270" s="2" t="s">
        <v>3577</v>
      </c>
      <c r="F270" s="2" t="s">
        <v>3578</v>
      </c>
      <c r="H270" s="3" t="s">
        <v>62</v>
      </c>
      <c r="I270" s="3" t="s">
        <v>63</v>
      </c>
      <c r="J270" s="3" t="s">
        <v>62</v>
      </c>
      <c r="K270" s="3" t="s">
        <v>62</v>
      </c>
      <c r="L270" s="3" t="s">
        <v>64</v>
      </c>
      <c r="M270" s="2" t="s">
        <v>3579</v>
      </c>
      <c r="N270" s="2" t="s">
        <v>3580</v>
      </c>
      <c r="O270" s="3" t="s">
        <v>561</v>
      </c>
      <c r="Q270" s="3" t="s">
        <v>68</v>
      </c>
      <c r="R270" s="3" t="s">
        <v>219</v>
      </c>
      <c r="T270" s="3" t="s">
        <v>70</v>
      </c>
      <c r="U270" s="4">
        <v>4</v>
      </c>
      <c r="V270" s="4">
        <v>4</v>
      </c>
      <c r="W270" s="5" t="s">
        <v>3581</v>
      </c>
      <c r="X270" s="5" t="s">
        <v>3581</v>
      </c>
      <c r="Y270" s="5" t="s">
        <v>3372</v>
      </c>
      <c r="Z270" s="5" t="s">
        <v>3372</v>
      </c>
      <c r="AA270" s="4">
        <v>436</v>
      </c>
      <c r="AB270" s="4">
        <v>377</v>
      </c>
      <c r="AC270" s="4">
        <v>737</v>
      </c>
      <c r="AD270" s="4">
        <v>2</v>
      </c>
      <c r="AE270" s="4">
        <v>5</v>
      </c>
      <c r="AF270" s="4">
        <v>24</v>
      </c>
      <c r="AG270" s="4">
        <v>40</v>
      </c>
      <c r="AH270" s="4">
        <v>10</v>
      </c>
      <c r="AI270" s="4">
        <v>17</v>
      </c>
      <c r="AJ270" s="4">
        <v>4</v>
      </c>
      <c r="AK270" s="4">
        <v>8</v>
      </c>
      <c r="AL270" s="4">
        <v>17</v>
      </c>
      <c r="AM270" s="4">
        <v>20</v>
      </c>
      <c r="AN270" s="4">
        <v>1</v>
      </c>
      <c r="AO270" s="4">
        <v>4</v>
      </c>
      <c r="AP270" s="4">
        <v>0</v>
      </c>
      <c r="AQ270" s="4">
        <v>1</v>
      </c>
      <c r="AR270" s="3" t="s">
        <v>62</v>
      </c>
      <c r="AS270" s="3" t="s">
        <v>84</v>
      </c>
      <c r="AT270" s="6" t="str">
        <f>HYPERLINK("http://catalog.hathitrust.org/Record/000812718","HathiTrust Record")</f>
        <v>HathiTrust Record</v>
      </c>
      <c r="AU270" s="6" t="str">
        <f>HYPERLINK("https://creighton-primo.hosted.exlibrisgroup.com/primo-explore/search?tab=default_tab&amp;search_scope=EVERYTHING&amp;vid=01CRU&amp;lang=en_US&amp;offset=0&amp;query=any,contains,991000762199702656","Catalog Record")</f>
        <v>Catalog Record</v>
      </c>
      <c r="AV270" s="6" t="str">
        <f>HYPERLINK("http://www.worldcat.org/oclc/12974533","WorldCat Record")</f>
        <v>WorldCat Record</v>
      </c>
      <c r="AW270" s="3" t="s">
        <v>3582</v>
      </c>
      <c r="AX270" s="3" t="s">
        <v>3583</v>
      </c>
      <c r="AY270" s="3" t="s">
        <v>3584</v>
      </c>
      <c r="AZ270" s="3" t="s">
        <v>3584</v>
      </c>
      <c r="BA270" s="3" t="s">
        <v>3585</v>
      </c>
      <c r="BB270" s="3" t="s">
        <v>77</v>
      </c>
      <c r="BD270" s="3" t="s">
        <v>3586</v>
      </c>
      <c r="BE270" s="3" t="s">
        <v>3587</v>
      </c>
      <c r="BF270" s="3" t="s">
        <v>3588</v>
      </c>
    </row>
    <row r="271" spans="1:58" ht="41.25" customHeight="1" x14ac:dyDescent="0.25">
      <c r="A271" s="7" t="s">
        <v>62</v>
      </c>
      <c r="B271" s="2" t="s">
        <v>57</v>
      </c>
      <c r="C271" s="2" t="s">
        <v>58</v>
      </c>
      <c r="D271" s="2" t="s">
        <v>3589</v>
      </c>
      <c r="E271" s="2" t="s">
        <v>3590</v>
      </c>
      <c r="F271" s="2" t="s">
        <v>3591</v>
      </c>
      <c r="H271" s="3" t="s">
        <v>62</v>
      </c>
      <c r="I271" s="3" t="s">
        <v>63</v>
      </c>
      <c r="J271" s="3" t="s">
        <v>62</v>
      </c>
      <c r="K271" s="3" t="s">
        <v>62</v>
      </c>
      <c r="L271" s="3" t="s">
        <v>64</v>
      </c>
      <c r="M271" s="2" t="s">
        <v>3592</v>
      </c>
      <c r="N271" s="2" t="s">
        <v>3593</v>
      </c>
      <c r="O271" s="3" t="s">
        <v>218</v>
      </c>
      <c r="P271" s="2" t="s">
        <v>3594</v>
      </c>
      <c r="Q271" s="3" t="s">
        <v>68</v>
      </c>
      <c r="R271" s="3" t="s">
        <v>204</v>
      </c>
      <c r="T271" s="3" t="s">
        <v>70</v>
      </c>
      <c r="U271" s="4">
        <v>2</v>
      </c>
      <c r="V271" s="4">
        <v>2</v>
      </c>
      <c r="W271" s="5" t="s">
        <v>3595</v>
      </c>
      <c r="X271" s="5" t="s">
        <v>3595</v>
      </c>
      <c r="Y271" s="5" t="s">
        <v>3596</v>
      </c>
      <c r="Z271" s="5" t="s">
        <v>3596</v>
      </c>
      <c r="AA271" s="4">
        <v>219</v>
      </c>
      <c r="AB271" s="4">
        <v>188</v>
      </c>
      <c r="AC271" s="4">
        <v>791</v>
      </c>
      <c r="AD271" s="4">
        <v>2</v>
      </c>
      <c r="AE271" s="4">
        <v>4</v>
      </c>
      <c r="AF271" s="4">
        <v>8</v>
      </c>
      <c r="AG271" s="4">
        <v>38</v>
      </c>
      <c r="AH271" s="4">
        <v>2</v>
      </c>
      <c r="AI271" s="4">
        <v>14</v>
      </c>
      <c r="AJ271" s="4">
        <v>1</v>
      </c>
      <c r="AK271" s="4">
        <v>9</v>
      </c>
      <c r="AL271" s="4">
        <v>5</v>
      </c>
      <c r="AM271" s="4">
        <v>24</v>
      </c>
      <c r="AN271" s="4">
        <v>1</v>
      </c>
      <c r="AO271" s="4">
        <v>2</v>
      </c>
      <c r="AP271" s="4">
        <v>0</v>
      </c>
      <c r="AQ271" s="4">
        <v>0</v>
      </c>
      <c r="AR271" s="3" t="s">
        <v>62</v>
      </c>
      <c r="AS271" s="3" t="s">
        <v>62</v>
      </c>
      <c r="AU271" s="6" t="str">
        <f>HYPERLINK("https://creighton-primo.hosted.exlibrisgroup.com/primo-explore/search?tab=default_tab&amp;search_scope=EVERYTHING&amp;vid=01CRU&amp;lang=en_US&amp;offset=0&amp;query=any,contains,991004663789702656","Catalog Record")</f>
        <v>Catalog Record</v>
      </c>
      <c r="AV271" s="6" t="str">
        <f>HYPERLINK("http://www.worldcat.org/oclc/4499359","WorldCat Record")</f>
        <v>WorldCat Record</v>
      </c>
      <c r="AW271" s="3" t="s">
        <v>3597</v>
      </c>
      <c r="AX271" s="3" t="s">
        <v>3598</v>
      </c>
      <c r="AY271" s="3" t="s">
        <v>3599</v>
      </c>
      <c r="AZ271" s="3" t="s">
        <v>3599</v>
      </c>
      <c r="BA271" s="3" t="s">
        <v>3600</v>
      </c>
      <c r="BB271" s="3" t="s">
        <v>77</v>
      </c>
      <c r="BD271" s="3" t="s">
        <v>3601</v>
      </c>
      <c r="BE271" s="3" t="s">
        <v>3602</v>
      </c>
      <c r="BF271" s="3" t="s">
        <v>3603</v>
      </c>
    </row>
    <row r="272" spans="1:58" ht="41.25" customHeight="1" x14ac:dyDescent="0.25">
      <c r="A272" s="7" t="s">
        <v>62</v>
      </c>
      <c r="B272" s="2" t="s">
        <v>57</v>
      </c>
      <c r="C272" s="2" t="s">
        <v>58</v>
      </c>
      <c r="D272" s="2" t="s">
        <v>3604</v>
      </c>
      <c r="E272" s="2" t="s">
        <v>3605</v>
      </c>
      <c r="F272" s="2" t="s">
        <v>3606</v>
      </c>
      <c r="H272" s="3" t="s">
        <v>62</v>
      </c>
      <c r="I272" s="3" t="s">
        <v>63</v>
      </c>
      <c r="J272" s="3" t="s">
        <v>62</v>
      </c>
      <c r="K272" s="3" t="s">
        <v>62</v>
      </c>
      <c r="L272" s="3" t="s">
        <v>64</v>
      </c>
      <c r="M272" s="2" t="s">
        <v>3607</v>
      </c>
      <c r="N272" s="2" t="s">
        <v>3608</v>
      </c>
      <c r="O272" s="3" t="s">
        <v>267</v>
      </c>
      <c r="Q272" s="3" t="s">
        <v>68</v>
      </c>
      <c r="R272" s="3" t="s">
        <v>69</v>
      </c>
      <c r="S272" s="2" t="s">
        <v>3609</v>
      </c>
      <c r="T272" s="3" t="s">
        <v>70</v>
      </c>
      <c r="U272" s="4">
        <v>2</v>
      </c>
      <c r="V272" s="4">
        <v>2</v>
      </c>
      <c r="W272" s="5" t="s">
        <v>3610</v>
      </c>
      <c r="X272" s="5" t="s">
        <v>3610</v>
      </c>
      <c r="Y272" s="5" t="s">
        <v>3611</v>
      </c>
      <c r="Z272" s="5" t="s">
        <v>3611</v>
      </c>
      <c r="AA272" s="4">
        <v>275</v>
      </c>
      <c r="AB272" s="4">
        <v>252</v>
      </c>
      <c r="AC272" s="4">
        <v>665</v>
      </c>
      <c r="AD272" s="4">
        <v>1</v>
      </c>
      <c r="AE272" s="4">
        <v>3</v>
      </c>
      <c r="AF272" s="4">
        <v>11</v>
      </c>
      <c r="AG272" s="4">
        <v>21</v>
      </c>
      <c r="AH272" s="4">
        <v>4</v>
      </c>
      <c r="AI272" s="4">
        <v>7</v>
      </c>
      <c r="AJ272" s="4">
        <v>3</v>
      </c>
      <c r="AK272" s="4">
        <v>5</v>
      </c>
      <c r="AL272" s="4">
        <v>8</v>
      </c>
      <c r="AM272" s="4">
        <v>13</v>
      </c>
      <c r="AN272" s="4">
        <v>0</v>
      </c>
      <c r="AO272" s="4">
        <v>2</v>
      </c>
      <c r="AP272" s="4">
        <v>0</v>
      </c>
      <c r="AQ272" s="4">
        <v>0</v>
      </c>
      <c r="AR272" s="3" t="s">
        <v>62</v>
      </c>
      <c r="AS272" s="3" t="s">
        <v>84</v>
      </c>
      <c r="AT272" s="6" t="str">
        <f>HYPERLINK("http://catalog.hathitrust.org/Record/009906720","HathiTrust Record")</f>
        <v>HathiTrust Record</v>
      </c>
      <c r="AU272" s="6" t="str">
        <f>HYPERLINK("https://creighton-primo.hosted.exlibrisgroup.com/primo-explore/search?tab=default_tab&amp;search_scope=EVERYTHING&amp;vid=01CRU&amp;lang=en_US&amp;offset=0&amp;query=any,contains,991002786759702656","Catalog Record")</f>
        <v>Catalog Record</v>
      </c>
      <c r="AV272" s="6" t="str">
        <f>HYPERLINK("http://www.worldcat.org/oclc/441923","WorldCat Record")</f>
        <v>WorldCat Record</v>
      </c>
      <c r="AW272" s="3" t="s">
        <v>3612</v>
      </c>
      <c r="AX272" s="3" t="s">
        <v>3613</v>
      </c>
      <c r="AY272" s="3" t="s">
        <v>3614</v>
      </c>
      <c r="AZ272" s="3" t="s">
        <v>3614</v>
      </c>
      <c r="BA272" s="3" t="s">
        <v>3615</v>
      </c>
      <c r="BB272" s="3" t="s">
        <v>77</v>
      </c>
      <c r="BE272" s="3" t="s">
        <v>3616</v>
      </c>
      <c r="BF272" s="3" t="s">
        <v>3617</v>
      </c>
    </row>
    <row r="273" spans="1:58" ht="41.25" customHeight="1" x14ac:dyDescent="0.25">
      <c r="A273" s="7" t="s">
        <v>62</v>
      </c>
      <c r="B273" s="2" t="s">
        <v>57</v>
      </c>
      <c r="C273" s="2" t="s">
        <v>58</v>
      </c>
      <c r="D273" s="2" t="s">
        <v>3618</v>
      </c>
      <c r="E273" s="2" t="s">
        <v>3619</v>
      </c>
      <c r="F273" s="2" t="s">
        <v>3620</v>
      </c>
      <c r="H273" s="3" t="s">
        <v>62</v>
      </c>
      <c r="I273" s="3" t="s">
        <v>63</v>
      </c>
      <c r="J273" s="3" t="s">
        <v>62</v>
      </c>
      <c r="K273" s="3" t="s">
        <v>62</v>
      </c>
      <c r="L273" s="3" t="s">
        <v>64</v>
      </c>
      <c r="M273" s="2" t="s">
        <v>3621</v>
      </c>
      <c r="N273" s="2" t="s">
        <v>3622</v>
      </c>
      <c r="O273" s="3" t="s">
        <v>1682</v>
      </c>
      <c r="P273" s="2" t="s">
        <v>3623</v>
      </c>
      <c r="Q273" s="3" t="s">
        <v>68</v>
      </c>
      <c r="R273" s="3" t="s">
        <v>1723</v>
      </c>
      <c r="S273" s="2" t="s">
        <v>3624</v>
      </c>
      <c r="T273" s="3" t="s">
        <v>70</v>
      </c>
      <c r="U273" s="4">
        <v>1</v>
      </c>
      <c r="V273" s="4">
        <v>1</v>
      </c>
      <c r="W273" s="5" t="s">
        <v>3625</v>
      </c>
      <c r="X273" s="5" t="s">
        <v>3625</v>
      </c>
      <c r="Y273" s="5" t="s">
        <v>3625</v>
      </c>
      <c r="Z273" s="5" t="s">
        <v>3625</v>
      </c>
      <c r="AA273" s="4">
        <v>188</v>
      </c>
      <c r="AB273" s="4">
        <v>167</v>
      </c>
      <c r="AC273" s="4">
        <v>255</v>
      </c>
      <c r="AD273" s="4">
        <v>1</v>
      </c>
      <c r="AE273" s="4">
        <v>1</v>
      </c>
      <c r="AF273" s="4">
        <v>4</v>
      </c>
      <c r="AG273" s="4">
        <v>7</v>
      </c>
      <c r="AH273" s="4">
        <v>2</v>
      </c>
      <c r="AI273" s="4">
        <v>2</v>
      </c>
      <c r="AJ273" s="4">
        <v>1</v>
      </c>
      <c r="AK273" s="4">
        <v>1</v>
      </c>
      <c r="AL273" s="4">
        <v>2</v>
      </c>
      <c r="AM273" s="4">
        <v>5</v>
      </c>
      <c r="AN273" s="4">
        <v>0</v>
      </c>
      <c r="AO273" s="4">
        <v>0</v>
      </c>
      <c r="AP273" s="4">
        <v>0</v>
      </c>
      <c r="AQ273" s="4">
        <v>0</v>
      </c>
      <c r="AR273" s="3" t="s">
        <v>62</v>
      </c>
      <c r="AS273" s="3" t="s">
        <v>62</v>
      </c>
      <c r="AU273" s="6" t="str">
        <f>HYPERLINK("https://creighton-primo.hosted.exlibrisgroup.com/primo-explore/search?tab=default_tab&amp;search_scope=EVERYTHING&amp;vid=01CRU&amp;lang=en_US&amp;offset=0&amp;query=any,contains,991005080999702656","Catalog Record")</f>
        <v>Catalog Record</v>
      </c>
      <c r="AV273" s="6" t="str">
        <f>HYPERLINK("http://www.worldcat.org/oclc/25676072","WorldCat Record")</f>
        <v>WorldCat Record</v>
      </c>
      <c r="AW273" s="3" t="s">
        <v>3626</v>
      </c>
      <c r="AX273" s="3" t="s">
        <v>3627</v>
      </c>
      <c r="AY273" s="3" t="s">
        <v>3628</v>
      </c>
      <c r="AZ273" s="3" t="s">
        <v>3628</v>
      </c>
      <c r="BA273" s="3" t="s">
        <v>3629</v>
      </c>
      <c r="BB273" s="3" t="s">
        <v>77</v>
      </c>
      <c r="BD273" s="3" t="s">
        <v>3630</v>
      </c>
      <c r="BE273" s="3" t="s">
        <v>3631</v>
      </c>
      <c r="BF273" s="3" t="s">
        <v>3632</v>
      </c>
    </row>
    <row r="274" spans="1:58" ht="41.25" customHeight="1" x14ac:dyDescent="0.25">
      <c r="A274" s="7" t="s">
        <v>62</v>
      </c>
      <c r="B274" s="2" t="s">
        <v>57</v>
      </c>
      <c r="C274" s="2" t="s">
        <v>58</v>
      </c>
      <c r="D274" s="2" t="s">
        <v>3633</v>
      </c>
      <c r="E274" s="2" t="s">
        <v>3634</v>
      </c>
      <c r="F274" s="2" t="s">
        <v>3635</v>
      </c>
      <c r="H274" s="3" t="s">
        <v>62</v>
      </c>
      <c r="I274" s="3" t="s">
        <v>63</v>
      </c>
      <c r="J274" s="3" t="s">
        <v>62</v>
      </c>
      <c r="K274" s="3" t="s">
        <v>62</v>
      </c>
      <c r="L274" s="3" t="s">
        <v>64</v>
      </c>
      <c r="M274" s="2" t="s">
        <v>3099</v>
      </c>
      <c r="N274" s="2" t="s">
        <v>3636</v>
      </c>
      <c r="O274" s="3" t="s">
        <v>1158</v>
      </c>
      <c r="Q274" s="3" t="s">
        <v>68</v>
      </c>
      <c r="R274" s="3" t="s">
        <v>69</v>
      </c>
      <c r="S274" s="2" t="s">
        <v>671</v>
      </c>
      <c r="T274" s="3" t="s">
        <v>70</v>
      </c>
      <c r="U274" s="4">
        <v>2</v>
      </c>
      <c r="V274" s="4">
        <v>2</v>
      </c>
      <c r="W274" s="5" t="s">
        <v>3637</v>
      </c>
      <c r="X274" s="5" t="s">
        <v>3637</v>
      </c>
      <c r="Y274" s="5" t="s">
        <v>3611</v>
      </c>
      <c r="Z274" s="5" t="s">
        <v>3611</v>
      </c>
      <c r="AA274" s="4">
        <v>531</v>
      </c>
      <c r="AB274" s="4">
        <v>497</v>
      </c>
      <c r="AC274" s="4">
        <v>646</v>
      </c>
      <c r="AD274" s="4">
        <v>4</v>
      </c>
      <c r="AE274" s="4">
        <v>5</v>
      </c>
      <c r="AF274" s="4">
        <v>28</v>
      </c>
      <c r="AG274" s="4">
        <v>34</v>
      </c>
      <c r="AH274" s="4">
        <v>12</v>
      </c>
      <c r="AI274" s="4">
        <v>13</v>
      </c>
      <c r="AJ274" s="4">
        <v>4</v>
      </c>
      <c r="AK274" s="4">
        <v>8</v>
      </c>
      <c r="AL274" s="4">
        <v>19</v>
      </c>
      <c r="AM274" s="4">
        <v>22</v>
      </c>
      <c r="AN274" s="4">
        <v>2</v>
      </c>
      <c r="AO274" s="4">
        <v>3</v>
      </c>
      <c r="AP274" s="4">
        <v>0</v>
      </c>
      <c r="AQ274" s="4">
        <v>0</v>
      </c>
      <c r="AR274" s="3" t="s">
        <v>62</v>
      </c>
      <c r="AS274" s="3" t="s">
        <v>84</v>
      </c>
      <c r="AT274" s="6" t="str">
        <f>HYPERLINK("http://catalog.hathitrust.org/Record/006021021","HathiTrust Record")</f>
        <v>HathiTrust Record</v>
      </c>
      <c r="AU274" s="6" t="str">
        <f>HYPERLINK("https://creighton-primo.hosted.exlibrisgroup.com/primo-explore/search?tab=default_tab&amp;search_scope=EVERYTHING&amp;vid=01CRU&amp;lang=en_US&amp;offset=0&amp;query=any,contains,991003038109702656","Catalog Record")</f>
        <v>Catalog Record</v>
      </c>
      <c r="AV274" s="6" t="str">
        <f>HYPERLINK("http://www.worldcat.org/oclc/600279","WorldCat Record")</f>
        <v>WorldCat Record</v>
      </c>
      <c r="AW274" s="3" t="s">
        <v>3638</v>
      </c>
      <c r="AX274" s="3" t="s">
        <v>3639</v>
      </c>
      <c r="AY274" s="3" t="s">
        <v>3640</v>
      </c>
      <c r="AZ274" s="3" t="s">
        <v>3640</v>
      </c>
      <c r="BA274" s="3" t="s">
        <v>3641</v>
      </c>
      <c r="BB274" s="3" t="s">
        <v>77</v>
      </c>
      <c r="BD274" s="3" t="s">
        <v>3642</v>
      </c>
      <c r="BE274" s="3" t="s">
        <v>3643</v>
      </c>
      <c r="BF274" s="3" t="s">
        <v>3644</v>
      </c>
    </row>
    <row r="275" spans="1:58" ht="41.25" customHeight="1" x14ac:dyDescent="0.25">
      <c r="A275" s="7" t="s">
        <v>62</v>
      </c>
      <c r="B275" s="2" t="s">
        <v>57</v>
      </c>
      <c r="C275" s="2" t="s">
        <v>58</v>
      </c>
      <c r="D275" s="2" t="s">
        <v>3645</v>
      </c>
      <c r="E275" s="2" t="s">
        <v>3646</v>
      </c>
      <c r="F275" s="2" t="s">
        <v>3647</v>
      </c>
      <c r="H275" s="3" t="s">
        <v>62</v>
      </c>
      <c r="I275" s="3" t="s">
        <v>63</v>
      </c>
      <c r="J275" s="3" t="s">
        <v>62</v>
      </c>
      <c r="K275" s="3" t="s">
        <v>62</v>
      </c>
      <c r="L275" s="3" t="s">
        <v>64</v>
      </c>
      <c r="M275" s="2" t="s">
        <v>3648</v>
      </c>
      <c r="N275" s="2" t="s">
        <v>859</v>
      </c>
      <c r="O275" s="3" t="s">
        <v>218</v>
      </c>
      <c r="Q275" s="3" t="s">
        <v>68</v>
      </c>
      <c r="R275" s="3" t="s">
        <v>698</v>
      </c>
      <c r="S275" s="2" t="s">
        <v>3649</v>
      </c>
      <c r="T275" s="3" t="s">
        <v>70</v>
      </c>
      <c r="U275" s="4">
        <v>3</v>
      </c>
      <c r="V275" s="4">
        <v>3</v>
      </c>
      <c r="W275" s="5" t="s">
        <v>3650</v>
      </c>
      <c r="X275" s="5" t="s">
        <v>3650</v>
      </c>
      <c r="Y275" s="5" t="s">
        <v>3611</v>
      </c>
      <c r="Z275" s="5" t="s">
        <v>3611</v>
      </c>
      <c r="AA275" s="4">
        <v>322</v>
      </c>
      <c r="AB275" s="4">
        <v>225</v>
      </c>
      <c r="AC275" s="4">
        <v>381</v>
      </c>
      <c r="AD275" s="4">
        <v>3</v>
      </c>
      <c r="AE275" s="4">
        <v>3</v>
      </c>
      <c r="AF275" s="4">
        <v>14</v>
      </c>
      <c r="AG275" s="4">
        <v>22</v>
      </c>
      <c r="AH275" s="4">
        <v>3</v>
      </c>
      <c r="AI275" s="4">
        <v>9</v>
      </c>
      <c r="AJ275" s="4">
        <v>2</v>
      </c>
      <c r="AK275" s="4">
        <v>3</v>
      </c>
      <c r="AL275" s="4">
        <v>10</v>
      </c>
      <c r="AM275" s="4">
        <v>14</v>
      </c>
      <c r="AN275" s="4">
        <v>2</v>
      </c>
      <c r="AO275" s="4">
        <v>2</v>
      </c>
      <c r="AP275" s="4">
        <v>0</v>
      </c>
      <c r="AQ275" s="4">
        <v>0</v>
      </c>
      <c r="AR275" s="3" t="s">
        <v>62</v>
      </c>
      <c r="AS275" s="3" t="s">
        <v>84</v>
      </c>
      <c r="AT275" s="6" t="str">
        <f>HYPERLINK("http://catalog.hathitrust.org/Record/000217787","HathiTrust Record")</f>
        <v>HathiTrust Record</v>
      </c>
      <c r="AU275" s="6" t="str">
        <f>HYPERLINK("https://creighton-primo.hosted.exlibrisgroup.com/primo-explore/search?tab=default_tab&amp;search_scope=EVERYTHING&amp;vid=01CRU&amp;lang=en_US&amp;offset=0&amp;query=any,contains,991004695769702656","Catalog Record")</f>
        <v>Catalog Record</v>
      </c>
      <c r="AV275" s="6" t="str">
        <f>HYPERLINK("http://www.worldcat.org/oclc/4277574","WorldCat Record")</f>
        <v>WorldCat Record</v>
      </c>
      <c r="AW275" s="3" t="s">
        <v>3651</v>
      </c>
      <c r="AX275" s="3" t="s">
        <v>3652</v>
      </c>
      <c r="AY275" s="3" t="s">
        <v>3653</v>
      </c>
      <c r="AZ275" s="3" t="s">
        <v>3653</v>
      </c>
      <c r="BA275" s="3" t="s">
        <v>3654</v>
      </c>
      <c r="BB275" s="3" t="s">
        <v>77</v>
      </c>
      <c r="BD275" s="3" t="s">
        <v>3655</v>
      </c>
      <c r="BE275" s="3" t="s">
        <v>3656</v>
      </c>
      <c r="BF275" s="3" t="s">
        <v>3657</v>
      </c>
    </row>
    <row r="276" spans="1:58" ht="41.25" customHeight="1" x14ac:dyDescent="0.25">
      <c r="A276" s="7" t="s">
        <v>62</v>
      </c>
      <c r="B276" s="2" t="s">
        <v>57</v>
      </c>
      <c r="C276" s="2" t="s">
        <v>58</v>
      </c>
      <c r="D276" s="2" t="s">
        <v>3658</v>
      </c>
      <c r="E276" s="2" t="s">
        <v>3659</v>
      </c>
      <c r="F276" s="2" t="s">
        <v>3660</v>
      </c>
      <c r="H276" s="3" t="s">
        <v>62</v>
      </c>
      <c r="I276" s="3" t="s">
        <v>63</v>
      </c>
      <c r="J276" s="3" t="s">
        <v>62</v>
      </c>
      <c r="K276" s="3" t="s">
        <v>62</v>
      </c>
      <c r="L276" s="3" t="s">
        <v>64</v>
      </c>
      <c r="M276" s="2" t="s">
        <v>3661</v>
      </c>
      <c r="N276" s="2" t="s">
        <v>3662</v>
      </c>
      <c r="O276" s="3" t="s">
        <v>3663</v>
      </c>
      <c r="Q276" s="3" t="s">
        <v>68</v>
      </c>
      <c r="R276" s="3" t="s">
        <v>69</v>
      </c>
      <c r="T276" s="3" t="s">
        <v>70</v>
      </c>
      <c r="U276" s="4">
        <v>3</v>
      </c>
      <c r="V276" s="4">
        <v>3</v>
      </c>
      <c r="W276" s="5" t="s">
        <v>3664</v>
      </c>
      <c r="X276" s="5" t="s">
        <v>3664</v>
      </c>
      <c r="Y276" s="5" t="s">
        <v>3611</v>
      </c>
      <c r="Z276" s="5" t="s">
        <v>3611</v>
      </c>
      <c r="AA276" s="4">
        <v>1388</v>
      </c>
      <c r="AB276" s="4">
        <v>1284</v>
      </c>
      <c r="AC276" s="4">
        <v>1601</v>
      </c>
      <c r="AD276" s="4">
        <v>12</v>
      </c>
      <c r="AE276" s="4">
        <v>14</v>
      </c>
      <c r="AF276" s="4">
        <v>36</v>
      </c>
      <c r="AG276" s="4">
        <v>47</v>
      </c>
      <c r="AH276" s="4">
        <v>13</v>
      </c>
      <c r="AI276" s="4">
        <v>16</v>
      </c>
      <c r="AJ276" s="4">
        <v>9</v>
      </c>
      <c r="AK276" s="4">
        <v>10</v>
      </c>
      <c r="AL276" s="4">
        <v>17</v>
      </c>
      <c r="AM276" s="4">
        <v>24</v>
      </c>
      <c r="AN276" s="4">
        <v>6</v>
      </c>
      <c r="AO276" s="4">
        <v>8</v>
      </c>
      <c r="AP276" s="4">
        <v>0</v>
      </c>
      <c r="AQ276" s="4">
        <v>0</v>
      </c>
      <c r="AR276" s="3" t="s">
        <v>62</v>
      </c>
      <c r="AS276" s="3" t="s">
        <v>62</v>
      </c>
      <c r="AT276" s="6" t="str">
        <f>HYPERLINK("http://catalog.hathitrust.org/Record/001391150","HathiTrust Record")</f>
        <v>HathiTrust Record</v>
      </c>
      <c r="AU276" s="6" t="str">
        <f>HYPERLINK("https://creighton-primo.hosted.exlibrisgroup.com/primo-explore/search?tab=default_tab&amp;search_scope=EVERYTHING&amp;vid=01CRU&amp;lang=en_US&amp;offset=0&amp;query=any,contains,991002155579702656","Catalog Record")</f>
        <v>Catalog Record</v>
      </c>
      <c r="AV276" s="6" t="str">
        <f>HYPERLINK("http://www.worldcat.org/oclc/272766","WorldCat Record")</f>
        <v>WorldCat Record</v>
      </c>
      <c r="AW276" s="3" t="s">
        <v>3665</v>
      </c>
      <c r="AX276" s="3" t="s">
        <v>3666</v>
      </c>
      <c r="AY276" s="3" t="s">
        <v>3667</v>
      </c>
      <c r="AZ276" s="3" t="s">
        <v>3667</v>
      </c>
      <c r="BA276" s="3" t="s">
        <v>3668</v>
      </c>
      <c r="BB276" s="3" t="s">
        <v>77</v>
      </c>
      <c r="BE276" s="3" t="s">
        <v>3669</v>
      </c>
      <c r="BF276" s="3" t="s">
        <v>3670</v>
      </c>
    </row>
    <row r="277" spans="1:58" ht="41.25" customHeight="1" x14ac:dyDescent="0.25">
      <c r="A277" s="7" t="s">
        <v>62</v>
      </c>
      <c r="B277" s="2" t="s">
        <v>57</v>
      </c>
      <c r="C277" s="2" t="s">
        <v>58</v>
      </c>
      <c r="D277" s="2" t="s">
        <v>3671</v>
      </c>
      <c r="E277" s="2" t="s">
        <v>3672</v>
      </c>
      <c r="F277" s="2" t="s">
        <v>3673</v>
      </c>
      <c r="H277" s="3" t="s">
        <v>62</v>
      </c>
      <c r="I277" s="3" t="s">
        <v>63</v>
      </c>
      <c r="J277" s="3" t="s">
        <v>62</v>
      </c>
      <c r="K277" s="3" t="s">
        <v>62</v>
      </c>
      <c r="L277" s="3" t="s">
        <v>64</v>
      </c>
      <c r="M277" s="2" t="s">
        <v>3674</v>
      </c>
      <c r="N277" s="2" t="s">
        <v>3675</v>
      </c>
      <c r="O277" s="3" t="s">
        <v>516</v>
      </c>
      <c r="Q277" s="3" t="s">
        <v>68</v>
      </c>
      <c r="R277" s="3" t="s">
        <v>69</v>
      </c>
      <c r="T277" s="3" t="s">
        <v>70</v>
      </c>
      <c r="U277" s="4">
        <v>3</v>
      </c>
      <c r="V277" s="4">
        <v>3</v>
      </c>
      <c r="W277" s="5" t="s">
        <v>3676</v>
      </c>
      <c r="X277" s="5" t="s">
        <v>3676</v>
      </c>
      <c r="Y277" s="5" t="s">
        <v>3611</v>
      </c>
      <c r="Z277" s="5" t="s">
        <v>3611</v>
      </c>
      <c r="AA277" s="4">
        <v>1109</v>
      </c>
      <c r="AB277" s="4">
        <v>941</v>
      </c>
      <c r="AC277" s="4">
        <v>964</v>
      </c>
      <c r="AD277" s="4">
        <v>5</v>
      </c>
      <c r="AE277" s="4">
        <v>5</v>
      </c>
      <c r="AF277" s="4">
        <v>34</v>
      </c>
      <c r="AG277" s="4">
        <v>34</v>
      </c>
      <c r="AH277" s="4">
        <v>14</v>
      </c>
      <c r="AI277" s="4">
        <v>14</v>
      </c>
      <c r="AJ277" s="4">
        <v>9</v>
      </c>
      <c r="AK277" s="4">
        <v>9</v>
      </c>
      <c r="AL277" s="4">
        <v>17</v>
      </c>
      <c r="AM277" s="4">
        <v>17</v>
      </c>
      <c r="AN277" s="4">
        <v>3</v>
      </c>
      <c r="AO277" s="4">
        <v>3</v>
      </c>
      <c r="AP277" s="4">
        <v>0</v>
      </c>
      <c r="AQ277" s="4">
        <v>0</v>
      </c>
      <c r="AR277" s="3" t="s">
        <v>62</v>
      </c>
      <c r="AS277" s="3" t="s">
        <v>84</v>
      </c>
      <c r="AT277" s="6" t="str">
        <f>HYPERLINK("http://catalog.hathitrust.org/Record/001391154","HathiTrust Record")</f>
        <v>HathiTrust Record</v>
      </c>
      <c r="AU277" s="6" t="str">
        <f>HYPERLINK("https://creighton-primo.hosted.exlibrisgroup.com/primo-explore/search?tab=default_tab&amp;search_scope=EVERYTHING&amp;vid=01CRU&amp;lang=en_US&amp;offset=0&amp;query=any,contains,991003595379702656","Catalog Record")</f>
        <v>Catalog Record</v>
      </c>
      <c r="AV277" s="6" t="str">
        <f>HYPERLINK("http://www.worldcat.org/oclc/1175604","WorldCat Record")</f>
        <v>WorldCat Record</v>
      </c>
      <c r="AW277" s="3" t="s">
        <v>3677</v>
      </c>
      <c r="AX277" s="3" t="s">
        <v>3678</v>
      </c>
      <c r="AY277" s="3" t="s">
        <v>3679</v>
      </c>
      <c r="AZ277" s="3" t="s">
        <v>3679</v>
      </c>
      <c r="BA277" s="3" t="s">
        <v>3680</v>
      </c>
      <c r="BB277" s="3" t="s">
        <v>77</v>
      </c>
      <c r="BE277" s="3" t="s">
        <v>3681</v>
      </c>
      <c r="BF277" s="3" t="s">
        <v>3682</v>
      </c>
    </row>
    <row r="278" spans="1:58" ht="41.25" customHeight="1" x14ac:dyDescent="0.25">
      <c r="A278" s="7" t="s">
        <v>62</v>
      </c>
      <c r="B278" s="2" t="s">
        <v>57</v>
      </c>
      <c r="C278" s="2" t="s">
        <v>58</v>
      </c>
      <c r="D278" s="2" t="s">
        <v>3683</v>
      </c>
      <c r="E278" s="2" t="s">
        <v>3684</v>
      </c>
      <c r="F278" s="2" t="s">
        <v>3685</v>
      </c>
      <c r="H278" s="3" t="s">
        <v>62</v>
      </c>
      <c r="I278" s="3" t="s">
        <v>63</v>
      </c>
      <c r="J278" s="3" t="s">
        <v>62</v>
      </c>
      <c r="K278" s="3" t="s">
        <v>62</v>
      </c>
      <c r="L278" s="3" t="s">
        <v>64</v>
      </c>
      <c r="M278" s="2" t="s">
        <v>3686</v>
      </c>
      <c r="N278" s="2" t="s">
        <v>3687</v>
      </c>
      <c r="O278" s="3" t="s">
        <v>1158</v>
      </c>
      <c r="Q278" s="3" t="s">
        <v>68</v>
      </c>
      <c r="R278" s="3" t="s">
        <v>297</v>
      </c>
      <c r="T278" s="3" t="s">
        <v>70</v>
      </c>
      <c r="U278" s="4">
        <v>3</v>
      </c>
      <c r="V278" s="4">
        <v>3</v>
      </c>
      <c r="W278" s="5" t="s">
        <v>3688</v>
      </c>
      <c r="X278" s="5" t="s">
        <v>3688</v>
      </c>
      <c r="Y278" s="5" t="s">
        <v>3611</v>
      </c>
      <c r="Z278" s="5" t="s">
        <v>3611</v>
      </c>
      <c r="AA278" s="4">
        <v>663</v>
      </c>
      <c r="AB278" s="4">
        <v>488</v>
      </c>
      <c r="AC278" s="4">
        <v>527</v>
      </c>
      <c r="AD278" s="4">
        <v>6</v>
      </c>
      <c r="AE278" s="4">
        <v>6</v>
      </c>
      <c r="AF278" s="4">
        <v>31</v>
      </c>
      <c r="AG278" s="4">
        <v>33</v>
      </c>
      <c r="AH278" s="4">
        <v>9</v>
      </c>
      <c r="AI278" s="4">
        <v>11</v>
      </c>
      <c r="AJ278" s="4">
        <v>8</v>
      </c>
      <c r="AK278" s="4">
        <v>8</v>
      </c>
      <c r="AL278" s="4">
        <v>18</v>
      </c>
      <c r="AM278" s="4">
        <v>19</v>
      </c>
      <c r="AN278" s="4">
        <v>4</v>
      </c>
      <c r="AO278" s="4">
        <v>4</v>
      </c>
      <c r="AP278" s="4">
        <v>0</v>
      </c>
      <c r="AQ278" s="4">
        <v>0</v>
      </c>
      <c r="AR278" s="3" t="s">
        <v>62</v>
      </c>
      <c r="AS278" s="3" t="s">
        <v>84</v>
      </c>
      <c r="AT278" s="6" t="str">
        <f>HYPERLINK("http://catalog.hathitrust.org/Record/001391097","HathiTrust Record")</f>
        <v>HathiTrust Record</v>
      </c>
      <c r="AU278" s="6" t="str">
        <f>HYPERLINK("https://creighton-primo.hosted.exlibrisgroup.com/primo-explore/search?tab=default_tab&amp;search_scope=EVERYTHING&amp;vid=01CRU&amp;lang=en_US&amp;offset=0&amp;query=any,contains,991003277839702656","Catalog Record")</f>
        <v>Catalog Record</v>
      </c>
      <c r="AV278" s="6" t="str">
        <f>HYPERLINK("http://www.worldcat.org/oclc/801248","WorldCat Record")</f>
        <v>WorldCat Record</v>
      </c>
      <c r="AW278" s="3" t="s">
        <v>3689</v>
      </c>
      <c r="AX278" s="3" t="s">
        <v>3690</v>
      </c>
      <c r="AY278" s="3" t="s">
        <v>3691</v>
      </c>
      <c r="AZ278" s="3" t="s">
        <v>3691</v>
      </c>
      <c r="BA278" s="3" t="s">
        <v>3692</v>
      </c>
      <c r="BB278" s="3" t="s">
        <v>77</v>
      </c>
      <c r="BD278" s="3" t="s">
        <v>3693</v>
      </c>
      <c r="BE278" s="3" t="s">
        <v>3694</v>
      </c>
      <c r="BF278" s="3" t="s">
        <v>3695</v>
      </c>
    </row>
    <row r="279" spans="1:58" ht="41.25" customHeight="1" x14ac:dyDescent="0.25">
      <c r="A279" s="7" t="s">
        <v>62</v>
      </c>
      <c r="B279" s="2" t="s">
        <v>57</v>
      </c>
      <c r="C279" s="2" t="s">
        <v>58</v>
      </c>
      <c r="D279" s="2" t="s">
        <v>3696</v>
      </c>
      <c r="E279" s="2" t="s">
        <v>3697</v>
      </c>
      <c r="F279" s="2" t="s">
        <v>3698</v>
      </c>
      <c r="H279" s="3" t="s">
        <v>62</v>
      </c>
      <c r="I279" s="3" t="s">
        <v>63</v>
      </c>
      <c r="J279" s="3" t="s">
        <v>62</v>
      </c>
      <c r="K279" s="3" t="s">
        <v>62</v>
      </c>
      <c r="L279" s="3" t="s">
        <v>64</v>
      </c>
      <c r="M279" s="2" t="s">
        <v>2663</v>
      </c>
      <c r="N279" s="2" t="s">
        <v>1613</v>
      </c>
      <c r="O279" s="3" t="s">
        <v>383</v>
      </c>
      <c r="Q279" s="3" t="s">
        <v>68</v>
      </c>
      <c r="R279" s="3" t="s">
        <v>531</v>
      </c>
      <c r="T279" s="3" t="s">
        <v>70</v>
      </c>
      <c r="U279" s="4">
        <v>1</v>
      </c>
      <c r="V279" s="4">
        <v>1</v>
      </c>
      <c r="W279" s="5" t="s">
        <v>3699</v>
      </c>
      <c r="X279" s="5" t="s">
        <v>3699</v>
      </c>
      <c r="Y279" s="5" t="s">
        <v>3611</v>
      </c>
      <c r="Z279" s="5" t="s">
        <v>3611</v>
      </c>
      <c r="AA279" s="4">
        <v>1146</v>
      </c>
      <c r="AB279" s="4">
        <v>958</v>
      </c>
      <c r="AC279" s="4">
        <v>1030</v>
      </c>
      <c r="AD279" s="4">
        <v>5</v>
      </c>
      <c r="AE279" s="4">
        <v>5</v>
      </c>
      <c r="AF279" s="4">
        <v>45</v>
      </c>
      <c r="AG279" s="4">
        <v>49</v>
      </c>
      <c r="AH279" s="4">
        <v>19</v>
      </c>
      <c r="AI279" s="4">
        <v>20</v>
      </c>
      <c r="AJ279" s="4">
        <v>9</v>
      </c>
      <c r="AK279" s="4">
        <v>11</v>
      </c>
      <c r="AL279" s="4">
        <v>24</v>
      </c>
      <c r="AM279" s="4">
        <v>27</v>
      </c>
      <c r="AN279" s="4">
        <v>4</v>
      </c>
      <c r="AO279" s="4">
        <v>4</v>
      </c>
      <c r="AP279" s="4">
        <v>0</v>
      </c>
      <c r="AQ279" s="4">
        <v>0</v>
      </c>
      <c r="AR279" s="3" t="s">
        <v>62</v>
      </c>
      <c r="AS279" s="3" t="s">
        <v>84</v>
      </c>
      <c r="AT279" s="6" t="str">
        <f>HYPERLINK("http://catalog.hathitrust.org/Record/003911535","HathiTrust Record")</f>
        <v>HathiTrust Record</v>
      </c>
      <c r="AU279" s="6" t="str">
        <f>HYPERLINK("https://creighton-primo.hosted.exlibrisgroup.com/primo-explore/search?tab=default_tab&amp;search_scope=EVERYTHING&amp;vid=01CRU&amp;lang=en_US&amp;offset=0&amp;query=any,contains,991000056249702656","Catalog Record")</f>
        <v>Catalog Record</v>
      </c>
      <c r="AV279" s="6" t="str">
        <f>HYPERLINK("http://www.worldcat.org/oclc/23570","WorldCat Record")</f>
        <v>WorldCat Record</v>
      </c>
      <c r="AW279" s="3" t="s">
        <v>3700</v>
      </c>
      <c r="AX279" s="3" t="s">
        <v>3701</v>
      </c>
      <c r="AY279" s="3" t="s">
        <v>3702</v>
      </c>
      <c r="AZ279" s="3" t="s">
        <v>3702</v>
      </c>
      <c r="BA279" s="3" t="s">
        <v>3703</v>
      </c>
      <c r="BB279" s="3" t="s">
        <v>77</v>
      </c>
      <c r="BE279" s="3" t="s">
        <v>3704</v>
      </c>
      <c r="BF279" s="3" t="s">
        <v>3705</v>
      </c>
    </row>
    <row r="280" spans="1:58" ht="41.25" customHeight="1" x14ac:dyDescent="0.25">
      <c r="A280" s="7" t="s">
        <v>62</v>
      </c>
      <c r="B280" s="2" t="s">
        <v>57</v>
      </c>
      <c r="C280" s="2" t="s">
        <v>58</v>
      </c>
      <c r="D280" s="2" t="s">
        <v>3706</v>
      </c>
      <c r="E280" s="2" t="s">
        <v>3707</v>
      </c>
      <c r="F280" s="2" t="s">
        <v>3708</v>
      </c>
      <c r="G280" s="3" t="s">
        <v>100</v>
      </c>
      <c r="H280" s="3" t="s">
        <v>84</v>
      </c>
      <c r="I280" s="3" t="s">
        <v>63</v>
      </c>
      <c r="J280" s="3" t="s">
        <v>62</v>
      </c>
      <c r="K280" s="3" t="s">
        <v>62</v>
      </c>
      <c r="L280" s="3" t="s">
        <v>64</v>
      </c>
      <c r="N280" s="2" t="s">
        <v>3709</v>
      </c>
      <c r="O280" s="3" t="s">
        <v>404</v>
      </c>
      <c r="Q280" s="3" t="s">
        <v>2460</v>
      </c>
      <c r="R280" s="3" t="s">
        <v>698</v>
      </c>
      <c r="S280" s="2" t="s">
        <v>3710</v>
      </c>
      <c r="T280" s="3" t="s">
        <v>70</v>
      </c>
      <c r="U280" s="4">
        <v>0</v>
      </c>
      <c r="V280" s="4">
        <v>2</v>
      </c>
      <c r="X280" s="5" t="s">
        <v>1363</v>
      </c>
      <c r="Y280" s="5" t="s">
        <v>3611</v>
      </c>
      <c r="Z280" s="5" t="s">
        <v>3611</v>
      </c>
      <c r="AA280" s="4">
        <v>206</v>
      </c>
      <c r="AB280" s="4">
        <v>173</v>
      </c>
      <c r="AC280" s="4">
        <v>175</v>
      </c>
      <c r="AD280" s="4">
        <v>1</v>
      </c>
      <c r="AE280" s="4">
        <v>1</v>
      </c>
      <c r="AF280" s="4">
        <v>8</v>
      </c>
      <c r="AG280" s="4">
        <v>8</v>
      </c>
      <c r="AH280" s="4">
        <v>0</v>
      </c>
      <c r="AI280" s="4">
        <v>0</v>
      </c>
      <c r="AJ280" s="4">
        <v>4</v>
      </c>
      <c r="AK280" s="4">
        <v>4</v>
      </c>
      <c r="AL280" s="4">
        <v>5</v>
      </c>
      <c r="AM280" s="4">
        <v>5</v>
      </c>
      <c r="AN280" s="4">
        <v>0</v>
      </c>
      <c r="AO280" s="4">
        <v>0</v>
      </c>
      <c r="AP280" s="4">
        <v>0</v>
      </c>
      <c r="AQ280" s="4">
        <v>0</v>
      </c>
      <c r="AR280" s="3" t="s">
        <v>62</v>
      </c>
      <c r="AS280" s="3" t="s">
        <v>84</v>
      </c>
      <c r="AT280" s="6" t="str">
        <f>HYPERLINK("http://catalog.hathitrust.org/Record/001679699","HathiTrust Record")</f>
        <v>HathiTrust Record</v>
      </c>
      <c r="AU280" s="6" t="str">
        <f>HYPERLINK("https://creighton-primo.hosted.exlibrisgroup.com/primo-explore/search?tab=default_tab&amp;search_scope=EVERYTHING&amp;vid=01CRU&amp;lang=en_US&amp;offset=0&amp;query=any,contains,991003009249702656","Catalog Record")</f>
        <v>Catalog Record</v>
      </c>
      <c r="AV280" s="6" t="str">
        <f>HYPERLINK("http://www.worldcat.org/oclc/576564","WorldCat Record")</f>
        <v>WorldCat Record</v>
      </c>
      <c r="AW280" s="3" t="s">
        <v>3711</v>
      </c>
      <c r="AX280" s="3" t="s">
        <v>3712</v>
      </c>
      <c r="AY280" s="3" t="s">
        <v>3713</v>
      </c>
      <c r="AZ280" s="3" t="s">
        <v>3713</v>
      </c>
      <c r="BA280" s="3" t="s">
        <v>3714</v>
      </c>
      <c r="BB280" s="3" t="s">
        <v>77</v>
      </c>
      <c r="BE280" s="3" t="s">
        <v>3715</v>
      </c>
      <c r="BF280" s="3" t="s">
        <v>3716</v>
      </c>
    </row>
    <row r="281" spans="1:58" ht="41.25" customHeight="1" x14ac:dyDescent="0.25">
      <c r="A281" s="7" t="s">
        <v>62</v>
      </c>
      <c r="B281" s="2" t="s">
        <v>57</v>
      </c>
      <c r="C281" s="2" t="s">
        <v>58</v>
      </c>
      <c r="D281" s="2" t="s">
        <v>3706</v>
      </c>
      <c r="E281" s="2" t="s">
        <v>3707</v>
      </c>
      <c r="F281" s="2" t="s">
        <v>3708</v>
      </c>
      <c r="G281" s="3" t="s">
        <v>83</v>
      </c>
      <c r="H281" s="3" t="s">
        <v>84</v>
      </c>
      <c r="I281" s="3" t="s">
        <v>63</v>
      </c>
      <c r="J281" s="3" t="s">
        <v>62</v>
      </c>
      <c r="K281" s="3" t="s">
        <v>62</v>
      </c>
      <c r="L281" s="3" t="s">
        <v>64</v>
      </c>
      <c r="N281" s="2" t="s">
        <v>3709</v>
      </c>
      <c r="O281" s="3" t="s">
        <v>404</v>
      </c>
      <c r="Q281" s="3" t="s">
        <v>2460</v>
      </c>
      <c r="R281" s="3" t="s">
        <v>698</v>
      </c>
      <c r="S281" s="2" t="s">
        <v>3710</v>
      </c>
      <c r="T281" s="3" t="s">
        <v>70</v>
      </c>
      <c r="U281" s="4">
        <v>2</v>
      </c>
      <c r="V281" s="4">
        <v>2</v>
      </c>
      <c r="W281" s="5" t="s">
        <v>1363</v>
      </c>
      <c r="X281" s="5" t="s">
        <v>1363</v>
      </c>
      <c r="Y281" s="5" t="s">
        <v>3611</v>
      </c>
      <c r="Z281" s="5" t="s">
        <v>3611</v>
      </c>
      <c r="AA281" s="4">
        <v>206</v>
      </c>
      <c r="AB281" s="4">
        <v>173</v>
      </c>
      <c r="AC281" s="4">
        <v>175</v>
      </c>
      <c r="AD281" s="4">
        <v>1</v>
      </c>
      <c r="AE281" s="4">
        <v>1</v>
      </c>
      <c r="AF281" s="4">
        <v>8</v>
      </c>
      <c r="AG281" s="4">
        <v>8</v>
      </c>
      <c r="AH281" s="4">
        <v>0</v>
      </c>
      <c r="AI281" s="4">
        <v>0</v>
      </c>
      <c r="AJ281" s="4">
        <v>4</v>
      </c>
      <c r="AK281" s="4">
        <v>4</v>
      </c>
      <c r="AL281" s="4">
        <v>5</v>
      </c>
      <c r="AM281" s="4">
        <v>5</v>
      </c>
      <c r="AN281" s="4">
        <v>0</v>
      </c>
      <c r="AO281" s="4">
        <v>0</v>
      </c>
      <c r="AP281" s="4">
        <v>0</v>
      </c>
      <c r="AQ281" s="4">
        <v>0</v>
      </c>
      <c r="AR281" s="3" t="s">
        <v>62</v>
      </c>
      <c r="AS281" s="3" t="s">
        <v>84</v>
      </c>
      <c r="AT281" s="6" t="str">
        <f>HYPERLINK("http://catalog.hathitrust.org/Record/001679699","HathiTrust Record")</f>
        <v>HathiTrust Record</v>
      </c>
      <c r="AU281" s="6" t="str">
        <f>HYPERLINK("https://creighton-primo.hosted.exlibrisgroup.com/primo-explore/search?tab=default_tab&amp;search_scope=EVERYTHING&amp;vid=01CRU&amp;lang=en_US&amp;offset=0&amp;query=any,contains,991003009249702656","Catalog Record")</f>
        <v>Catalog Record</v>
      </c>
      <c r="AV281" s="6" t="str">
        <f>HYPERLINK("http://www.worldcat.org/oclc/576564","WorldCat Record")</f>
        <v>WorldCat Record</v>
      </c>
      <c r="AW281" s="3" t="s">
        <v>3711</v>
      </c>
      <c r="AX281" s="3" t="s">
        <v>3712</v>
      </c>
      <c r="AY281" s="3" t="s">
        <v>3713</v>
      </c>
      <c r="AZ281" s="3" t="s">
        <v>3713</v>
      </c>
      <c r="BA281" s="3" t="s">
        <v>3714</v>
      </c>
      <c r="BB281" s="3" t="s">
        <v>77</v>
      </c>
      <c r="BE281" s="3" t="s">
        <v>3717</v>
      </c>
      <c r="BF281" s="3" t="s">
        <v>3718</v>
      </c>
    </row>
    <row r="282" spans="1:58" ht="41.25" customHeight="1" x14ac:dyDescent="0.25">
      <c r="A282" s="7" t="s">
        <v>62</v>
      </c>
      <c r="B282" s="2" t="s">
        <v>57</v>
      </c>
      <c r="C282" s="2" t="s">
        <v>58</v>
      </c>
      <c r="D282" s="2" t="s">
        <v>3719</v>
      </c>
      <c r="E282" s="2" t="s">
        <v>3720</v>
      </c>
      <c r="F282" s="2" t="s">
        <v>3721</v>
      </c>
      <c r="H282" s="3" t="s">
        <v>62</v>
      </c>
      <c r="I282" s="3" t="s">
        <v>63</v>
      </c>
      <c r="J282" s="3" t="s">
        <v>62</v>
      </c>
      <c r="K282" s="3" t="s">
        <v>62</v>
      </c>
      <c r="L282" s="3" t="s">
        <v>64</v>
      </c>
      <c r="M282" s="2" t="s">
        <v>3722</v>
      </c>
      <c r="N282" s="2" t="s">
        <v>3723</v>
      </c>
      <c r="O282" s="3" t="s">
        <v>1533</v>
      </c>
      <c r="Q282" s="3" t="s">
        <v>3724</v>
      </c>
      <c r="R282" s="3" t="s">
        <v>3725</v>
      </c>
      <c r="S282" s="2" t="s">
        <v>3726</v>
      </c>
      <c r="T282" s="3" t="s">
        <v>70</v>
      </c>
      <c r="U282" s="4">
        <v>1</v>
      </c>
      <c r="V282" s="4">
        <v>1</v>
      </c>
      <c r="W282" s="5" t="s">
        <v>3727</v>
      </c>
      <c r="X282" s="5" t="s">
        <v>3727</v>
      </c>
      <c r="Y282" s="5" t="s">
        <v>3727</v>
      </c>
      <c r="Z282" s="5" t="s">
        <v>3727</v>
      </c>
      <c r="AA282" s="4">
        <v>4</v>
      </c>
      <c r="AB282" s="4">
        <v>4</v>
      </c>
      <c r="AC282" s="4">
        <v>4</v>
      </c>
      <c r="AD282" s="4">
        <v>2</v>
      </c>
      <c r="AE282" s="4">
        <v>2</v>
      </c>
      <c r="AF282" s="4">
        <v>1</v>
      </c>
      <c r="AG282" s="4">
        <v>1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1</v>
      </c>
      <c r="AO282" s="4">
        <v>1</v>
      </c>
      <c r="AP282" s="4">
        <v>0</v>
      </c>
      <c r="AQ282" s="4">
        <v>0</v>
      </c>
      <c r="AR282" s="3" t="s">
        <v>62</v>
      </c>
      <c r="AS282" s="3" t="s">
        <v>62</v>
      </c>
      <c r="AU282" s="6" t="str">
        <f>HYPERLINK("https://creighton-primo.hosted.exlibrisgroup.com/primo-explore/search?tab=default_tab&amp;search_scope=EVERYTHING&amp;vid=01CRU&amp;lang=en_US&amp;offset=0&amp;query=any,contains,991003829979702656","Catalog Record")</f>
        <v>Catalog Record</v>
      </c>
      <c r="AV282" s="6" t="str">
        <f>HYPERLINK("http://www.worldcat.org/oclc/1918393","WorldCat Record")</f>
        <v>WorldCat Record</v>
      </c>
      <c r="AW282" s="3" t="s">
        <v>3728</v>
      </c>
      <c r="AX282" s="3" t="s">
        <v>3729</v>
      </c>
      <c r="AY282" s="3" t="s">
        <v>3730</v>
      </c>
      <c r="AZ282" s="3" t="s">
        <v>3730</v>
      </c>
      <c r="BA282" s="3" t="s">
        <v>3731</v>
      </c>
      <c r="BB282" s="3" t="s">
        <v>77</v>
      </c>
      <c r="BE282" s="3" t="s">
        <v>3732</v>
      </c>
      <c r="BF282" s="3" t="s">
        <v>3733</v>
      </c>
    </row>
    <row r="283" spans="1:58" ht="41.25" customHeight="1" x14ac:dyDescent="0.25">
      <c r="A283" s="7" t="s">
        <v>62</v>
      </c>
      <c r="B283" s="2" t="s">
        <v>57</v>
      </c>
      <c r="C283" s="2" t="s">
        <v>58</v>
      </c>
      <c r="D283" s="2" t="s">
        <v>3734</v>
      </c>
      <c r="E283" s="2" t="s">
        <v>3735</v>
      </c>
      <c r="F283" s="2" t="s">
        <v>3736</v>
      </c>
      <c r="H283" s="3" t="s">
        <v>62</v>
      </c>
      <c r="I283" s="3" t="s">
        <v>63</v>
      </c>
      <c r="J283" s="3" t="s">
        <v>62</v>
      </c>
      <c r="K283" s="3" t="s">
        <v>62</v>
      </c>
      <c r="L283" s="3" t="s">
        <v>64</v>
      </c>
      <c r="M283" s="2" t="s">
        <v>3737</v>
      </c>
      <c r="N283" s="2" t="s">
        <v>3738</v>
      </c>
      <c r="O283" s="3" t="s">
        <v>1158</v>
      </c>
      <c r="Q283" s="3" t="s">
        <v>68</v>
      </c>
      <c r="R283" s="3" t="s">
        <v>69</v>
      </c>
      <c r="T283" s="3" t="s">
        <v>70</v>
      </c>
      <c r="U283" s="4">
        <v>2</v>
      </c>
      <c r="V283" s="4">
        <v>2</v>
      </c>
      <c r="W283" s="5" t="s">
        <v>3739</v>
      </c>
      <c r="X283" s="5" t="s">
        <v>3739</v>
      </c>
      <c r="Y283" s="5" t="s">
        <v>3611</v>
      </c>
      <c r="Z283" s="5" t="s">
        <v>3611</v>
      </c>
      <c r="AA283" s="4">
        <v>485</v>
      </c>
      <c r="AB283" s="4">
        <v>422</v>
      </c>
      <c r="AC283" s="4">
        <v>616</v>
      </c>
      <c r="AD283" s="4">
        <v>4</v>
      </c>
      <c r="AE283" s="4">
        <v>6</v>
      </c>
      <c r="AF283" s="4">
        <v>25</v>
      </c>
      <c r="AG283" s="4">
        <v>34</v>
      </c>
      <c r="AH283" s="4">
        <v>7</v>
      </c>
      <c r="AI283" s="4">
        <v>11</v>
      </c>
      <c r="AJ283" s="4">
        <v>4</v>
      </c>
      <c r="AK283" s="4">
        <v>6</v>
      </c>
      <c r="AL283" s="4">
        <v>16</v>
      </c>
      <c r="AM283" s="4">
        <v>19</v>
      </c>
      <c r="AN283" s="4">
        <v>3</v>
      </c>
      <c r="AO283" s="4">
        <v>5</v>
      </c>
      <c r="AP283" s="4">
        <v>0</v>
      </c>
      <c r="AQ283" s="4">
        <v>0</v>
      </c>
      <c r="AR283" s="3" t="s">
        <v>62</v>
      </c>
      <c r="AS283" s="3" t="s">
        <v>62</v>
      </c>
      <c r="AU283" s="6" t="str">
        <f>HYPERLINK("https://creighton-primo.hosted.exlibrisgroup.com/primo-explore/search?tab=default_tab&amp;search_scope=EVERYTHING&amp;vid=01CRU&amp;lang=en_US&amp;offset=0&amp;query=any,contains,991003024499702656","Catalog Record")</f>
        <v>Catalog Record</v>
      </c>
      <c r="AV283" s="6" t="str">
        <f>HYPERLINK("http://www.worldcat.org/oclc/588990","WorldCat Record")</f>
        <v>WorldCat Record</v>
      </c>
      <c r="AW283" s="3" t="s">
        <v>3740</v>
      </c>
      <c r="AX283" s="3" t="s">
        <v>3741</v>
      </c>
      <c r="AY283" s="3" t="s">
        <v>3742</v>
      </c>
      <c r="AZ283" s="3" t="s">
        <v>3742</v>
      </c>
      <c r="BA283" s="3" t="s">
        <v>3743</v>
      </c>
      <c r="BB283" s="3" t="s">
        <v>77</v>
      </c>
      <c r="BE283" s="3" t="s">
        <v>3744</v>
      </c>
      <c r="BF283" s="3" t="s">
        <v>3745</v>
      </c>
    </row>
    <row r="284" spans="1:58" ht="41.25" customHeight="1" x14ac:dyDescent="0.25">
      <c r="A284" s="7" t="s">
        <v>62</v>
      </c>
      <c r="B284" s="2" t="s">
        <v>57</v>
      </c>
      <c r="C284" s="2" t="s">
        <v>58</v>
      </c>
      <c r="D284" s="2" t="s">
        <v>3746</v>
      </c>
      <c r="E284" s="2" t="s">
        <v>3747</v>
      </c>
      <c r="F284" s="2" t="s">
        <v>3748</v>
      </c>
      <c r="H284" s="3" t="s">
        <v>62</v>
      </c>
      <c r="I284" s="3" t="s">
        <v>63</v>
      </c>
      <c r="J284" s="3" t="s">
        <v>62</v>
      </c>
      <c r="K284" s="3" t="s">
        <v>62</v>
      </c>
      <c r="L284" s="3" t="s">
        <v>64</v>
      </c>
      <c r="M284" s="2" t="s">
        <v>3648</v>
      </c>
      <c r="N284" s="2" t="s">
        <v>3139</v>
      </c>
      <c r="O284" s="3" t="s">
        <v>1805</v>
      </c>
      <c r="Q284" s="3" t="s">
        <v>68</v>
      </c>
      <c r="R284" s="3" t="s">
        <v>531</v>
      </c>
      <c r="S284" s="2" t="s">
        <v>3749</v>
      </c>
      <c r="T284" s="3" t="s">
        <v>70</v>
      </c>
      <c r="U284" s="4">
        <v>13</v>
      </c>
      <c r="V284" s="4">
        <v>13</v>
      </c>
      <c r="W284" s="5" t="s">
        <v>3750</v>
      </c>
      <c r="X284" s="5" t="s">
        <v>3750</v>
      </c>
      <c r="Y284" s="5" t="s">
        <v>3751</v>
      </c>
      <c r="Z284" s="5" t="s">
        <v>3751</v>
      </c>
      <c r="AA284" s="4">
        <v>714</v>
      </c>
      <c r="AB284" s="4">
        <v>582</v>
      </c>
      <c r="AC284" s="4">
        <v>610</v>
      </c>
      <c r="AD284" s="4">
        <v>5</v>
      </c>
      <c r="AE284" s="4">
        <v>5</v>
      </c>
      <c r="AF284" s="4">
        <v>31</v>
      </c>
      <c r="AG284" s="4">
        <v>33</v>
      </c>
      <c r="AH284" s="4">
        <v>12</v>
      </c>
      <c r="AI284" s="4">
        <v>13</v>
      </c>
      <c r="AJ284" s="4">
        <v>7</v>
      </c>
      <c r="AK284" s="4">
        <v>7</v>
      </c>
      <c r="AL284" s="4">
        <v>15</v>
      </c>
      <c r="AM284" s="4">
        <v>16</v>
      </c>
      <c r="AN284" s="4">
        <v>4</v>
      </c>
      <c r="AO284" s="4">
        <v>4</v>
      </c>
      <c r="AP284" s="4">
        <v>0</v>
      </c>
      <c r="AQ284" s="4">
        <v>0</v>
      </c>
      <c r="AR284" s="3" t="s">
        <v>62</v>
      </c>
      <c r="AS284" s="3" t="s">
        <v>62</v>
      </c>
      <c r="AU284" s="6" t="str">
        <f>HYPERLINK("https://creighton-primo.hosted.exlibrisgroup.com/primo-explore/search?tab=default_tab&amp;search_scope=EVERYTHING&amp;vid=01CRU&amp;lang=en_US&amp;offset=0&amp;query=any,contains,991005225939702656","Catalog Record")</f>
        <v>Catalog Record</v>
      </c>
      <c r="AV284" s="6" t="str">
        <f>HYPERLINK("http://www.worldcat.org/oclc/8282276","WorldCat Record")</f>
        <v>WorldCat Record</v>
      </c>
      <c r="AW284" s="3" t="s">
        <v>3752</v>
      </c>
      <c r="AX284" s="3" t="s">
        <v>3753</v>
      </c>
      <c r="AY284" s="3" t="s">
        <v>3754</v>
      </c>
      <c r="AZ284" s="3" t="s">
        <v>3754</v>
      </c>
      <c r="BA284" s="3" t="s">
        <v>3755</v>
      </c>
      <c r="BB284" s="3" t="s">
        <v>77</v>
      </c>
      <c r="BD284" s="3" t="s">
        <v>3756</v>
      </c>
      <c r="BE284" s="3" t="s">
        <v>3757</v>
      </c>
      <c r="BF284" s="3" t="s">
        <v>3758</v>
      </c>
    </row>
    <row r="285" spans="1:58" ht="41.25" customHeight="1" x14ac:dyDescent="0.25">
      <c r="A285" s="7" t="s">
        <v>62</v>
      </c>
      <c r="B285" s="2" t="s">
        <v>57</v>
      </c>
      <c r="C285" s="2" t="s">
        <v>58</v>
      </c>
      <c r="D285" s="2" t="s">
        <v>3759</v>
      </c>
      <c r="E285" s="2" t="s">
        <v>3760</v>
      </c>
      <c r="F285" s="2" t="s">
        <v>3761</v>
      </c>
      <c r="H285" s="3" t="s">
        <v>62</v>
      </c>
      <c r="I285" s="3" t="s">
        <v>63</v>
      </c>
      <c r="J285" s="3" t="s">
        <v>62</v>
      </c>
      <c r="K285" s="3" t="s">
        <v>62</v>
      </c>
      <c r="L285" s="3" t="s">
        <v>64</v>
      </c>
      <c r="M285" s="2" t="s">
        <v>3762</v>
      </c>
      <c r="N285" s="2" t="s">
        <v>3763</v>
      </c>
      <c r="O285" s="3" t="s">
        <v>629</v>
      </c>
      <c r="P285" s="2" t="s">
        <v>834</v>
      </c>
      <c r="Q285" s="3" t="s">
        <v>68</v>
      </c>
      <c r="R285" s="3" t="s">
        <v>69</v>
      </c>
      <c r="S285" s="2" t="s">
        <v>3764</v>
      </c>
      <c r="T285" s="3" t="s">
        <v>70</v>
      </c>
      <c r="U285" s="4">
        <v>11</v>
      </c>
      <c r="V285" s="4">
        <v>11</v>
      </c>
      <c r="W285" s="5" t="s">
        <v>3542</v>
      </c>
      <c r="X285" s="5" t="s">
        <v>3542</v>
      </c>
      <c r="Y285" s="5" t="s">
        <v>3611</v>
      </c>
      <c r="Z285" s="5" t="s">
        <v>3611</v>
      </c>
      <c r="AA285" s="4">
        <v>546</v>
      </c>
      <c r="AB285" s="4">
        <v>457</v>
      </c>
      <c r="AC285" s="4">
        <v>458</v>
      </c>
      <c r="AD285" s="4">
        <v>3</v>
      </c>
      <c r="AE285" s="4">
        <v>3</v>
      </c>
      <c r="AF285" s="4">
        <v>23</v>
      </c>
      <c r="AG285" s="4">
        <v>23</v>
      </c>
      <c r="AH285" s="4">
        <v>6</v>
      </c>
      <c r="AI285" s="4">
        <v>6</v>
      </c>
      <c r="AJ285" s="4">
        <v>6</v>
      </c>
      <c r="AK285" s="4">
        <v>6</v>
      </c>
      <c r="AL285" s="4">
        <v>15</v>
      </c>
      <c r="AM285" s="4">
        <v>15</v>
      </c>
      <c r="AN285" s="4">
        <v>2</v>
      </c>
      <c r="AO285" s="4">
        <v>2</v>
      </c>
      <c r="AP285" s="4">
        <v>0</v>
      </c>
      <c r="AQ285" s="4">
        <v>0</v>
      </c>
      <c r="AR285" s="3" t="s">
        <v>62</v>
      </c>
      <c r="AS285" s="3" t="s">
        <v>84</v>
      </c>
      <c r="AT285" s="6" t="str">
        <f>HYPERLINK("http://catalog.hathitrust.org/Record/009907285","HathiTrust Record")</f>
        <v>HathiTrust Record</v>
      </c>
      <c r="AU285" s="6" t="str">
        <f>HYPERLINK("https://creighton-primo.hosted.exlibrisgroup.com/primo-explore/search?tab=default_tab&amp;search_scope=EVERYTHING&amp;vid=01CRU&amp;lang=en_US&amp;offset=0&amp;query=any,contains,991004091769702656","Catalog Record")</f>
        <v>Catalog Record</v>
      </c>
      <c r="AV285" s="6" t="str">
        <f>HYPERLINK("http://www.worldcat.org/oclc/2346038","WorldCat Record")</f>
        <v>WorldCat Record</v>
      </c>
      <c r="AW285" s="3" t="s">
        <v>3765</v>
      </c>
      <c r="AX285" s="3" t="s">
        <v>3766</v>
      </c>
      <c r="AY285" s="3" t="s">
        <v>3767</v>
      </c>
      <c r="AZ285" s="3" t="s">
        <v>3767</v>
      </c>
      <c r="BA285" s="3" t="s">
        <v>3768</v>
      </c>
      <c r="BB285" s="3" t="s">
        <v>77</v>
      </c>
      <c r="BD285" s="3" t="s">
        <v>3769</v>
      </c>
      <c r="BE285" s="3" t="s">
        <v>3770</v>
      </c>
      <c r="BF285" s="3" t="s">
        <v>3771</v>
      </c>
    </row>
    <row r="286" spans="1:58" ht="41.25" customHeight="1" x14ac:dyDescent="0.25">
      <c r="A286" s="7" t="s">
        <v>62</v>
      </c>
      <c r="B286" s="2" t="s">
        <v>57</v>
      </c>
      <c r="C286" s="2" t="s">
        <v>58</v>
      </c>
      <c r="D286" s="2" t="s">
        <v>3772</v>
      </c>
      <c r="E286" s="2" t="s">
        <v>3773</v>
      </c>
      <c r="F286" s="2" t="s">
        <v>3774</v>
      </c>
      <c r="H286" s="3" t="s">
        <v>62</v>
      </c>
      <c r="I286" s="3" t="s">
        <v>63</v>
      </c>
      <c r="J286" s="3" t="s">
        <v>62</v>
      </c>
      <c r="K286" s="3" t="s">
        <v>62</v>
      </c>
      <c r="L286" s="3" t="s">
        <v>64</v>
      </c>
      <c r="M286" s="2" t="s">
        <v>2132</v>
      </c>
      <c r="N286" s="2" t="s">
        <v>3775</v>
      </c>
      <c r="O286" s="3" t="s">
        <v>684</v>
      </c>
      <c r="Q286" s="3" t="s">
        <v>68</v>
      </c>
      <c r="R286" s="3" t="s">
        <v>88</v>
      </c>
      <c r="T286" s="3" t="s">
        <v>70</v>
      </c>
      <c r="U286" s="4">
        <v>4</v>
      </c>
      <c r="V286" s="4">
        <v>4</v>
      </c>
      <c r="W286" s="5" t="s">
        <v>3413</v>
      </c>
      <c r="X286" s="5" t="s">
        <v>3413</v>
      </c>
      <c r="Y286" s="5" t="s">
        <v>3611</v>
      </c>
      <c r="Z286" s="5" t="s">
        <v>3611</v>
      </c>
      <c r="AA286" s="4">
        <v>751</v>
      </c>
      <c r="AB286" s="4">
        <v>674</v>
      </c>
      <c r="AC286" s="4">
        <v>840</v>
      </c>
      <c r="AD286" s="4">
        <v>3</v>
      </c>
      <c r="AE286" s="4">
        <v>4</v>
      </c>
      <c r="AF286" s="4">
        <v>32</v>
      </c>
      <c r="AG286" s="4">
        <v>41</v>
      </c>
      <c r="AH286" s="4">
        <v>14</v>
      </c>
      <c r="AI286" s="4">
        <v>16</v>
      </c>
      <c r="AJ286" s="4">
        <v>8</v>
      </c>
      <c r="AK286" s="4">
        <v>9</v>
      </c>
      <c r="AL286" s="4">
        <v>15</v>
      </c>
      <c r="AM286" s="4">
        <v>23</v>
      </c>
      <c r="AN286" s="4">
        <v>2</v>
      </c>
      <c r="AO286" s="4">
        <v>3</v>
      </c>
      <c r="AP286" s="4">
        <v>0</v>
      </c>
      <c r="AQ286" s="4">
        <v>0</v>
      </c>
      <c r="AR286" s="3" t="s">
        <v>62</v>
      </c>
      <c r="AS286" s="3" t="s">
        <v>84</v>
      </c>
      <c r="AT286" s="6" t="str">
        <f>HYPERLINK("http://catalog.hathitrust.org/Record/001391036","HathiTrust Record")</f>
        <v>HathiTrust Record</v>
      </c>
      <c r="AU286" s="6" t="str">
        <f>HYPERLINK("https://creighton-primo.hosted.exlibrisgroup.com/primo-explore/search?tab=default_tab&amp;search_scope=EVERYTHING&amp;vid=01CRU&amp;lang=en_US&amp;offset=0&amp;query=any,contains,991002573779702656","Catalog Record")</f>
        <v>Catalog Record</v>
      </c>
      <c r="AV286" s="6" t="str">
        <f>HYPERLINK("http://www.worldcat.org/oclc/374395","WorldCat Record")</f>
        <v>WorldCat Record</v>
      </c>
      <c r="AW286" s="3" t="s">
        <v>3776</v>
      </c>
      <c r="AX286" s="3" t="s">
        <v>3777</v>
      </c>
      <c r="AY286" s="3" t="s">
        <v>3778</v>
      </c>
      <c r="AZ286" s="3" t="s">
        <v>3778</v>
      </c>
      <c r="BA286" s="3" t="s">
        <v>3779</v>
      </c>
      <c r="BB286" s="3" t="s">
        <v>77</v>
      </c>
      <c r="BE286" s="3" t="s">
        <v>3780</v>
      </c>
      <c r="BF286" s="3" t="s">
        <v>3781</v>
      </c>
    </row>
    <row r="287" spans="1:58" ht="41.25" customHeight="1" x14ac:dyDescent="0.25">
      <c r="A287" s="7" t="s">
        <v>62</v>
      </c>
      <c r="B287" s="2" t="s">
        <v>57</v>
      </c>
      <c r="C287" s="2" t="s">
        <v>58</v>
      </c>
      <c r="D287" s="2" t="s">
        <v>3782</v>
      </c>
      <c r="E287" s="2" t="s">
        <v>3783</v>
      </c>
      <c r="F287" s="2" t="s">
        <v>3784</v>
      </c>
      <c r="H287" s="3" t="s">
        <v>62</v>
      </c>
      <c r="I287" s="3" t="s">
        <v>63</v>
      </c>
      <c r="J287" s="3" t="s">
        <v>62</v>
      </c>
      <c r="K287" s="3" t="s">
        <v>62</v>
      </c>
      <c r="L287" s="3" t="s">
        <v>64</v>
      </c>
      <c r="M287" s="2" t="s">
        <v>3785</v>
      </c>
      <c r="N287" s="2" t="s">
        <v>3786</v>
      </c>
      <c r="O287" s="3" t="s">
        <v>1682</v>
      </c>
      <c r="Q287" s="3" t="s">
        <v>68</v>
      </c>
      <c r="R287" s="3" t="s">
        <v>1184</v>
      </c>
      <c r="T287" s="3" t="s">
        <v>70</v>
      </c>
      <c r="U287" s="4">
        <v>2</v>
      </c>
      <c r="V287" s="4">
        <v>2</v>
      </c>
      <c r="W287" s="5" t="s">
        <v>3787</v>
      </c>
      <c r="X287" s="5" t="s">
        <v>3787</v>
      </c>
      <c r="Y287" s="5" t="s">
        <v>3788</v>
      </c>
      <c r="Z287" s="5" t="s">
        <v>3788</v>
      </c>
      <c r="AA287" s="4">
        <v>270</v>
      </c>
      <c r="AB287" s="4">
        <v>236</v>
      </c>
      <c r="AC287" s="4">
        <v>280</v>
      </c>
      <c r="AD287" s="4">
        <v>2</v>
      </c>
      <c r="AE287" s="4">
        <v>2</v>
      </c>
      <c r="AF287" s="4">
        <v>18</v>
      </c>
      <c r="AG287" s="4">
        <v>19</v>
      </c>
      <c r="AH287" s="4">
        <v>6</v>
      </c>
      <c r="AI287" s="4">
        <v>7</v>
      </c>
      <c r="AJ287" s="4">
        <v>5</v>
      </c>
      <c r="AK287" s="4">
        <v>5</v>
      </c>
      <c r="AL287" s="4">
        <v>11</v>
      </c>
      <c r="AM287" s="4">
        <v>11</v>
      </c>
      <c r="AN287" s="4">
        <v>1</v>
      </c>
      <c r="AO287" s="4">
        <v>1</v>
      </c>
      <c r="AP287" s="4">
        <v>0</v>
      </c>
      <c r="AQ287" s="4">
        <v>0</v>
      </c>
      <c r="AR287" s="3" t="s">
        <v>62</v>
      </c>
      <c r="AS287" s="3" t="s">
        <v>84</v>
      </c>
      <c r="AT287" s="6" t="str">
        <f>HYPERLINK("http://catalog.hathitrust.org/Record/002586109","HathiTrust Record")</f>
        <v>HathiTrust Record</v>
      </c>
      <c r="AU287" s="6" t="str">
        <f>HYPERLINK("https://creighton-primo.hosted.exlibrisgroup.com/primo-explore/search?tab=default_tab&amp;search_scope=EVERYTHING&amp;vid=01CRU&amp;lang=en_US&amp;offset=0&amp;query=any,contains,991002010919702656","Catalog Record")</f>
        <v>Catalog Record</v>
      </c>
      <c r="AV287" s="6" t="str">
        <f>HYPERLINK("http://www.worldcat.org/oclc/25552714","WorldCat Record")</f>
        <v>WorldCat Record</v>
      </c>
      <c r="AW287" s="3" t="s">
        <v>3789</v>
      </c>
      <c r="AX287" s="3" t="s">
        <v>3790</v>
      </c>
      <c r="AY287" s="3" t="s">
        <v>3791</v>
      </c>
      <c r="AZ287" s="3" t="s">
        <v>3791</v>
      </c>
      <c r="BA287" s="3" t="s">
        <v>3792</v>
      </c>
      <c r="BB287" s="3" t="s">
        <v>77</v>
      </c>
      <c r="BD287" s="3" t="s">
        <v>3793</v>
      </c>
      <c r="BE287" s="3" t="s">
        <v>3794</v>
      </c>
      <c r="BF287" s="3" t="s">
        <v>3795</v>
      </c>
    </row>
    <row r="288" spans="1:58" ht="41.25" customHeight="1" x14ac:dyDescent="0.25">
      <c r="A288" s="7" t="s">
        <v>62</v>
      </c>
      <c r="B288" s="2" t="s">
        <v>57</v>
      </c>
      <c r="C288" s="2" t="s">
        <v>58</v>
      </c>
      <c r="D288" s="2" t="s">
        <v>3796</v>
      </c>
      <c r="E288" s="2" t="s">
        <v>3797</v>
      </c>
      <c r="F288" s="2" t="s">
        <v>3798</v>
      </c>
      <c r="H288" s="3" t="s">
        <v>62</v>
      </c>
      <c r="I288" s="3" t="s">
        <v>63</v>
      </c>
      <c r="J288" s="3" t="s">
        <v>62</v>
      </c>
      <c r="K288" s="3" t="s">
        <v>62</v>
      </c>
      <c r="L288" s="3" t="s">
        <v>64</v>
      </c>
      <c r="M288" s="2" t="s">
        <v>3799</v>
      </c>
      <c r="N288" s="2" t="s">
        <v>3800</v>
      </c>
      <c r="O288" s="3" t="s">
        <v>684</v>
      </c>
      <c r="Q288" s="3" t="s">
        <v>68</v>
      </c>
      <c r="R288" s="3" t="s">
        <v>88</v>
      </c>
      <c r="S288" s="2" t="s">
        <v>3801</v>
      </c>
      <c r="T288" s="3" t="s">
        <v>70</v>
      </c>
      <c r="U288" s="4">
        <v>3</v>
      </c>
      <c r="V288" s="4">
        <v>3</v>
      </c>
      <c r="W288" s="5" t="s">
        <v>3802</v>
      </c>
      <c r="X288" s="5" t="s">
        <v>3802</v>
      </c>
      <c r="Y288" s="5" t="s">
        <v>3611</v>
      </c>
      <c r="Z288" s="5" t="s">
        <v>3611</v>
      </c>
      <c r="AA288" s="4">
        <v>580</v>
      </c>
      <c r="AB288" s="4">
        <v>532</v>
      </c>
      <c r="AC288" s="4">
        <v>566</v>
      </c>
      <c r="AD288" s="4">
        <v>3</v>
      </c>
      <c r="AE288" s="4">
        <v>4</v>
      </c>
      <c r="AF288" s="4">
        <v>23</v>
      </c>
      <c r="AG288" s="4">
        <v>23</v>
      </c>
      <c r="AH288" s="4">
        <v>11</v>
      </c>
      <c r="AI288" s="4">
        <v>11</v>
      </c>
      <c r="AJ288" s="4">
        <v>3</v>
      </c>
      <c r="AK288" s="4">
        <v>3</v>
      </c>
      <c r="AL288" s="4">
        <v>11</v>
      </c>
      <c r="AM288" s="4">
        <v>11</v>
      </c>
      <c r="AN288" s="4">
        <v>2</v>
      </c>
      <c r="AO288" s="4">
        <v>2</v>
      </c>
      <c r="AP288" s="4">
        <v>0</v>
      </c>
      <c r="AQ288" s="4">
        <v>0</v>
      </c>
      <c r="AR288" s="3" t="s">
        <v>84</v>
      </c>
      <c r="AS288" s="3" t="s">
        <v>62</v>
      </c>
      <c r="AT288" s="6" t="str">
        <f>HYPERLINK("http://catalog.hathitrust.org/Record/001391191","HathiTrust Record")</f>
        <v>HathiTrust Record</v>
      </c>
      <c r="AU288" s="6" t="str">
        <f>HYPERLINK("https://creighton-primo.hosted.exlibrisgroup.com/primo-explore/search?tab=default_tab&amp;search_scope=EVERYTHING&amp;vid=01CRU&amp;lang=en_US&amp;offset=0&amp;query=any,contains,991002327519702656","Catalog Record")</f>
        <v>Catalog Record</v>
      </c>
      <c r="AV288" s="6" t="str">
        <f>HYPERLINK("http://www.worldcat.org/oclc/321221","WorldCat Record")</f>
        <v>WorldCat Record</v>
      </c>
      <c r="AW288" s="3" t="s">
        <v>3803</v>
      </c>
      <c r="AX288" s="3" t="s">
        <v>3804</v>
      </c>
      <c r="AY288" s="3" t="s">
        <v>3805</v>
      </c>
      <c r="AZ288" s="3" t="s">
        <v>3805</v>
      </c>
      <c r="BA288" s="3" t="s">
        <v>3806</v>
      </c>
      <c r="BB288" s="3" t="s">
        <v>77</v>
      </c>
      <c r="BE288" s="3" t="s">
        <v>3807</v>
      </c>
      <c r="BF288" s="3" t="s">
        <v>3808</v>
      </c>
    </row>
    <row r="289" spans="1:58" ht="41.25" customHeight="1" x14ac:dyDescent="0.25">
      <c r="A289" s="7" t="s">
        <v>62</v>
      </c>
      <c r="B289" s="2" t="s">
        <v>57</v>
      </c>
      <c r="C289" s="2" t="s">
        <v>58</v>
      </c>
      <c r="D289" s="2" t="s">
        <v>3809</v>
      </c>
      <c r="E289" s="2" t="s">
        <v>3810</v>
      </c>
      <c r="F289" s="2" t="s">
        <v>3811</v>
      </c>
      <c r="H289" s="3" t="s">
        <v>62</v>
      </c>
      <c r="I289" s="3" t="s">
        <v>63</v>
      </c>
      <c r="J289" s="3" t="s">
        <v>62</v>
      </c>
      <c r="K289" s="3" t="s">
        <v>62</v>
      </c>
      <c r="L289" s="3" t="s">
        <v>64</v>
      </c>
      <c r="M289" s="2" t="s">
        <v>3799</v>
      </c>
      <c r="N289" s="2" t="s">
        <v>3812</v>
      </c>
      <c r="O289" s="3" t="s">
        <v>3813</v>
      </c>
      <c r="Q289" s="3" t="s">
        <v>68</v>
      </c>
      <c r="R289" s="3" t="s">
        <v>69</v>
      </c>
      <c r="T289" s="3" t="s">
        <v>70</v>
      </c>
      <c r="U289" s="4">
        <v>7</v>
      </c>
      <c r="V289" s="4">
        <v>7</v>
      </c>
      <c r="W289" s="5" t="s">
        <v>3814</v>
      </c>
      <c r="X289" s="5" t="s">
        <v>3814</v>
      </c>
      <c r="Y289" s="5" t="s">
        <v>3611</v>
      </c>
      <c r="Z289" s="5" t="s">
        <v>3611</v>
      </c>
      <c r="AA289" s="4">
        <v>387</v>
      </c>
      <c r="AB289" s="4">
        <v>368</v>
      </c>
      <c r="AC289" s="4">
        <v>480</v>
      </c>
      <c r="AD289" s="4">
        <v>2</v>
      </c>
      <c r="AE289" s="4">
        <v>2</v>
      </c>
      <c r="AF289" s="4">
        <v>8</v>
      </c>
      <c r="AG289" s="4">
        <v>16</v>
      </c>
      <c r="AH289" s="4">
        <v>4</v>
      </c>
      <c r="AI289" s="4">
        <v>7</v>
      </c>
      <c r="AJ289" s="4">
        <v>1</v>
      </c>
      <c r="AK289" s="4">
        <v>3</v>
      </c>
      <c r="AL289" s="4">
        <v>5</v>
      </c>
      <c r="AM289" s="4">
        <v>10</v>
      </c>
      <c r="AN289" s="4">
        <v>1</v>
      </c>
      <c r="AO289" s="4">
        <v>1</v>
      </c>
      <c r="AP289" s="4">
        <v>0</v>
      </c>
      <c r="AQ289" s="4">
        <v>0</v>
      </c>
      <c r="AR289" s="3" t="s">
        <v>84</v>
      </c>
      <c r="AS289" s="3" t="s">
        <v>62</v>
      </c>
      <c r="AT289" s="6" t="str">
        <f>HYPERLINK("http://catalog.hathitrust.org/Record/001391192","HathiTrust Record")</f>
        <v>HathiTrust Record</v>
      </c>
      <c r="AU289" s="6" t="str">
        <f>HYPERLINK("https://creighton-primo.hosted.exlibrisgroup.com/primo-explore/search?tab=default_tab&amp;search_scope=EVERYTHING&amp;vid=01CRU&amp;lang=en_US&amp;offset=0&amp;query=any,contains,991003175479702656","Catalog Record")</f>
        <v>Catalog Record</v>
      </c>
      <c r="AV289" s="6" t="str">
        <f>HYPERLINK("http://www.worldcat.org/oclc/710655","WorldCat Record")</f>
        <v>WorldCat Record</v>
      </c>
      <c r="AW289" s="3" t="s">
        <v>3815</v>
      </c>
      <c r="AX289" s="3" t="s">
        <v>3816</v>
      </c>
      <c r="AY289" s="3" t="s">
        <v>3817</v>
      </c>
      <c r="AZ289" s="3" t="s">
        <v>3817</v>
      </c>
      <c r="BA289" s="3" t="s">
        <v>3818</v>
      </c>
      <c r="BB289" s="3" t="s">
        <v>77</v>
      </c>
      <c r="BE289" s="3" t="s">
        <v>3819</v>
      </c>
      <c r="BF289" s="3" t="s">
        <v>3820</v>
      </c>
    </row>
    <row r="290" spans="1:58" ht="41.25" customHeight="1" x14ac:dyDescent="0.25">
      <c r="A290" s="7" t="s">
        <v>62</v>
      </c>
      <c r="B290" s="2" t="s">
        <v>57</v>
      </c>
      <c r="C290" s="2" t="s">
        <v>58</v>
      </c>
      <c r="D290" s="2" t="s">
        <v>3821</v>
      </c>
      <c r="E290" s="2" t="s">
        <v>3822</v>
      </c>
      <c r="F290" s="2" t="s">
        <v>3823</v>
      </c>
      <c r="H290" s="3" t="s">
        <v>62</v>
      </c>
      <c r="I290" s="3" t="s">
        <v>63</v>
      </c>
      <c r="J290" s="3" t="s">
        <v>62</v>
      </c>
      <c r="K290" s="3" t="s">
        <v>62</v>
      </c>
      <c r="L290" s="3" t="s">
        <v>64</v>
      </c>
      <c r="M290" s="2" t="s">
        <v>3824</v>
      </c>
      <c r="N290" s="2" t="s">
        <v>3825</v>
      </c>
      <c r="O290" s="3" t="s">
        <v>340</v>
      </c>
      <c r="Q290" s="3" t="s">
        <v>68</v>
      </c>
      <c r="R290" s="3" t="s">
        <v>88</v>
      </c>
      <c r="S290" s="2" t="s">
        <v>3826</v>
      </c>
      <c r="T290" s="3" t="s">
        <v>70</v>
      </c>
      <c r="U290" s="4">
        <v>9</v>
      </c>
      <c r="V290" s="4">
        <v>9</v>
      </c>
      <c r="W290" s="5" t="s">
        <v>3827</v>
      </c>
      <c r="X290" s="5" t="s">
        <v>3827</v>
      </c>
      <c r="Y290" s="5" t="s">
        <v>3611</v>
      </c>
      <c r="Z290" s="5" t="s">
        <v>3611</v>
      </c>
      <c r="AA290" s="4">
        <v>491</v>
      </c>
      <c r="AB290" s="4">
        <v>421</v>
      </c>
      <c r="AC290" s="4">
        <v>422</v>
      </c>
      <c r="AD290" s="4">
        <v>4</v>
      </c>
      <c r="AE290" s="4">
        <v>4</v>
      </c>
      <c r="AF290" s="4">
        <v>22</v>
      </c>
      <c r="AG290" s="4">
        <v>22</v>
      </c>
      <c r="AH290" s="4">
        <v>10</v>
      </c>
      <c r="AI290" s="4">
        <v>10</v>
      </c>
      <c r="AJ290" s="4">
        <v>5</v>
      </c>
      <c r="AK290" s="4">
        <v>5</v>
      </c>
      <c r="AL290" s="4">
        <v>14</v>
      </c>
      <c r="AM290" s="4">
        <v>14</v>
      </c>
      <c r="AN290" s="4">
        <v>2</v>
      </c>
      <c r="AO290" s="4">
        <v>2</v>
      </c>
      <c r="AP290" s="4">
        <v>0</v>
      </c>
      <c r="AQ290" s="4">
        <v>0</v>
      </c>
      <c r="AR290" s="3" t="s">
        <v>62</v>
      </c>
      <c r="AS290" s="3" t="s">
        <v>84</v>
      </c>
      <c r="AT290" s="6" t="str">
        <f>HYPERLINK("http://catalog.hathitrust.org/Record/001391194","HathiTrust Record")</f>
        <v>HathiTrust Record</v>
      </c>
      <c r="AU290" s="6" t="str">
        <f>HYPERLINK("https://creighton-primo.hosted.exlibrisgroup.com/primo-explore/search?tab=default_tab&amp;search_scope=EVERYTHING&amp;vid=01CRU&amp;lang=en_US&amp;offset=0&amp;query=any,contains,991001365969702656","Catalog Record")</f>
        <v>Catalog Record</v>
      </c>
      <c r="AV290" s="6" t="str">
        <f>HYPERLINK("http://www.worldcat.org/oclc/222545","WorldCat Record")</f>
        <v>WorldCat Record</v>
      </c>
      <c r="AW290" s="3" t="s">
        <v>3828</v>
      </c>
      <c r="AX290" s="3" t="s">
        <v>3829</v>
      </c>
      <c r="AY290" s="3" t="s">
        <v>3830</v>
      </c>
      <c r="AZ290" s="3" t="s">
        <v>3830</v>
      </c>
      <c r="BA290" s="3" t="s">
        <v>3831</v>
      </c>
      <c r="BB290" s="3" t="s">
        <v>77</v>
      </c>
      <c r="BE290" s="3" t="s">
        <v>3832</v>
      </c>
      <c r="BF290" s="3" t="s">
        <v>3833</v>
      </c>
    </row>
    <row r="291" spans="1:58" ht="41.25" customHeight="1" x14ac:dyDescent="0.25">
      <c r="A291" s="7" t="s">
        <v>62</v>
      </c>
      <c r="B291" s="2" t="s">
        <v>57</v>
      </c>
      <c r="C291" s="2" t="s">
        <v>58</v>
      </c>
      <c r="D291" s="2" t="s">
        <v>3834</v>
      </c>
      <c r="E291" s="2" t="s">
        <v>3835</v>
      </c>
      <c r="F291" s="2" t="s">
        <v>3836</v>
      </c>
      <c r="H291" s="3" t="s">
        <v>62</v>
      </c>
      <c r="I291" s="3" t="s">
        <v>63</v>
      </c>
      <c r="J291" s="3" t="s">
        <v>62</v>
      </c>
      <c r="K291" s="3" t="s">
        <v>62</v>
      </c>
      <c r="L291" s="3" t="s">
        <v>64</v>
      </c>
      <c r="M291" s="2" t="s">
        <v>3837</v>
      </c>
      <c r="N291" s="2" t="s">
        <v>3838</v>
      </c>
      <c r="O291" s="3" t="s">
        <v>1805</v>
      </c>
      <c r="Q291" s="3" t="s">
        <v>68</v>
      </c>
      <c r="R291" s="3" t="s">
        <v>219</v>
      </c>
      <c r="T291" s="3" t="s">
        <v>70</v>
      </c>
      <c r="U291" s="4">
        <v>2</v>
      </c>
      <c r="V291" s="4">
        <v>2</v>
      </c>
      <c r="W291" s="5" t="s">
        <v>3839</v>
      </c>
      <c r="X291" s="5" t="s">
        <v>3839</v>
      </c>
      <c r="Y291" s="5" t="s">
        <v>2758</v>
      </c>
      <c r="Z291" s="5" t="s">
        <v>2758</v>
      </c>
      <c r="AA291" s="4">
        <v>372</v>
      </c>
      <c r="AB291" s="4">
        <v>315</v>
      </c>
      <c r="AC291" s="4">
        <v>317</v>
      </c>
      <c r="AD291" s="4">
        <v>4</v>
      </c>
      <c r="AE291" s="4">
        <v>4</v>
      </c>
      <c r="AF291" s="4">
        <v>17</v>
      </c>
      <c r="AG291" s="4">
        <v>17</v>
      </c>
      <c r="AH291" s="4">
        <v>2</v>
      </c>
      <c r="AI291" s="4">
        <v>2</v>
      </c>
      <c r="AJ291" s="4">
        <v>5</v>
      </c>
      <c r="AK291" s="4">
        <v>5</v>
      </c>
      <c r="AL291" s="4">
        <v>12</v>
      </c>
      <c r="AM291" s="4">
        <v>12</v>
      </c>
      <c r="AN291" s="4">
        <v>3</v>
      </c>
      <c r="AO291" s="4">
        <v>3</v>
      </c>
      <c r="AP291" s="4">
        <v>0</v>
      </c>
      <c r="AQ291" s="4">
        <v>0</v>
      </c>
      <c r="AR291" s="3" t="s">
        <v>62</v>
      </c>
      <c r="AS291" s="3" t="s">
        <v>84</v>
      </c>
      <c r="AT291" s="6" t="str">
        <f>HYPERLINK("http://catalog.hathitrust.org/Record/000763780","HathiTrust Record")</f>
        <v>HathiTrust Record</v>
      </c>
      <c r="AU291" s="6" t="str">
        <f>HYPERLINK("https://creighton-primo.hosted.exlibrisgroup.com/primo-explore/search?tab=default_tab&amp;search_scope=EVERYTHING&amp;vid=01CRU&amp;lang=en_US&amp;offset=0&amp;query=any,contains,991005218309702656","Catalog Record")</f>
        <v>Catalog Record</v>
      </c>
      <c r="AV291" s="6" t="str">
        <f>HYPERLINK("http://www.worldcat.org/oclc/8205032","WorldCat Record")</f>
        <v>WorldCat Record</v>
      </c>
      <c r="AW291" s="3" t="s">
        <v>3840</v>
      </c>
      <c r="AX291" s="3" t="s">
        <v>3841</v>
      </c>
      <c r="AY291" s="3" t="s">
        <v>3842</v>
      </c>
      <c r="AZ291" s="3" t="s">
        <v>3842</v>
      </c>
      <c r="BA291" s="3" t="s">
        <v>3843</v>
      </c>
      <c r="BB291" s="3" t="s">
        <v>77</v>
      </c>
      <c r="BD291" s="3" t="s">
        <v>3844</v>
      </c>
      <c r="BE291" s="3" t="s">
        <v>3845</v>
      </c>
      <c r="BF291" s="3" t="s">
        <v>3846</v>
      </c>
    </row>
    <row r="292" spans="1:58" ht="41.25" customHeight="1" x14ac:dyDescent="0.25">
      <c r="A292" s="7" t="s">
        <v>62</v>
      </c>
      <c r="B292" s="2" t="s">
        <v>57</v>
      </c>
      <c r="C292" s="2" t="s">
        <v>58</v>
      </c>
      <c r="D292" s="2" t="s">
        <v>3847</v>
      </c>
      <c r="E292" s="2" t="s">
        <v>3848</v>
      </c>
      <c r="F292" s="2" t="s">
        <v>3849</v>
      </c>
      <c r="H292" s="3" t="s">
        <v>62</v>
      </c>
      <c r="I292" s="3" t="s">
        <v>63</v>
      </c>
      <c r="J292" s="3" t="s">
        <v>62</v>
      </c>
      <c r="K292" s="3" t="s">
        <v>62</v>
      </c>
      <c r="L292" s="3" t="s">
        <v>64</v>
      </c>
      <c r="M292" s="2" t="s">
        <v>3850</v>
      </c>
      <c r="N292" s="2" t="s">
        <v>3851</v>
      </c>
      <c r="O292" s="3" t="s">
        <v>1065</v>
      </c>
      <c r="Q292" s="3" t="s">
        <v>68</v>
      </c>
      <c r="R292" s="3" t="s">
        <v>88</v>
      </c>
      <c r="S292" s="2" t="s">
        <v>3852</v>
      </c>
      <c r="T292" s="3" t="s">
        <v>70</v>
      </c>
      <c r="U292" s="4">
        <v>3</v>
      </c>
      <c r="V292" s="4">
        <v>3</v>
      </c>
      <c r="W292" s="5" t="s">
        <v>1285</v>
      </c>
      <c r="X292" s="5" t="s">
        <v>1285</v>
      </c>
      <c r="Y292" s="5" t="s">
        <v>3611</v>
      </c>
      <c r="Z292" s="5" t="s">
        <v>3611</v>
      </c>
      <c r="AA292" s="4">
        <v>600</v>
      </c>
      <c r="AB292" s="4">
        <v>555</v>
      </c>
      <c r="AC292" s="4">
        <v>770</v>
      </c>
      <c r="AD292" s="4">
        <v>6</v>
      </c>
      <c r="AE292" s="4">
        <v>7</v>
      </c>
      <c r="AF292" s="4">
        <v>25</v>
      </c>
      <c r="AG292" s="4">
        <v>34</v>
      </c>
      <c r="AH292" s="4">
        <v>10</v>
      </c>
      <c r="AI292" s="4">
        <v>14</v>
      </c>
      <c r="AJ292" s="4">
        <v>4</v>
      </c>
      <c r="AK292" s="4">
        <v>7</v>
      </c>
      <c r="AL292" s="4">
        <v>12</v>
      </c>
      <c r="AM292" s="4">
        <v>17</v>
      </c>
      <c r="AN292" s="4">
        <v>5</v>
      </c>
      <c r="AO292" s="4">
        <v>5</v>
      </c>
      <c r="AP292" s="4">
        <v>0</v>
      </c>
      <c r="AQ292" s="4">
        <v>0</v>
      </c>
      <c r="AR292" s="3" t="s">
        <v>84</v>
      </c>
      <c r="AS292" s="3" t="s">
        <v>62</v>
      </c>
      <c r="AT292" s="6" t="str">
        <f>HYPERLINK("http://catalog.hathitrust.org/Record/001391202","HathiTrust Record")</f>
        <v>HathiTrust Record</v>
      </c>
      <c r="AU292" s="6" t="str">
        <f>HYPERLINK("https://creighton-primo.hosted.exlibrisgroup.com/primo-explore/search?tab=default_tab&amp;search_scope=EVERYTHING&amp;vid=01CRU&amp;lang=en_US&amp;offset=0&amp;query=any,contains,991002258989702656","Catalog Record")</f>
        <v>Catalog Record</v>
      </c>
      <c r="AV292" s="6" t="str">
        <f>HYPERLINK("http://www.worldcat.org/oclc/303323","WorldCat Record")</f>
        <v>WorldCat Record</v>
      </c>
      <c r="AW292" s="3" t="s">
        <v>3853</v>
      </c>
      <c r="AX292" s="3" t="s">
        <v>3854</v>
      </c>
      <c r="AY292" s="3" t="s">
        <v>3855</v>
      </c>
      <c r="AZ292" s="3" t="s">
        <v>3855</v>
      </c>
      <c r="BA292" s="3" t="s">
        <v>3856</v>
      </c>
      <c r="BB292" s="3" t="s">
        <v>77</v>
      </c>
      <c r="BE292" s="3" t="s">
        <v>3857</v>
      </c>
      <c r="BF292" s="3" t="s">
        <v>3858</v>
      </c>
    </row>
    <row r="293" spans="1:58" ht="41.25" customHeight="1" x14ac:dyDescent="0.25">
      <c r="A293" s="7" t="s">
        <v>62</v>
      </c>
      <c r="B293" s="2" t="s">
        <v>57</v>
      </c>
      <c r="C293" s="2" t="s">
        <v>58</v>
      </c>
      <c r="D293" s="2" t="s">
        <v>3859</v>
      </c>
      <c r="E293" s="2" t="s">
        <v>3860</v>
      </c>
      <c r="F293" s="2" t="s">
        <v>3861</v>
      </c>
      <c r="H293" s="3" t="s">
        <v>62</v>
      </c>
      <c r="I293" s="3" t="s">
        <v>63</v>
      </c>
      <c r="J293" s="3" t="s">
        <v>62</v>
      </c>
      <c r="K293" s="3" t="s">
        <v>62</v>
      </c>
      <c r="L293" s="3" t="s">
        <v>64</v>
      </c>
      <c r="M293" s="2" t="s">
        <v>3862</v>
      </c>
      <c r="N293" s="2" t="s">
        <v>3863</v>
      </c>
      <c r="O293" s="3" t="s">
        <v>383</v>
      </c>
      <c r="Q293" s="3" t="s">
        <v>68</v>
      </c>
      <c r="R293" s="3" t="s">
        <v>69</v>
      </c>
      <c r="S293" s="2" t="s">
        <v>645</v>
      </c>
      <c r="T293" s="3" t="s">
        <v>70</v>
      </c>
      <c r="U293" s="4">
        <v>4</v>
      </c>
      <c r="V293" s="4">
        <v>4</v>
      </c>
      <c r="W293" s="5" t="s">
        <v>3864</v>
      </c>
      <c r="X293" s="5" t="s">
        <v>3864</v>
      </c>
      <c r="Y293" s="5" t="s">
        <v>3611</v>
      </c>
      <c r="Z293" s="5" t="s">
        <v>3611</v>
      </c>
      <c r="AA293" s="4">
        <v>183</v>
      </c>
      <c r="AB293" s="4">
        <v>176</v>
      </c>
      <c r="AC293" s="4">
        <v>602</v>
      </c>
      <c r="AD293" s="4">
        <v>3</v>
      </c>
      <c r="AE293" s="4">
        <v>9</v>
      </c>
      <c r="AF293" s="4">
        <v>9</v>
      </c>
      <c r="AG293" s="4">
        <v>30</v>
      </c>
      <c r="AH293" s="4">
        <v>2</v>
      </c>
      <c r="AI293" s="4">
        <v>12</v>
      </c>
      <c r="AJ293" s="4">
        <v>1</v>
      </c>
      <c r="AK293" s="4">
        <v>3</v>
      </c>
      <c r="AL293" s="4">
        <v>6</v>
      </c>
      <c r="AM293" s="4">
        <v>13</v>
      </c>
      <c r="AN293" s="4">
        <v>2</v>
      </c>
      <c r="AO293" s="4">
        <v>8</v>
      </c>
      <c r="AP293" s="4">
        <v>0</v>
      </c>
      <c r="AQ293" s="4">
        <v>0</v>
      </c>
      <c r="AR293" s="3" t="s">
        <v>62</v>
      </c>
      <c r="AS293" s="3" t="s">
        <v>62</v>
      </c>
      <c r="AU293" s="6" t="str">
        <f>HYPERLINK("https://creighton-primo.hosted.exlibrisgroup.com/primo-explore/search?tab=default_tab&amp;search_scope=EVERYTHING&amp;vid=01CRU&amp;lang=en_US&amp;offset=0&amp;query=any,contains,991000125149702656","Catalog Record")</f>
        <v>Catalog Record</v>
      </c>
      <c r="AV293" s="6" t="str">
        <f>HYPERLINK("http://www.worldcat.org/oclc/51675","WorldCat Record")</f>
        <v>WorldCat Record</v>
      </c>
      <c r="AW293" s="3" t="s">
        <v>3865</v>
      </c>
      <c r="AX293" s="3" t="s">
        <v>3866</v>
      </c>
      <c r="AY293" s="3" t="s">
        <v>3867</v>
      </c>
      <c r="AZ293" s="3" t="s">
        <v>3867</v>
      </c>
      <c r="BA293" s="3" t="s">
        <v>3868</v>
      </c>
      <c r="BB293" s="3" t="s">
        <v>77</v>
      </c>
      <c r="BD293" s="3" t="s">
        <v>3869</v>
      </c>
      <c r="BE293" s="3" t="s">
        <v>3870</v>
      </c>
      <c r="BF293" s="3" t="s">
        <v>3871</v>
      </c>
    </row>
    <row r="294" spans="1:58" ht="41.25" customHeight="1" x14ac:dyDescent="0.25">
      <c r="A294" s="7" t="s">
        <v>62</v>
      </c>
      <c r="B294" s="2" t="s">
        <v>57</v>
      </c>
      <c r="C294" s="2" t="s">
        <v>58</v>
      </c>
      <c r="D294" s="2" t="s">
        <v>3872</v>
      </c>
      <c r="E294" s="2" t="s">
        <v>3873</v>
      </c>
      <c r="F294" s="2" t="s">
        <v>3874</v>
      </c>
      <c r="H294" s="3" t="s">
        <v>62</v>
      </c>
      <c r="I294" s="3" t="s">
        <v>63</v>
      </c>
      <c r="J294" s="3" t="s">
        <v>62</v>
      </c>
      <c r="K294" s="3" t="s">
        <v>62</v>
      </c>
      <c r="L294" s="3" t="s">
        <v>64</v>
      </c>
      <c r="M294" s="2" t="s">
        <v>3875</v>
      </c>
      <c r="N294" s="2" t="s">
        <v>3876</v>
      </c>
      <c r="O294" s="3" t="s">
        <v>3813</v>
      </c>
      <c r="Q294" s="3" t="s">
        <v>68</v>
      </c>
      <c r="R294" s="3" t="s">
        <v>88</v>
      </c>
      <c r="S294" s="2" t="s">
        <v>3877</v>
      </c>
      <c r="T294" s="3" t="s">
        <v>70</v>
      </c>
      <c r="U294" s="4">
        <v>1</v>
      </c>
      <c r="V294" s="4">
        <v>1</v>
      </c>
      <c r="W294" s="5" t="s">
        <v>3878</v>
      </c>
      <c r="X294" s="5" t="s">
        <v>3878</v>
      </c>
      <c r="Y294" s="5" t="s">
        <v>3611</v>
      </c>
      <c r="Z294" s="5" t="s">
        <v>3611</v>
      </c>
      <c r="AA294" s="4">
        <v>345</v>
      </c>
      <c r="AB294" s="4">
        <v>288</v>
      </c>
      <c r="AC294" s="4">
        <v>491</v>
      </c>
      <c r="AD294" s="4">
        <v>4</v>
      </c>
      <c r="AE294" s="4">
        <v>4</v>
      </c>
      <c r="AF294" s="4">
        <v>16</v>
      </c>
      <c r="AG294" s="4">
        <v>24</v>
      </c>
      <c r="AH294" s="4">
        <v>6</v>
      </c>
      <c r="AI294" s="4">
        <v>11</v>
      </c>
      <c r="AJ294" s="4">
        <v>4</v>
      </c>
      <c r="AK294" s="4">
        <v>5</v>
      </c>
      <c r="AL294" s="4">
        <v>9</v>
      </c>
      <c r="AM294" s="4">
        <v>13</v>
      </c>
      <c r="AN294" s="4">
        <v>1</v>
      </c>
      <c r="AO294" s="4">
        <v>1</v>
      </c>
      <c r="AP294" s="4">
        <v>0</v>
      </c>
      <c r="AQ294" s="4">
        <v>0</v>
      </c>
      <c r="AR294" s="3" t="s">
        <v>62</v>
      </c>
      <c r="AS294" s="3" t="s">
        <v>84</v>
      </c>
      <c r="AT294" s="6" t="str">
        <f>HYPERLINK("http://catalog.hathitrust.org/Record/001921459","HathiTrust Record")</f>
        <v>HathiTrust Record</v>
      </c>
      <c r="AU294" s="6" t="str">
        <f>HYPERLINK("https://creighton-primo.hosted.exlibrisgroup.com/primo-explore/search?tab=default_tab&amp;search_scope=EVERYTHING&amp;vid=01CRU&amp;lang=en_US&amp;offset=0&amp;query=any,contains,991002648319702656","Catalog Record")</f>
        <v>Catalog Record</v>
      </c>
      <c r="AV294" s="6" t="str">
        <f>HYPERLINK("http://www.worldcat.org/oclc/386386","WorldCat Record")</f>
        <v>WorldCat Record</v>
      </c>
      <c r="AW294" s="3" t="s">
        <v>3879</v>
      </c>
      <c r="AX294" s="3" t="s">
        <v>3880</v>
      </c>
      <c r="AY294" s="3" t="s">
        <v>3881</v>
      </c>
      <c r="AZ294" s="3" t="s">
        <v>3881</v>
      </c>
      <c r="BA294" s="3" t="s">
        <v>3882</v>
      </c>
      <c r="BB294" s="3" t="s">
        <v>77</v>
      </c>
      <c r="BE294" s="3" t="s">
        <v>3883</v>
      </c>
      <c r="BF294" s="3" t="s">
        <v>3884</v>
      </c>
    </row>
    <row r="295" spans="1:58" ht="41.25" customHeight="1" x14ac:dyDescent="0.25">
      <c r="A295" s="7" t="s">
        <v>62</v>
      </c>
      <c r="B295" s="2" t="s">
        <v>57</v>
      </c>
      <c r="C295" s="2" t="s">
        <v>58</v>
      </c>
      <c r="D295" s="2" t="s">
        <v>3885</v>
      </c>
      <c r="E295" s="2" t="s">
        <v>3886</v>
      </c>
      <c r="F295" s="2" t="s">
        <v>3887</v>
      </c>
      <c r="H295" s="3" t="s">
        <v>62</v>
      </c>
      <c r="I295" s="3" t="s">
        <v>63</v>
      </c>
      <c r="J295" s="3" t="s">
        <v>62</v>
      </c>
      <c r="K295" s="3" t="s">
        <v>62</v>
      </c>
      <c r="L295" s="3" t="s">
        <v>64</v>
      </c>
      <c r="M295" s="2" t="s">
        <v>3888</v>
      </c>
      <c r="N295" s="2" t="s">
        <v>3889</v>
      </c>
      <c r="O295" s="3" t="s">
        <v>404</v>
      </c>
      <c r="Q295" s="3" t="s">
        <v>68</v>
      </c>
      <c r="R295" s="3" t="s">
        <v>3890</v>
      </c>
      <c r="T295" s="3" t="s">
        <v>70</v>
      </c>
      <c r="U295" s="4">
        <v>5</v>
      </c>
      <c r="V295" s="4">
        <v>5</v>
      </c>
      <c r="W295" s="5" t="s">
        <v>3814</v>
      </c>
      <c r="X295" s="5" t="s">
        <v>3814</v>
      </c>
      <c r="Y295" s="5" t="s">
        <v>3611</v>
      </c>
      <c r="Z295" s="5" t="s">
        <v>3611</v>
      </c>
      <c r="AA295" s="4">
        <v>452</v>
      </c>
      <c r="AB295" s="4">
        <v>383</v>
      </c>
      <c r="AC295" s="4">
        <v>400</v>
      </c>
      <c r="AD295" s="4">
        <v>3</v>
      </c>
      <c r="AE295" s="4">
        <v>3</v>
      </c>
      <c r="AF295" s="4">
        <v>21</v>
      </c>
      <c r="AG295" s="4">
        <v>22</v>
      </c>
      <c r="AH295" s="4">
        <v>9</v>
      </c>
      <c r="AI295" s="4">
        <v>10</v>
      </c>
      <c r="AJ295" s="4">
        <v>4</v>
      </c>
      <c r="AK295" s="4">
        <v>4</v>
      </c>
      <c r="AL295" s="4">
        <v>11</v>
      </c>
      <c r="AM295" s="4">
        <v>12</v>
      </c>
      <c r="AN295" s="4">
        <v>2</v>
      </c>
      <c r="AO295" s="4">
        <v>2</v>
      </c>
      <c r="AP295" s="4">
        <v>0</v>
      </c>
      <c r="AQ295" s="4">
        <v>0</v>
      </c>
      <c r="AR295" s="3" t="s">
        <v>62</v>
      </c>
      <c r="AS295" s="3" t="s">
        <v>84</v>
      </c>
      <c r="AT295" s="6" t="str">
        <f>HYPERLINK("http://catalog.hathitrust.org/Record/011229886","HathiTrust Record")</f>
        <v>HathiTrust Record</v>
      </c>
      <c r="AU295" s="6" t="str">
        <f>HYPERLINK("https://creighton-primo.hosted.exlibrisgroup.com/primo-explore/search?tab=default_tab&amp;search_scope=EVERYTHING&amp;vid=01CRU&amp;lang=en_US&amp;offset=0&amp;query=any,contains,991003079419702656","Catalog Record")</f>
        <v>Catalog Record</v>
      </c>
      <c r="AV295" s="6" t="str">
        <f>HYPERLINK("http://www.worldcat.org/oclc/631972","WorldCat Record")</f>
        <v>WorldCat Record</v>
      </c>
      <c r="AW295" s="3" t="s">
        <v>3891</v>
      </c>
      <c r="AX295" s="3" t="s">
        <v>3892</v>
      </c>
      <c r="AY295" s="3" t="s">
        <v>3893</v>
      </c>
      <c r="AZ295" s="3" t="s">
        <v>3893</v>
      </c>
      <c r="BA295" s="3" t="s">
        <v>3894</v>
      </c>
      <c r="BB295" s="3" t="s">
        <v>77</v>
      </c>
      <c r="BD295" s="3" t="s">
        <v>3895</v>
      </c>
      <c r="BE295" s="3" t="s">
        <v>3896</v>
      </c>
      <c r="BF295" s="3" t="s">
        <v>3897</v>
      </c>
    </row>
    <row r="296" spans="1:58" ht="41.25" customHeight="1" x14ac:dyDescent="0.25">
      <c r="A296" s="7" t="s">
        <v>62</v>
      </c>
      <c r="B296" s="2" t="s">
        <v>57</v>
      </c>
      <c r="C296" s="2" t="s">
        <v>58</v>
      </c>
      <c r="D296" s="2" t="s">
        <v>3898</v>
      </c>
      <c r="E296" s="2" t="s">
        <v>3899</v>
      </c>
      <c r="F296" s="2" t="s">
        <v>3900</v>
      </c>
      <c r="H296" s="3" t="s">
        <v>62</v>
      </c>
      <c r="I296" s="3" t="s">
        <v>63</v>
      </c>
      <c r="J296" s="3" t="s">
        <v>62</v>
      </c>
      <c r="K296" s="3" t="s">
        <v>62</v>
      </c>
      <c r="L296" s="3" t="s">
        <v>64</v>
      </c>
      <c r="M296" s="2" t="s">
        <v>3901</v>
      </c>
      <c r="N296" s="2" t="s">
        <v>3902</v>
      </c>
      <c r="O296" s="3" t="s">
        <v>1533</v>
      </c>
      <c r="Q296" s="3" t="s">
        <v>68</v>
      </c>
      <c r="R296" s="3" t="s">
        <v>1653</v>
      </c>
      <c r="T296" s="3" t="s">
        <v>70</v>
      </c>
      <c r="U296" s="4">
        <v>5</v>
      </c>
      <c r="V296" s="4">
        <v>5</v>
      </c>
      <c r="W296" s="5" t="s">
        <v>3903</v>
      </c>
      <c r="X296" s="5" t="s">
        <v>3903</v>
      </c>
      <c r="Y296" s="5" t="s">
        <v>3611</v>
      </c>
      <c r="Z296" s="5" t="s">
        <v>3611</v>
      </c>
      <c r="AA296" s="4">
        <v>522</v>
      </c>
      <c r="AB296" s="4">
        <v>445</v>
      </c>
      <c r="AC296" s="4">
        <v>463</v>
      </c>
      <c r="AD296" s="4">
        <v>3</v>
      </c>
      <c r="AE296" s="4">
        <v>4</v>
      </c>
      <c r="AF296" s="4">
        <v>38</v>
      </c>
      <c r="AG296" s="4">
        <v>40</v>
      </c>
      <c r="AH296" s="4">
        <v>14</v>
      </c>
      <c r="AI296" s="4">
        <v>15</v>
      </c>
      <c r="AJ296" s="4">
        <v>10</v>
      </c>
      <c r="AK296" s="4">
        <v>11</v>
      </c>
      <c r="AL296" s="4">
        <v>25</v>
      </c>
      <c r="AM296" s="4">
        <v>25</v>
      </c>
      <c r="AN296" s="4">
        <v>1</v>
      </c>
      <c r="AO296" s="4">
        <v>2</v>
      </c>
      <c r="AP296" s="4">
        <v>0</v>
      </c>
      <c r="AQ296" s="4">
        <v>0</v>
      </c>
      <c r="AR296" s="3" t="s">
        <v>62</v>
      </c>
      <c r="AS296" s="3" t="s">
        <v>84</v>
      </c>
      <c r="AT296" s="6" t="str">
        <f>HYPERLINK("http://catalog.hathitrust.org/Record/000021947","HathiTrust Record")</f>
        <v>HathiTrust Record</v>
      </c>
      <c r="AU296" s="6" t="str">
        <f>HYPERLINK("https://creighton-primo.hosted.exlibrisgroup.com/primo-explore/search?tab=default_tab&amp;search_scope=EVERYTHING&amp;vid=01CRU&amp;lang=en_US&amp;offset=0&amp;query=any,contains,991003501569702656","Catalog Record")</f>
        <v>Catalog Record</v>
      </c>
      <c r="AV296" s="6" t="str">
        <f>HYPERLINK("http://www.worldcat.org/oclc/1054148","WorldCat Record")</f>
        <v>WorldCat Record</v>
      </c>
      <c r="AW296" s="3" t="s">
        <v>3904</v>
      </c>
      <c r="AX296" s="3" t="s">
        <v>3905</v>
      </c>
      <c r="AY296" s="3" t="s">
        <v>3906</v>
      </c>
      <c r="AZ296" s="3" t="s">
        <v>3906</v>
      </c>
      <c r="BA296" s="3" t="s">
        <v>3907</v>
      </c>
      <c r="BB296" s="3" t="s">
        <v>77</v>
      </c>
      <c r="BD296" s="3" t="s">
        <v>3908</v>
      </c>
      <c r="BE296" s="3" t="s">
        <v>3909</v>
      </c>
      <c r="BF296" s="3" t="s">
        <v>3910</v>
      </c>
    </row>
    <row r="297" spans="1:58" ht="41.25" customHeight="1" x14ac:dyDescent="0.25">
      <c r="A297" s="7" t="s">
        <v>62</v>
      </c>
      <c r="B297" s="2" t="s">
        <v>57</v>
      </c>
      <c r="C297" s="2" t="s">
        <v>58</v>
      </c>
      <c r="D297" s="2" t="s">
        <v>3911</v>
      </c>
      <c r="E297" s="2" t="s">
        <v>3912</v>
      </c>
      <c r="F297" s="2" t="s">
        <v>3913</v>
      </c>
      <c r="H297" s="3" t="s">
        <v>62</v>
      </c>
      <c r="I297" s="3" t="s">
        <v>63</v>
      </c>
      <c r="J297" s="3" t="s">
        <v>62</v>
      </c>
      <c r="K297" s="3" t="s">
        <v>62</v>
      </c>
      <c r="L297" s="3" t="s">
        <v>64</v>
      </c>
      <c r="M297" s="2" t="s">
        <v>3914</v>
      </c>
      <c r="N297" s="2" t="s">
        <v>1131</v>
      </c>
      <c r="O297" s="3" t="s">
        <v>67</v>
      </c>
      <c r="Q297" s="3" t="s">
        <v>68</v>
      </c>
      <c r="R297" s="3" t="s">
        <v>69</v>
      </c>
      <c r="S297" s="2" t="s">
        <v>3915</v>
      </c>
      <c r="T297" s="3" t="s">
        <v>70</v>
      </c>
      <c r="U297" s="4">
        <v>7</v>
      </c>
      <c r="V297" s="4">
        <v>7</v>
      </c>
      <c r="W297" s="5" t="s">
        <v>1443</v>
      </c>
      <c r="X297" s="5" t="s">
        <v>1443</v>
      </c>
      <c r="Y297" s="5" t="s">
        <v>3611</v>
      </c>
      <c r="Z297" s="5" t="s">
        <v>3611</v>
      </c>
      <c r="AA297" s="4">
        <v>589</v>
      </c>
      <c r="AB297" s="4">
        <v>485</v>
      </c>
      <c r="AC297" s="4">
        <v>488</v>
      </c>
      <c r="AD297" s="4">
        <v>4</v>
      </c>
      <c r="AE297" s="4">
        <v>4</v>
      </c>
      <c r="AF297" s="4">
        <v>20</v>
      </c>
      <c r="AG297" s="4">
        <v>20</v>
      </c>
      <c r="AH297" s="4">
        <v>9</v>
      </c>
      <c r="AI297" s="4">
        <v>9</v>
      </c>
      <c r="AJ297" s="4">
        <v>4</v>
      </c>
      <c r="AK297" s="4">
        <v>4</v>
      </c>
      <c r="AL297" s="4">
        <v>11</v>
      </c>
      <c r="AM297" s="4">
        <v>11</v>
      </c>
      <c r="AN297" s="4">
        <v>2</v>
      </c>
      <c r="AO297" s="4">
        <v>2</v>
      </c>
      <c r="AP297" s="4">
        <v>0</v>
      </c>
      <c r="AQ297" s="4">
        <v>0</v>
      </c>
      <c r="AR297" s="3" t="s">
        <v>62</v>
      </c>
      <c r="AS297" s="3" t="s">
        <v>84</v>
      </c>
      <c r="AT297" s="6" t="str">
        <f>HYPERLINK("http://catalog.hathitrust.org/Record/001391211","HathiTrust Record")</f>
        <v>HathiTrust Record</v>
      </c>
      <c r="AU297" s="6" t="str">
        <f>HYPERLINK("https://creighton-primo.hosted.exlibrisgroup.com/primo-explore/search?tab=default_tab&amp;search_scope=EVERYTHING&amp;vid=01CRU&amp;lang=en_US&amp;offset=0&amp;query=any,contains,991000498979702656","Catalog Record")</f>
        <v>Catalog Record</v>
      </c>
      <c r="AV297" s="6" t="str">
        <f>HYPERLINK("http://www.worldcat.org/oclc/80922","WorldCat Record")</f>
        <v>WorldCat Record</v>
      </c>
      <c r="AW297" s="3" t="s">
        <v>3916</v>
      </c>
      <c r="AX297" s="3" t="s">
        <v>3917</v>
      </c>
      <c r="AY297" s="3" t="s">
        <v>3918</v>
      </c>
      <c r="AZ297" s="3" t="s">
        <v>3918</v>
      </c>
      <c r="BA297" s="3" t="s">
        <v>3919</v>
      </c>
      <c r="BB297" s="3" t="s">
        <v>77</v>
      </c>
      <c r="BE297" s="3" t="s">
        <v>3920</v>
      </c>
      <c r="BF297" s="3" t="s">
        <v>3921</v>
      </c>
    </row>
    <row r="298" spans="1:58" ht="41.25" customHeight="1" x14ac:dyDescent="0.25">
      <c r="A298" s="7" t="s">
        <v>62</v>
      </c>
      <c r="B298" s="2" t="s">
        <v>57</v>
      </c>
      <c r="C298" s="2" t="s">
        <v>58</v>
      </c>
      <c r="D298" s="2" t="s">
        <v>3922</v>
      </c>
      <c r="E298" s="2" t="s">
        <v>3923</v>
      </c>
      <c r="F298" s="2" t="s">
        <v>3924</v>
      </c>
      <c r="H298" s="3" t="s">
        <v>62</v>
      </c>
      <c r="I298" s="3" t="s">
        <v>63</v>
      </c>
      <c r="J298" s="3" t="s">
        <v>62</v>
      </c>
      <c r="K298" s="3" t="s">
        <v>62</v>
      </c>
      <c r="L298" s="3" t="s">
        <v>64</v>
      </c>
      <c r="M298" s="2" t="s">
        <v>3925</v>
      </c>
      <c r="N298" s="2" t="s">
        <v>3926</v>
      </c>
      <c r="O298" s="3" t="s">
        <v>404</v>
      </c>
      <c r="Q298" s="3" t="s">
        <v>68</v>
      </c>
      <c r="R298" s="3" t="s">
        <v>69</v>
      </c>
      <c r="S298" s="2" t="s">
        <v>671</v>
      </c>
      <c r="T298" s="3" t="s">
        <v>70</v>
      </c>
      <c r="U298" s="4">
        <v>4</v>
      </c>
      <c r="V298" s="4">
        <v>4</v>
      </c>
      <c r="W298" s="5" t="s">
        <v>3927</v>
      </c>
      <c r="X298" s="5" t="s">
        <v>3927</v>
      </c>
      <c r="Y298" s="5" t="s">
        <v>3611</v>
      </c>
      <c r="Z298" s="5" t="s">
        <v>3611</v>
      </c>
      <c r="AA298" s="4">
        <v>475</v>
      </c>
      <c r="AB298" s="4">
        <v>435</v>
      </c>
      <c r="AC298" s="4">
        <v>547</v>
      </c>
      <c r="AD298" s="4">
        <v>3</v>
      </c>
      <c r="AE298" s="4">
        <v>4</v>
      </c>
      <c r="AF298" s="4">
        <v>24</v>
      </c>
      <c r="AG298" s="4">
        <v>28</v>
      </c>
      <c r="AH298" s="4">
        <v>9</v>
      </c>
      <c r="AI298" s="4">
        <v>10</v>
      </c>
      <c r="AJ298" s="4">
        <v>5</v>
      </c>
      <c r="AK298" s="4">
        <v>7</v>
      </c>
      <c r="AL298" s="4">
        <v>16</v>
      </c>
      <c r="AM298" s="4">
        <v>18</v>
      </c>
      <c r="AN298" s="4">
        <v>2</v>
      </c>
      <c r="AO298" s="4">
        <v>3</v>
      </c>
      <c r="AP298" s="4">
        <v>0</v>
      </c>
      <c r="AQ298" s="4">
        <v>0</v>
      </c>
      <c r="AR298" s="3" t="s">
        <v>62</v>
      </c>
      <c r="AS298" s="3" t="s">
        <v>62</v>
      </c>
      <c r="AU298" s="6" t="str">
        <f>HYPERLINK("https://creighton-primo.hosted.exlibrisgroup.com/primo-explore/search?tab=default_tab&amp;search_scope=EVERYTHING&amp;vid=01CRU&amp;lang=en_US&amp;offset=0&amp;query=any,contains,991002394989702656","Catalog Record")</f>
        <v>Catalog Record</v>
      </c>
      <c r="AV298" s="6" t="str">
        <f>HYPERLINK("http://www.worldcat.org/oclc/334315","WorldCat Record")</f>
        <v>WorldCat Record</v>
      </c>
      <c r="AW298" s="3" t="s">
        <v>3928</v>
      </c>
      <c r="AX298" s="3" t="s">
        <v>3929</v>
      </c>
      <c r="AY298" s="3" t="s">
        <v>3930</v>
      </c>
      <c r="AZ298" s="3" t="s">
        <v>3930</v>
      </c>
      <c r="BA298" s="3" t="s">
        <v>3931</v>
      </c>
      <c r="BB298" s="3" t="s">
        <v>77</v>
      </c>
      <c r="BE298" s="3" t="s">
        <v>3932</v>
      </c>
      <c r="BF298" s="3" t="s">
        <v>3933</v>
      </c>
    </row>
    <row r="299" spans="1:58" ht="41.25" customHeight="1" x14ac:dyDescent="0.25">
      <c r="A299" s="7" t="s">
        <v>62</v>
      </c>
      <c r="B299" s="2" t="s">
        <v>57</v>
      </c>
      <c r="C299" s="2" t="s">
        <v>58</v>
      </c>
      <c r="D299" s="2" t="s">
        <v>3934</v>
      </c>
      <c r="E299" s="2" t="s">
        <v>3935</v>
      </c>
      <c r="F299" s="2" t="s">
        <v>3936</v>
      </c>
      <c r="H299" s="3" t="s">
        <v>62</v>
      </c>
      <c r="I299" s="3" t="s">
        <v>63</v>
      </c>
      <c r="J299" s="3" t="s">
        <v>62</v>
      </c>
      <c r="K299" s="3" t="s">
        <v>62</v>
      </c>
      <c r="L299" s="3" t="s">
        <v>64</v>
      </c>
      <c r="M299" s="2" t="s">
        <v>3937</v>
      </c>
      <c r="N299" s="2" t="s">
        <v>3938</v>
      </c>
      <c r="O299" s="3" t="s">
        <v>355</v>
      </c>
      <c r="Q299" s="3" t="s">
        <v>68</v>
      </c>
      <c r="R299" s="3" t="s">
        <v>138</v>
      </c>
      <c r="S299" s="2" t="s">
        <v>3939</v>
      </c>
      <c r="T299" s="3" t="s">
        <v>70</v>
      </c>
      <c r="U299" s="4">
        <v>5</v>
      </c>
      <c r="V299" s="4">
        <v>5</v>
      </c>
      <c r="W299" s="5" t="s">
        <v>3940</v>
      </c>
      <c r="X299" s="5" t="s">
        <v>3940</v>
      </c>
      <c r="Y299" s="5" t="s">
        <v>3611</v>
      </c>
      <c r="Z299" s="5" t="s">
        <v>3611</v>
      </c>
      <c r="AA299" s="4">
        <v>878</v>
      </c>
      <c r="AB299" s="4">
        <v>759</v>
      </c>
      <c r="AC299" s="4">
        <v>770</v>
      </c>
      <c r="AD299" s="4">
        <v>8</v>
      </c>
      <c r="AE299" s="4">
        <v>8</v>
      </c>
      <c r="AF299" s="4">
        <v>37</v>
      </c>
      <c r="AG299" s="4">
        <v>37</v>
      </c>
      <c r="AH299" s="4">
        <v>12</v>
      </c>
      <c r="AI299" s="4">
        <v>12</v>
      </c>
      <c r="AJ299" s="4">
        <v>7</v>
      </c>
      <c r="AK299" s="4">
        <v>7</v>
      </c>
      <c r="AL299" s="4">
        <v>23</v>
      </c>
      <c r="AM299" s="4">
        <v>23</v>
      </c>
      <c r="AN299" s="4">
        <v>5</v>
      </c>
      <c r="AO299" s="4">
        <v>5</v>
      </c>
      <c r="AP299" s="4">
        <v>0</v>
      </c>
      <c r="AQ299" s="4">
        <v>0</v>
      </c>
      <c r="AR299" s="3" t="s">
        <v>62</v>
      </c>
      <c r="AS299" s="3" t="s">
        <v>84</v>
      </c>
      <c r="AT299" s="6" t="str">
        <f>HYPERLINK("http://catalog.hathitrust.org/Record/001391222","HathiTrust Record")</f>
        <v>HathiTrust Record</v>
      </c>
      <c r="AU299" s="6" t="str">
        <f>HYPERLINK("https://creighton-primo.hosted.exlibrisgroup.com/primo-explore/search?tab=default_tab&amp;search_scope=EVERYTHING&amp;vid=01CRU&amp;lang=en_US&amp;offset=0&amp;query=any,contains,991002288709702656","Catalog Record")</f>
        <v>Catalog Record</v>
      </c>
      <c r="AV299" s="6" t="str">
        <f>HYPERLINK("http://www.worldcat.org/oclc/312381","WorldCat Record")</f>
        <v>WorldCat Record</v>
      </c>
      <c r="AW299" s="3" t="s">
        <v>3941</v>
      </c>
      <c r="AX299" s="3" t="s">
        <v>3942</v>
      </c>
      <c r="AY299" s="3" t="s">
        <v>3943</v>
      </c>
      <c r="AZ299" s="3" t="s">
        <v>3943</v>
      </c>
      <c r="BA299" s="3" t="s">
        <v>3944</v>
      </c>
      <c r="BB299" s="3" t="s">
        <v>77</v>
      </c>
      <c r="BE299" s="3" t="s">
        <v>3945</v>
      </c>
      <c r="BF299" s="3" t="s">
        <v>3946</v>
      </c>
    </row>
    <row r="300" spans="1:58" ht="41.25" customHeight="1" x14ac:dyDescent="0.25">
      <c r="A300" s="7" t="s">
        <v>62</v>
      </c>
      <c r="B300" s="2" t="s">
        <v>57</v>
      </c>
      <c r="C300" s="2" t="s">
        <v>58</v>
      </c>
      <c r="D300" s="2" t="s">
        <v>3947</v>
      </c>
      <c r="E300" s="2" t="s">
        <v>3948</v>
      </c>
      <c r="F300" s="2" t="s">
        <v>3949</v>
      </c>
      <c r="H300" s="3" t="s">
        <v>62</v>
      </c>
      <c r="I300" s="3" t="s">
        <v>63</v>
      </c>
      <c r="J300" s="3" t="s">
        <v>62</v>
      </c>
      <c r="K300" s="3" t="s">
        <v>62</v>
      </c>
      <c r="L300" s="3" t="s">
        <v>64</v>
      </c>
      <c r="M300" s="2" t="s">
        <v>3950</v>
      </c>
      <c r="N300" s="2" t="s">
        <v>3951</v>
      </c>
      <c r="O300" s="3" t="s">
        <v>1533</v>
      </c>
      <c r="Q300" s="3" t="s">
        <v>68</v>
      </c>
      <c r="R300" s="3" t="s">
        <v>219</v>
      </c>
      <c r="T300" s="3" t="s">
        <v>70</v>
      </c>
      <c r="U300" s="4">
        <v>6</v>
      </c>
      <c r="V300" s="4">
        <v>6</v>
      </c>
      <c r="W300" s="5" t="s">
        <v>3952</v>
      </c>
      <c r="X300" s="5" t="s">
        <v>3952</v>
      </c>
      <c r="Y300" s="5" t="s">
        <v>3006</v>
      </c>
      <c r="Z300" s="5" t="s">
        <v>3006</v>
      </c>
      <c r="AA300" s="4">
        <v>472</v>
      </c>
      <c r="AB300" s="4">
        <v>439</v>
      </c>
      <c r="AC300" s="4">
        <v>443</v>
      </c>
      <c r="AD300" s="4">
        <v>3</v>
      </c>
      <c r="AE300" s="4">
        <v>3</v>
      </c>
      <c r="AF300" s="4">
        <v>28</v>
      </c>
      <c r="AG300" s="4">
        <v>28</v>
      </c>
      <c r="AH300" s="4">
        <v>12</v>
      </c>
      <c r="AI300" s="4">
        <v>12</v>
      </c>
      <c r="AJ300" s="4">
        <v>7</v>
      </c>
      <c r="AK300" s="4">
        <v>7</v>
      </c>
      <c r="AL300" s="4">
        <v>18</v>
      </c>
      <c r="AM300" s="4">
        <v>18</v>
      </c>
      <c r="AN300" s="4">
        <v>2</v>
      </c>
      <c r="AO300" s="4">
        <v>2</v>
      </c>
      <c r="AP300" s="4">
        <v>0</v>
      </c>
      <c r="AQ300" s="4">
        <v>0</v>
      </c>
      <c r="AR300" s="3" t="s">
        <v>62</v>
      </c>
      <c r="AS300" s="3" t="s">
        <v>62</v>
      </c>
      <c r="AU300" s="6" t="str">
        <f>HYPERLINK("https://creighton-primo.hosted.exlibrisgroup.com/primo-explore/search?tab=default_tab&amp;search_scope=EVERYTHING&amp;vid=01CRU&amp;lang=en_US&amp;offset=0&amp;query=any,contains,991003362009702656","Catalog Record")</f>
        <v>Catalog Record</v>
      </c>
      <c r="AV300" s="6" t="str">
        <f>HYPERLINK("http://www.worldcat.org/oclc/897908","WorldCat Record")</f>
        <v>WorldCat Record</v>
      </c>
      <c r="AW300" s="3" t="s">
        <v>3953</v>
      </c>
      <c r="AX300" s="3" t="s">
        <v>3954</v>
      </c>
      <c r="AY300" s="3" t="s">
        <v>3955</v>
      </c>
      <c r="AZ300" s="3" t="s">
        <v>3955</v>
      </c>
      <c r="BA300" s="3" t="s">
        <v>3956</v>
      </c>
      <c r="BB300" s="3" t="s">
        <v>77</v>
      </c>
      <c r="BD300" s="3" t="s">
        <v>3957</v>
      </c>
      <c r="BE300" s="3" t="s">
        <v>3958</v>
      </c>
      <c r="BF300" s="3" t="s">
        <v>3959</v>
      </c>
    </row>
    <row r="301" spans="1:58" ht="41.25" customHeight="1" x14ac:dyDescent="0.25">
      <c r="A301" s="7" t="s">
        <v>62</v>
      </c>
      <c r="B301" s="2" t="s">
        <v>57</v>
      </c>
      <c r="C301" s="2" t="s">
        <v>58</v>
      </c>
      <c r="D301" s="2" t="s">
        <v>3960</v>
      </c>
      <c r="E301" s="2" t="s">
        <v>3961</v>
      </c>
      <c r="F301" s="2" t="s">
        <v>3962</v>
      </c>
      <c r="H301" s="3" t="s">
        <v>62</v>
      </c>
      <c r="I301" s="3" t="s">
        <v>63</v>
      </c>
      <c r="J301" s="3" t="s">
        <v>62</v>
      </c>
      <c r="K301" s="3" t="s">
        <v>62</v>
      </c>
      <c r="L301" s="3" t="s">
        <v>64</v>
      </c>
      <c r="M301" s="2" t="s">
        <v>3963</v>
      </c>
      <c r="N301" s="2" t="s">
        <v>3964</v>
      </c>
      <c r="O301" s="3" t="s">
        <v>1533</v>
      </c>
      <c r="Q301" s="3" t="s">
        <v>68</v>
      </c>
      <c r="R301" s="3" t="s">
        <v>69</v>
      </c>
      <c r="T301" s="3" t="s">
        <v>70</v>
      </c>
      <c r="U301" s="4">
        <v>6</v>
      </c>
      <c r="V301" s="4">
        <v>6</v>
      </c>
      <c r="W301" s="5" t="s">
        <v>2290</v>
      </c>
      <c r="X301" s="5" t="s">
        <v>2290</v>
      </c>
      <c r="Y301" s="5" t="s">
        <v>3611</v>
      </c>
      <c r="Z301" s="5" t="s">
        <v>3611</v>
      </c>
      <c r="AA301" s="4">
        <v>341</v>
      </c>
      <c r="AB301" s="4">
        <v>310</v>
      </c>
      <c r="AC301" s="4">
        <v>402</v>
      </c>
      <c r="AD301" s="4">
        <v>4</v>
      </c>
      <c r="AE301" s="4">
        <v>5</v>
      </c>
      <c r="AF301" s="4">
        <v>25</v>
      </c>
      <c r="AG301" s="4">
        <v>31</v>
      </c>
      <c r="AH301" s="4">
        <v>7</v>
      </c>
      <c r="AI301" s="4">
        <v>8</v>
      </c>
      <c r="AJ301" s="4">
        <v>4</v>
      </c>
      <c r="AK301" s="4">
        <v>5</v>
      </c>
      <c r="AL301" s="4">
        <v>21</v>
      </c>
      <c r="AM301" s="4">
        <v>24</v>
      </c>
      <c r="AN301" s="4">
        <v>3</v>
      </c>
      <c r="AO301" s="4">
        <v>4</v>
      </c>
      <c r="AP301" s="4">
        <v>0</v>
      </c>
      <c r="AQ301" s="4">
        <v>0</v>
      </c>
      <c r="AR301" s="3" t="s">
        <v>62</v>
      </c>
      <c r="AS301" s="3" t="s">
        <v>84</v>
      </c>
      <c r="AT301" s="6" t="str">
        <f>HYPERLINK("http://catalog.hathitrust.org/Record/004451489","HathiTrust Record")</f>
        <v>HathiTrust Record</v>
      </c>
      <c r="AU301" s="6" t="str">
        <f>HYPERLINK("https://creighton-primo.hosted.exlibrisgroup.com/primo-explore/search?tab=default_tab&amp;search_scope=EVERYTHING&amp;vid=01CRU&amp;lang=en_US&amp;offset=0&amp;query=any,contains,991003529599702656","Catalog Record")</f>
        <v>Catalog Record</v>
      </c>
      <c r="AV301" s="6" t="str">
        <f>HYPERLINK("http://www.worldcat.org/oclc/1093171","WorldCat Record")</f>
        <v>WorldCat Record</v>
      </c>
      <c r="AW301" s="3" t="s">
        <v>3965</v>
      </c>
      <c r="AX301" s="3" t="s">
        <v>3966</v>
      </c>
      <c r="AY301" s="3" t="s">
        <v>3967</v>
      </c>
      <c r="AZ301" s="3" t="s">
        <v>3967</v>
      </c>
      <c r="BA301" s="3" t="s">
        <v>3968</v>
      </c>
      <c r="BB301" s="3" t="s">
        <v>77</v>
      </c>
      <c r="BD301" s="3" t="s">
        <v>3969</v>
      </c>
      <c r="BE301" s="3" t="s">
        <v>3970</v>
      </c>
      <c r="BF301" s="3" t="s">
        <v>3971</v>
      </c>
    </row>
    <row r="302" spans="1:58" ht="41.25" customHeight="1" x14ac:dyDescent="0.25">
      <c r="A302" s="7" t="s">
        <v>62</v>
      </c>
      <c r="B302" s="2" t="s">
        <v>57</v>
      </c>
      <c r="C302" s="2" t="s">
        <v>58</v>
      </c>
      <c r="D302" s="2" t="s">
        <v>3972</v>
      </c>
      <c r="E302" s="2" t="s">
        <v>3973</v>
      </c>
      <c r="F302" s="2" t="s">
        <v>3974</v>
      </c>
      <c r="H302" s="3" t="s">
        <v>62</v>
      </c>
      <c r="I302" s="3" t="s">
        <v>63</v>
      </c>
      <c r="J302" s="3" t="s">
        <v>62</v>
      </c>
      <c r="K302" s="3" t="s">
        <v>62</v>
      </c>
      <c r="L302" s="3" t="s">
        <v>64</v>
      </c>
      <c r="M302" s="2" t="s">
        <v>3975</v>
      </c>
      <c r="N302" s="2" t="s">
        <v>3976</v>
      </c>
      <c r="O302" s="3" t="s">
        <v>383</v>
      </c>
      <c r="Q302" s="3" t="s">
        <v>68</v>
      </c>
      <c r="R302" s="3" t="s">
        <v>69</v>
      </c>
      <c r="T302" s="3" t="s">
        <v>70</v>
      </c>
      <c r="U302" s="4">
        <v>7</v>
      </c>
      <c r="V302" s="4">
        <v>7</v>
      </c>
      <c r="W302" s="5" t="s">
        <v>3977</v>
      </c>
      <c r="X302" s="5" t="s">
        <v>3977</v>
      </c>
      <c r="Y302" s="5" t="s">
        <v>3611</v>
      </c>
      <c r="Z302" s="5" t="s">
        <v>3611</v>
      </c>
      <c r="AA302" s="4">
        <v>658</v>
      </c>
      <c r="AB302" s="4">
        <v>578</v>
      </c>
      <c r="AC302" s="4">
        <v>592</v>
      </c>
      <c r="AD302" s="4">
        <v>3</v>
      </c>
      <c r="AE302" s="4">
        <v>3</v>
      </c>
      <c r="AF302" s="4">
        <v>40</v>
      </c>
      <c r="AG302" s="4">
        <v>40</v>
      </c>
      <c r="AH302" s="4">
        <v>16</v>
      </c>
      <c r="AI302" s="4">
        <v>16</v>
      </c>
      <c r="AJ302" s="4">
        <v>9</v>
      </c>
      <c r="AK302" s="4">
        <v>9</v>
      </c>
      <c r="AL302" s="4">
        <v>27</v>
      </c>
      <c r="AM302" s="4">
        <v>27</v>
      </c>
      <c r="AN302" s="4">
        <v>1</v>
      </c>
      <c r="AO302" s="4">
        <v>1</v>
      </c>
      <c r="AP302" s="4">
        <v>0</v>
      </c>
      <c r="AQ302" s="4">
        <v>0</v>
      </c>
      <c r="AR302" s="3" t="s">
        <v>62</v>
      </c>
      <c r="AS302" s="3" t="s">
        <v>84</v>
      </c>
      <c r="AT302" s="6" t="str">
        <f>HYPERLINK("http://catalog.hathitrust.org/Record/001921467","HathiTrust Record")</f>
        <v>HathiTrust Record</v>
      </c>
      <c r="AU302" s="6" t="str">
        <f>HYPERLINK("https://creighton-primo.hosted.exlibrisgroup.com/primo-explore/search?tab=default_tab&amp;search_scope=EVERYTHING&amp;vid=01CRU&amp;lang=en_US&amp;offset=0&amp;query=any,contains,991005438309702656","Catalog Record")</f>
        <v>Catalog Record</v>
      </c>
      <c r="AV302" s="6" t="str">
        <f>HYPERLINK("http://www.worldcat.org/oclc/5940","WorldCat Record")</f>
        <v>WorldCat Record</v>
      </c>
      <c r="AW302" s="3" t="s">
        <v>3978</v>
      </c>
      <c r="AX302" s="3" t="s">
        <v>3979</v>
      </c>
      <c r="AY302" s="3" t="s">
        <v>3980</v>
      </c>
      <c r="AZ302" s="3" t="s">
        <v>3980</v>
      </c>
      <c r="BA302" s="3" t="s">
        <v>3981</v>
      </c>
      <c r="BB302" s="3" t="s">
        <v>77</v>
      </c>
      <c r="BE302" s="3" t="s">
        <v>3982</v>
      </c>
      <c r="BF302" s="3" t="s">
        <v>3983</v>
      </c>
    </row>
    <row r="303" spans="1:58" ht="41.25" customHeight="1" x14ac:dyDescent="0.25">
      <c r="A303" s="7" t="s">
        <v>62</v>
      </c>
      <c r="B303" s="2" t="s">
        <v>57</v>
      </c>
      <c r="C303" s="2" t="s">
        <v>58</v>
      </c>
      <c r="D303" s="2" t="s">
        <v>3984</v>
      </c>
      <c r="E303" s="2" t="s">
        <v>3985</v>
      </c>
      <c r="F303" s="2" t="s">
        <v>3986</v>
      </c>
      <c r="H303" s="3" t="s">
        <v>62</v>
      </c>
      <c r="I303" s="3" t="s">
        <v>63</v>
      </c>
      <c r="J303" s="3" t="s">
        <v>62</v>
      </c>
      <c r="K303" s="3" t="s">
        <v>62</v>
      </c>
      <c r="L303" s="3" t="s">
        <v>64</v>
      </c>
      <c r="M303" s="2" t="s">
        <v>3987</v>
      </c>
      <c r="N303" s="2" t="s">
        <v>3988</v>
      </c>
      <c r="O303" s="3" t="s">
        <v>267</v>
      </c>
      <c r="P303" s="2" t="s">
        <v>268</v>
      </c>
      <c r="Q303" s="3" t="s">
        <v>68</v>
      </c>
      <c r="R303" s="3" t="s">
        <v>69</v>
      </c>
      <c r="T303" s="3" t="s">
        <v>70</v>
      </c>
      <c r="U303" s="4">
        <v>3</v>
      </c>
      <c r="V303" s="4">
        <v>3</v>
      </c>
      <c r="W303" s="5" t="s">
        <v>3989</v>
      </c>
      <c r="X303" s="5" t="s">
        <v>3989</v>
      </c>
      <c r="Y303" s="5" t="s">
        <v>3611</v>
      </c>
      <c r="Z303" s="5" t="s">
        <v>3611</v>
      </c>
      <c r="AA303" s="4">
        <v>264</v>
      </c>
      <c r="AB303" s="4">
        <v>241</v>
      </c>
      <c r="AC303" s="4">
        <v>545</v>
      </c>
      <c r="AD303" s="4">
        <v>3</v>
      </c>
      <c r="AE303" s="4">
        <v>6</v>
      </c>
      <c r="AF303" s="4">
        <v>14</v>
      </c>
      <c r="AG303" s="4">
        <v>27</v>
      </c>
      <c r="AH303" s="4">
        <v>3</v>
      </c>
      <c r="AI303" s="4">
        <v>10</v>
      </c>
      <c r="AJ303" s="4">
        <v>4</v>
      </c>
      <c r="AK303" s="4">
        <v>5</v>
      </c>
      <c r="AL303" s="4">
        <v>8</v>
      </c>
      <c r="AM303" s="4">
        <v>13</v>
      </c>
      <c r="AN303" s="4">
        <v>2</v>
      </c>
      <c r="AO303" s="4">
        <v>5</v>
      </c>
      <c r="AP303" s="4">
        <v>0</v>
      </c>
      <c r="AQ303" s="4">
        <v>0</v>
      </c>
      <c r="AR303" s="3" t="s">
        <v>62</v>
      </c>
      <c r="AS303" s="3" t="s">
        <v>84</v>
      </c>
      <c r="AT303" s="6" t="str">
        <f>HYPERLINK("http://catalog.hathitrust.org/Record/101870677","HathiTrust Record")</f>
        <v>HathiTrust Record</v>
      </c>
      <c r="AU303" s="6" t="str">
        <f>HYPERLINK("https://creighton-primo.hosted.exlibrisgroup.com/primo-explore/search?tab=default_tab&amp;search_scope=EVERYTHING&amp;vid=01CRU&amp;lang=en_US&amp;offset=0&amp;query=any,contains,991002789509702656","Catalog Record")</f>
        <v>Catalog Record</v>
      </c>
      <c r="AV303" s="6" t="str">
        <f>HYPERLINK("http://www.worldcat.org/oclc/442896","WorldCat Record")</f>
        <v>WorldCat Record</v>
      </c>
      <c r="AW303" s="3" t="s">
        <v>3990</v>
      </c>
      <c r="AX303" s="3" t="s">
        <v>3991</v>
      </c>
      <c r="AY303" s="3" t="s">
        <v>3992</v>
      </c>
      <c r="AZ303" s="3" t="s">
        <v>3992</v>
      </c>
      <c r="BA303" s="3" t="s">
        <v>3993</v>
      </c>
      <c r="BB303" s="3" t="s">
        <v>77</v>
      </c>
      <c r="BE303" s="3" t="s">
        <v>3994</v>
      </c>
      <c r="BF303" s="3" t="s">
        <v>3995</v>
      </c>
    </row>
    <row r="304" spans="1:58" ht="41.25" customHeight="1" x14ac:dyDescent="0.25">
      <c r="A304" s="7" t="s">
        <v>62</v>
      </c>
      <c r="B304" s="2" t="s">
        <v>57</v>
      </c>
      <c r="C304" s="2" t="s">
        <v>58</v>
      </c>
      <c r="D304" s="2" t="s">
        <v>3996</v>
      </c>
      <c r="E304" s="2" t="s">
        <v>3997</v>
      </c>
      <c r="F304" s="2" t="s">
        <v>3998</v>
      </c>
      <c r="H304" s="3" t="s">
        <v>62</v>
      </c>
      <c r="I304" s="3" t="s">
        <v>63</v>
      </c>
      <c r="J304" s="3" t="s">
        <v>62</v>
      </c>
      <c r="K304" s="3" t="s">
        <v>62</v>
      </c>
      <c r="L304" s="3" t="s">
        <v>64</v>
      </c>
      <c r="M304" s="2" t="s">
        <v>3999</v>
      </c>
      <c r="N304" s="2" t="s">
        <v>4000</v>
      </c>
      <c r="O304" s="3" t="s">
        <v>820</v>
      </c>
      <c r="P304" s="2" t="s">
        <v>268</v>
      </c>
      <c r="Q304" s="3" t="s">
        <v>68</v>
      </c>
      <c r="R304" s="3" t="s">
        <v>1653</v>
      </c>
      <c r="T304" s="3" t="s">
        <v>70</v>
      </c>
      <c r="U304" s="4">
        <v>2</v>
      </c>
      <c r="V304" s="4">
        <v>2</v>
      </c>
      <c r="W304" s="5" t="s">
        <v>1285</v>
      </c>
      <c r="X304" s="5" t="s">
        <v>1285</v>
      </c>
      <c r="Y304" s="5" t="s">
        <v>3611</v>
      </c>
      <c r="Z304" s="5" t="s">
        <v>3611</v>
      </c>
      <c r="AA304" s="4">
        <v>287</v>
      </c>
      <c r="AB304" s="4">
        <v>228</v>
      </c>
      <c r="AC304" s="4">
        <v>235</v>
      </c>
      <c r="AD304" s="4">
        <v>1</v>
      </c>
      <c r="AE304" s="4">
        <v>1</v>
      </c>
      <c r="AF304" s="4">
        <v>9</v>
      </c>
      <c r="AG304" s="4">
        <v>9</v>
      </c>
      <c r="AH304" s="4">
        <v>3</v>
      </c>
      <c r="AI304" s="4">
        <v>3</v>
      </c>
      <c r="AJ304" s="4">
        <v>1</v>
      </c>
      <c r="AK304" s="4">
        <v>1</v>
      </c>
      <c r="AL304" s="4">
        <v>8</v>
      </c>
      <c r="AM304" s="4">
        <v>8</v>
      </c>
      <c r="AN304" s="4">
        <v>0</v>
      </c>
      <c r="AO304" s="4">
        <v>0</v>
      </c>
      <c r="AP304" s="4">
        <v>0</v>
      </c>
      <c r="AQ304" s="4">
        <v>0</v>
      </c>
      <c r="AR304" s="3" t="s">
        <v>62</v>
      </c>
      <c r="AS304" s="3" t="s">
        <v>84</v>
      </c>
      <c r="AT304" s="6" t="str">
        <f>HYPERLINK("http://catalog.hathitrust.org/Record/000036829","HathiTrust Record")</f>
        <v>HathiTrust Record</v>
      </c>
      <c r="AU304" s="6" t="str">
        <f>HYPERLINK("https://creighton-primo.hosted.exlibrisgroup.com/primo-explore/search?tab=default_tab&amp;search_scope=EVERYTHING&amp;vid=01CRU&amp;lang=en_US&amp;offset=0&amp;query=any,contains,991003565539702656","Catalog Record")</f>
        <v>Catalog Record</v>
      </c>
      <c r="AV304" s="6" t="str">
        <f>HYPERLINK("http://www.worldcat.org/oclc/1138004","WorldCat Record")</f>
        <v>WorldCat Record</v>
      </c>
      <c r="AW304" s="3" t="s">
        <v>4001</v>
      </c>
      <c r="AX304" s="3" t="s">
        <v>4002</v>
      </c>
      <c r="AY304" s="3" t="s">
        <v>4003</v>
      </c>
      <c r="AZ304" s="3" t="s">
        <v>4003</v>
      </c>
      <c r="BA304" s="3" t="s">
        <v>4004</v>
      </c>
      <c r="BB304" s="3" t="s">
        <v>77</v>
      </c>
      <c r="BD304" s="3" t="s">
        <v>4005</v>
      </c>
      <c r="BE304" s="3" t="s">
        <v>4006</v>
      </c>
      <c r="BF304" s="3" t="s">
        <v>4007</v>
      </c>
    </row>
    <row r="305" spans="1:58" ht="41.25" customHeight="1" x14ac:dyDescent="0.25">
      <c r="A305" s="7" t="s">
        <v>62</v>
      </c>
      <c r="B305" s="2" t="s">
        <v>57</v>
      </c>
      <c r="C305" s="2" t="s">
        <v>58</v>
      </c>
      <c r="D305" s="2" t="s">
        <v>4008</v>
      </c>
      <c r="E305" s="2" t="s">
        <v>4009</v>
      </c>
      <c r="F305" s="2" t="s">
        <v>4010</v>
      </c>
      <c r="H305" s="3" t="s">
        <v>62</v>
      </c>
      <c r="I305" s="3" t="s">
        <v>63</v>
      </c>
      <c r="J305" s="3" t="s">
        <v>62</v>
      </c>
      <c r="K305" s="3" t="s">
        <v>62</v>
      </c>
      <c r="L305" s="3" t="s">
        <v>64</v>
      </c>
      <c r="M305" s="2" t="s">
        <v>4011</v>
      </c>
      <c r="N305" s="2" t="s">
        <v>4012</v>
      </c>
      <c r="O305" s="3" t="s">
        <v>355</v>
      </c>
      <c r="Q305" s="3" t="s">
        <v>68</v>
      </c>
      <c r="R305" s="3" t="s">
        <v>88</v>
      </c>
      <c r="T305" s="3" t="s">
        <v>70</v>
      </c>
      <c r="U305" s="4">
        <v>1</v>
      </c>
      <c r="V305" s="4">
        <v>1</v>
      </c>
      <c r="W305" s="5" t="s">
        <v>4013</v>
      </c>
      <c r="X305" s="5" t="s">
        <v>4013</v>
      </c>
      <c r="Y305" s="5" t="s">
        <v>3611</v>
      </c>
      <c r="Z305" s="5" t="s">
        <v>3611</v>
      </c>
      <c r="AA305" s="4">
        <v>523</v>
      </c>
      <c r="AB305" s="4">
        <v>437</v>
      </c>
      <c r="AC305" s="4">
        <v>444</v>
      </c>
      <c r="AD305" s="4">
        <v>4</v>
      </c>
      <c r="AE305" s="4">
        <v>4</v>
      </c>
      <c r="AF305" s="4">
        <v>21</v>
      </c>
      <c r="AG305" s="4">
        <v>21</v>
      </c>
      <c r="AH305" s="4">
        <v>7</v>
      </c>
      <c r="AI305" s="4">
        <v>7</v>
      </c>
      <c r="AJ305" s="4">
        <v>4</v>
      </c>
      <c r="AK305" s="4">
        <v>4</v>
      </c>
      <c r="AL305" s="4">
        <v>15</v>
      </c>
      <c r="AM305" s="4">
        <v>15</v>
      </c>
      <c r="AN305" s="4">
        <v>2</v>
      </c>
      <c r="AO305" s="4">
        <v>2</v>
      </c>
      <c r="AP305" s="4">
        <v>0</v>
      </c>
      <c r="AQ305" s="4">
        <v>0</v>
      </c>
      <c r="AR305" s="3" t="s">
        <v>62</v>
      </c>
      <c r="AS305" s="3" t="s">
        <v>84</v>
      </c>
      <c r="AT305" s="6" t="str">
        <f>HYPERLINK("http://catalog.hathitrust.org/Record/001391233","HathiTrust Record")</f>
        <v>HathiTrust Record</v>
      </c>
      <c r="AU305" s="6" t="str">
        <f>HYPERLINK("https://creighton-primo.hosted.exlibrisgroup.com/primo-explore/search?tab=default_tab&amp;search_scope=EVERYTHING&amp;vid=01CRU&amp;lang=en_US&amp;offset=0&amp;query=any,contains,991003268659702656","Catalog Record")</f>
        <v>Catalog Record</v>
      </c>
      <c r="AV305" s="6" t="str">
        <f>HYPERLINK("http://www.worldcat.org/oclc/6567091","WorldCat Record")</f>
        <v>WorldCat Record</v>
      </c>
      <c r="AW305" s="3" t="s">
        <v>4014</v>
      </c>
      <c r="AX305" s="3" t="s">
        <v>4015</v>
      </c>
      <c r="AY305" s="3" t="s">
        <v>4016</v>
      </c>
      <c r="AZ305" s="3" t="s">
        <v>4016</v>
      </c>
      <c r="BA305" s="3" t="s">
        <v>4017</v>
      </c>
      <c r="BB305" s="3" t="s">
        <v>77</v>
      </c>
      <c r="BE305" s="3" t="s">
        <v>4018</v>
      </c>
      <c r="BF305" s="3" t="s">
        <v>4019</v>
      </c>
    </row>
    <row r="306" spans="1:58" ht="41.25" customHeight="1" x14ac:dyDescent="0.25">
      <c r="A306" s="7" t="s">
        <v>62</v>
      </c>
      <c r="B306" s="2" t="s">
        <v>57</v>
      </c>
      <c r="C306" s="2" t="s">
        <v>58</v>
      </c>
      <c r="D306" s="2" t="s">
        <v>4020</v>
      </c>
      <c r="E306" s="2" t="s">
        <v>4021</v>
      </c>
      <c r="F306" s="2" t="s">
        <v>4022</v>
      </c>
      <c r="H306" s="3" t="s">
        <v>62</v>
      </c>
      <c r="I306" s="3" t="s">
        <v>63</v>
      </c>
      <c r="J306" s="3" t="s">
        <v>62</v>
      </c>
      <c r="K306" s="3" t="s">
        <v>62</v>
      </c>
      <c r="L306" s="3" t="s">
        <v>64</v>
      </c>
      <c r="M306" s="2" t="s">
        <v>4023</v>
      </c>
      <c r="N306" s="2" t="s">
        <v>4024</v>
      </c>
      <c r="O306" s="3" t="s">
        <v>355</v>
      </c>
      <c r="Q306" s="3" t="s">
        <v>68</v>
      </c>
      <c r="R306" s="3" t="s">
        <v>69</v>
      </c>
      <c r="T306" s="3" t="s">
        <v>70</v>
      </c>
      <c r="U306" s="4">
        <v>1</v>
      </c>
      <c r="V306" s="4">
        <v>1</v>
      </c>
      <c r="W306" s="5" t="s">
        <v>4025</v>
      </c>
      <c r="X306" s="5" t="s">
        <v>4025</v>
      </c>
      <c r="Y306" s="5" t="s">
        <v>3611</v>
      </c>
      <c r="Z306" s="5" t="s">
        <v>3611</v>
      </c>
      <c r="AA306" s="4">
        <v>868</v>
      </c>
      <c r="AB306" s="4">
        <v>756</v>
      </c>
      <c r="AC306" s="4">
        <v>1041</v>
      </c>
      <c r="AD306" s="4">
        <v>6</v>
      </c>
      <c r="AE306" s="4">
        <v>9</v>
      </c>
      <c r="AF306" s="4">
        <v>32</v>
      </c>
      <c r="AG306" s="4">
        <v>46</v>
      </c>
      <c r="AH306" s="4">
        <v>12</v>
      </c>
      <c r="AI306" s="4">
        <v>18</v>
      </c>
      <c r="AJ306" s="4">
        <v>4</v>
      </c>
      <c r="AK306" s="4">
        <v>8</v>
      </c>
      <c r="AL306" s="4">
        <v>20</v>
      </c>
      <c r="AM306" s="4">
        <v>22</v>
      </c>
      <c r="AN306" s="4">
        <v>4</v>
      </c>
      <c r="AO306" s="4">
        <v>7</v>
      </c>
      <c r="AP306" s="4">
        <v>0</v>
      </c>
      <c r="AQ306" s="4">
        <v>1</v>
      </c>
      <c r="AR306" s="3" t="s">
        <v>62</v>
      </c>
      <c r="AS306" s="3" t="s">
        <v>84</v>
      </c>
      <c r="AT306" s="6" t="str">
        <f>HYPERLINK("http://catalog.hathitrust.org/Record/001391235","HathiTrust Record")</f>
        <v>HathiTrust Record</v>
      </c>
      <c r="AU306" s="6" t="str">
        <f>HYPERLINK("https://creighton-primo.hosted.exlibrisgroup.com/primo-explore/search?tab=default_tab&amp;search_scope=EVERYTHING&amp;vid=01CRU&amp;lang=en_US&amp;offset=0&amp;query=any,contains,991002326129702656","Catalog Record")</f>
        <v>Catalog Record</v>
      </c>
      <c r="AV306" s="6" t="str">
        <f>HYPERLINK("http://www.worldcat.org/oclc/320918","WorldCat Record")</f>
        <v>WorldCat Record</v>
      </c>
      <c r="AW306" s="3" t="s">
        <v>4026</v>
      </c>
      <c r="AX306" s="3" t="s">
        <v>4027</v>
      </c>
      <c r="AY306" s="3" t="s">
        <v>4028</v>
      </c>
      <c r="AZ306" s="3" t="s">
        <v>4028</v>
      </c>
      <c r="BA306" s="3" t="s">
        <v>4029</v>
      </c>
      <c r="BB306" s="3" t="s">
        <v>77</v>
      </c>
      <c r="BE306" s="3" t="s">
        <v>4030</v>
      </c>
      <c r="BF306" s="3" t="s">
        <v>4031</v>
      </c>
    </row>
    <row r="307" spans="1:58" ht="41.25" customHeight="1" x14ac:dyDescent="0.25">
      <c r="A307" s="7" t="s">
        <v>62</v>
      </c>
      <c r="B307" s="2" t="s">
        <v>57</v>
      </c>
      <c r="C307" s="2" t="s">
        <v>58</v>
      </c>
      <c r="D307" s="2" t="s">
        <v>4032</v>
      </c>
      <c r="E307" s="2" t="s">
        <v>4033</v>
      </c>
      <c r="F307" s="2" t="s">
        <v>4034</v>
      </c>
      <c r="H307" s="3" t="s">
        <v>62</v>
      </c>
      <c r="I307" s="3" t="s">
        <v>63</v>
      </c>
      <c r="J307" s="3" t="s">
        <v>62</v>
      </c>
      <c r="K307" s="3" t="s">
        <v>62</v>
      </c>
      <c r="L307" s="3" t="s">
        <v>64</v>
      </c>
      <c r="M307" s="2" t="s">
        <v>4035</v>
      </c>
      <c r="N307" s="2" t="s">
        <v>4036</v>
      </c>
      <c r="O307" s="3" t="s">
        <v>516</v>
      </c>
      <c r="Q307" s="3" t="s">
        <v>68</v>
      </c>
      <c r="R307" s="3" t="s">
        <v>69</v>
      </c>
      <c r="S307" s="2" t="s">
        <v>4037</v>
      </c>
      <c r="T307" s="3" t="s">
        <v>70</v>
      </c>
      <c r="U307" s="4">
        <v>2</v>
      </c>
      <c r="V307" s="4">
        <v>2</v>
      </c>
      <c r="W307" s="5" t="s">
        <v>2290</v>
      </c>
      <c r="X307" s="5" t="s">
        <v>2290</v>
      </c>
      <c r="Y307" s="5" t="s">
        <v>3611</v>
      </c>
      <c r="Z307" s="5" t="s">
        <v>3611</v>
      </c>
      <c r="AA307" s="4">
        <v>120</v>
      </c>
      <c r="AB307" s="4">
        <v>72</v>
      </c>
      <c r="AC307" s="4">
        <v>748</v>
      </c>
      <c r="AD307" s="4">
        <v>1</v>
      </c>
      <c r="AE307" s="4">
        <v>4</v>
      </c>
      <c r="AF307" s="4">
        <v>4</v>
      </c>
      <c r="AG307" s="4">
        <v>35</v>
      </c>
      <c r="AH307" s="4">
        <v>2</v>
      </c>
      <c r="AI307" s="4">
        <v>16</v>
      </c>
      <c r="AJ307" s="4">
        <v>1</v>
      </c>
      <c r="AK307" s="4">
        <v>9</v>
      </c>
      <c r="AL307" s="4">
        <v>3</v>
      </c>
      <c r="AM307" s="4">
        <v>19</v>
      </c>
      <c r="AN307" s="4">
        <v>0</v>
      </c>
      <c r="AO307" s="4">
        <v>3</v>
      </c>
      <c r="AP307" s="4">
        <v>0</v>
      </c>
      <c r="AQ307" s="4">
        <v>0</v>
      </c>
      <c r="AR307" s="3" t="s">
        <v>62</v>
      </c>
      <c r="AS307" s="3" t="s">
        <v>62</v>
      </c>
      <c r="AU307" s="6" t="str">
        <f>HYPERLINK("https://creighton-primo.hosted.exlibrisgroup.com/primo-explore/search?tab=default_tab&amp;search_scope=EVERYTHING&amp;vid=01CRU&amp;lang=en_US&amp;offset=0&amp;query=any,contains,991004711939702656","Catalog Record")</f>
        <v>Catalog Record</v>
      </c>
      <c r="AV307" s="6" t="str">
        <f>HYPERLINK("http://www.worldcat.org/oclc/4773421","WorldCat Record")</f>
        <v>WorldCat Record</v>
      </c>
      <c r="AW307" s="3" t="s">
        <v>4038</v>
      </c>
      <c r="AX307" s="3" t="s">
        <v>4039</v>
      </c>
      <c r="AY307" s="3" t="s">
        <v>4040</v>
      </c>
      <c r="AZ307" s="3" t="s">
        <v>4040</v>
      </c>
      <c r="BA307" s="3" t="s">
        <v>4041</v>
      </c>
      <c r="BB307" s="3" t="s">
        <v>77</v>
      </c>
      <c r="BE307" s="3" t="s">
        <v>4042</v>
      </c>
      <c r="BF307" s="3" t="s">
        <v>4043</v>
      </c>
    </row>
    <row r="308" spans="1:58" ht="41.25" customHeight="1" x14ac:dyDescent="0.25">
      <c r="A308" s="7" t="s">
        <v>62</v>
      </c>
      <c r="B308" s="2" t="s">
        <v>57</v>
      </c>
      <c r="C308" s="2" t="s">
        <v>58</v>
      </c>
      <c r="D308" s="2" t="s">
        <v>4044</v>
      </c>
      <c r="E308" s="2" t="s">
        <v>4045</v>
      </c>
      <c r="F308" s="2" t="s">
        <v>4046</v>
      </c>
      <c r="H308" s="3" t="s">
        <v>62</v>
      </c>
      <c r="I308" s="3" t="s">
        <v>63</v>
      </c>
      <c r="J308" s="3" t="s">
        <v>62</v>
      </c>
      <c r="K308" s="3" t="s">
        <v>62</v>
      </c>
      <c r="L308" s="3" t="s">
        <v>64</v>
      </c>
      <c r="M308" s="2" t="s">
        <v>4047</v>
      </c>
      <c r="N308" s="2" t="s">
        <v>4048</v>
      </c>
      <c r="O308" s="3" t="s">
        <v>67</v>
      </c>
      <c r="Q308" s="3" t="s">
        <v>68</v>
      </c>
      <c r="R308" s="3" t="s">
        <v>69</v>
      </c>
      <c r="T308" s="3" t="s">
        <v>70</v>
      </c>
      <c r="U308" s="4">
        <v>1</v>
      </c>
      <c r="V308" s="4">
        <v>1</v>
      </c>
      <c r="W308" s="5" t="s">
        <v>4049</v>
      </c>
      <c r="X308" s="5" t="s">
        <v>4049</v>
      </c>
      <c r="Y308" s="5" t="s">
        <v>3611</v>
      </c>
      <c r="Z308" s="5" t="s">
        <v>3611</v>
      </c>
      <c r="AA308" s="4">
        <v>389</v>
      </c>
      <c r="AB308" s="4">
        <v>362</v>
      </c>
      <c r="AC308" s="4">
        <v>420</v>
      </c>
      <c r="AD308" s="4">
        <v>4</v>
      </c>
      <c r="AE308" s="4">
        <v>4</v>
      </c>
      <c r="AF308" s="4">
        <v>24</v>
      </c>
      <c r="AG308" s="4">
        <v>27</v>
      </c>
      <c r="AH308" s="4">
        <v>9</v>
      </c>
      <c r="AI308" s="4">
        <v>9</v>
      </c>
      <c r="AJ308" s="4">
        <v>5</v>
      </c>
      <c r="AK308" s="4">
        <v>7</v>
      </c>
      <c r="AL308" s="4">
        <v>14</v>
      </c>
      <c r="AM308" s="4">
        <v>17</v>
      </c>
      <c r="AN308" s="4">
        <v>3</v>
      </c>
      <c r="AO308" s="4">
        <v>3</v>
      </c>
      <c r="AP308" s="4">
        <v>0</v>
      </c>
      <c r="AQ308" s="4">
        <v>0</v>
      </c>
      <c r="AR308" s="3" t="s">
        <v>62</v>
      </c>
      <c r="AS308" s="3" t="s">
        <v>84</v>
      </c>
      <c r="AT308" s="6" t="str">
        <f>HYPERLINK("http://catalog.hathitrust.org/Record/001391243","HathiTrust Record")</f>
        <v>HathiTrust Record</v>
      </c>
      <c r="AU308" s="6" t="str">
        <f>HYPERLINK("https://creighton-primo.hosted.exlibrisgroup.com/primo-explore/search?tab=default_tab&amp;search_scope=EVERYTHING&amp;vid=01CRU&amp;lang=en_US&amp;offset=0&amp;query=any,contains,991000597019702656","Catalog Record")</f>
        <v>Catalog Record</v>
      </c>
      <c r="AV308" s="6" t="str">
        <f>HYPERLINK("http://www.worldcat.org/oclc/97329","WorldCat Record")</f>
        <v>WorldCat Record</v>
      </c>
      <c r="AW308" s="3" t="s">
        <v>4050</v>
      </c>
      <c r="AX308" s="3" t="s">
        <v>4051</v>
      </c>
      <c r="AY308" s="3" t="s">
        <v>4052</v>
      </c>
      <c r="AZ308" s="3" t="s">
        <v>4052</v>
      </c>
      <c r="BA308" s="3" t="s">
        <v>4053</v>
      </c>
      <c r="BB308" s="3" t="s">
        <v>77</v>
      </c>
      <c r="BD308" s="3" t="s">
        <v>4054</v>
      </c>
      <c r="BE308" s="3" t="s">
        <v>4055</v>
      </c>
      <c r="BF308" s="3" t="s">
        <v>4056</v>
      </c>
    </row>
    <row r="309" spans="1:58" ht="41.25" customHeight="1" x14ac:dyDescent="0.25">
      <c r="A309" s="7" t="s">
        <v>62</v>
      </c>
      <c r="B309" s="2" t="s">
        <v>57</v>
      </c>
      <c r="C309" s="2" t="s">
        <v>58</v>
      </c>
      <c r="D309" s="2" t="s">
        <v>4057</v>
      </c>
      <c r="E309" s="2" t="s">
        <v>4058</v>
      </c>
      <c r="F309" s="2" t="s">
        <v>4059</v>
      </c>
      <c r="H309" s="3" t="s">
        <v>62</v>
      </c>
      <c r="I309" s="3" t="s">
        <v>63</v>
      </c>
      <c r="J309" s="3" t="s">
        <v>62</v>
      </c>
      <c r="K309" s="3" t="s">
        <v>62</v>
      </c>
      <c r="L309" s="3" t="s">
        <v>64</v>
      </c>
      <c r="N309" s="2" t="s">
        <v>4060</v>
      </c>
      <c r="O309" s="3" t="s">
        <v>4061</v>
      </c>
      <c r="Q309" s="3" t="s">
        <v>68</v>
      </c>
      <c r="R309" s="3" t="s">
        <v>1144</v>
      </c>
      <c r="S309" s="2" t="s">
        <v>4062</v>
      </c>
      <c r="T309" s="3" t="s">
        <v>70</v>
      </c>
      <c r="U309" s="4">
        <v>5</v>
      </c>
      <c r="V309" s="4">
        <v>5</v>
      </c>
      <c r="W309" s="5" t="s">
        <v>4063</v>
      </c>
      <c r="X309" s="5" t="s">
        <v>4063</v>
      </c>
      <c r="Y309" s="5" t="s">
        <v>4064</v>
      </c>
      <c r="Z309" s="5" t="s">
        <v>4064</v>
      </c>
      <c r="AA309" s="4">
        <v>253</v>
      </c>
      <c r="AB309" s="4">
        <v>212</v>
      </c>
      <c r="AC309" s="4">
        <v>213</v>
      </c>
      <c r="AD309" s="4">
        <v>2</v>
      </c>
      <c r="AE309" s="4">
        <v>2</v>
      </c>
      <c r="AF309" s="4">
        <v>12</v>
      </c>
      <c r="AG309" s="4">
        <v>12</v>
      </c>
      <c r="AH309" s="4">
        <v>2</v>
      </c>
      <c r="AI309" s="4">
        <v>2</v>
      </c>
      <c r="AJ309" s="4">
        <v>5</v>
      </c>
      <c r="AK309" s="4">
        <v>5</v>
      </c>
      <c r="AL309" s="4">
        <v>6</v>
      </c>
      <c r="AM309" s="4">
        <v>6</v>
      </c>
      <c r="AN309" s="4">
        <v>1</v>
      </c>
      <c r="AO309" s="4">
        <v>1</v>
      </c>
      <c r="AP309" s="4">
        <v>0</v>
      </c>
      <c r="AQ309" s="4">
        <v>0</v>
      </c>
      <c r="AR309" s="3" t="s">
        <v>62</v>
      </c>
      <c r="AS309" s="3" t="s">
        <v>84</v>
      </c>
      <c r="AT309" s="6" t="str">
        <f>HYPERLINK("http://catalog.hathitrust.org/Record/003165198","HathiTrust Record")</f>
        <v>HathiTrust Record</v>
      </c>
      <c r="AU309" s="6" t="str">
        <f>HYPERLINK("https://creighton-primo.hosted.exlibrisgroup.com/primo-explore/search?tab=default_tab&amp;search_scope=EVERYTHING&amp;vid=01CRU&amp;lang=en_US&amp;offset=0&amp;query=any,contains,991002682689702656","Catalog Record")</f>
        <v>Catalog Record</v>
      </c>
      <c r="AV309" s="6" t="str">
        <f>HYPERLINK("http://www.worldcat.org/oclc/35049591","WorldCat Record")</f>
        <v>WorldCat Record</v>
      </c>
      <c r="AW309" s="3" t="s">
        <v>4065</v>
      </c>
      <c r="AX309" s="3" t="s">
        <v>4066</v>
      </c>
      <c r="AY309" s="3" t="s">
        <v>4067</v>
      </c>
      <c r="AZ309" s="3" t="s">
        <v>4067</v>
      </c>
      <c r="BA309" s="3" t="s">
        <v>4068</v>
      </c>
      <c r="BB309" s="3" t="s">
        <v>77</v>
      </c>
      <c r="BD309" s="3" t="s">
        <v>4069</v>
      </c>
      <c r="BE309" s="3" t="s">
        <v>4070</v>
      </c>
      <c r="BF309" s="3" t="s">
        <v>4071</v>
      </c>
    </row>
    <row r="310" spans="1:58" ht="41.25" customHeight="1" x14ac:dyDescent="0.25">
      <c r="A310" s="7" t="s">
        <v>62</v>
      </c>
      <c r="B310" s="2" t="s">
        <v>57</v>
      </c>
      <c r="C310" s="2" t="s">
        <v>58</v>
      </c>
      <c r="D310" s="2" t="s">
        <v>4072</v>
      </c>
      <c r="E310" s="2" t="s">
        <v>4073</v>
      </c>
      <c r="F310" s="2" t="s">
        <v>4074</v>
      </c>
      <c r="H310" s="3" t="s">
        <v>62</v>
      </c>
      <c r="I310" s="3" t="s">
        <v>63</v>
      </c>
      <c r="J310" s="3" t="s">
        <v>62</v>
      </c>
      <c r="K310" s="3" t="s">
        <v>62</v>
      </c>
      <c r="L310" s="3" t="s">
        <v>64</v>
      </c>
      <c r="M310" s="2" t="s">
        <v>4075</v>
      </c>
      <c r="N310" s="2" t="s">
        <v>4076</v>
      </c>
      <c r="O310" s="3" t="s">
        <v>295</v>
      </c>
      <c r="Q310" s="3" t="s">
        <v>68</v>
      </c>
      <c r="R310" s="3" t="s">
        <v>297</v>
      </c>
      <c r="T310" s="3" t="s">
        <v>70</v>
      </c>
      <c r="U310" s="4">
        <v>4</v>
      </c>
      <c r="V310" s="4">
        <v>4</v>
      </c>
      <c r="W310" s="5" t="s">
        <v>4077</v>
      </c>
      <c r="X310" s="5" t="s">
        <v>4077</v>
      </c>
      <c r="Y310" s="5" t="s">
        <v>3332</v>
      </c>
      <c r="Z310" s="5" t="s">
        <v>3332</v>
      </c>
      <c r="AA310" s="4">
        <v>439</v>
      </c>
      <c r="AB310" s="4">
        <v>327</v>
      </c>
      <c r="AC310" s="4">
        <v>373</v>
      </c>
      <c r="AD310" s="4">
        <v>2</v>
      </c>
      <c r="AE310" s="4">
        <v>2</v>
      </c>
      <c r="AF310" s="4">
        <v>19</v>
      </c>
      <c r="AG310" s="4">
        <v>24</v>
      </c>
      <c r="AH310" s="4">
        <v>7</v>
      </c>
      <c r="AI310" s="4">
        <v>9</v>
      </c>
      <c r="AJ310" s="4">
        <v>5</v>
      </c>
      <c r="AK310" s="4">
        <v>7</v>
      </c>
      <c r="AL310" s="4">
        <v>13</v>
      </c>
      <c r="AM310" s="4">
        <v>14</v>
      </c>
      <c r="AN310" s="4">
        <v>1</v>
      </c>
      <c r="AO310" s="4">
        <v>1</v>
      </c>
      <c r="AP310" s="4">
        <v>0</v>
      </c>
      <c r="AQ310" s="4">
        <v>1</v>
      </c>
      <c r="AR310" s="3" t="s">
        <v>62</v>
      </c>
      <c r="AS310" s="3" t="s">
        <v>84</v>
      </c>
      <c r="AT310" s="6" t="str">
        <f>HYPERLINK("http://catalog.hathitrust.org/Record/001538098","HathiTrust Record")</f>
        <v>HathiTrust Record</v>
      </c>
      <c r="AU310" s="6" t="str">
        <f>HYPERLINK("https://creighton-primo.hosted.exlibrisgroup.com/primo-explore/search?tab=default_tab&amp;search_scope=EVERYTHING&amp;vid=01CRU&amp;lang=en_US&amp;offset=0&amp;query=any,contains,991001414689702656","Catalog Record")</f>
        <v>Catalog Record</v>
      </c>
      <c r="AV310" s="6" t="str">
        <f>HYPERLINK("http://www.worldcat.org/oclc/18947562","WorldCat Record")</f>
        <v>WorldCat Record</v>
      </c>
      <c r="AW310" s="3" t="s">
        <v>4078</v>
      </c>
      <c r="AX310" s="3" t="s">
        <v>4079</v>
      </c>
      <c r="AY310" s="3" t="s">
        <v>4080</v>
      </c>
      <c r="AZ310" s="3" t="s">
        <v>4080</v>
      </c>
      <c r="BA310" s="3" t="s">
        <v>4081</v>
      </c>
      <c r="BB310" s="3" t="s">
        <v>77</v>
      </c>
      <c r="BD310" s="3" t="s">
        <v>4082</v>
      </c>
      <c r="BE310" s="3" t="s">
        <v>4083</v>
      </c>
      <c r="BF310" s="3" t="s">
        <v>4084</v>
      </c>
    </row>
    <row r="311" spans="1:58" ht="41.25" customHeight="1" x14ac:dyDescent="0.25">
      <c r="A311" s="7" t="s">
        <v>62</v>
      </c>
      <c r="B311" s="2" t="s">
        <v>57</v>
      </c>
      <c r="C311" s="2" t="s">
        <v>58</v>
      </c>
      <c r="D311" s="2" t="s">
        <v>4085</v>
      </c>
      <c r="E311" s="2" t="s">
        <v>4086</v>
      </c>
      <c r="F311" s="2" t="s">
        <v>4087</v>
      </c>
      <c r="H311" s="3" t="s">
        <v>62</v>
      </c>
      <c r="I311" s="3" t="s">
        <v>63</v>
      </c>
      <c r="J311" s="3" t="s">
        <v>62</v>
      </c>
      <c r="K311" s="3" t="s">
        <v>62</v>
      </c>
      <c r="L311" s="3" t="s">
        <v>64</v>
      </c>
      <c r="M311" s="2" t="s">
        <v>4088</v>
      </c>
      <c r="N311" s="2" t="s">
        <v>4089</v>
      </c>
      <c r="O311" s="3" t="s">
        <v>516</v>
      </c>
      <c r="Q311" s="3" t="s">
        <v>68</v>
      </c>
      <c r="R311" s="3" t="s">
        <v>297</v>
      </c>
      <c r="S311" s="2" t="s">
        <v>4090</v>
      </c>
      <c r="T311" s="3" t="s">
        <v>70</v>
      </c>
      <c r="U311" s="4">
        <v>3</v>
      </c>
      <c r="V311" s="4">
        <v>3</v>
      </c>
      <c r="W311" s="5" t="s">
        <v>4063</v>
      </c>
      <c r="X311" s="5" t="s">
        <v>4063</v>
      </c>
      <c r="Y311" s="5" t="s">
        <v>3611</v>
      </c>
      <c r="Z311" s="5" t="s">
        <v>3611</v>
      </c>
      <c r="AA311" s="4">
        <v>235</v>
      </c>
      <c r="AB311" s="4">
        <v>153</v>
      </c>
      <c r="AC311" s="4">
        <v>155</v>
      </c>
      <c r="AD311" s="4">
        <v>2</v>
      </c>
      <c r="AE311" s="4">
        <v>2</v>
      </c>
      <c r="AF311" s="4">
        <v>6</v>
      </c>
      <c r="AG311" s="4">
        <v>6</v>
      </c>
      <c r="AH311" s="4">
        <v>0</v>
      </c>
      <c r="AI311" s="4">
        <v>0</v>
      </c>
      <c r="AJ311" s="4">
        <v>1</v>
      </c>
      <c r="AK311" s="4">
        <v>1</v>
      </c>
      <c r="AL311" s="4">
        <v>5</v>
      </c>
      <c r="AM311" s="4">
        <v>5</v>
      </c>
      <c r="AN311" s="4">
        <v>1</v>
      </c>
      <c r="AO311" s="4">
        <v>1</v>
      </c>
      <c r="AP311" s="4">
        <v>0</v>
      </c>
      <c r="AQ311" s="4">
        <v>0</v>
      </c>
      <c r="AR311" s="3" t="s">
        <v>62</v>
      </c>
      <c r="AS311" s="3" t="s">
        <v>84</v>
      </c>
      <c r="AT311" s="6" t="str">
        <f>HYPERLINK("http://catalog.hathitrust.org/Record/006501229","HathiTrust Record")</f>
        <v>HathiTrust Record</v>
      </c>
      <c r="AU311" s="6" t="str">
        <f>HYPERLINK("https://creighton-primo.hosted.exlibrisgroup.com/primo-explore/search?tab=default_tab&amp;search_scope=EVERYTHING&amp;vid=01CRU&amp;lang=en_US&amp;offset=0&amp;query=any,contains,991003051139702656","Catalog Record")</f>
        <v>Catalog Record</v>
      </c>
      <c r="AV311" s="6" t="str">
        <f>HYPERLINK("http://www.worldcat.org/oclc/610832","WorldCat Record")</f>
        <v>WorldCat Record</v>
      </c>
      <c r="AW311" s="3" t="s">
        <v>4091</v>
      </c>
      <c r="AX311" s="3" t="s">
        <v>4092</v>
      </c>
      <c r="AY311" s="3" t="s">
        <v>4093</v>
      </c>
      <c r="AZ311" s="3" t="s">
        <v>4093</v>
      </c>
      <c r="BA311" s="3" t="s">
        <v>4094</v>
      </c>
      <c r="BB311" s="3" t="s">
        <v>77</v>
      </c>
      <c r="BE311" s="3" t="s">
        <v>4095</v>
      </c>
      <c r="BF311" s="3" t="s">
        <v>4096</v>
      </c>
    </row>
    <row r="312" spans="1:58" ht="41.25" customHeight="1" x14ac:dyDescent="0.25">
      <c r="A312" s="7" t="s">
        <v>62</v>
      </c>
      <c r="B312" s="2" t="s">
        <v>57</v>
      </c>
      <c r="C312" s="2" t="s">
        <v>58</v>
      </c>
      <c r="D312" s="2" t="s">
        <v>4097</v>
      </c>
      <c r="E312" s="2" t="s">
        <v>4098</v>
      </c>
      <c r="F312" s="2" t="s">
        <v>4099</v>
      </c>
      <c r="H312" s="3" t="s">
        <v>62</v>
      </c>
      <c r="I312" s="3" t="s">
        <v>63</v>
      </c>
      <c r="J312" s="3" t="s">
        <v>62</v>
      </c>
      <c r="K312" s="3" t="s">
        <v>62</v>
      </c>
      <c r="L312" s="3" t="s">
        <v>64</v>
      </c>
      <c r="M312" s="2" t="s">
        <v>4100</v>
      </c>
      <c r="N312" s="2" t="s">
        <v>4101</v>
      </c>
      <c r="O312" s="3" t="s">
        <v>820</v>
      </c>
      <c r="Q312" s="3" t="s">
        <v>68</v>
      </c>
      <c r="R312" s="3" t="s">
        <v>1653</v>
      </c>
      <c r="T312" s="3" t="s">
        <v>70</v>
      </c>
      <c r="U312" s="4">
        <v>1</v>
      </c>
      <c r="V312" s="4">
        <v>1</v>
      </c>
      <c r="W312" s="5" t="s">
        <v>235</v>
      </c>
      <c r="X312" s="5" t="s">
        <v>235</v>
      </c>
      <c r="Y312" s="5" t="s">
        <v>3611</v>
      </c>
      <c r="Z312" s="5" t="s">
        <v>3611</v>
      </c>
      <c r="AA312" s="4">
        <v>640</v>
      </c>
      <c r="AB312" s="4">
        <v>527</v>
      </c>
      <c r="AC312" s="4">
        <v>535</v>
      </c>
      <c r="AD312" s="4">
        <v>4</v>
      </c>
      <c r="AE312" s="4">
        <v>4</v>
      </c>
      <c r="AF312" s="4">
        <v>34</v>
      </c>
      <c r="AG312" s="4">
        <v>34</v>
      </c>
      <c r="AH312" s="4">
        <v>11</v>
      </c>
      <c r="AI312" s="4">
        <v>11</v>
      </c>
      <c r="AJ312" s="4">
        <v>9</v>
      </c>
      <c r="AK312" s="4">
        <v>9</v>
      </c>
      <c r="AL312" s="4">
        <v>22</v>
      </c>
      <c r="AM312" s="4">
        <v>22</v>
      </c>
      <c r="AN312" s="4">
        <v>2</v>
      </c>
      <c r="AO312" s="4">
        <v>2</v>
      </c>
      <c r="AP312" s="4">
        <v>0</v>
      </c>
      <c r="AQ312" s="4">
        <v>0</v>
      </c>
      <c r="AR312" s="3" t="s">
        <v>62</v>
      </c>
      <c r="AS312" s="3" t="s">
        <v>84</v>
      </c>
      <c r="AT312" s="6" t="str">
        <f>HYPERLINK("http://catalog.hathitrust.org/Record/000020116","HathiTrust Record")</f>
        <v>HathiTrust Record</v>
      </c>
      <c r="AU312" s="6" t="str">
        <f>HYPERLINK("https://creighton-primo.hosted.exlibrisgroup.com/primo-explore/search?tab=default_tab&amp;search_scope=EVERYTHING&amp;vid=01CRU&amp;lang=en_US&amp;offset=0&amp;query=any,contains,991003626749702656","Catalog Record")</f>
        <v>Catalog Record</v>
      </c>
      <c r="AV312" s="6" t="str">
        <f>HYPERLINK("http://www.worldcat.org/oclc/1217484","WorldCat Record")</f>
        <v>WorldCat Record</v>
      </c>
      <c r="AW312" s="3" t="s">
        <v>4102</v>
      </c>
      <c r="AX312" s="3" t="s">
        <v>4103</v>
      </c>
      <c r="AY312" s="3" t="s">
        <v>4104</v>
      </c>
      <c r="AZ312" s="3" t="s">
        <v>4104</v>
      </c>
      <c r="BA312" s="3" t="s">
        <v>4105</v>
      </c>
      <c r="BB312" s="3" t="s">
        <v>77</v>
      </c>
      <c r="BD312" s="3" t="s">
        <v>4106</v>
      </c>
      <c r="BE312" s="3" t="s">
        <v>4107</v>
      </c>
      <c r="BF312" s="3" t="s">
        <v>4108</v>
      </c>
    </row>
    <row r="313" spans="1:58" ht="41.25" customHeight="1" x14ac:dyDescent="0.25">
      <c r="A313" s="7" t="s">
        <v>62</v>
      </c>
      <c r="B313" s="2" t="s">
        <v>57</v>
      </c>
      <c r="C313" s="2" t="s">
        <v>58</v>
      </c>
      <c r="D313" s="2" t="s">
        <v>4109</v>
      </c>
      <c r="E313" s="2" t="s">
        <v>4110</v>
      </c>
      <c r="F313" s="2" t="s">
        <v>4111</v>
      </c>
      <c r="H313" s="3" t="s">
        <v>62</v>
      </c>
      <c r="I313" s="3" t="s">
        <v>63</v>
      </c>
      <c r="J313" s="3" t="s">
        <v>62</v>
      </c>
      <c r="K313" s="3" t="s">
        <v>62</v>
      </c>
      <c r="L313" s="3" t="s">
        <v>64</v>
      </c>
      <c r="M313" s="2" t="s">
        <v>4112</v>
      </c>
      <c r="N313" s="2" t="s">
        <v>4113</v>
      </c>
      <c r="O313" s="3" t="s">
        <v>820</v>
      </c>
      <c r="Q313" s="3" t="s">
        <v>68</v>
      </c>
      <c r="R313" s="3" t="s">
        <v>138</v>
      </c>
      <c r="T313" s="3" t="s">
        <v>70</v>
      </c>
      <c r="U313" s="4">
        <v>2</v>
      </c>
      <c r="V313" s="4">
        <v>2</v>
      </c>
      <c r="W313" s="5" t="s">
        <v>2918</v>
      </c>
      <c r="X313" s="5" t="s">
        <v>2918</v>
      </c>
      <c r="Y313" s="5" t="s">
        <v>3611</v>
      </c>
      <c r="Z313" s="5" t="s">
        <v>3611</v>
      </c>
      <c r="AA313" s="4">
        <v>134</v>
      </c>
      <c r="AB313" s="4">
        <v>114</v>
      </c>
      <c r="AC313" s="4">
        <v>1030</v>
      </c>
      <c r="AD313" s="4">
        <v>2</v>
      </c>
      <c r="AE313" s="4">
        <v>10</v>
      </c>
      <c r="AF313" s="4">
        <v>3</v>
      </c>
      <c r="AG313" s="4">
        <v>46</v>
      </c>
      <c r="AH313" s="4">
        <v>1</v>
      </c>
      <c r="AI313" s="4">
        <v>20</v>
      </c>
      <c r="AJ313" s="4">
        <v>1</v>
      </c>
      <c r="AK313" s="4">
        <v>9</v>
      </c>
      <c r="AL313" s="4">
        <v>0</v>
      </c>
      <c r="AM313" s="4">
        <v>24</v>
      </c>
      <c r="AN313" s="4">
        <v>1</v>
      </c>
      <c r="AO313" s="4">
        <v>6</v>
      </c>
      <c r="AP313" s="4">
        <v>0</v>
      </c>
      <c r="AQ313" s="4">
        <v>0</v>
      </c>
      <c r="AR313" s="3" t="s">
        <v>62</v>
      </c>
      <c r="AS313" s="3" t="s">
        <v>84</v>
      </c>
      <c r="AT313" s="6" t="str">
        <f>HYPERLINK("http://catalog.hathitrust.org/Record/102063208","HathiTrust Record")</f>
        <v>HathiTrust Record</v>
      </c>
      <c r="AU313" s="6" t="str">
        <f>HYPERLINK("https://creighton-primo.hosted.exlibrisgroup.com/primo-explore/search?tab=default_tab&amp;search_scope=EVERYTHING&amp;vid=01CRU&amp;lang=en_US&amp;offset=0&amp;query=any,contains,991003805979702656","Catalog Record")</f>
        <v>Catalog Record</v>
      </c>
      <c r="AV313" s="6" t="str">
        <f>HYPERLINK("http://www.worldcat.org/oclc/1530670","WorldCat Record")</f>
        <v>WorldCat Record</v>
      </c>
      <c r="AW313" s="3" t="s">
        <v>4114</v>
      </c>
      <c r="AX313" s="3" t="s">
        <v>4115</v>
      </c>
      <c r="AY313" s="3" t="s">
        <v>4116</v>
      </c>
      <c r="AZ313" s="3" t="s">
        <v>4116</v>
      </c>
      <c r="BA313" s="3" t="s">
        <v>4117</v>
      </c>
      <c r="BB313" s="3" t="s">
        <v>77</v>
      </c>
      <c r="BD313" s="3" t="s">
        <v>4118</v>
      </c>
      <c r="BE313" s="3" t="s">
        <v>4119</v>
      </c>
      <c r="BF313" s="3" t="s">
        <v>4120</v>
      </c>
    </row>
    <row r="314" spans="1:58" ht="41.25" customHeight="1" x14ac:dyDescent="0.25">
      <c r="A314" s="7" t="s">
        <v>62</v>
      </c>
      <c r="B314" s="2" t="s">
        <v>57</v>
      </c>
      <c r="C314" s="2" t="s">
        <v>58</v>
      </c>
      <c r="D314" s="2" t="s">
        <v>4121</v>
      </c>
      <c r="E314" s="2" t="s">
        <v>4122</v>
      </c>
      <c r="F314" s="2" t="s">
        <v>4123</v>
      </c>
      <c r="H314" s="3" t="s">
        <v>62</v>
      </c>
      <c r="I314" s="3" t="s">
        <v>63</v>
      </c>
      <c r="J314" s="3" t="s">
        <v>62</v>
      </c>
      <c r="K314" s="3" t="s">
        <v>84</v>
      </c>
      <c r="L314" s="3" t="s">
        <v>64</v>
      </c>
      <c r="M314" s="2" t="s">
        <v>4124</v>
      </c>
      <c r="N314" s="2" t="s">
        <v>4125</v>
      </c>
      <c r="O314" s="3" t="s">
        <v>340</v>
      </c>
      <c r="Q314" s="3" t="s">
        <v>68</v>
      </c>
      <c r="R314" s="3" t="s">
        <v>166</v>
      </c>
      <c r="S314" s="2" t="s">
        <v>4126</v>
      </c>
      <c r="T314" s="3" t="s">
        <v>70</v>
      </c>
      <c r="U314" s="4">
        <v>4</v>
      </c>
      <c r="V314" s="4">
        <v>4</v>
      </c>
      <c r="W314" s="5" t="s">
        <v>4127</v>
      </c>
      <c r="X314" s="5" t="s">
        <v>4127</v>
      </c>
      <c r="Y314" s="5" t="s">
        <v>3611</v>
      </c>
      <c r="Z314" s="5" t="s">
        <v>3611</v>
      </c>
      <c r="AA314" s="4">
        <v>986</v>
      </c>
      <c r="AB314" s="4">
        <v>807</v>
      </c>
      <c r="AC314" s="4">
        <v>1338</v>
      </c>
      <c r="AD314" s="4">
        <v>7</v>
      </c>
      <c r="AE314" s="4">
        <v>9</v>
      </c>
      <c r="AF314" s="4">
        <v>33</v>
      </c>
      <c r="AG314" s="4">
        <v>54</v>
      </c>
      <c r="AH314" s="4">
        <v>14</v>
      </c>
      <c r="AI314" s="4">
        <v>25</v>
      </c>
      <c r="AJ314" s="4">
        <v>5</v>
      </c>
      <c r="AK314" s="4">
        <v>10</v>
      </c>
      <c r="AL314" s="4">
        <v>15</v>
      </c>
      <c r="AM314" s="4">
        <v>26</v>
      </c>
      <c r="AN314" s="4">
        <v>4</v>
      </c>
      <c r="AO314" s="4">
        <v>6</v>
      </c>
      <c r="AP314" s="4">
        <v>0</v>
      </c>
      <c r="AQ314" s="4">
        <v>0</v>
      </c>
      <c r="AR314" s="3" t="s">
        <v>62</v>
      </c>
      <c r="AS314" s="3" t="s">
        <v>84</v>
      </c>
      <c r="AT314" s="6" t="str">
        <f>HYPERLINK("http://catalog.hathitrust.org/Record/001391255","HathiTrust Record")</f>
        <v>HathiTrust Record</v>
      </c>
      <c r="AU314" s="6" t="str">
        <f>HYPERLINK("https://creighton-primo.hosted.exlibrisgroup.com/primo-explore/search?tab=default_tab&amp;search_scope=EVERYTHING&amp;vid=01CRU&amp;lang=en_US&amp;offset=0&amp;query=any,contains,991002623249702656","Catalog Record")</f>
        <v>Catalog Record</v>
      </c>
      <c r="AV314" s="6" t="str">
        <f>HYPERLINK("http://www.worldcat.org/oclc/381236","WorldCat Record")</f>
        <v>WorldCat Record</v>
      </c>
      <c r="AW314" s="3" t="s">
        <v>4128</v>
      </c>
      <c r="AX314" s="3" t="s">
        <v>4129</v>
      </c>
      <c r="AY314" s="3" t="s">
        <v>4130</v>
      </c>
      <c r="AZ314" s="3" t="s">
        <v>4130</v>
      </c>
      <c r="BA314" s="3" t="s">
        <v>4131</v>
      </c>
      <c r="BB314" s="3" t="s">
        <v>77</v>
      </c>
      <c r="BE314" s="3" t="s">
        <v>4132</v>
      </c>
      <c r="BF314" s="3" t="s">
        <v>4133</v>
      </c>
    </row>
    <row r="315" spans="1:58" ht="41.25" customHeight="1" x14ac:dyDescent="0.25">
      <c r="A315" s="7" t="s">
        <v>62</v>
      </c>
      <c r="B315" s="2" t="s">
        <v>57</v>
      </c>
      <c r="C315" s="2" t="s">
        <v>58</v>
      </c>
      <c r="D315" s="2" t="s">
        <v>4134</v>
      </c>
      <c r="E315" s="2" t="s">
        <v>4135</v>
      </c>
      <c r="F315" s="2" t="s">
        <v>4136</v>
      </c>
      <c r="H315" s="3" t="s">
        <v>62</v>
      </c>
      <c r="I315" s="3" t="s">
        <v>63</v>
      </c>
      <c r="J315" s="3" t="s">
        <v>62</v>
      </c>
      <c r="K315" s="3" t="s">
        <v>62</v>
      </c>
      <c r="L315" s="3" t="s">
        <v>64</v>
      </c>
      <c r="M315" s="2" t="s">
        <v>4137</v>
      </c>
      <c r="N315" s="2" t="s">
        <v>4138</v>
      </c>
      <c r="O315" s="3" t="s">
        <v>4139</v>
      </c>
      <c r="Q315" s="3" t="s">
        <v>68</v>
      </c>
      <c r="R315" s="3" t="s">
        <v>88</v>
      </c>
      <c r="T315" s="3" t="s">
        <v>70</v>
      </c>
      <c r="U315" s="4">
        <v>2</v>
      </c>
      <c r="V315" s="4">
        <v>2</v>
      </c>
      <c r="W315" s="5" t="s">
        <v>4140</v>
      </c>
      <c r="X315" s="5" t="s">
        <v>4140</v>
      </c>
      <c r="Y315" s="5" t="s">
        <v>3611</v>
      </c>
      <c r="Z315" s="5" t="s">
        <v>3611</v>
      </c>
      <c r="AA315" s="4">
        <v>953</v>
      </c>
      <c r="AB315" s="4">
        <v>858</v>
      </c>
      <c r="AC315" s="4">
        <v>1056</v>
      </c>
      <c r="AD315" s="4">
        <v>7</v>
      </c>
      <c r="AE315" s="4">
        <v>11</v>
      </c>
      <c r="AF315" s="4">
        <v>33</v>
      </c>
      <c r="AG315" s="4">
        <v>43</v>
      </c>
      <c r="AH315" s="4">
        <v>13</v>
      </c>
      <c r="AI315" s="4">
        <v>15</v>
      </c>
      <c r="AJ315" s="4">
        <v>6</v>
      </c>
      <c r="AK315" s="4">
        <v>8</v>
      </c>
      <c r="AL315" s="4">
        <v>17</v>
      </c>
      <c r="AM315" s="4">
        <v>22</v>
      </c>
      <c r="AN315" s="4">
        <v>5</v>
      </c>
      <c r="AO315" s="4">
        <v>8</v>
      </c>
      <c r="AP315" s="4">
        <v>0</v>
      </c>
      <c r="AQ315" s="4">
        <v>0</v>
      </c>
      <c r="AR315" s="3" t="s">
        <v>84</v>
      </c>
      <c r="AS315" s="3" t="s">
        <v>62</v>
      </c>
      <c r="AT315" s="6" t="str">
        <f>HYPERLINK("http://catalog.hathitrust.org/Record/001400487","HathiTrust Record")</f>
        <v>HathiTrust Record</v>
      </c>
      <c r="AU315" s="6" t="str">
        <f>HYPERLINK("https://creighton-primo.hosted.exlibrisgroup.com/primo-explore/search?tab=default_tab&amp;search_scope=EVERYTHING&amp;vid=01CRU&amp;lang=en_US&amp;offset=0&amp;query=any,contains,991002259039702656","Catalog Record")</f>
        <v>Catalog Record</v>
      </c>
      <c r="AV315" s="6" t="str">
        <f>HYPERLINK("http://www.worldcat.org/oclc/188923","WorldCat Record")</f>
        <v>WorldCat Record</v>
      </c>
      <c r="AW315" s="3" t="s">
        <v>4141</v>
      </c>
      <c r="AX315" s="3" t="s">
        <v>4142</v>
      </c>
      <c r="AY315" s="3" t="s">
        <v>4143</v>
      </c>
      <c r="AZ315" s="3" t="s">
        <v>4143</v>
      </c>
      <c r="BA315" s="3" t="s">
        <v>4144</v>
      </c>
      <c r="BB315" s="3" t="s">
        <v>77</v>
      </c>
      <c r="BE315" s="3" t="s">
        <v>4145</v>
      </c>
      <c r="BF315" s="3" t="s">
        <v>4146</v>
      </c>
    </row>
    <row r="316" spans="1:58" ht="41.25" customHeight="1" x14ac:dyDescent="0.25">
      <c r="A316" s="7" t="s">
        <v>62</v>
      </c>
      <c r="B316" s="2" t="s">
        <v>57</v>
      </c>
      <c r="C316" s="2" t="s">
        <v>58</v>
      </c>
      <c r="D316" s="2" t="s">
        <v>4147</v>
      </c>
      <c r="E316" s="2" t="s">
        <v>4148</v>
      </c>
      <c r="F316" s="2" t="s">
        <v>4149</v>
      </c>
      <c r="H316" s="3" t="s">
        <v>62</v>
      </c>
      <c r="I316" s="3" t="s">
        <v>63</v>
      </c>
      <c r="J316" s="3" t="s">
        <v>62</v>
      </c>
      <c r="K316" s="3" t="s">
        <v>62</v>
      </c>
      <c r="L316" s="3" t="s">
        <v>64</v>
      </c>
      <c r="M316" s="2" t="s">
        <v>4150</v>
      </c>
      <c r="N316" s="2" t="s">
        <v>4151</v>
      </c>
      <c r="O316" s="3" t="s">
        <v>1533</v>
      </c>
      <c r="Q316" s="3" t="s">
        <v>68</v>
      </c>
      <c r="R316" s="3" t="s">
        <v>88</v>
      </c>
      <c r="T316" s="3" t="s">
        <v>70</v>
      </c>
      <c r="U316" s="4">
        <v>2</v>
      </c>
      <c r="V316" s="4">
        <v>2</v>
      </c>
      <c r="W316" s="5" t="s">
        <v>1285</v>
      </c>
      <c r="X316" s="5" t="s">
        <v>1285</v>
      </c>
      <c r="Y316" s="5" t="s">
        <v>3611</v>
      </c>
      <c r="Z316" s="5" t="s">
        <v>3611</v>
      </c>
      <c r="AA316" s="4">
        <v>219</v>
      </c>
      <c r="AB316" s="4">
        <v>210</v>
      </c>
      <c r="AC316" s="4">
        <v>477</v>
      </c>
      <c r="AD316" s="4">
        <v>3</v>
      </c>
      <c r="AE316" s="4">
        <v>3</v>
      </c>
      <c r="AF316" s="4">
        <v>8</v>
      </c>
      <c r="AG316" s="4">
        <v>16</v>
      </c>
      <c r="AH316" s="4">
        <v>4</v>
      </c>
      <c r="AI316" s="4">
        <v>6</v>
      </c>
      <c r="AJ316" s="4">
        <v>1</v>
      </c>
      <c r="AK316" s="4">
        <v>3</v>
      </c>
      <c r="AL316" s="4">
        <v>5</v>
      </c>
      <c r="AM316" s="4">
        <v>12</v>
      </c>
      <c r="AN316" s="4">
        <v>1</v>
      </c>
      <c r="AO316" s="4">
        <v>1</v>
      </c>
      <c r="AP316" s="4">
        <v>0</v>
      </c>
      <c r="AQ316" s="4">
        <v>0</v>
      </c>
      <c r="AR316" s="3" t="s">
        <v>62</v>
      </c>
      <c r="AS316" s="3" t="s">
        <v>84</v>
      </c>
      <c r="AT316" s="6" t="str">
        <f>HYPERLINK("http://catalog.hathitrust.org/Record/004479212","HathiTrust Record")</f>
        <v>HathiTrust Record</v>
      </c>
      <c r="AU316" s="6" t="str">
        <f>HYPERLINK("https://creighton-primo.hosted.exlibrisgroup.com/primo-explore/search?tab=default_tab&amp;search_scope=EVERYTHING&amp;vid=01CRU&amp;lang=en_US&amp;offset=0&amp;query=any,contains,991003500649702656","Catalog Record")</f>
        <v>Catalog Record</v>
      </c>
      <c r="AV316" s="6" t="str">
        <f>HYPERLINK("http://www.worldcat.org/oclc/1053426","WorldCat Record")</f>
        <v>WorldCat Record</v>
      </c>
      <c r="AW316" s="3" t="s">
        <v>4152</v>
      </c>
      <c r="AX316" s="3" t="s">
        <v>4153</v>
      </c>
      <c r="AY316" s="3" t="s">
        <v>4154</v>
      </c>
      <c r="AZ316" s="3" t="s">
        <v>4154</v>
      </c>
      <c r="BA316" s="3" t="s">
        <v>4155</v>
      </c>
      <c r="BB316" s="3" t="s">
        <v>77</v>
      </c>
      <c r="BE316" s="3" t="s">
        <v>4156</v>
      </c>
      <c r="BF316" s="3" t="s">
        <v>4157</v>
      </c>
    </row>
    <row r="317" spans="1:58" ht="41.25" customHeight="1" x14ac:dyDescent="0.25">
      <c r="A317" s="7" t="s">
        <v>62</v>
      </c>
      <c r="B317" s="2" t="s">
        <v>57</v>
      </c>
      <c r="C317" s="2" t="s">
        <v>58</v>
      </c>
      <c r="D317" s="2" t="s">
        <v>4158</v>
      </c>
      <c r="E317" s="2" t="s">
        <v>4159</v>
      </c>
      <c r="F317" s="2" t="s">
        <v>4160</v>
      </c>
      <c r="H317" s="3" t="s">
        <v>62</v>
      </c>
      <c r="I317" s="3" t="s">
        <v>63</v>
      </c>
      <c r="J317" s="3" t="s">
        <v>62</v>
      </c>
      <c r="K317" s="3" t="s">
        <v>62</v>
      </c>
      <c r="L317" s="3" t="s">
        <v>64</v>
      </c>
      <c r="M317" s="2" t="s">
        <v>2782</v>
      </c>
      <c r="N317" s="2" t="s">
        <v>4161</v>
      </c>
      <c r="O317" s="3" t="s">
        <v>2303</v>
      </c>
      <c r="Q317" s="3" t="s">
        <v>68</v>
      </c>
      <c r="R317" s="3" t="s">
        <v>69</v>
      </c>
      <c r="S317" s="2" t="s">
        <v>4162</v>
      </c>
      <c r="T317" s="3" t="s">
        <v>70</v>
      </c>
      <c r="U317" s="4">
        <v>5</v>
      </c>
      <c r="V317" s="4">
        <v>5</v>
      </c>
      <c r="W317" s="5" t="s">
        <v>4163</v>
      </c>
      <c r="X317" s="5" t="s">
        <v>4163</v>
      </c>
      <c r="Y317" s="5" t="s">
        <v>3611</v>
      </c>
      <c r="Z317" s="5" t="s">
        <v>3611</v>
      </c>
      <c r="AA317" s="4">
        <v>329</v>
      </c>
      <c r="AB317" s="4">
        <v>298</v>
      </c>
      <c r="AC317" s="4">
        <v>1484</v>
      </c>
      <c r="AD317" s="4">
        <v>3</v>
      </c>
      <c r="AE317" s="4">
        <v>18</v>
      </c>
      <c r="AF317" s="4">
        <v>13</v>
      </c>
      <c r="AG317" s="4">
        <v>65</v>
      </c>
      <c r="AH317" s="4">
        <v>5</v>
      </c>
      <c r="AI317" s="4">
        <v>27</v>
      </c>
      <c r="AJ317" s="4">
        <v>2</v>
      </c>
      <c r="AK317" s="4">
        <v>11</v>
      </c>
      <c r="AL317" s="4">
        <v>8</v>
      </c>
      <c r="AM317" s="4">
        <v>26</v>
      </c>
      <c r="AN317" s="4">
        <v>2</v>
      </c>
      <c r="AO317" s="4">
        <v>14</v>
      </c>
      <c r="AP317" s="4">
        <v>0</v>
      </c>
      <c r="AQ317" s="4">
        <v>1</v>
      </c>
      <c r="AR317" s="3" t="s">
        <v>62</v>
      </c>
      <c r="AS317" s="3" t="s">
        <v>62</v>
      </c>
      <c r="AU317" s="6" t="str">
        <f>HYPERLINK("https://creighton-primo.hosted.exlibrisgroup.com/primo-explore/search?tab=default_tab&amp;search_scope=EVERYTHING&amp;vid=01CRU&amp;lang=en_US&amp;offset=0&amp;query=any,contains,991004104099702656","Catalog Record")</f>
        <v>Catalog Record</v>
      </c>
      <c r="AV317" s="6" t="str">
        <f>HYPERLINK("http://www.worldcat.org/oclc/2376772","WorldCat Record")</f>
        <v>WorldCat Record</v>
      </c>
      <c r="AW317" s="3" t="s">
        <v>4164</v>
      </c>
      <c r="AX317" s="3" t="s">
        <v>4165</v>
      </c>
      <c r="AY317" s="3" t="s">
        <v>4166</v>
      </c>
      <c r="AZ317" s="3" t="s">
        <v>4166</v>
      </c>
      <c r="BA317" s="3" t="s">
        <v>4167</v>
      </c>
      <c r="BB317" s="3" t="s">
        <v>77</v>
      </c>
      <c r="BE317" s="3" t="s">
        <v>4168</v>
      </c>
      <c r="BF317" s="3" t="s">
        <v>4169</v>
      </c>
    </row>
    <row r="318" spans="1:58" ht="41.25" customHeight="1" x14ac:dyDescent="0.25">
      <c r="A318" s="7" t="s">
        <v>62</v>
      </c>
      <c r="B318" s="2" t="s">
        <v>57</v>
      </c>
      <c r="C318" s="2" t="s">
        <v>58</v>
      </c>
      <c r="D318" s="2" t="s">
        <v>4170</v>
      </c>
      <c r="E318" s="2" t="s">
        <v>4171</v>
      </c>
      <c r="F318" s="2" t="s">
        <v>4172</v>
      </c>
      <c r="H318" s="3" t="s">
        <v>62</v>
      </c>
      <c r="I318" s="3" t="s">
        <v>63</v>
      </c>
      <c r="J318" s="3" t="s">
        <v>62</v>
      </c>
      <c r="K318" s="3" t="s">
        <v>62</v>
      </c>
      <c r="L318" s="3" t="s">
        <v>64</v>
      </c>
      <c r="M318" s="2" t="s">
        <v>4173</v>
      </c>
      <c r="N318" s="2" t="s">
        <v>4174</v>
      </c>
      <c r="O318" s="3" t="s">
        <v>404</v>
      </c>
      <c r="Q318" s="3" t="s">
        <v>68</v>
      </c>
      <c r="R318" s="3" t="s">
        <v>166</v>
      </c>
      <c r="T318" s="3" t="s">
        <v>70</v>
      </c>
      <c r="U318" s="4">
        <v>1</v>
      </c>
      <c r="V318" s="4">
        <v>1</v>
      </c>
      <c r="W318" s="5" t="s">
        <v>4175</v>
      </c>
      <c r="X318" s="5" t="s">
        <v>4175</v>
      </c>
      <c r="Y318" s="5" t="s">
        <v>3611</v>
      </c>
      <c r="Z318" s="5" t="s">
        <v>3611</v>
      </c>
      <c r="AA318" s="4">
        <v>259</v>
      </c>
      <c r="AB318" s="4">
        <v>212</v>
      </c>
      <c r="AC318" s="4">
        <v>218</v>
      </c>
      <c r="AD318" s="4">
        <v>1</v>
      </c>
      <c r="AE318" s="4">
        <v>1</v>
      </c>
      <c r="AF318" s="4">
        <v>14</v>
      </c>
      <c r="AG318" s="4">
        <v>14</v>
      </c>
      <c r="AH318" s="4">
        <v>3</v>
      </c>
      <c r="AI318" s="4">
        <v>3</v>
      </c>
      <c r="AJ318" s="4">
        <v>4</v>
      </c>
      <c r="AK318" s="4">
        <v>4</v>
      </c>
      <c r="AL318" s="4">
        <v>13</v>
      </c>
      <c r="AM318" s="4">
        <v>13</v>
      </c>
      <c r="AN318" s="4">
        <v>0</v>
      </c>
      <c r="AO318" s="4">
        <v>0</v>
      </c>
      <c r="AP318" s="4">
        <v>0</v>
      </c>
      <c r="AQ318" s="4">
        <v>0</v>
      </c>
      <c r="AR318" s="3" t="s">
        <v>62</v>
      </c>
      <c r="AS318" s="3" t="s">
        <v>84</v>
      </c>
      <c r="AT318" s="6" t="str">
        <f>HYPERLINK("http://catalog.hathitrust.org/Record/011230779","HathiTrust Record")</f>
        <v>HathiTrust Record</v>
      </c>
      <c r="AU318" s="6" t="str">
        <f>HYPERLINK("https://creighton-primo.hosted.exlibrisgroup.com/primo-explore/search?tab=default_tab&amp;search_scope=EVERYTHING&amp;vid=01CRU&amp;lang=en_US&amp;offset=0&amp;query=any,contains,991002208029702656","Catalog Record")</f>
        <v>Catalog Record</v>
      </c>
      <c r="AV318" s="6" t="str">
        <f>HYPERLINK("http://www.worldcat.org/oclc/286886","WorldCat Record")</f>
        <v>WorldCat Record</v>
      </c>
      <c r="AW318" s="3" t="s">
        <v>4176</v>
      </c>
      <c r="AX318" s="3" t="s">
        <v>4177</v>
      </c>
      <c r="AY318" s="3" t="s">
        <v>4178</v>
      </c>
      <c r="AZ318" s="3" t="s">
        <v>4178</v>
      </c>
      <c r="BA318" s="3" t="s">
        <v>4179</v>
      </c>
      <c r="BB318" s="3" t="s">
        <v>77</v>
      </c>
      <c r="BD318" s="3" t="s">
        <v>4180</v>
      </c>
      <c r="BE318" s="3" t="s">
        <v>4181</v>
      </c>
      <c r="BF318" s="3" t="s">
        <v>4182</v>
      </c>
    </row>
    <row r="319" spans="1:58" ht="41.25" customHeight="1" x14ac:dyDescent="0.25">
      <c r="A319" s="7" t="s">
        <v>62</v>
      </c>
      <c r="B319" s="2" t="s">
        <v>57</v>
      </c>
      <c r="C319" s="2" t="s">
        <v>58</v>
      </c>
      <c r="D319" s="2" t="s">
        <v>4183</v>
      </c>
      <c r="E319" s="2" t="s">
        <v>4184</v>
      </c>
      <c r="F319" s="2" t="s">
        <v>4185</v>
      </c>
      <c r="H319" s="3" t="s">
        <v>62</v>
      </c>
      <c r="I319" s="3" t="s">
        <v>63</v>
      </c>
      <c r="J319" s="3" t="s">
        <v>62</v>
      </c>
      <c r="K319" s="3" t="s">
        <v>62</v>
      </c>
      <c r="L319" s="3" t="s">
        <v>64</v>
      </c>
      <c r="M319" s="2" t="s">
        <v>4186</v>
      </c>
      <c r="N319" s="2" t="s">
        <v>4187</v>
      </c>
      <c r="O319" s="3" t="s">
        <v>87</v>
      </c>
      <c r="P319" s="2" t="s">
        <v>4188</v>
      </c>
      <c r="Q319" s="3" t="s">
        <v>68</v>
      </c>
      <c r="R319" s="3" t="s">
        <v>166</v>
      </c>
      <c r="T319" s="3" t="s">
        <v>70</v>
      </c>
      <c r="U319" s="4">
        <v>1</v>
      </c>
      <c r="V319" s="4">
        <v>1</v>
      </c>
      <c r="W319" s="5" t="s">
        <v>4189</v>
      </c>
      <c r="X319" s="5" t="s">
        <v>4189</v>
      </c>
      <c r="Y319" s="5" t="s">
        <v>3611</v>
      </c>
      <c r="Z319" s="5" t="s">
        <v>3611</v>
      </c>
      <c r="AA319" s="4">
        <v>1056</v>
      </c>
      <c r="AB319" s="4">
        <v>930</v>
      </c>
      <c r="AC319" s="4">
        <v>1337</v>
      </c>
      <c r="AD319" s="4">
        <v>5</v>
      </c>
      <c r="AE319" s="4">
        <v>9</v>
      </c>
      <c r="AF319" s="4">
        <v>37</v>
      </c>
      <c r="AG319" s="4">
        <v>51</v>
      </c>
      <c r="AH319" s="4">
        <v>14</v>
      </c>
      <c r="AI319" s="4">
        <v>20</v>
      </c>
      <c r="AJ319" s="4">
        <v>9</v>
      </c>
      <c r="AK319" s="4">
        <v>10</v>
      </c>
      <c r="AL319" s="4">
        <v>20</v>
      </c>
      <c r="AM319" s="4">
        <v>26</v>
      </c>
      <c r="AN319" s="4">
        <v>3</v>
      </c>
      <c r="AO319" s="4">
        <v>7</v>
      </c>
      <c r="AP319" s="4">
        <v>0</v>
      </c>
      <c r="AQ319" s="4">
        <v>0</v>
      </c>
      <c r="AR319" s="3" t="s">
        <v>62</v>
      </c>
      <c r="AS319" s="3" t="s">
        <v>84</v>
      </c>
      <c r="AT319" s="6" t="str">
        <f>HYPERLINK("http://catalog.hathitrust.org/Record/001386844","HathiTrust Record")</f>
        <v>HathiTrust Record</v>
      </c>
      <c r="AU319" s="6" t="str">
        <f>HYPERLINK("https://creighton-primo.hosted.exlibrisgroup.com/primo-explore/search?tab=default_tab&amp;search_scope=EVERYTHING&amp;vid=01CRU&amp;lang=en_US&amp;offset=0&amp;query=any,contains,991002637179702656","Catalog Record")</f>
        <v>Catalog Record</v>
      </c>
      <c r="AV319" s="6" t="str">
        <f>HYPERLINK("http://www.worldcat.org/oclc/382821","WorldCat Record")</f>
        <v>WorldCat Record</v>
      </c>
      <c r="AW319" s="3" t="s">
        <v>4190</v>
      </c>
      <c r="AX319" s="3" t="s">
        <v>4191</v>
      </c>
      <c r="AY319" s="3" t="s">
        <v>4192</v>
      </c>
      <c r="AZ319" s="3" t="s">
        <v>4192</v>
      </c>
      <c r="BA319" s="3" t="s">
        <v>4193</v>
      </c>
      <c r="BB319" s="3" t="s">
        <v>77</v>
      </c>
      <c r="BE319" s="3" t="s">
        <v>4194</v>
      </c>
      <c r="BF319" s="3" t="s">
        <v>4195</v>
      </c>
    </row>
    <row r="320" spans="1:58" ht="41.25" customHeight="1" x14ac:dyDescent="0.25">
      <c r="A320" s="7" t="s">
        <v>62</v>
      </c>
      <c r="B320" s="2" t="s">
        <v>57</v>
      </c>
      <c r="C320" s="2" t="s">
        <v>58</v>
      </c>
      <c r="D320" s="2" t="s">
        <v>4196</v>
      </c>
      <c r="E320" s="2" t="s">
        <v>4197</v>
      </c>
      <c r="F320" s="2" t="s">
        <v>4198</v>
      </c>
      <c r="H320" s="3" t="s">
        <v>62</v>
      </c>
      <c r="I320" s="3" t="s">
        <v>63</v>
      </c>
      <c r="J320" s="3" t="s">
        <v>62</v>
      </c>
      <c r="K320" s="3" t="s">
        <v>62</v>
      </c>
      <c r="L320" s="3" t="s">
        <v>64</v>
      </c>
      <c r="M320" s="2" t="s">
        <v>4199</v>
      </c>
      <c r="N320" s="2" t="s">
        <v>4200</v>
      </c>
      <c r="O320" s="3" t="s">
        <v>1158</v>
      </c>
      <c r="Q320" s="3" t="s">
        <v>68</v>
      </c>
      <c r="R320" s="3" t="s">
        <v>698</v>
      </c>
      <c r="T320" s="3" t="s">
        <v>70</v>
      </c>
      <c r="U320" s="4">
        <v>2</v>
      </c>
      <c r="V320" s="4">
        <v>2</v>
      </c>
      <c r="W320" s="5" t="s">
        <v>4201</v>
      </c>
      <c r="X320" s="5" t="s">
        <v>4201</v>
      </c>
      <c r="Y320" s="5" t="s">
        <v>3611</v>
      </c>
      <c r="Z320" s="5" t="s">
        <v>3611</v>
      </c>
      <c r="AA320" s="4">
        <v>223</v>
      </c>
      <c r="AB320" s="4">
        <v>188</v>
      </c>
      <c r="AC320" s="4">
        <v>249</v>
      </c>
      <c r="AD320" s="4">
        <v>1</v>
      </c>
      <c r="AE320" s="4">
        <v>1</v>
      </c>
      <c r="AF320" s="4">
        <v>8</v>
      </c>
      <c r="AG320" s="4">
        <v>13</v>
      </c>
      <c r="AH320" s="4">
        <v>2</v>
      </c>
      <c r="AI320" s="4">
        <v>3</v>
      </c>
      <c r="AJ320" s="4">
        <v>3</v>
      </c>
      <c r="AK320" s="4">
        <v>4</v>
      </c>
      <c r="AL320" s="4">
        <v>7</v>
      </c>
      <c r="AM320" s="4">
        <v>12</v>
      </c>
      <c r="AN320" s="4">
        <v>0</v>
      </c>
      <c r="AO320" s="4">
        <v>0</v>
      </c>
      <c r="AP320" s="4">
        <v>0</v>
      </c>
      <c r="AQ320" s="4">
        <v>0</v>
      </c>
      <c r="AR320" s="3" t="s">
        <v>62</v>
      </c>
      <c r="AS320" s="3" t="s">
        <v>84</v>
      </c>
      <c r="AT320" s="6" t="str">
        <f>HYPERLINK("http://catalog.hathitrust.org/Record/006551334","HathiTrust Record")</f>
        <v>HathiTrust Record</v>
      </c>
      <c r="AU320" s="6" t="str">
        <f>HYPERLINK("https://creighton-primo.hosted.exlibrisgroup.com/primo-explore/search?tab=default_tab&amp;search_scope=EVERYTHING&amp;vid=01CRU&amp;lang=en_US&amp;offset=0&amp;query=any,contains,991003054839702656","Catalog Record")</f>
        <v>Catalog Record</v>
      </c>
      <c r="AV320" s="6" t="str">
        <f>HYPERLINK("http://www.worldcat.org/oclc/613633","WorldCat Record")</f>
        <v>WorldCat Record</v>
      </c>
      <c r="AW320" s="3" t="s">
        <v>4202</v>
      </c>
      <c r="AX320" s="3" t="s">
        <v>4203</v>
      </c>
      <c r="AY320" s="3" t="s">
        <v>4204</v>
      </c>
      <c r="AZ320" s="3" t="s">
        <v>4204</v>
      </c>
      <c r="BA320" s="3" t="s">
        <v>4205</v>
      </c>
      <c r="BB320" s="3" t="s">
        <v>77</v>
      </c>
      <c r="BD320" s="3" t="s">
        <v>4206</v>
      </c>
      <c r="BE320" s="3" t="s">
        <v>4207</v>
      </c>
      <c r="BF320" s="3" t="s">
        <v>4208</v>
      </c>
    </row>
    <row r="321" spans="1:58" ht="41.25" customHeight="1" x14ac:dyDescent="0.25">
      <c r="A321" s="7" t="s">
        <v>62</v>
      </c>
      <c r="B321" s="2" t="s">
        <v>57</v>
      </c>
      <c r="C321" s="2" t="s">
        <v>58</v>
      </c>
      <c r="D321" s="2" t="s">
        <v>4209</v>
      </c>
      <c r="E321" s="2" t="s">
        <v>4210</v>
      </c>
      <c r="F321" s="2" t="s">
        <v>4211</v>
      </c>
      <c r="H321" s="3" t="s">
        <v>62</v>
      </c>
      <c r="I321" s="3" t="s">
        <v>63</v>
      </c>
      <c r="J321" s="3" t="s">
        <v>62</v>
      </c>
      <c r="K321" s="3" t="s">
        <v>62</v>
      </c>
      <c r="L321" s="3" t="s">
        <v>64</v>
      </c>
      <c r="M321" s="2" t="s">
        <v>4212</v>
      </c>
      <c r="N321" s="2" t="s">
        <v>4213</v>
      </c>
      <c r="O321" s="3" t="s">
        <v>1805</v>
      </c>
      <c r="Q321" s="3" t="s">
        <v>68</v>
      </c>
      <c r="R321" s="3" t="s">
        <v>69</v>
      </c>
      <c r="T321" s="3" t="s">
        <v>70</v>
      </c>
      <c r="U321" s="4">
        <v>3</v>
      </c>
      <c r="V321" s="4">
        <v>3</v>
      </c>
      <c r="W321" s="5" t="s">
        <v>4214</v>
      </c>
      <c r="X321" s="5" t="s">
        <v>4214</v>
      </c>
      <c r="Y321" s="5" t="s">
        <v>3611</v>
      </c>
      <c r="Z321" s="5" t="s">
        <v>3611</v>
      </c>
      <c r="AA321" s="4">
        <v>654</v>
      </c>
      <c r="AB321" s="4">
        <v>565</v>
      </c>
      <c r="AC321" s="4">
        <v>672</v>
      </c>
      <c r="AD321" s="4">
        <v>2</v>
      </c>
      <c r="AE321" s="4">
        <v>4</v>
      </c>
      <c r="AF321" s="4">
        <v>30</v>
      </c>
      <c r="AG321" s="4">
        <v>35</v>
      </c>
      <c r="AH321" s="4">
        <v>15</v>
      </c>
      <c r="AI321" s="4">
        <v>17</v>
      </c>
      <c r="AJ321" s="4">
        <v>7</v>
      </c>
      <c r="AK321" s="4">
        <v>10</v>
      </c>
      <c r="AL321" s="4">
        <v>18</v>
      </c>
      <c r="AM321" s="4">
        <v>18</v>
      </c>
      <c r="AN321" s="4">
        <v>1</v>
      </c>
      <c r="AO321" s="4">
        <v>2</v>
      </c>
      <c r="AP321" s="4">
        <v>0</v>
      </c>
      <c r="AQ321" s="4">
        <v>0</v>
      </c>
      <c r="AR321" s="3" t="s">
        <v>62</v>
      </c>
      <c r="AS321" s="3" t="s">
        <v>84</v>
      </c>
      <c r="AT321" s="6" t="str">
        <f>HYPERLINK("http://catalog.hathitrust.org/Record/000198354","HathiTrust Record")</f>
        <v>HathiTrust Record</v>
      </c>
      <c r="AU321" s="6" t="str">
        <f>HYPERLINK("https://creighton-primo.hosted.exlibrisgroup.com/primo-explore/search?tab=default_tab&amp;search_scope=EVERYTHING&amp;vid=01CRU&amp;lang=en_US&amp;offset=0&amp;query=any,contains,991005238539702656","Catalog Record")</f>
        <v>Catalog Record</v>
      </c>
      <c r="AV321" s="6" t="str">
        <f>HYPERLINK("http://www.worldcat.org/oclc/9194110","WorldCat Record")</f>
        <v>WorldCat Record</v>
      </c>
      <c r="AW321" s="3" t="s">
        <v>4215</v>
      </c>
      <c r="AX321" s="3" t="s">
        <v>4216</v>
      </c>
      <c r="AY321" s="3" t="s">
        <v>4217</v>
      </c>
      <c r="AZ321" s="3" t="s">
        <v>4217</v>
      </c>
      <c r="BA321" s="3" t="s">
        <v>4218</v>
      </c>
      <c r="BB321" s="3" t="s">
        <v>77</v>
      </c>
      <c r="BE321" s="3" t="s">
        <v>4219</v>
      </c>
      <c r="BF321" s="3" t="s">
        <v>4220</v>
      </c>
    </row>
    <row r="322" spans="1:58" ht="41.25" customHeight="1" x14ac:dyDescent="0.25">
      <c r="A322" s="7" t="s">
        <v>62</v>
      </c>
      <c r="B322" s="2" t="s">
        <v>57</v>
      </c>
      <c r="C322" s="2" t="s">
        <v>58</v>
      </c>
      <c r="D322" s="2" t="s">
        <v>4221</v>
      </c>
      <c r="E322" s="2" t="s">
        <v>4222</v>
      </c>
      <c r="F322" s="2" t="s">
        <v>4223</v>
      </c>
      <c r="H322" s="3" t="s">
        <v>62</v>
      </c>
      <c r="I322" s="3" t="s">
        <v>63</v>
      </c>
      <c r="J322" s="3" t="s">
        <v>62</v>
      </c>
      <c r="K322" s="3" t="s">
        <v>62</v>
      </c>
      <c r="L322" s="3" t="s">
        <v>64</v>
      </c>
      <c r="M322" s="2" t="s">
        <v>4224</v>
      </c>
      <c r="N322" s="2" t="s">
        <v>4225</v>
      </c>
      <c r="O322" s="3" t="s">
        <v>2303</v>
      </c>
      <c r="Q322" s="3" t="s">
        <v>68</v>
      </c>
      <c r="R322" s="3" t="s">
        <v>88</v>
      </c>
      <c r="T322" s="3" t="s">
        <v>70</v>
      </c>
      <c r="U322" s="4">
        <v>3</v>
      </c>
      <c r="V322" s="4">
        <v>3</v>
      </c>
      <c r="W322" s="5" t="s">
        <v>4226</v>
      </c>
      <c r="X322" s="5" t="s">
        <v>4226</v>
      </c>
      <c r="Y322" s="5" t="s">
        <v>3611</v>
      </c>
      <c r="Z322" s="5" t="s">
        <v>3611</v>
      </c>
      <c r="AA322" s="4">
        <v>374</v>
      </c>
      <c r="AB322" s="4">
        <v>285</v>
      </c>
      <c r="AC322" s="4">
        <v>356</v>
      </c>
      <c r="AD322" s="4">
        <v>1</v>
      </c>
      <c r="AE322" s="4">
        <v>1</v>
      </c>
      <c r="AF322" s="4">
        <v>16</v>
      </c>
      <c r="AG322" s="4">
        <v>19</v>
      </c>
      <c r="AH322" s="4">
        <v>6</v>
      </c>
      <c r="AI322" s="4">
        <v>7</v>
      </c>
      <c r="AJ322" s="4">
        <v>5</v>
      </c>
      <c r="AK322" s="4">
        <v>6</v>
      </c>
      <c r="AL322" s="4">
        <v>11</v>
      </c>
      <c r="AM322" s="4">
        <v>14</v>
      </c>
      <c r="AN322" s="4">
        <v>0</v>
      </c>
      <c r="AO322" s="4">
        <v>0</v>
      </c>
      <c r="AP322" s="4">
        <v>0</v>
      </c>
      <c r="AQ322" s="4">
        <v>0</v>
      </c>
      <c r="AR322" s="3" t="s">
        <v>62</v>
      </c>
      <c r="AS322" s="3" t="s">
        <v>84</v>
      </c>
      <c r="AT322" s="6" t="str">
        <f>HYPERLINK("http://catalog.hathitrust.org/Record/001397034","HathiTrust Record")</f>
        <v>HathiTrust Record</v>
      </c>
      <c r="AU322" s="6" t="str">
        <f>HYPERLINK("https://creighton-primo.hosted.exlibrisgroup.com/primo-explore/search?tab=default_tab&amp;search_scope=EVERYTHING&amp;vid=01CRU&amp;lang=en_US&amp;offset=0&amp;query=any,contains,991001925439702656","Catalog Record")</f>
        <v>Catalog Record</v>
      </c>
      <c r="AV322" s="6" t="str">
        <f>HYPERLINK("http://www.worldcat.org/oclc/246323","WorldCat Record")</f>
        <v>WorldCat Record</v>
      </c>
      <c r="AW322" s="3" t="s">
        <v>4227</v>
      </c>
      <c r="AX322" s="3" t="s">
        <v>4228</v>
      </c>
      <c r="AY322" s="3" t="s">
        <v>4229</v>
      </c>
      <c r="AZ322" s="3" t="s">
        <v>4229</v>
      </c>
      <c r="BA322" s="3" t="s">
        <v>4230</v>
      </c>
      <c r="BB322" s="3" t="s">
        <v>77</v>
      </c>
      <c r="BE322" s="3" t="s">
        <v>4231</v>
      </c>
      <c r="BF322" s="3" t="s">
        <v>4232</v>
      </c>
    </row>
    <row r="323" spans="1:58" ht="41.25" customHeight="1" x14ac:dyDescent="0.25">
      <c r="A323" s="7" t="s">
        <v>62</v>
      </c>
      <c r="B323" s="2" t="s">
        <v>57</v>
      </c>
      <c r="C323" s="2" t="s">
        <v>58</v>
      </c>
      <c r="D323" s="2" t="s">
        <v>4233</v>
      </c>
      <c r="E323" s="2" t="s">
        <v>4234</v>
      </c>
      <c r="F323" s="2" t="s">
        <v>4235</v>
      </c>
      <c r="H323" s="3" t="s">
        <v>62</v>
      </c>
      <c r="I323" s="3" t="s">
        <v>63</v>
      </c>
      <c r="J323" s="3" t="s">
        <v>62</v>
      </c>
      <c r="K323" s="3" t="s">
        <v>62</v>
      </c>
      <c r="L323" s="3" t="s">
        <v>64</v>
      </c>
      <c r="M323" s="2" t="s">
        <v>4236</v>
      </c>
      <c r="N323" s="2" t="s">
        <v>4237</v>
      </c>
      <c r="O323" s="3" t="s">
        <v>233</v>
      </c>
      <c r="Q323" s="3" t="s">
        <v>68</v>
      </c>
      <c r="R323" s="3" t="s">
        <v>369</v>
      </c>
      <c r="T323" s="3" t="s">
        <v>70</v>
      </c>
      <c r="U323" s="4">
        <v>6</v>
      </c>
      <c r="V323" s="4">
        <v>6</v>
      </c>
      <c r="W323" s="5" t="s">
        <v>4238</v>
      </c>
      <c r="X323" s="5" t="s">
        <v>4238</v>
      </c>
      <c r="Y323" s="5" t="s">
        <v>3611</v>
      </c>
      <c r="Z323" s="5" t="s">
        <v>3611</v>
      </c>
      <c r="AA323" s="4">
        <v>138</v>
      </c>
      <c r="AB323" s="4">
        <v>123</v>
      </c>
      <c r="AC323" s="4">
        <v>123</v>
      </c>
      <c r="AD323" s="4">
        <v>2</v>
      </c>
      <c r="AE323" s="4">
        <v>2</v>
      </c>
      <c r="AF323" s="4">
        <v>13</v>
      </c>
      <c r="AG323" s="4">
        <v>13</v>
      </c>
      <c r="AH323" s="4">
        <v>2</v>
      </c>
      <c r="AI323" s="4">
        <v>2</v>
      </c>
      <c r="AJ323" s="4">
        <v>3</v>
      </c>
      <c r="AK323" s="4">
        <v>3</v>
      </c>
      <c r="AL323" s="4">
        <v>10</v>
      </c>
      <c r="AM323" s="4">
        <v>10</v>
      </c>
      <c r="AN323" s="4">
        <v>1</v>
      </c>
      <c r="AO323" s="4">
        <v>1</v>
      </c>
      <c r="AP323" s="4">
        <v>0</v>
      </c>
      <c r="AQ323" s="4">
        <v>0</v>
      </c>
      <c r="AR323" s="3" t="s">
        <v>62</v>
      </c>
      <c r="AS323" s="3" t="s">
        <v>62</v>
      </c>
      <c r="AU323" s="6" t="str">
        <f>HYPERLINK("https://creighton-primo.hosted.exlibrisgroup.com/primo-explore/search?tab=default_tab&amp;search_scope=EVERYTHING&amp;vid=01CRU&amp;lang=en_US&amp;offset=0&amp;query=any,contains,991005077049702656","Catalog Record")</f>
        <v>Catalog Record</v>
      </c>
      <c r="AV323" s="6" t="str">
        <f>HYPERLINK("http://www.worldcat.org/oclc/7134786","WorldCat Record")</f>
        <v>WorldCat Record</v>
      </c>
      <c r="AW323" s="3" t="s">
        <v>4239</v>
      </c>
      <c r="AX323" s="3" t="s">
        <v>4240</v>
      </c>
      <c r="AY323" s="3" t="s">
        <v>4241</v>
      </c>
      <c r="AZ323" s="3" t="s">
        <v>4241</v>
      </c>
      <c r="BA323" s="3" t="s">
        <v>4242</v>
      </c>
      <c r="BB323" s="3" t="s">
        <v>77</v>
      </c>
      <c r="BD323" s="3" t="s">
        <v>4243</v>
      </c>
      <c r="BE323" s="3" t="s">
        <v>4244</v>
      </c>
      <c r="BF323" s="3" t="s">
        <v>4245</v>
      </c>
    </row>
    <row r="324" spans="1:58" ht="41.25" customHeight="1" x14ac:dyDescent="0.25">
      <c r="A324" s="7" t="s">
        <v>62</v>
      </c>
      <c r="B324" s="2" t="s">
        <v>57</v>
      </c>
      <c r="C324" s="2" t="s">
        <v>58</v>
      </c>
      <c r="D324" s="2" t="s">
        <v>4246</v>
      </c>
      <c r="E324" s="2" t="s">
        <v>4247</v>
      </c>
      <c r="F324" s="2" t="s">
        <v>4248</v>
      </c>
      <c r="H324" s="3" t="s">
        <v>62</v>
      </c>
      <c r="I324" s="3" t="s">
        <v>63</v>
      </c>
      <c r="J324" s="3" t="s">
        <v>62</v>
      </c>
      <c r="K324" s="3" t="s">
        <v>62</v>
      </c>
      <c r="L324" s="3" t="s">
        <v>64</v>
      </c>
      <c r="M324" s="2" t="s">
        <v>4249</v>
      </c>
      <c r="N324" s="2" t="s">
        <v>4250</v>
      </c>
      <c r="O324" s="3" t="s">
        <v>124</v>
      </c>
      <c r="Q324" s="3" t="s">
        <v>68</v>
      </c>
      <c r="R324" s="3" t="s">
        <v>88</v>
      </c>
      <c r="S324" s="2" t="s">
        <v>4251</v>
      </c>
      <c r="T324" s="3" t="s">
        <v>70</v>
      </c>
      <c r="U324" s="4">
        <v>4</v>
      </c>
      <c r="V324" s="4">
        <v>4</v>
      </c>
      <c r="W324" s="5" t="s">
        <v>4252</v>
      </c>
      <c r="X324" s="5" t="s">
        <v>4252</v>
      </c>
      <c r="Y324" s="5" t="s">
        <v>3611</v>
      </c>
      <c r="Z324" s="5" t="s">
        <v>3611</v>
      </c>
      <c r="AA324" s="4">
        <v>454</v>
      </c>
      <c r="AB324" s="4">
        <v>317</v>
      </c>
      <c r="AC324" s="4">
        <v>355</v>
      </c>
      <c r="AD324" s="4">
        <v>2</v>
      </c>
      <c r="AE324" s="4">
        <v>2</v>
      </c>
      <c r="AF324" s="4">
        <v>13</v>
      </c>
      <c r="AG324" s="4">
        <v>14</v>
      </c>
      <c r="AH324" s="4">
        <v>5</v>
      </c>
      <c r="AI324" s="4">
        <v>6</v>
      </c>
      <c r="AJ324" s="4">
        <v>1</v>
      </c>
      <c r="AK324" s="4">
        <v>1</v>
      </c>
      <c r="AL324" s="4">
        <v>11</v>
      </c>
      <c r="AM324" s="4">
        <v>12</v>
      </c>
      <c r="AN324" s="4">
        <v>0</v>
      </c>
      <c r="AO324" s="4">
        <v>0</v>
      </c>
      <c r="AP324" s="4">
        <v>0</v>
      </c>
      <c r="AQ324" s="4">
        <v>0</v>
      </c>
      <c r="AR324" s="3" t="s">
        <v>62</v>
      </c>
      <c r="AS324" s="3" t="s">
        <v>84</v>
      </c>
      <c r="AT324" s="6" t="str">
        <f>HYPERLINK("http://catalog.hathitrust.org/Record/001391275","HathiTrust Record")</f>
        <v>HathiTrust Record</v>
      </c>
      <c r="AU324" s="6" t="str">
        <f>HYPERLINK("https://creighton-primo.hosted.exlibrisgroup.com/primo-explore/search?tab=default_tab&amp;search_scope=EVERYTHING&amp;vid=01CRU&amp;lang=en_US&amp;offset=0&amp;query=any,contains,991002328079702656","Catalog Record")</f>
        <v>Catalog Record</v>
      </c>
      <c r="AV324" s="6" t="str">
        <f>HYPERLINK("http://www.worldcat.org/oclc/321424","WorldCat Record")</f>
        <v>WorldCat Record</v>
      </c>
      <c r="AW324" s="3" t="s">
        <v>4253</v>
      </c>
      <c r="AX324" s="3" t="s">
        <v>4254</v>
      </c>
      <c r="AY324" s="3" t="s">
        <v>4255</v>
      </c>
      <c r="AZ324" s="3" t="s">
        <v>4255</v>
      </c>
      <c r="BA324" s="3" t="s">
        <v>4256</v>
      </c>
      <c r="BB324" s="3" t="s">
        <v>77</v>
      </c>
      <c r="BE324" s="3" t="s">
        <v>4257</v>
      </c>
      <c r="BF324" s="3" t="s">
        <v>4258</v>
      </c>
    </row>
    <row r="325" spans="1:58" ht="41.25" customHeight="1" x14ac:dyDescent="0.25">
      <c r="A325" s="7" t="s">
        <v>62</v>
      </c>
      <c r="B325" s="2" t="s">
        <v>57</v>
      </c>
      <c r="C325" s="2" t="s">
        <v>58</v>
      </c>
      <c r="D325" s="2" t="s">
        <v>4259</v>
      </c>
      <c r="E325" s="2" t="s">
        <v>4260</v>
      </c>
      <c r="F325" s="2" t="s">
        <v>4261</v>
      </c>
      <c r="H325" s="3" t="s">
        <v>62</v>
      </c>
      <c r="I325" s="3" t="s">
        <v>63</v>
      </c>
      <c r="J325" s="3" t="s">
        <v>62</v>
      </c>
      <c r="K325" s="3" t="s">
        <v>62</v>
      </c>
      <c r="L325" s="3" t="s">
        <v>64</v>
      </c>
      <c r="M325" s="2" t="s">
        <v>4262</v>
      </c>
      <c r="N325" s="2" t="s">
        <v>4263</v>
      </c>
      <c r="O325" s="3" t="s">
        <v>404</v>
      </c>
      <c r="Q325" s="3" t="s">
        <v>68</v>
      </c>
      <c r="R325" s="3" t="s">
        <v>888</v>
      </c>
      <c r="T325" s="3" t="s">
        <v>70</v>
      </c>
      <c r="U325" s="4">
        <v>5</v>
      </c>
      <c r="V325" s="4">
        <v>5</v>
      </c>
      <c r="W325" s="5" t="s">
        <v>4264</v>
      </c>
      <c r="X325" s="5" t="s">
        <v>4264</v>
      </c>
      <c r="Y325" s="5" t="s">
        <v>3611</v>
      </c>
      <c r="Z325" s="5" t="s">
        <v>3611</v>
      </c>
      <c r="AA325" s="4">
        <v>472</v>
      </c>
      <c r="AB325" s="4">
        <v>400</v>
      </c>
      <c r="AC325" s="4">
        <v>449</v>
      </c>
      <c r="AD325" s="4">
        <v>3</v>
      </c>
      <c r="AE325" s="4">
        <v>3</v>
      </c>
      <c r="AF325" s="4">
        <v>19</v>
      </c>
      <c r="AG325" s="4">
        <v>22</v>
      </c>
      <c r="AH325" s="4">
        <v>8</v>
      </c>
      <c r="AI325" s="4">
        <v>10</v>
      </c>
      <c r="AJ325" s="4">
        <v>6</v>
      </c>
      <c r="AK325" s="4">
        <v>6</v>
      </c>
      <c r="AL325" s="4">
        <v>11</v>
      </c>
      <c r="AM325" s="4">
        <v>12</v>
      </c>
      <c r="AN325" s="4">
        <v>1</v>
      </c>
      <c r="AO325" s="4">
        <v>1</v>
      </c>
      <c r="AP325" s="4">
        <v>0</v>
      </c>
      <c r="AQ325" s="4">
        <v>0</v>
      </c>
      <c r="AR325" s="3" t="s">
        <v>62</v>
      </c>
      <c r="AS325" s="3" t="s">
        <v>84</v>
      </c>
      <c r="AT325" s="6" t="str">
        <f>HYPERLINK("http://catalog.hathitrust.org/Record/001391279","HathiTrust Record")</f>
        <v>HathiTrust Record</v>
      </c>
      <c r="AU325" s="6" t="str">
        <f>HYPERLINK("https://creighton-primo.hosted.exlibrisgroup.com/primo-explore/search?tab=default_tab&amp;search_scope=EVERYTHING&amp;vid=01CRU&amp;lang=en_US&amp;offset=0&amp;query=any,contains,991003011039702656","Catalog Record")</f>
        <v>Catalog Record</v>
      </c>
      <c r="AV325" s="6" t="str">
        <f>HYPERLINK("http://www.worldcat.org/oclc/577968","WorldCat Record")</f>
        <v>WorldCat Record</v>
      </c>
      <c r="AW325" s="3" t="s">
        <v>4265</v>
      </c>
      <c r="AX325" s="3" t="s">
        <v>4266</v>
      </c>
      <c r="AY325" s="3" t="s">
        <v>4267</v>
      </c>
      <c r="AZ325" s="3" t="s">
        <v>4267</v>
      </c>
      <c r="BA325" s="3" t="s">
        <v>4268</v>
      </c>
      <c r="BB325" s="3" t="s">
        <v>77</v>
      </c>
      <c r="BD325" s="3" t="s">
        <v>4269</v>
      </c>
      <c r="BE325" s="3" t="s">
        <v>4270</v>
      </c>
      <c r="BF325" s="3" t="s">
        <v>4271</v>
      </c>
    </row>
    <row r="326" spans="1:58" ht="41.25" customHeight="1" x14ac:dyDescent="0.25">
      <c r="A326" s="7" t="s">
        <v>62</v>
      </c>
      <c r="B326" s="2" t="s">
        <v>57</v>
      </c>
      <c r="C326" s="2" t="s">
        <v>58</v>
      </c>
      <c r="D326" s="2" t="s">
        <v>4272</v>
      </c>
      <c r="E326" s="2" t="s">
        <v>4273</v>
      </c>
      <c r="F326" s="2" t="s">
        <v>4274</v>
      </c>
      <c r="H326" s="3" t="s">
        <v>62</v>
      </c>
      <c r="I326" s="3" t="s">
        <v>63</v>
      </c>
      <c r="J326" s="3" t="s">
        <v>62</v>
      </c>
      <c r="K326" s="3" t="s">
        <v>62</v>
      </c>
      <c r="L326" s="3" t="s">
        <v>64</v>
      </c>
      <c r="M326" s="2" t="s">
        <v>4275</v>
      </c>
      <c r="N326" s="2" t="s">
        <v>4276</v>
      </c>
      <c r="O326" s="3" t="s">
        <v>1158</v>
      </c>
      <c r="Q326" s="3" t="s">
        <v>68</v>
      </c>
      <c r="R326" s="3" t="s">
        <v>69</v>
      </c>
      <c r="T326" s="3" t="s">
        <v>70</v>
      </c>
      <c r="U326" s="4">
        <v>2</v>
      </c>
      <c r="V326" s="4">
        <v>2</v>
      </c>
      <c r="W326" s="5" t="s">
        <v>4277</v>
      </c>
      <c r="X326" s="5" t="s">
        <v>4277</v>
      </c>
      <c r="Y326" s="5" t="s">
        <v>3611</v>
      </c>
      <c r="Z326" s="5" t="s">
        <v>3611</v>
      </c>
      <c r="AA326" s="4">
        <v>234</v>
      </c>
      <c r="AB326" s="4">
        <v>195</v>
      </c>
      <c r="AC326" s="4">
        <v>201</v>
      </c>
      <c r="AD326" s="4">
        <v>3</v>
      </c>
      <c r="AE326" s="4">
        <v>3</v>
      </c>
      <c r="AF326" s="4">
        <v>24</v>
      </c>
      <c r="AG326" s="4">
        <v>24</v>
      </c>
      <c r="AH326" s="4">
        <v>8</v>
      </c>
      <c r="AI326" s="4">
        <v>8</v>
      </c>
      <c r="AJ326" s="4">
        <v>6</v>
      </c>
      <c r="AK326" s="4">
        <v>6</v>
      </c>
      <c r="AL326" s="4">
        <v>20</v>
      </c>
      <c r="AM326" s="4">
        <v>20</v>
      </c>
      <c r="AN326" s="4">
        <v>1</v>
      </c>
      <c r="AO326" s="4">
        <v>1</v>
      </c>
      <c r="AP326" s="4">
        <v>0</v>
      </c>
      <c r="AQ326" s="4">
        <v>0</v>
      </c>
      <c r="AR326" s="3" t="s">
        <v>62</v>
      </c>
      <c r="AS326" s="3" t="s">
        <v>84</v>
      </c>
      <c r="AT326" s="6" t="str">
        <f>HYPERLINK("http://catalog.hathitrust.org/Record/101870538","HathiTrust Record")</f>
        <v>HathiTrust Record</v>
      </c>
      <c r="AU326" s="6" t="str">
        <f>HYPERLINK("https://creighton-primo.hosted.exlibrisgroup.com/primo-explore/search?tab=default_tab&amp;search_scope=EVERYTHING&amp;vid=01CRU&amp;lang=en_US&amp;offset=0&amp;query=any,contains,991005253919702656","Catalog Record")</f>
        <v>Catalog Record</v>
      </c>
      <c r="AV326" s="6" t="str">
        <f>HYPERLINK("http://www.worldcat.org/oclc/388727","WorldCat Record")</f>
        <v>WorldCat Record</v>
      </c>
      <c r="AW326" s="3" t="s">
        <v>4278</v>
      </c>
      <c r="AX326" s="3" t="s">
        <v>4279</v>
      </c>
      <c r="AY326" s="3" t="s">
        <v>4280</v>
      </c>
      <c r="AZ326" s="3" t="s">
        <v>4280</v>
      </c>
      <c r="BA326" s="3" t="s">
        <v>4281</v>
      </c>
      <c r="BB326" s="3" t="s">
        <v>77</v>
      </c>
      <c r="BD326" s="3" t="s">
        <v>4282</v>
      </c>
      <c r="BE326" s="3" t="s">
        <v>4283</v>
      </c>
      <c r="BF326" s="3" t="s">
        <v>4284</v>
      </c>
    </row>
    <row r="327" spans="1:58" ht="41.25" customHeight="1" x14ac:dyDescent="0.25">
      <c r="A327" s="7" t="s">
        <v>62</v>
      </c>
      <c r="B327" s="2" t="s">
        <v>57</v>
      </c>
      <c r="C327" s="2" t="s">
        <v>58</v>
      </c>
      <c r="D327" s="2" t="s">
        <v>4285</v>
      </c>
      <c r="E327" s="2" t="s">
        <v>4286</v>
      </c>
      <c r="F327" s="2" t="s">
        <v>4287</v>
      </c>
      <c r="H327" s="3" t="s">
        <v>62</v>
      </c>
      <c r="I327" s="3" t="s">
        <v>63</v>
      </c>
      <c r="J327" s="3" t="s">
        <v>62</v>
      </c>
      <c r="K327" s="3" t="s">
        <v>62</v>
      </c>
      <c r="L327" s="3" t="s">
        <v>64</v>
      </c>
      <c r="M327" s="2" t="s">
        <v>4288</v>
      </c>
      <c r="N327" s="2" t="s">
        <v>4289</v>
      </c>
      <c r="O327" s="3" t="s">
        <v>1012</v>
      </c>
      <c r="Q327" s="3" t="s">
        <v>68</v>
      </c>
      <c r="R327" s="3" t="s">
        <v>88</v>
      </c>
      <c r="T327" s="3" t="s">
        <v>70</v>
      </c>
      <c r="U327" s="4">
        <v>2</v>
      </c>
      <c r="V327" s="4">
        <v>2</v>
      </c>
      <c r="W327" s="5" t="s">
        <v>4290</v>
      </c>
      <c r="X327" s="5" t="s">
        <v>4290</v>
      </c>
      <c r="Y327" s="5" t="s">
        <v>3611</v>
      </c>
      <c r="Z327" s="5" t="s">
        <v>3611</v>
      </c>
      <c r="AA327" s="4">
        <v>117</v>
      </c>
      <c r="AB327" s="4">
        <v>107</v>
      </c>
      <c r="AC327" s="4">
        <v>332</v>
      </c>
      <c r="AD327" s="4">
        <v>1</v>
      </c>
      <c r="AE327" s="4">
        <v>2</v>
      </c>
      <c r="AF327" s="4">
        <v>5</v>
      </c>
      <c r="AG327" s="4">
        <v>17</v>
      </c>
      <c r="AH327" s="4">
        <v>1</v>
      </c>
      <c r="AI327" s="4">
        <v>4</v>
      </c>
      <c r="AJ327" s="4">
        <v>1</v>
      </c>
      <c r="AK327" s="4">
        <v>6</v>
      </c>
      <c r="AL327" s="4">
        <v>4</v>
      </c>
      <c r="AM327" s="4">
        <v>9</v>
      </c>
      <c r="AN327" s="4">
        <v>0</v>
      </c>
      <c r="AO327" s="4">
        <v>1</v>
      </c>
      <c r="AP327" s="4">
        <v>0</v>
      </c>
      <c r="AQ327" s="4">
        <v>0</v>
      </c>
      <c r="AR327" s="3" t="s">
        <v>62</v>
      </c>
      <c r="AS327" s="3" t="s">
        <v>62</v>
      </c>
      <c r="AU327" s="6" t="str">
        <f>HYPERLINK("https://creighton-primo.hosted.exlibrisgroup.com/primo-explore/search?tab=default_tab&amp;search_scope=EVERYTHING&amp;vid=01CRU&amp;lang=en_US&amp;offset=0&amp;query=any,contains,991002611129702656","Catalog Record")</f>
        <v>Catalog Record</v>
      </c>
      <c r="AV327" s="6" t="str">
        <f>HYPERLINK("http://www.worldcat.org/oclc/377885","WorldCat Record")</f>
        <v>WorldCat Record</v>
      </c>
      <c r="AW327" s="3" t="s">
        <v>4291</v>
      </c>
      <c r="AX327" s="3" t="s">
        <v>4292</v>
      </c>
      <c r="AY327" s="3" t="s">
        <v>4293</v>
      </c>
      <c r="AZ327" s="3" t="s">
        <v>4293</v>
      </c>
      <c r="BA327" s="3" t="s">
        <v>4294</v>
      </c>
      <c r="BB327" s="3" t="s">
        <v>77</v>
      </c>
      <c r="BE327" s="3" t="s">
        <v>4295</v>
      </c>
      <c r="BF327" s="3" t="s">
        <v>4296</v>
      </c>
    </row>
    <row r="328" spans="1:58" ht="41.25" customHeight="1" x14ac:dyDescent="0.25">
      <c r="A328" s="7" t="s">
        <v>62</v>
      </c>
      <c r="B328" s="2" t="s">
        <v>57</v>
      </c>
      <c r="C328" s="2" t="s">
        <v>58</v>
      </c>
      <c r="D328" s="2" t="s">
        <v>4297</v>
      </c>
      <c r="E328" s="2" t="s">
        <v>4298</v>
      </c>
      <c r="F328" s="2" t="s">
        <v>4299</v>
      </c>
      <c r="H328" s="3" t="s">
        <v>62</v>
      </c>
      <c r="I328" s="3" t="s">
        <v>63</v>
      </c>
      <c r="J328" s="3" t="s">
        <v>62</v>
      </c>
      <c r="K328" s="3" t="s">
        <v>62</v>
      </c>
      <c r="L328" s="3" t="s">
        <v>64</v>
      </c>
      <c r="M328" s="2" t="s">
        <v>4300</v>
      </c>
      <c r="N328" s="2" t="s">
        <v>4301</v>
      </c>
      <c r="O328" s="3" t="s">
        <v>1805</v>
      </c>
      <c r="Q328" s="3" t="s">
        <v>68</v>
      </c>
      <c r="R328" s="3" t="s">
        <v>69</v>
      </c>
      <c r="T328" s="3" t="s">
        <v>70</v>
      </c>
      <c r="U328" s="4">
        <v>1</v>
      </c>
      <c r="V328" s="4">
        <v>1</v>
      </c>
      <c r="W328" s="5" t="s">
        <v>4302</v>
      </c>
      <c r="X328" s="5" t="s">
        <v>4302</v>
      </c>
      <c r="Y328" s="5" t="s">
        <v>4303</v>
      </c>
      <c r="Z328" s="5" t="s">
        <v>4303</v>
      </c>
      <c r="AA328" s="4">
        <v>115</v>
      </c>
      <c r="AB328" s="4">
        <v>90</v>
      </c>
      <c r="AC328" s="4">
        <v>805</v>
      </c>
      <c r="AD328" s="4">
        <v>1</v>
      </c>
      <c r="AE328" s="4">
        <v>9</v>
      </c>
      <c r="AF328" s="4">
        <v>5</v>
      </c>
      <c r="AG328" s="4">
        <v>47</v>
      </c>
      <c r="AH328" s="4">
        <v>1</v>
      </c>
      <c r="AI328" s="4">
        <v>18</v>
      </c>
      <c r="AJ328" s="4">
        <v>1</v>
      </c>
      <c r="AK328" s="4">
        <v>10</v>
      </c>
      <c r="AL328" s="4">
        <v>4</v>
      </c>
      <c r="AM328" s="4">
        <v>27</v>
      </c>
      <c r="AN328" s="4">
        <v>0</v>
      </c>
      <c r="AO328" s="4">
        <v>6</v>
      </c>
      <c r="AP328" s="4">
        <v>0</v>
      </c>
      <c r="AQ328" s="4">
        <v>0</v>
      </c>
      <c r="AR328" s="3" t="s">
        <v>62</v>
      </c>
      <c r="AS328" s="3" t="s">
        <v>62</v>
      </c>
      <c r="AU328" s="6" t="str">
        <f>HYPERLINK("https://creighton-primo.hosted.exlibrisgroup.com/primo-explore/search?tab=default_tab&amp;search_scope=EVERYTHING&amp;vid=01CRU&amp;lang=en_US&amp;offset=0&amp;query=any,contains,991000053539702656","Catalog Record")</f>
        <v>Catalog Record</v>
      </c>
      <c r="AV328" s="6" t="str">
        <f>HYPERLINK("http://www.worldcat.org/oclc/8695375","WorldCat Record")</f>
        <v>WorldCat Record</v>
      </c>
      <c r="AW328" s="3" t="s">
        <v>4304</v>
      </c>
      <c r="AX328" s="3" t="s">
        <v>4305</v>
      </c>
      <c r="AY328" s="3" t="s">
        <v>4306</v>
      </c>
      <c r="AZ328" s="3" t="s">
        <v>4306</v>
      </c>
      <c r="BA328" s="3" t="s">
        <v>4307</v>
      </c>
      <c r="BB328" s="3" t="s">
        <v>77</v>
      </c>
      <c r="BE328" s="3" t="s">
        <v>4308</v>
      </c>
      <c r="BF328" s="3" t="s">
        <v>4309</v>
      </c>
    </row>
    <row r="329" spans="1:58" ht="41.25" customHeight="1" x14ac:dyDescent="0.25">
      <c r="A329" s="7" t="s">
        <v>62</v>
      </c>
      <c r="B329" s="2" t="s">
        <v>57</v>
      </c>
      <c r="C329" s="2" t="s">
        <v>58</v>
      </c>
      <c r="D329" s="2" t="s">
        <v>4310</v>
      </c>
      <c r="E329" s="2" t="s">
        <v>4311</v>
      </c>
      <c r="F329" s="2" t="s">
        <v>4312</v>
      </c>
      <c r="H329" s="3" t="s">
        <v>62</v>
      </c>
      <c r="I329" s="3" t="s">
        <v>63</v>
      </c>
      <c r="J329" s="3" t="s">
        <v>62</v>
      </c>
      <c r="K329" s="3" t="s">
        <v>62</v>
      </c>
      <c r="L329" s="3" t="s">
        <v>64</v>
      </c>
      <c r="M329" s="2" t="s">
        <v>4313</v>
      </c>
      <c r="N329" s="2" t="s">
        <v>4314</v>
      </c>
      <c r="O329" s="3" t="s">
        <v>355</v>
      </c>
      <c r="Q329" s="3" t="s">
        <v>68</v>
      </c>
      <c r="R329" s="3" t="s">
        <v>888</v>
      </c>
      <c r="T329" s="3" t="s">
        <v>70</v>
      </c>
      <c r="U329" s="4">
        <v>1</v>
      </c>
      <c r="V329" s="4">
        <v>1</v>
      </c>
      <c r="W329" s="5" t="s">
        <v>4315</v>
      </c>
      <c r="X329" s="5" t="s">
        <v>4315</v>
      </c>
      <c r="Y329" s="5" t="s">
        <v>3611</v>
      </c>
      <c r="Z329" s="5" t="s">
        <v>3611</v>
      </c>
      <c r="AA329" s="4">
        <v>413</v>
      </c>
      <c r="AB329" s="4">
        <v>363</v>
      </c>
      <c r="AC329" s="4">
        <v>370</v>
      </c>
      <c r="AD329" s="4">
        <v>5</v>
      </c>
      <c r="AE329" s="4">
        <v>5</v>
      </c>
      <c r="AF329" s="4">
        <v>21</v>
      </c>
      <c r="AG329" s="4">
        <v>21</v>
      </c>
      <c r="AH329" s="4">
        <v>8</v>
      </c>
      <c r="AI329" s="4">
        <v>8</v>
      </c>
      <c r="AJ329" s="4">
        <v>2</v>
      </c>
      <c r="AK329" s="4">
        <v>2</v>
      </c>
      <c r="AL329" s="4">
        <v>10</v>
      </c>
      <c r="AM329" s="4">
        <v>10</v>
      </c>
      <c r="AN329" s="4">
        <v>4</v>
      </c>
      <c r="AO329" s="4">
        <v>4</v>
      </c>
      <c r="AP329" s="4">
        <v>0</v>
      </c>
      <c r="AQ329" s="4">
        <v>0</v>
      </c>
      <c r="AR329" s="3" t="s">
        <v>62</v>
      </c>
      <c r="AS329" s="3" t="s">
        <v>84</v>
      </c>
      <c r="AT329" s="6" t="str">
        <f>HYPERLINK("http://catalog.hathitrust.org/Record/001391292","HathiTrust Record")</f>
        <v>HathiTrust Record</v>
      </c>
      <c r="AU329" s="6" t="str">
        <f>HYPERLINK("https://creighton-primo.hosted.exlibrisgroup.com/primo-explore/search?tab=default_tab&amp;search_scope=EVERYTHING&amp;vid=01CRU&amp;lang=en_US&amp;offset=0&amp;query=any,contains,991002326289702656","Catalog Record")</f>
        <v>Catalog Record</v>
      </c>
      <c r="AV329" s="6" t="str">
        <f>HYPERLINK("http://www.worldcat.org/oclc/320963","WorldCat Record")</f>
        <v>WorldCat Record</v>
      </c>
      <c r="AW329" s="3" t="s">
        <v>4316</v>
      </c>
      <c r="AX329" s="3" t="s">
        <v>4317</v>
      </c>
      <c r="AY329" s="3" t="s">
        <v>4318</v>
      </c>
      <c r="AZ329" s="3" t="s">
        <v>4318</v>
      </c>
      <c r="BA329" s="3" t="s">
        <v>4319</v>
      </c>
      <c r="BB329" s="3" t="s">
        <v>77</v>
      </c>
      <c r="BE329" s="3" t="s">
        <v>4320</v>
      </c>
      <c r="BF329" s="3" t="s">
        <v>4321</v>
      </c>
    </row>
    <row r="330" spans="1:58" ht="41.25" customHeight="1" x14ac:dyDescent="0.25">
      <c r="A330" s="7" t="s">
        <v>62</v>
      </c>
      <c r="B330" s="2" t="s">
        <v>57</v>
      </c>
      <c r="C330" s="2" t="s">
        <v>58</v>
      </c>
      <c r="D330" s="2" t="s">
        <v>4322</v>
      </c>
      <c r="E330" s="2" t="s">
        <v>4323</v>
      </c>
      <c r="F330" s="2" t="s">
        <v>4324</v>
      </c>
      <c r="H330" s="3" t="s">
        <v>62</v>
      </c>
      <c r="I330" s="3" t="s">
        <v>63</v>
      </c>
      <c r="J330" s="3" t="s">
        <v>62</v>
      </c>
      <c r="K330" s="3" t="s">
        <v>62</v>
      </c>
      <c r="L330" s="3" t="s">
        <v>64</v>
      </c>
      <c r="N330" s="2" t="s">
        <v>4325</v>
      </c>
      <c r="O330" s="3" t="s">
        <v>1805</v>
      </c>
      <c r="Q330" s="3" t="s">
        <v>68</v>
      </c>
      <c r="R330" s="3" t="s">
        <v>1653</v>
      </c>
      <c r="S330" s="2" t="s">
        <v>4326</v>
      </c>
      <c r="T330" s="3" t="s">
        <v>70</v>
      </c>
      <c r="U330" s="4">
        <v>5</v>
      </c>
      <c r="V330" s="4">
        <v>5</v>
      </c>
      <c r="W330" s="5" t="s">
        <v>4327</v>
      </c>
      <c r="X330" s="5" t="s">
        <v>4327</v>
      </c>
      <c r="Y330" s="5" t="s">
        <v>3611</v>
      </c>
      <c r="Z330" s="5" t="s">
        <v>3611</v>
      </c>
      <c r="AA330" s="4">
        <v>606</v>
      </c>
      <c r="AB330" s="4">
        <v>531</v>
      </c>
      <c r="AC330" s="4">
        <v>532</v>
      </c>
      <c r="AD330" s="4">
        <v>6</v>
      </c>
      <c r="AE330" s="4">
        <v>6</v>
      </c>
      <c r="AF330" s="4">
        <v>34</v>
      </c>
      <c r="AG330" s="4">
        <v>34</v>
      </c>
      <c r="AH330" s="4">
        <v>11</v>
      </c>
      <c r="AI330" s="4">
        <v>11</v>
      </c>
      <c r="AJ330" s="4">
        <v>9</v>
      </c>
      <c r="AK330" s="4">
        <v>9</v>
      </c>
      <c r="AL330" s="4">
        <v>19</v>
      </c>
      <c r="AM330" s="4">
        <v>19</v>
      </c>
      <c r="AN330" s="4">
        <v>4</v>
      </c>
      <c r="AO330" s="4">
        <v>4</v>
      </c>
      <c r="AP330" s="4">
        <v>0</v>
      </c>
      <c r="AQ330" s="4">
        <v>0</v>
      </c>
      <c r="AR330" s="3" t="s">
        <v>62</v>
      </c>
      <c r="AS330" s="3" t="s">
        <v>84</v>
      </c>
      <c r="AT330" s="6" t="str">
        <f>HYPERLINK("http://catalog.hathitrust.org/Record/000153125","HathiTrust Record")</f>
        <v>HathiTrust Record</v>
      </c>
      <c r="AU330" s="6" t="str">
        <f>HYPERLINK("https://creighton-primo.hosted.exlibrisgroup.com/primo-explore/search?tab=default_tab&amp;search_scope=EVERYTHING&amp;vid=01CRU&amp;lang=en_US&amp;offset=0&amp;query=any,contains,991005242029702656","Catalog Record")</f>
        <v>Catalog Record</v>
      </c>
      <c r="AV330" s="6" t="str">
        <f>HYPERLINK("http://www.worldcat.org/oclc/8430301","WorldCat Record")</f>
        <v>WorldCat Record</v>
      </c>
      <c r="AW330" s="3" t="s">
        <v>4328</v>
      </c>
      <c r="AX330" s="3" t="s">
        <v>4329</v>
      </c>
      <c r="AY330" s="3" t="s">
        <v>4330</v>
      </c>
      <c r="AZ330" s="3" t="s">
        <v>4330</v>
      </c>
      <c r="BA330" s="3" t="s">
        <v>4331</v>
      </c>
      <c r="BB330" s="3" t="s">
        <v>77</v>
      </c>
      <c r="BD330" s="3" t="s">
        <v>4332</v>
      </c>
      <c r="BE330" s="3" t="s">
        <v>4333</v>
      </c>
      <c r="BF330" s="3" t="s">
        <v>4334</v>
      </c>
    </row>
    <row r="331" spans="1:58" ht="41.25" customHeight="1" x14ac:dyDescent="0.25">
      <c r="A331" s="7" t="s">
        <v>62</v>
      </c>
      <c r="B331" s="2" t="s">
        <v>57</v>
      </c>
      <c r="C331" s="2" t="s">
        <v>58</v>
      </c>
      <c r="D331" s="2" t="s">
        <v>4335</v>
      </c>
      <c r="E331" s="2" t="s">
        <v>4336</v>
      </c>
      <c r="F331" s="2" t="s">
        <v>4337</v>
      </c>
      <c r="H331" s="3" t="s">
        <v>62</v>
      </c>
      <c r="I331" s="3" t="s">
        <v>63</v>
      </c>
      <c r="J331" s="3" t="s">
        <v>62</v>
      </c>
      <c r="K331" s="3" t="s">
        <v>62</v>
      </c>
      <c r="L331" s="3" t="s">
        <v>64</v>
      </c>
      <c r="M331" s="2" t="s">
        <v>4338</v>
      </c>
      <c r="N331" s="2" t="s">
        <v>4339</v>
      </c>
      <c r="O331" s="3" t="s">
        <v>1533</v>
      </c>
      <c r="Q331" s="3" t="s">
        <v>68</v>
      </c>
      <c r="R331" s="3" t="s">
        <v>69</v>
      </c>
      <c r="S331" s="2" t="s">
        <v>671</v>
      </c>
      <c r="T331" s="3" t="s">
        <v>70</v>
      </c>
      <c r="U331" s="4">
        <v>4</v>
      </c>
      <c r="V331" s="4">
        <v>4</v>
      </c>
      <c r="W331" s="5" t="s">
        <v>371</v>
      </c>
      <c r="X331" s="5" t="s">
        <v>371</v>
      </c>
      <c r="Y331" s="5" t="s">
        <v>4340</v>
      </c>
      <c r="Z331" s="5" t="s">
        <v>4340</v>
      </c>
      <c r="AA331" s="4">
        <v>223</v>
      </c>
      <c r="AB331" s="4">
        <v>207</v>
      </c>
      <c r="AC331" s="4">
        <v>569</v>
      </c>
      <c r="AD331" s="4">
        <v>1</v>
      </c>
      <c r="AE331" s="4">
        <v>2</v>
      </c>
      <c r="AF331" s="4">
        <v>13</v>
      </c>
      <c r="AG331" s="4">
        <v>34</v>
      </c>
      <c r="AH331" s="4">
        <v>2</v>
      </c>
      <c r="AI331" s="4">
        <v>14</v>
      </c>
      <c r="AJ331" s="4">
        <v>2</v>
      </c>
      <c r="AK331" s="4">
        <v>9</v>
      </c>
      <c r="AL331" s="4">
        <v>12</v>
      </c>
      <c r="AM331" s="4">
        <v>24</v>
      </c>
      <c r="AN331" s="4">
        <v>0</v>
      </c>
      <c r="AO331" s="4">
        <v>1</v>
      </c>
      <c r="AP331" s="4">
        <v>0</v>
      </c>
      <c r="AQ331" s="4">
        <v>0</v>
      </c>
      <c r="AR331" s="3" t="s">
        <v>62</v>
      </c>
      <c r="AS331" s="3" t="s">
        <v>62</v>
      </c>
      <c r="AU331" s="6" t="str">
        <f>HYPERLINK("https://creighton-primo.hosted.exlibrisgroup.com/primo-explore/search?tab=default_tab&amp;search_scope=EVERYTHING&amp;vid=01CRU&amp;lang=en_US&amp;offset=0&amp;query=any,contains,991003264419702656","Catalog Record")</f>
        <v>Catalog Record</v>
      </c>
      <c r="AV331" s="6" t="str">
        <f>HYPERLINK("http://www.worldcat.org/oclc/790269","WorldCat Record")</f>
        <v>WorldCat Record</v>
      </c>
      <c r="AW331" s="3" t="s">
        <v>4341</v>
      </c>
      <c r="AX331" s="3" t="s">
        <v>4342</v>
      </c>
      <c r="AY331" s="3" t="s">
        <v>4343</v>
      </c>
      <c r="AZ331" s="3" t="s">
        <v>4343</v>
      </c>
      <c r="BA331" s="3" t="s">
        <v>4344</v>
      </c>
      <c r="BB331" s="3" t="s">
        <v>77</v>
      </c>
      <c r="BD331" s="3" t="s">
        <v>4345</v>
      </c>
      <c r="BE331" s="3" t="s">
        <v>4346</v>
      </c>
      <c r="BF331" s="3" t="s">
        <v>4347</v>
      </c>
    </row>
    <row r="332" spans="1:58" ht="41.25" customHeight="1" x14ac:dyDescent="0.25">
      <c r="A332" s="7" t="s">
        <v>62</v>
      </c>
      <c r="B332" s="2" t="s">
        <v>57</v>
      </c>
      <c r="C332" s="2" t="s">
        <v>58</v>
      </c>
      <c r="D332" s="2" t="s">
        <v>4348</v>
      </c>
      <c r="E332" s="2" t="s">
        <v>4349</v>
      </c>
      <c r="F332" s="2" t="s">
        <v>4350</v>
      </c>
      <c r="H332" s="3" t="s">
        <v>62</v>
      </c>
      <c r="I332" s="3" t="s">
        <v>63</v>
      </c>
      <c r="J332" s="3" t="s">
        <v>62</v>
      </c>
      <c r="K332" s="3" t="s">
        <v>62</v>
      </c>
      <c r="L332" s="3" t="s">
        <v>64</v>
      </c>
      <c r="M332" s="2" t="s">
        <v>4351</v>
      </c>
      <c r="N332" s="2" t="s">
        <v>4352</v>
      </c>
      <c r="O332" s="3" t="s">
        <v>267</v>
      </c>
      <c r="Q332" s="3" t="s">
        <v>68</v>
      </c>
      <c r="R332" s="3" t="s">
        <v>138</v>
      </c>
      <c r="T332" s="3" t="s">
        <v>70</v>
      </c>
      <c r="U332" s="4">
        <v>1</v>
      </c>
      <c r="V332" s="4">
        <v>1</v>
      </c>
      <c r="W332" s="5" t="s">
        <v>4353</v>
      </c>
      <c r="X332" s="5" t="s">
        <v>4353</v>
      </c>
      <c r="Y332" s="5" t="s">
        <v>3611</v>
      </c>
      <c r="Z332" s="5" t="s">
        <v>3611</v>
      </c>
      <c r="AA332" s="4">
        <v>553</v>
      </c>
      <c r="AB332" s="4">
        <v>482</v>
      </c>
      <c r="AC332" s="4">
        <v>521</v>
      </c>
      <c r="AD332" s="4">
        <v>2</v>
      </c>
      <c r="AE332" s="4">
        <v>3</v>
      </c>
      <c r="AF332" s="4">
        <v>27</v>
      </c>
      <c r="AG332" s="4">
        <v>28</v>
      </c>
      <c r="AH332" s="4">
        <v>7</v>
      </c>
      <c r="AI332" s="4">
        <v>7</v>
      </c>
      <c r="AJ332" s="4">
        <v>10</v>
      </c>
      <c r="AK332" s="4">
        <v>10</v>
      </c>
      <c r="AL332" s="4">
        <v>17</v>
      </c>
      <c r="AM332" s="4">
        <v>18</v>
      </c>
      <c r="AN332" s="4">
        <v>1</v>
      </c>
      <c r="AO332" s="4">
        <v>1</v>
      </c>
      <c r="AP332" s="4">
        <v>0</v>
      </c>
      <c r="AQ332" s="4">
        <v>0</v>
      </c>
      <c r="AR332" s="3" t="s">
        <v>62</v>
      </c>
      <c r="AS332" s="3" t="s">
        <v>62</v>
      </c>
      <c r="AU332" s="6" t="str">
        <f>HYPERLINK("https://creighton-primo.hosted.exlibrisgroup.com/primo-explore/search?tab=default_tab&amp;search_scope=EVERYTHING&amp;vid=01CRU&amp;lang=en_US&amp;offset=0&amp;query=any,contains,991002326369702656","Catalog Record")</f>
        <v>Catalog Record</v>
      </c>
      <c r="AV332" s="6" t="str">
        <f>HYPERLINK("http://www.worldcat.org/oclc/320973","WorldCat Record")</f>
        <v>WorldCat Record</v>
      </c>
      <c r="AW332" s="3" t="s">
        <v>4354</v>
      </c>
      <c r="AX332" s="3" t="s">
        <v>4355</v>
      </c>
      <c r="AY332" s="3" t="s">
        <v>4356</v>
      </c>
      <c r="AZ332" s="3" t="s">
        <v>4356</v>
      </c>
      <c r="BA332" s="3" t="s">
        <v>4357</v>
      </c>
      <c r="BB332" s="3" t="s">
        <v>77</v>
      </c>
      <c r="BE332" s="3" t="s">
        <v>4358</v>
      </c>
      <c r="BF332" s="3" t="s">
        <v>4359</v>
      </c>
    </row>
    <row r="333" spans="1:58" ht="41.25" customHeight="1" x14ac:dyDescent="0.25">
      <c r="A333" s="7" t="s">
        <v>62</v>
      </c>
      <c r="B333" s="2" t="s">
        <v>57</v>
      </c>
      <c r="C333" s="2" t="s">
        <v>58</v>
      </c>
      <c r="D333" s="2" t="s">
        <v>4360</v>
      </c>
      <c r="E333" s="2" t="s">
        <v>4361</v>
      </c>
      <c r="F333" s="2" t="s">
        <v>4362</v>
      </c>
      <c r="H333" s="3" t="s">
        <v>62</v>
      </c>
      <c r="I333" s="3" t="s">
        <v>63</v>
      </c>
      <c r="J333" s="3" t="s">
        <v>62</v>
      </c>
      <c r="K333" s="3" t="s">
        <v>62</v>
      </c>
      <c r="L333" s="3" t="s">
        <v>64</v>
      </c>
      <c r="M333" s="2" t="s">
        <v>4363</v>
      </c>
      <c r="N333" s="2" t="s">
        <v>4364</v>
      </c>
      <c r="O333" s="3" t="s">
        <v>1820</v>
      </c>
      <c r="Q333" s="3" t="s">
        <v>68</v>
      </c>
      <c r="R333" s="3" t="s">
        <v>219</v>
      </c>
      <c r="S333" s="2" t="s">
        <v>4365</v>
      </c>
      <c r="T333" s="3" t="s">
        <v>70</v>
      </c>
      <c r="U333" s="4">
        <v>4</v>
      </c>
      <c r="V333" s="4">
        <v>4</v>
      </c>
      <c r="W333" s="5" t="s">
        <v>4366</v>
      </c>
      <c r="X333" s="5" t="s">
        <v>4366</v>
      </c>
      <c r="Y333" s="5" t="s">
        <v>3611</v>
      </c>
      <c r="Z333" s="5" t="s">
        <v>3611</v>
      </c>
      <c r="AA333" s="4">
        <v>380</v>
      </c>
      <c r="AB333" s="4">
        <v>339</v>
      </c>
      <c r="AC333" s="4">
        <v>344</v>
      </c>
      <c r="AD333" s="4">
        <v>4</v>
      </c>
      <c r="AE333" s="4">
        <v>4</v>
      </c>
      <c r="AF333" s="4">
        <v>21</v>
      </c>
      <c r="AG333" s="4">
        <v>21</v>
      </c>
      <c r="AH333" s="4">
        <v>9</v>
      </c>
      <c r="AI333" s="4">
        <v>9</v>
      </c>
      <c r="AJ333" s="4">
        <v>3</v>
      </c>
      <c r="AK333" s="4">
        <v>3</v>
      </c>
      <c r="AL333" s="4">
        <v>12</v>
      </c>
      <c r="AM333" s="4">
        <v>12</v>
      </c>
      <c r="AN333" s="4">
        <v>2</v>
      </c>
      <c r="AO333" s="4">
        <v>2</v>
      </c>
      <c r="AP333" s="4">
        <v>0</v>
      </c>
      <c r="AQ333" s="4">
        <v>0</v>
      </c>
      <c r="AR333" s="3" t="s">
        <v>62</v>
      </c>
      <c r="AS333" s="3" t="s">
        <v>62</v>
      </c>
      <c r="AU333" s="6" t="str">
        <f>HYPERLINK("https://creighton-primo.hosted.exlibrisgroup.com/primo-explore/search?tab=default_tab&amp;search_scope=EVERYTHING&amp;vid=01CRU&amp;lang=en_US&amp;offset=0&amp;query=any,contains,991004808289702656","Catalog Record")</f>
        <v>Catalog Record</v>
      </c>
      <c r="AV333" s="6" t="str">
        <f>HYPERLINK("http://www.worldcat.org/oclc/5264393","WorldCat Record")</f>
        <v>WorldCat Record</v>
      </c>
      <c r="AW333" s="3" t="s">
        <v>4367</v>
      </c>
      <c r="AX333" s="3" t="s">
        <v>4368</v>
      </c>
      <c r="AY333" s="3" t="s">
        <v>4369</v>
      </c>
      <c r="AZ333" s="3" t="s">
        <v>4369</v>
      </c>
      <c r="BA333" s="3" t="s">
        <v>4370</v>
      </c>
      <c r="BB333" s="3" t="s">
        <v>77</v>
      </c>
      <c r="BD333" s="3" t="s">
        <v>4371</v>
      </c>
      <c r="BE333" s="3" t="s">
        <v>4372</v>
      </c>
      <c r="BF333" s="3" t="s">
        <v>4373</v>
      </c>
    </row>
    <row r="334" spans="1:58" ht="41.25" customHeight="1" x14ac:dyDescent="0.25">
      <c r="A334" s="7" t="s">
        <v>62</v>
      </c>
      <c r="B334" s="2" t="s">
        <v>57</v>
      </c>
      <c r="C334" s="2" t="s">
        <v>58</v>
      </c>
      <c r="D334" s="2" t="s">
        <v>4374</v>
      </c>
      <c r="E334" s="2" t="s">
        <v>4375</v>
      </c>
      <c r="F334" s="2" t="s">
        <v>4376</v>
      </c>
      <c r="H334" s="3" t="s">
        <v>62</v>
      </c>
      <c r="I334" s="3" t="s">
        <v>63</v>
      </c>
      <c r="J334" s="3" t="s">
        <v>62</v>
      </c>
      <c r="K334" s="3" t="s">
        <v>62</v>
      </c>
      <c r="L334" s="3" t="s">
        <v>64</v>
      </c>
      <c r="M334" s="2" t="s">
        <v>4377</v>
      </c>
      <c r="N334" s="2" t="s">
        <v>4378</v>
      </c>
      <c r="O334" s="3" t="s">
        <v>137</v>
      </c>
      <c r="Q334" s="3" t="s">
        <v>68</v>
      </c>
      <c r="R334" s="3" t="s">
        <v>69</v>
      </c>
      <c r="S334" s="2" t="s">
        <v>4379</v>
      </c>
      <c r="T334" s="3" t="s">
        <v>70</v>
      </c>
      <c r="U334" s="4">
        <v>1</v>
      </c>
      <c r="V334" s="4">
        <v>1</v>
      </c>
      <c r="W334" s="5" t="s">
        <v>1793</v>
      </c>
      <c r="X334" s="5" t="s">
        <v>1793</v>
      </c>
      <c r="Y334" s="5" t="s">
        <v>3611</v>
      </c>
      <c r="Z334" s="5" t="s">
        <v>3611</v>
      </c>
      <c r="AA334" s="4">
        <v>416</v>
      </c>
      <c r="AB334" s="4">
        <v>370</v>
      </c>
      <c r="AC334" s="4">
        <v>558</v>
      </c>
      <c r="AD334" s="4">
        <v>2</v>
      </c>
      <c r="AE334" s="4">
        <v>3</v>
      </c>
      <c r="AF334" s="4">
        <v>23</v>
      </c>
      <c r="AG334" s="4">
        <v>31</v>
      </c>
      <c r="AH334" s="4">
        <v>8</v>
      </c>
      <c r="AI334" s="4">
        <v>12</v>
      </c>
      <c r="AJ334" s="4">
        <v>6</v>
      </c>
      <c r="AK334" s="4">
        <v>9</v>
      </c>
      <c r="AL334" s="4">
        <v>18</v>
      </c>
      <c r="AM334" s="4">
        <v>19</v>
      </c>
      <c r="AN334" s="4">
        <v>1</v>
      </c>
      <c r="AO334" s="4">
        <v>2</v>
      </c>
      <c r="AP334" s="4">
        <v>0</v>
      </c>
      <c r="AQ334" s="4">
        <v>0</v>
      </c>
      <c r="AR334" s="3" t="s">
        <v>62</v>
      </c>
      <c r="AS334" s="3" t="s">
        <v>84</v>
      </c>
      <c r="AT334" s="6" t="str">
        <f>HYPERLINK("http://catalog.hathitrust.org/Record/000307857","HathiTrust Record")</f>
        <v>HathiTrust Record</v>
      </c>
      <c r="AU334" s="6" t="str">
        <f>HYPERLINK("https://creighton-primo.hosted.exlibrisgroup.com/primo-explore/search?tab=default_tab&amp;search_scope=EVERYTHING&amp;vid=01CRU&amp;lang=en_US&amp;offset=0&amp;query=any,contains,991005147019702656","Catalog Record")</f>
        <v>Catalog Record</v>
      </c>
      <c r="AV334" s="6" t="str">
        <f>HYPERLINK("http://www.worldcat.org/oclc/7672032","WorldCat Record")</f>
        <v>WorldCat Record</v>
      </c>
      <c r="AW334" s="3" t="s">
        <v>4380</v>
      </c>
      <c r="AX334" s="3" t="s">
        <v>4381</v>
      </c>
      <c r="AY334" s="3" t="s">
        <v>4382</v>
      </c>
      <c r="AZ334" s="3" t="s">
        <v>4382</v>
      </c>
      <c r="BA334" s="3" t="s">
        <v>4383</v>
      </c>
      <c r="BB334" s="3" t="s">
        <v>77</v>
      </c>
      <c r="BD334" s="3" t="s">
        <v>4384</v>
      </c>
      <c r="BE334" s="3" t="s">
        <v>4385</v>
      </c>
      <c r="BF334" s="3" t="s">
        <v>4386</v>
      </c>
    </row>
    <row r="335" spans="1:58" ht="41.25" customHeight="1" x14ac:dyDescent="0.25">
      <c r="A335" s="7" t="s">
        <v>62</v>
      </c>
      <c r="B335" s="2" t="s">
        <v>57</v>
      </c>
      <c r="C335" s="2" t="s">
        <v>58</v>
      </c>
      <c r="D335" s="2" t="s">
        <v>4387</v>
      </c>
      <c r="E335" s="2" t="s">
        <v>4388</v>
      </c>
      <c r="F335" s="2" t="s">
        <v>4389</v>
      </c>
      <c r="H335" s="3" t="s">
        <v>62</v>
      </c>
      <c r="I335" s="3" t="s">
        <v>63</v>
      </c>
      <c r="J335" s="3" t="s">
        <v>62</v>
      </c>
      <c r="K335" s="3" t="s">
        <v>62</v>
      </c>
      <c r="L335" s="3" t="s">
        <v>64</v>
      </c>
      <c r="M335" s="2" t="s">
        <v>4390</v>
      </c>
      <c r="N335" s="2" t="s">
        <v>4391</v>
      </c>
      <c r="O335" s="3" t="s">
        <v>1012</v>
      </c>
      <c r="Q335" s="3" t="s">
        <v>68</v>
      </c>
      <c r="R335" s="3" t="s">
        <v>69</v>
      </c>
      <c r="T335" s="3" t="s">
        <v>70</v>
      </c>
      <c r="U335" s="4">
        <v>4</v>
      </c>
      <c r="V335" s="4">
        <v>4</v>
      </c>
      <c r="W335" s="5" t="s">
        <v>4392</v>
      </c>
      <c r="X335" s="5" t="s">
        <v>4392</v>
      </c>
      <c r="Y335" s="5" t="s">
        <v>3611</v>
      </c>
      <c r="Z335" s="5" t="s">
        <v>3611</v>
      </c>
      <c r="AA335" s="4">
        <v>933</v>
      </c>
      <c r="AB335" s="4">
        <v>833</v>
      </c>
      <c r="AC335" s="4">
        <v>868</v>
      </c>
      <c r="AD335" s="4">
        <v>6</v>
      </c>
      <c r="AE335" s="4">
        <v>6</v>
      </c>
      <c r="AF335" s="4">
        <v>34</v>
      </c>
      <c r="AG335" s="4">
        <v>37</v>
      </c>
      <c r="AH335" s="4">
        <v>13</v>
      </c>
      <c r="AI335" s="4">
        <v>14</v>
      </c>
      <c r="AJ335" s="4">
        <v>8</v>
      </c>
      <c r="AK335" s="4">
        <v>9</v>
      </c>
      <c r="AL335" s="4">
        <v>19</v>
      </c>
      <c r="AM335" s="4">
        <v>22</v>
      </c>
      <c r="AN335" s="4">
        <v>4</v>
      </c>
      <c r="AO335" s="4">
        <v>4</v>
      </c>
      <c r="AP335" s="4">
        <v>1</v>
      </c>
      <c r="AQ335" s="4">
        <v>1</v>
      </c>
      <c r="AR335" s="3" t="s">
        <v>62</v>
      </c>
      <c r="AS335" s="3" t="s">
        <v>62</v>
      </c>
      <c r="AT335" s="6" t="str">
        <f>HYPERLINK("http://catalog.hathitrust.org/Record/001391304","HathiTrust Record")</f>
        <v>HathiTrust Record</v>
      </c>
      <c r="AU335" s="6" t="str">
        <f>HYPERLINK("https://creighton-primo.hosted.exlibrisgroup.com/primo-explore/search?tab=default_tab&amp;search_scope=EVERYTHING&amp;vid=01CRU&amp;lang=en_US&amp;offset=0&amp;query=any,contains,991001047489702656","Catalog Record")</f>
        <v>Catalog Record</v>
      </c>
      <c r="AV335" s="6" t="str">
        <f>HYPERLINK("http://www.worldcat.org/oclc/176488","WorldCat Record")</f>
        <v>WorldCat Record</v>
      </c>
      <c r="AW335" s="3" t="s">
        <v>4393</v>
      </c>
      <c r="AX335" s="3" t="s">
        <v>4394</v>
      </c>
      <c r="AY335" s="3" t="s">
        <v>4395</v>
      </c>
      <c r="AZ335" s="3" t="s">
        <v>4395</v>
      </c>
      <c r="BA335" s="3" t="s">
        <v>4396</v>
      </c>
      <c r="BB335" s="3" t="s">
        <v>77</v>
      </c>
      <c r="BE335" s="3" t="s">
        <v>4397</v>
      </c>
      <c r="BF335" s="3" t="s">
        <v>4398</v>
      </c>
    </row>
    <row r="336" spans="1:58" ht="41.25" customHeight="1" x14ac:dyDescent="0.25">
      <c r="A336" s="7" t="s">
        <v>62</v>
      </c>
      <c r="B336" s="2" t="s">
        <v>57</v>
      </c>
      <c r="C336" s="2" t="s">
        <v>58</v>
      </c>
      <c r="D336" s="2" t="s">
        <v>4399</v>
      </c>
      <c r="E336" s="2" t="s">
        <v>4400</v>
      </c>
      <c r="F336" s="2" t="s">
        <v>4401</v>
      </c>
      <c r="H336" s="3" t="s">
        <v>62</v>
      </c>
      <c r="I336" s="3" t="s">
        <v>63</v>
      </c>
      <c r="J336" s="3" t="s">
        <v>62</v>
      </c>
      <c r="K336" s="3" t="s">
        <v>62</v>
      </c>
      <c r="L336" s="3" t="s">
        <v>64</v>
      </c>
      <c r="M336" s="2" t="s">
        <v>4402</v>
      </c>
      <c r="N336" s="2" t="s">
        <v>4403</v>
      </c>
      <c r="O336" s="3" t="s">
        <v>404</v>
      </c>
      <c r="P336" s="2" t="s">
        <v>517</v>
      </c>
      <c r="Q336" s="3" t="s">
        <v>68</v>
      </c>
      <c r="R336" s="3" t="s">
        <v>219</v>
      </c>
      <c r="T336" s="3" t="s">
        <v>70</v>
      </c>
      <c r="U336" s="4">
        <v>2</v>
      </c>
      <c r="V336" s="4">
        <v>2</v>
      </c>
      <c r="W336" s="5" t="s">
        <v>4404</v>
      </c>
      <c r="X336" s="5" t="s">
        <v>4404</v>
      </c>
      <c r="Y336" s="5" t="s">
        <v>3611</v>
      </c>
      <c r="Z336" s="5" t="s">
        <v>3611</v>
      </c>
      <c r="AA336" s="4">
        <v>440</v>
      </c>
      <c r="AB336" s="4">
        <v>403</v>
      </c>
      <c r="AC336" s="4">
        <v>433</v>
      </c>
      <c r="AD336" s="4">
        <v>3</v>
      </c>
      <c r="AE336" s="4">
        <v>3</v>
      </c>
      <c r="AF336" s="4">
        <v>26</v>
      </c>
      <c r="AG336" s="4">
        <v>28</v>
      </c>
      <c r="AH336" s="4">
        <v>10</v>
      </c>
      <c r="AI336" s="4">
        <v>10</v>
      </c>
      <c r="AJ336" s="4">
        <v>5</v>
      </c>
      <c r="AK336" s="4">
        <v>6</v>
      </c>
      <c r="AL336" s="4">
        <v>16</v>
      </c>
      <c r="AM336" s="4">
        <v>18</v>
      </c>
      <c r="AN336" s="4">
        <v>2</v>
      </c>
      <c r="AO336" s="4">
        <v>2</v>
      </c>
      <c r="AP336" s="4">
        <v>0</v>
      </c>
      <c r="AQ336" s="4">
        <v>0</v>
      </c>
      <c r="AR336" s="3" t="s">
        <v>62</v>
      </c>
      <c r="AS336" s="3" t="s">
        <v>62</v>
      </c>
      <c r="AU336" s="6" t="str">
        <f>HYPERLINK("https://creighton-primo.hosted.exlibrisgroup.com/primo-explore/search?tab=default_tab&amp;search_scope=EVERYTHING&amp;vid=01CRU&amp;lang=en_US&amp;offset=0&amp;query=any,contains,991002842329702656","Catalog Record")</f>
        <v>Catalog Record</v>
      </c>
      <c r="AV336" s="6" t="str">
        <f>HYPERLINK("http://www.worldcat.org/oclc/482778","WorldCat Record")</f>
        <v>WorldCat Record</v>
      </c>
      <c r="AW336" s="3" t="s">
        <v>4405</v>
      </c>
      <c r="AX336" s="3" t="s">
        <v>4406</v>
      </c>
      <c r="AY336" s="3" t="s">
        <v>4407</v>
      </c>
      <c r="AZ336" s="3" t="s">
        <v>4407</v>
      </c>
      <c r="BA336" s="3" t="s">
        <v>4408</v>
      </c>
      <c r="BB336" s="3" t="s">
        <v>77</v>
      </c>
      <c r="BD336" s="3" t="s">
        <v>4409</v>
      </c>
      <c r="BE336" s="3" t="s">
        <v>4410</v>
      </c>
      <c r="BF336" s="3" t="s">
        <v>4411</v>
      </c>
    </row>
    <row r="337" spans="1:58" ht="41.25" customHeight="1" x14ac:dyDescent="0.25">
      <c r="A337" s="7" t="s">
        <v>62</v>
      </c>
      <c r="B337" s="2" t="s">
        <v>57</v>
      </c>
      <c r="C337" s="2" t="s">
        <v>58</v>
      </c>
      <c r="D337" s="2" t="s">
        <v>4412</v>
      </c>
      <c r="E337" s="2" t="s">
        <v>4413</v>
      </c>
      <c r="F337" s="2" t="s">
        <v>4414</v>
      </c>
      <c r="H337" s="3" t="s">
        <v>62</v>
      </c>
      <c r="I337" s="3" t="s">
        <v>63</v>
      </c>
      <c r="J337" s="3" t="s">
        <v>62</v>
      </c>
      <c r="K337" s="3" t="s">
        <v>62</v>
      </c>
      <c r="L337" s="3" t="s">
        <v>64</v>
      </c>
      <c r="M337" s="2" t="s">
        <v>4415</v>
      </c>
      <c r="N337" s="2" t="s">
        <v>4416</v>
      </c>
      <c r="O337" s="3" t="s">
        <v>87</v>
      </c>
      <c r="Q337" s="3" t="s">
        <v>68</v>
      </c>
      <c r="R337" s="3" t="s">
        <v>110</v>
      </c>
      <c r="T337" s="3" t="s">
        <v>70</v>
      </c>
      <c r="U337" s="4">
        <v>1</v>
      </c>
      <c r="V337" s="4">
        <v>1</v>
      </c>
      <c r="W337" s="5" t="s">
        <v>4417</v>
      </c>
      <c r="X337" s="5" t="s">
        <v>4417</v>
      </c>
      <c r="Y337" s="5" t="s">
        <v>4340</v>
      </c>
      <c r="Z337" s="5" t="s">
        <v>4340</v>
      </c>
      <c r="AA337" s="4">
        <v>90</v>
      </c>
      <c r="AB337" s="4">
        <v>83</v>
      </c>
      <c r="AC337" s="4">
        <v>992</v>
      </c>
      <c r="AD337" s="4">
        <v>2</v>
      </c>
      <c r="AE337" s="4">
        <v>13</v>
      </c>
      <c r="AF337" s="4">
        <v>4</v>
      </c>
      <c r="AG337" s="4">
        <v>46</v>
      </c>
      <c r="AH337" s="4">
        <v>1</v>
      </c>
      <c r="AI337" s="4">
        <v>15</v>
      </c>
      <c r="AJ337" s="4">
        <v>0</v>
      </c>
      <c r="AK337" s="4">
        <v>7</v>
      </c>
      <c r="AL337" s="4">
        <v>2</v>
      </c>
      <c r="AM337" s="4">
        <v>20</v>
      </c>
      <c r="AN337" s="4">
        <v>1</v>
      </c>
      <c r="AO337" s="4">
        <v>11</v>
      </c>
      <c r="AP337" s="4">
        <v>0</v>
      </c>
      <c r="AQ337" s="4">
        <v>1</v>
      </c>
      <c r="AR337" s="3" t="s">
        <v>62</v>
      </c>
      <c r="AS337" s="3" t="s">
        <v>62</v>
      </c>
      <c r="AU337" s="6" t="str">
        <f>HYPERLINK("https://creighton-primo.hosted.exlibrisgroup.com/primo-explore/search?tab=default_tab&amp;search_scope=EVERYTHING&amp;vid=01CRU&amp;lang=en_US&amp;offset=0&amp;query=any,contains,991004073699702656","Catalog Record")</f>
        <v>Catalog Record</v>
      </c>
      <c r="AV337" s="6" t="str">
        <f>HYPERLINK("http://www.worldcat.org/oclc/2312263","WorldCat Record")</f>
        <v>WorldCat Record</v>
      </c>
      <c r="AW337" s="3" t="s">
        <v>4418</v>
      </c>
      <c r="AX337" s="3" t="s">
        <v>4419</v>
      </c>
      <c r="AY337" s="3" t="s">
        <v>4420</v>
      </c>
      <c r="AZ337" s="3" t="s">
        <v>4420</v>
      </c>
      <c r="BA337" s="3" t="s">
        <v>4421</v>
      </c>
      <c r="BB337" s="3" t="s">
        <v>77</v>
      </c>
      <c r="BE337" s="3" t="s">
        <v>4422</v>
      </c>
      <c r="BF337" s="3" t="s">
        <v>4423</v>
      </c>
    </row>
    <row r="338" spans="1:58" ht="41.25" customHeight="1" x14ac:dyDescent="0.25">
      <c r="A338" s="7" t="s">
        <v>62</v>
      </c>
      <c r="B338" s="2" t="s">
        <v>57</v>
      </c>
      <c r="C338" s="2" t="s">
        <v>58</v>
      </c>
      <c r="D338" s="2" t="s">
        <v>4424</v>
      </c>
      <c r="E338" s="2" t="s">
        <v>4425</v>
      </c>
      <c r="F338" s="2" t="s">
        <v>4426</v>
      </c>
      <c r="H338" s="3" t="s">
        <v>62</v>
      </c>
      <c r="I338" s="3" t="s">
        <v>63</v>
      </c>
      <c r="J338" s="3" t="s">
        <v>62</v>
      </c>
      <c r="K338" s="3" t="s">
        <v>62</v>
      </c>
      <c r="L338" s="3" t="s">
        <v>64</v>
      </c>
      <c r="M338" s="2" t="s">
        <v>4427</v>
      </c>
      <c r="N338" s="2" t="s">
        <v>4428</v>
      </c>
      <c r="O338" s="3" t="s">
        <v>404</v>
      </c>
      <c r="Q338" s="3" t="s">
        <v>68</v>
      </c>
      <c r="R338" s="3" t="s">
        <v>297</v>
      </c>
      <c r="S338" s="2" t="s">
        <v>4429</v>
      </c>
      <c r="T338" s="3" t="s">
        <v>70</v>
      </c>
      <c r="U338" s="4">
        <v>1</v>
      </c>
      <c r="V338" s="4">
        <v>1</v>
      </c>
      <c r="W338" s="5" t="s">
        <v>4063</v>
      </c>
      <c r="X338" s="5" t="s">
        <v>4063</v>
      </c>
      <c r="Y338" s="5" t="s">
        <v>4430</v>
      </c>
      <c r="Z338" s="5" t="s">
        <v>4430</v>
      </c>
      <c r="AA338" s="4">
        <v>487</v>
      </c>
      <c r="AB338" s="4">
        <v>345</v>
      </c>
      <c r="AC338" s="4">
        <v>368</v>
      </c>
      <c r="AD338" s="4">
        <v>4</v>
      </c>
      <c r="AE338" s="4">
        <v>4</v>
      </c>
      <c r="AF338" s="4">
        <v>18</v>
      </c>
      <c r="AG338" s="4">
        <v>18</v>
      </c>
      <c r="AH338" s="4">
        <v>4</v>
      </c>
      <c r="AI338" s="4">
        <v>4</v>
      </c>
      <c r="AJ338" s="4">
        <v>4</v>
      </c>
      <c r="AK338" s="4">
        <v>4</v>
      </c>
      <c r="AL338" s="4">
        <v>13</v>
      </c>
      <c r="AM338" s="4">
        <v>13</v>
      </c>
      <c r="AN338" s="4">
        <v>2</v>
      </c>
      <c r="AO338" s="4">
        <v>2</v>
      </c>
      <c r="AP338" s="4">
        <v>0</v>
      </c>
      <c r="AQ338" s="4">
        <v>0</v>
      </c>
      <c r="AR338" s="3" t="s">
        <v>62</v>
      </c>
      <c r="AS338" s="3" t="s">
        <v>62</v>
      </c>
      <c r="AU338" s="6" t="str">
        <f>HYPERLINK("https://creighton-primo.hosted.exlibrisgroup.com/primo-explore/search?tab=default_tab&amp;search_scope=EVERYTHING&amp;vid=01CRU&amp;lang=en_US&amp;offset=0&amp;query=any,contains,991002984209702656","Catalog Record")</f>
        <v>Catalog Record</v>
      </c>
      <c r="AV338" s="6" t="str">
        <f>HYPERLINK("http://www.worldcat.org/oclc/556554","WorldCat Record")</f>
        <v>WorldCat Record</v>
      </c>
      <c r="AW338" s="3" t="s">
        <v>4431</v>
      </c>
      <c r="AX338" s="3" t="s">
        <v>4432</v>
      </c>
      <c r="AY338" s="3" t="s">
        <v>4433</v>
      </c>
      <c r="AZ338" s="3" t="s">
        <v>4433</v>
      </c>
      <c r="BA338" s="3" t="s">
        <v>4434</v>
      </c>
      <c r="BB338" s="3" t="s">
        <v>77</v>
      </c>
      <c r="BD338" s="3" t="s">
        <v>4435</v>
      </c>
      <c r="BE338" s="3" t="s">
        <v>4436</v>
      </c>
      <c r="BF338" s="3" t="s">
        <v>4437</v>
      </c>
    </row>
    <row r="339" spans="1:58" ht="41.25" customHeight="1" x14ac:dyDescent="0.25">
      <c r="A339" s="7" t="s">
        <v>62</v>
      </c>
      <c r="B339" s="2" t="s">
        <v>57</v>
      </c>
      <c r="C339" s="2" t="s">
        <v>58</v>
      </c>
      <c r="D339" s="2" t="s">
        <v>4438</v>
      </c>
      <c r="E339" s="2" t="s">
        <v>4439</v>
      </c>
      <c r="F339" s="2" t="s">
        <v>4440</v>
      </c>
      <c r="H339" s="3" t="s">
        <v>62</v>
      </c>
      <c r="I339" s="3" t="s">
        <v>63</v>
      </c>
      <c r="J339" s="3" t="s">
        <v>62</v>
      </c>
      <c r="K339" s="3" t="s">
        <v>62</v>
      </c>
      <c r="L339" s="3" t="s">
        <v>64</v>
      </c>
      <c r="M339" s="2" t="s">
        <v>4441</v>
      </c>
      <c r="N339" s="2" t="s">
        <v>4442</v>
      </c>
      <c r="O339" s="3" t="s">
        <v>383</v>
      </c>
      <c r="Q339" s="3" t="s">
        <v>68</v>
      </c>
      <c r="R339" s="3" t="s">
        <v>69</v>
      </c>
      <c r="T339" s="3" t="s">
        <v>70</v>
      </c>
      <c r="U339" s="4">
        <v>6</v>
      </c>
      <c r="V339" s="4">
        <v>6</v>
      </c>
      <c r="W339" s="5" t="s">
        <v>4443</v>
      </c>
      <c r="X339" s="5" t="s">
        <v>4443</v>
      </c>
      <c r="Y339" s="5" t="s">
        <v>4340</v>
      </c>
      <c r="Z339" s="5" t="s">
        <v>4340</v>
      </c>
      <c r="AA339" s="4">
        <v>462</v>
      </c>
      <c r="AB339" s="4">
        <v>425</v>
      </c>
      <c r="AC339" s="4">
        <v>536</v>
      </c>
      <c r="AD339" s="4">
        <v>5</v>
      </c>
      <c r="AE339" s="4">
        <v>5</v>
      </c>
      <c r="AF339" s="4">
        <v>39</v>
      </c>
      <c r="AG339" s="4">
        <v>42</v>
      </c>
      <c r="AH339" s="4">
        <v>15</v>
      </c>
      <c r="AI339" s="4">
        <v>18</v>
      </c>
      <c r="AJ339" s="4">
        <v>9</v>
      </c>
      <c r="AK339" s="4">
        <v>9</v>
      </c>
      <c r="AL339" s="4">
        <v>24</v>
      </c>
      <c r="AM339" s="4">
        <v>24</v>
      </c>
      <c r="AN339" s="4">
        <v>2</v>
      </c>
      <c r="AO339" s="4">
        <v>2</v>
      </c>
      <c r="AP339" s="4">
        <v>0</v>
      </c>
      <c r="AQ339" s="4">
        <v>0</v>
      </c>
      <c r="AR339" s="3" t="s">
        <v>62</v>
      </c>
      <c r="AS339" s="3" t="s">
        <v>84</v>
      </c>
      <c r="AT339" s="6" t="str">
        <f>HYPERLINK("http://catalog.hathitrust.org/Record/001391321","HathiTrust Record")</f>
        <v>HathiTrust Record</v>
      </c>
      <c r="AU339" s="6" t="str">
        <f>HYPERLINK("https://creighton-primo.hosted.exlibrisgroup.com/primo-explore/search?tab=default_tab&amp;search_scope=EVERYTHING&amp;vid=01CRU&amp;lang=en_US&amp;offset=0&amp;query=any,contains,991005437149702656","Catalog Record")</f>
        <v>Catalog Record</v>
      </c>
      <c r="AV339" s="6" t="str">
        <f>HYPERLINK("http://www.worldcat.org/oclc/5037","WorldCat Record")</f>
        <v>WorldCat Record</v>
      </c>
      <c r="AW339" s="3" t="s">
        <v>4444</v>
      </c>
      <c r="AX339" s="3" t="s">
        <v>4445</v>
      </c>
      <c r="AY339" s="3" t="s">
        <v>4446</v>
      </c>
      <c r="AZ339" s="3" t="s">
        <v>4446</v>
      </c>
      <c r="BA339" s="3" t="s">
        <v>4447</v>
      </c>
      <c r="BB339" s="3" t="s">
        <v>77</v>
      </c>
      <c r="BE339" s="3" t="s">
        <v>4448</v>
      </c>
      <c r="BF339" s="3" t="s">
        <v>4449</v>
      </c>
    </row>
    <row r="340" spans="1:58" ht="41.25" customHeight="1" x14ac:dyDescent="0.25">
      <c r="A340" s="7" t="s">
        <v>62</v>
      </c>
      <c r="B340" s="2" t="s">
        <v>57</v>
      </c>
      <c r="C340" s="2" t="s">
        <v>58</v>
      </c>
      <c r="D340" s="2" t="s">
        <v>4450</v>
      </c>
      <c r="E340" s="2" t="s">
        <v>4451</v>
      </c>
      <c r="F340" s="2" t="s">
        <v>4452</v>
      </c>
      <c r="H340" s="3" t="s">
        <v>62</v>
      </c>
      <c r="I340" s="3" t="s">
        <v>63</v>
      </c>
      <c r="J340" s="3" t="s">
        <v>62</v>
      </c>
      <c r="K340" s="3" t="s">
        <v>62</v>
      </c>
      <c r="L340" s="3" t="s">
        <v>64</v>
      </c>
      <c r="N340" s="2" t="s">
        <v>4453</v>
      </c>
      <c r="O340" s="3" t="s">
        <v>1820</v>
      </c>
      <c r="Q340" s="3" t="s">
        <v>68</v>
      </c>
      <c r="R340" s="3" t="s">
        <v>1653</v>
      </c>
      <c r="S340" s="2" t="s">
        <v>4454</v>
      </c>
      <c r="T340" s="3" t="s">
        <v>70</v>
      </c>
      <c r="U340" s="4">
        <v>1</v>
      </c>
      <c r="V340" s="4">
        <v>1</v>
      </c>
      <c r="W340" s="5" t="s">
        <v>4455</v>
      </c>
      <c r="X340" s="5" t="s">
        <v>4455</v>
      </c>
      <c r="Y340" s="5" t="s">
        <v>4340</v>
      </c>
      <c r="Z340" s="5" t="s">
        <v>4340</v>
      </c>
      <c r="AA340" s="4">
        <v>744</v>
      </c>
      <c r="AB340" s="4">
        <v>630</v>
      </c>
      <c r="AC340" s="4">
        <v>638</v>
      </c>
      <c r="AD340" s="4">
        <v>8</v>
      </c>
      <c r="AE340" s="4">
        <v>8</v>
      </c>
      <c r="AF340" s="4">
        <v>40</v>
      </c>
      <c r="AG340" s="4">
        <v>40</v>
      </c>
      <c r="AH340" s="4">
        <v>14</v>
      </c>
      <c r="AI340" s="4">
        <v>14</v>
      </c>
      <c r="AJ340" s="4">
        <v>8</v>
      </c>
      <c r="AK340" s="4">
        <v>8</v>
      </c>
      <c r="AL340" s="4">
        <v>23</v>
      </c>
      <c r="AM340" s="4">
        <v>23</v>
      </c>
      <c r="AN340" s="4">
        <v>6</v>
      </c>
      <c r="AO340" s="4">
        <v>6</v>
      </c>
      <c r="AP340" s="4">
        <v>0</v>
      </c>
      <c r="AQ340" s="4">
        <v>0</v>
      </c>
      <c r="AR340" s="3" t="s">
        <v>62</v>
      </c>
      <c r="AS340" s="3" t="s">
        <v>84</v>
      </c>
      <c r="AT340" s="6" t="str">
        <f>HYPERLINK("http://catalog.hathitrust.org/Record/000041083","HathiTrust Record")</f>
        <v>HathiTrust Record</v>
      </c>
      <c r="AU340" s="6" t="str">
        <f>HYPERLINK("https://creighton-primo.hosted.exlibrisgroup.com/primo-explore/search?tab=default_tab&amp;search_scope=EVERYTHING&amp;vid=01CRU&amp;lang=en_US&amp;offset=0&amp;query=any,contains,991004749259702656","Catalog Record")</f>
        <v>Catalog Record</v>
      </c>
      <c r="AV340" s="6" t="str">
        <f>HYPERLINK("http://www.worldcat.org/oclc/4932802","WorldCat Record")</f>
        <v>WorldCat Record</v>
      </c>
      <c r="AW340" s="3" t="s">
        <v>4456</v>
      </c>
      <c r="AX340" s="3" t="s">
        <v>4457</v>
      </c>
      <c r="AY340" s="3" t="s">
        <v>4458</v>
      </c>
      <c r="AZ340" s="3" t="s">
        <v>4458</v>
      </c>
      <c r="BA340" s="3" t="s">
        <v>4459</v>
      </c>
      <c r="BB340" s="3" t="s">
        <v>77</v>
      </c>
      <c r="BD340" s="3" t="s">
        <v>4460</v>
      </c>
      <c r="BE340" s="3" t="s">
        <v>4461</v>
      </c>
      <c r="BF340" s="3" t="s">
        <v>4462</v>
      </c>
    </row>
    <row r="341" spans="1:58" ht="41.25" customHeight="1" x14ac:dyDescent="0.25">
      <c r="A341" s="7" t="s">
        <v>62</v>
      </c>
      <c r="B341" s="2" t="s">
        <v>57</v>
      </c>
      <c r="C341" s="2" t="s">
        <v>58</v>
      </c>
      <c r="D341" s="2" t="s">
        <v>4463</v>
      </c>
      <c r="E341" s="2" t="s">
        <v>4464</v>
      </c>
      <c r="F341" s="2" t="s">
        <v>4465</v>
      </c>
      <c r="H341" s="3" t="s">
        <v>62</v>
      </c>
      <c r="I341" s="3" t="s">
        <v>63</v>
      </c>
      <c r="J341" s="3" t="s">
        <v>62</v>
      </c>
      <c r="K341" s="3" t="s">
        <v>62</v>
      </c>
      <c r="L341" s="3" t="s">
        <v>64</v>
      </c>
      <c r="M341" s="2" t="s">
        <v>4466</v>
      </c>
      <c r="N341" s="2" t="s">
        <v>2967</v>
      </c>
      <c r="O341" s="3" t="s">
        <v>355</v>
      </c>
      <c r="Q341" s="3" t="s">
        <v>68</v>
      </c>
      <c r="R341" s="3" t="s">
        <v>69</v>
      </c>
      <c r="T341" s="3" t="s">
        <v>70</v>
      </c>
      <c r="U341" s="4">
        <v>1</v>
      </c>
      <c r="V341" s="4">
        <v>1</v>
      </c>
      <c r="W341" s="5" t="s">
        <v>3542</v>
      </c>
      <c r="X341" s="5" t="s">
        <v>3542</v>
      </c>
      <c r="Y341" s="5" t="s">
        <v>4340</v>
      </c>
      <c r="Z341" s="5" t="s">
        <v>4340</v>
      </c>
      <c r="AA341" s="4">
        <v>469</v>
      </c>
      <c r="AB341" s="4">
        <v>427</v>
      </c>
      <c r="AC341" s="4">
        <v>429</v>
      </c>
      <c r="AD341" s="4">
        <v>5</v>
      </c>
      <c r="AE341" s="4">
        <v>5</v>
      </c>
      <c r="AF341" s="4">
        <v>36</v>
      </c>
      <c r="AG341" s="4">
        <v>36</v>
      </c>
      <c r="AH341" s="4">
        <v>12</v>
      </c>
      <c r="AI341" s="4">
        <v>12</v>
      </c>
      <c r="AJ341" s="4">
        <v>7</v>
      </c>
      <c r="AK341" s="4">
        <v>7</v>
      </c>
      <c r="AL341" s="4">
        <v>23</v>
      </c>
      <c r="AM341" s="4">
        <v>23</v>
      </c>
      <c r="AN341" s="4">
        <v>3</v>
      </c>
      <c r="AO341" s="4">
        <v>3</v>
      </c>
      <c r="AP341" s="4">
        <v>0</v>
      </c>
      <c r="AQ341" s="4">
        <v>0</v>
      </c>
      <c r="AR341" s="3" t="s">
        <v>62</v>
      </c>
      <c r="AS341" s="3" t="s">
        <v>84</v>
      </c>
      <c r="AT341" s="6" t="str">
        <f>HYPERLINK("http://catalog.hathitrust.org/Record/001391326","HathiTrust Record")</f>
        <v>HathiTrust Record</v>
      </c>
      <c r="AU341" s="6" t="str">
        <f>HYPERLINK("https://creighton-primo.hosted.exlibrisgroup.com/primo-explore/search?tab=default_tab&amp;search_scope=EVERYTHING&amp;vid=01CRU&amp;lang=en_US&amp;offset=0&amp;query=any,contains,991002326469702656","Catalog Record")</f>
        <v>Catalog Record</v>
      </c>
      <c r="AV341" s="6" t="str">
        <f>HYPERLINK("http://www.worldcat.org/oclc/321011","WorldCat Record")</f>
        <v>WorldCat Record</v>
      </c>
      <c r="AW341" s="3" t="s">
        <v>4467</v>
      </c>
      <c r="AX341" s="3" t="s">
        <v>4468</v>
      </c>
      <c r="AY341" s="3" t="s">
        <v>4469</v>
      </c>
      <c r="AZ341" s="3" t="s">
        <v>4469</v>
      </c>
      <c r="BA341" s="3" t="s">
        <v>4470</v>
      </c>
      <c r="BB341" s="3" t="s">
        <v>77</v>
      </c>
      <c r="BE341" s="3" t="s">
        <v>4471</v>
      </c>
      <c r="BF341" s="3" t="s">
        <v>4472</v>
      </c>
    </row>
    <row r="342" spans="1:58" ht="41.25" customHeight="1" x14ac:dyDescent="0.25">
      <c r="A342" s="7" t="s">
        <v>62</v>
      </c>
      <c r="B342" s="2" t="s">
        <v>57</v>
      </c>
      <c r="C342" s="2" t="s">
        <v>58</v>
      </c>
      <c r="D342" s="2" t="s">
        <v>4473</v>
      </c>
      <c r="E342" s="2" t="s">
        <v>4474</v>
      </c>
      <c r="F342" s="2" t="s">
        <v>4475</v>
      </c>
      <c r="H342" s="3" t="s">
        <v>62</v>
      </c>
      <c r="I342" s="3" t="s">
        <v>63</v>
      </c>
      <c r="J342" s="3" t="s">
        <v>62</v>
      </c>
      <c r="K342" s="3" t="s">
        <v>62</v>
      </c>
      <c r="L342" s="3" t="s">
        <v>64</v>
      </c>
      <c r="M342" s="2" t="s">
        <v>4476</v>
      </c>
      <c r="N342" s="2" t="s">
        <v>4477</v>
      </c>
      <c r="O342" s="3" t="s">
        <v>820</v>
      </c>
      <c r="P342" s="2" t="s">
        <v>3594</v>
      </c>
      <c r="Q342" s="3" t="s">
        <v>68</v>
      </c>
      <c r="R342" s="3" t="s">
        <v>69</v>
      </c>
      <c r="S342" s="2" t="s">
        <v>4478</v>
      </c>
      <c r="T342" s="3" t="s">
        <v>70</v>
      </c>
      <c r="U342" s="4">
        <v>2</v>
      </c>
      <c r="V342" s="4">
        <v>2</v>
      </c>
      <c r="W342" s="5" t="s">
        <v>4479</v>
      </c>
      <c r="X342" s="5" t="s">
        <v>4479</v>
      </c>
      <c r="Y342" s="5" t="s">
        <v>4340</v>
      </c>
      <c r="Z342" s="5" t="s">
        <v>4340</v>
      </c>
      <c r="AA342" s="4">
        <v>267</v>
      </c>
      <c r="AB342" s="4">
        <v>231</v>
      </c>
      <c r="AC342" s="4">
        <v>491</v>
      </c>
      <c r="AD342" s="4">
        <v>3</v>
      </c>
      <c r="AE342" s="4">
        <v>3</v>
      </c>
      <c r="AF342" s="4">
        <v>18</v>
      </c>
      <c r="AG342" s="4">
        <v>27</v>
      </c>
      <c r="AH342" s="4">
        <v>2</v>
      </c>
      <c r="AI342" s="4">
        <v>5</v>
      </c>
      <c r="AJ342" s="4">
        <v>5</v>
      </c>
      <c r="AK342" s="4">
        <v>10</v>
      </c>
      <c r="AL342" s="4">
        <v>13</v>
      </c>
      <c r="AM342" s="4">
        <v>17</v>
      </c>
      <c r="AN342" s="4">
        <v>2</v>
      </c>
      <c r="AO342" s="4">
        <v>2</v>
      </c>
      <c r="AP342" s="4">
        <v>0</v>
      </c>
      <c r="AQ342" s="4">
        <v>0</v>
      </c>
      <c r="AR342" s="3" t="s">
        <v>62</v>
      </c>
      <c r="AS342" s="3" t="s">
        <v>62</v>
      </c>
      <c r="AU342" s="6" t="str">
        <f>HYPERLINK("https://creighton-primo.hosted.exlibrisgroup.com/primo-explore/search?tab=default_tab&amp;search_scope=EVERYTHING&amp;vid=01CRU&amp;lang=en_US&amp;offset=0&amp;query=any,contains,991003673849702656","Catalog Record")</f>
        <v>Catalog Record</v>
      </c>
      <c r="AV342" s="6" t="str">
        <f>HYPERLINK("http://www.worldcat.org/oclc/1292845","WorldCat Record")</f>
        <v>WorldCat Record</v>
      </c>
      <c r="AW342" s="3" t="s">
        <v>4480</v>
      </c>
      <c r="AX342" s="3" t="s">
        <v>4481</v>
      </c>
      <c r="AY342" s="3" t="s">
        <v>4482</v>
      </c>
      <c r="AZ342" s="3" t="s">
        <v>4482</v>
      </c>
      <c r="BA342" s="3" t="s">
        <v>4483</v>
      </c>
      <c r="BB342" s="3" t="s">
        <v>77</v>
      </c>
      <c r="BD342" s="3" t="s">
        <v>4484</v>
      </c>
      <c r="BE342" s="3" t="s">
        <v>4485</v>
      </c>
      <c r="BF342" s="3" t="s">
        <v>4486</v>
      </c>
    </row>
    <row r="343" spans="1:58" ht="41.25" customHeight="1" x14ac:dyDescent="0.25">
      <c r="A343" s="7" t="s">
        <v>62</v>
      </c>
      <c r="B343" s="2" t="s">
        <v>57</v>
      </c>
      <c r="C343" s="2" t="s">
        <v>58</v>
      </c>
      <c r="D343" s="2" t="s">
        <v>4487</v>
      </c>
      <c r="E343" s="2" t="s">
        <v>4488</v>
      </c>
      <c r="F343" s="2" t="s">
        <v>4489</v>
      </c>
      <c r="H343" s="3" t="s">
        <v>62</v>
      </c>
      <c r="I343" s="3" t="s">
        <v>63</v>
      </c>
      <c r="J343" s="3" t="s">
        <v>62</v>
      </c>
      <c r="K343" s="3" t="s">
        <v>62</v>
      </c>
      <c r="L343" s="3" t="s">
        <v>64</v>
      </c>
      <c r="M343" s="2" t="s">
        <v>4490</v>
      </c>
      <c r="N343" s="2" t="s">
        <v>4491</v>
      </c>
      <c r="O343" s="3" t="s">
        <v>1990</v>
      </c>
      <c r="Q343" s="3" t="s">
        <v>68</v>
      </c>
      <c r="R343" s="3" t="s">
        <v>297</v>
      </c>
      <c r="T343" s="3" t="s">
        <v>70</v>
      </c>
      <c r="U343" s="4">
        <v>1</v>
      </c>
      <c r="V343" s="4">
        <v>1</v>
      </c>
      <c r="W343" s="5" t="s">
        <v>4492</v>
      </c>
      <c r="X343" s="5" t="s">
        <v>4492</v>
      </c>
      <c r="Y343" s="5" t="s">
        <v>4340</v>
      </c>
      <c r="Z343" s="5" t="s">
        <v>4340</v>
      </c>
      <c r="AA343" s="4">
        <v>302</v>
      </c>
      <c r="AB343" s="4">
        <v>266</v>
      </c>
      <c r="AC343" s="4">
        <v>389</v>
      </c>
      <c r="AD343" s="4">
        <v>2</v>
      </c>
      <c r="AE343" s="4">
        <v>4</v>
      </c>
      <c r="AF343" s="4">
        <v>33</v>
      </c>
      <c r="AG343" s="4">
        <v>37</v>
      </c>
      <c r="AH343" s="4">
        <v>12</v>
      </c>
      <c r="AI343" s="4">
        <v>14</v>
      </c>
      <c r="AJ343" s="4">
        <v>11</v>
      </c>
      <c r="AK343" s="4">
        <v>11</v>
      </c>
      <c r="AL343" s="4">
        <v>20</v>
      </c>
      <c r="AM343" s="4">
        <v>23</v>
      </c>
      <c r="AN343" s="4">
        <v>1</v>
      </c>
      <c r="AO343" s="4">
        <v>2</v>
      </c>
      <c r="AP343" s="4">
        <v>0</v>
      </c>
      <c r="AQ343" s="4">
        <v>0</v>
      </c>
      <c r="AR343" s="3" t="s">
        <v>62</v>
      </c>
      <c r="AS343" s="3" t="s">
        <v>84</v>
      </c>
      <c r="AT343" s="6" t="str">
        <f>HYPERLINK("http://catalog.hathitrust.org/Record/001391339","HathiTrust Record")</f>
        <v>HathiTrust Record</v>
      </c>
      <c r="AU343" s="6" t="str">
        <f>HYPERLINK("https://creighton-primo.hosted.exlibrisgroup.com/primo-explore/search?tab=default_tab&amp;search_scope=EVERYTHING&amp;vid=01CRU&amp;lang=en_US&amp;offset=0&amp;query=any,contains,991002605089702656","Catalog Record")</f>
        <v>Catalog Record</v>
      </c>
      <c r="AV343" s="6" t="str">
        <f>HYPERLINK("http://www.worldcat.org/oclc/377351","WorldCat Record")</f>
        <v>WorldCat Record</v>
      </c>
      <c r="AW343" s="3" t="s">
        <v>4493</v>
      </c>
      <c r="AX343" s="3" t="s">
        <v>4494</v>
      </c>
      <c r="AY343" s="3" t="s">
        <v>4495</v>
      </c>
      <c r="AZ343" s="3" t="s">
        <v>4495</v>
      </c>
      <c r="BA343" s="3" t="s">
        <v>4496</v>
      </c>
      <c r="BB343" s="3" t="s">
        <v>77</v>
      </c>
      <c r="BE343" s="3" t="s">
        <v>4497</v>
      </c>
      <c r="BF343" s="3" t="s">
        <v>4498</v>
      </c>
    </row>
    <row r="344" spans="1:58" ht="41.25" customHeight="1" x14ac:dyDescent="0.25">
      <c r="A344" s="7" t="s">
        <v>62</v>
      </c>
      <c r="B344" s="2" t="s">
        <v>57</v>
      </c>
      <c r="C344" s="2" t="s">
        <v>58</v>
      </c>
      <c r="D344" s="2" t="s">
        <v>4499</v>
      </c>
      <c r="E344" s="2" t="s">
        <v>4500</v>
      </c>
      <c r="F344" s="2" t="s">
        <v>4501</v>
      </c>
      <c r="H344" s="3" t="s">
        <v>62</v>
      </c>
      <c r="I344" s="3" t="s">
        <v>63</v>
      </c>
      <c r="J344" s="3" t="s">
        <v>62</v>
      </c>
      <c r="K344" s="3" t="s">
        <v>62</v>
      </c>
      <c r="L344" s="3" t="s">
        <v>64</v>
      </c>
      <c r="M344" s="2" t="s">
        <v>4502</v>
      </c>
      <c r="N344" s="2" t="s">
        <v>4503</v>
      </c>
      <c r="O344" s="3" t="s">
        <v>1820</v>
      </c>
      <c r="Q344" s="3" t="s">
        <v>68</v>
      </c>
      <c r="R344" s="3" t="s">
        <v>420</v>
      </c>
      <c r="T344" s="3" t="s">
        <v>70</v>
      </c>
      <c r="U344" s="4">
        <v>1</v>
      </c>
      <c r="V344" s="4">
        <v>1</v>
      </c>
      <c r="W344" s="5" t="s">
        <v>4504</v>
      </c>
      <c r="X344" s="5" t="s">
        <v>4504</v>
      </c>
      <c r="Y344" s="5" t="s">
        <v>4340</v>
      </c>
      <c r="Z344" s="5" t="s">
        <v>4340</v>
      </c>
      <c r="AA344" s="4">
        <v>123</v>
      </c>
      <c r="AB344" s="4">
        <v>104</v>
      </c>
      <c r="AC344" s="4">
        <v>111</v>
      </c>
      <c r="AD344" s="4">
        <v>1</v>
      </c>
      <c r="AE344" s="4">
        <v>1</v>
      </c>
      <c r="AF344" s="4">
        <v>9</v>
      </c>
      <c r="AG344" s="4">
        <v>10</v>
      </c>
      <c r="AH344" s="4">
        <v>0</v>
      </c>
      <c r="AI344" s="4">
        <v>0</v>
      </c>
      <c r="AJ344" s="4">
        <v>3</v>
      </c>
      <c r="AK344" s="4">
        <v>3</v>
      </c>
      <c r="AL344" s="4">
        <v>8</v>
      </c>
      <c r="AM344" s="4">
        <v>9</v>
      </c>
      <c r="AN344" s="4">
        <v>0</v>
      </c>
      <c r="AO344" s="4">
        <v>0</v>
      </c>
      <c r="AP344" s="4">
        <v>0</v>
      </c>
      <c r="AQ344" s="4">
        <v>0</v>
      </c>
      <c r="AR344" s="3" t="s">
        <v>62</v>
      </c>
      <c r="AS344" s="3" t="s">
        <v>62</v>
      </c>
      <c r="AU344" s="6" t="str">
        <f>HYPERLINK("https://creighton-primo.hosted.exlibrisgroup.com/primo-explore/search?tab=default_tab&amp;search_scope=EVERYTHING&amp;vid=01CRU&amp;lang=en_US&amp;offset=0&amp;query=any,contains,991004889449702656","Catalog Record")</f>
        <v>Catalog Record</v>
      </c>
      <c r="AV344" s="6" t="str">
        <f>HYPERLINK("http://www.worldcat.org/oclc/5857219","WorldCat Record")</f>
        <v>WorldCat Record</v>
      </c>
      <c r="AW344" s="3" t="s">
        <v>4505</v>
      </c>
      <c r="AX344" s="3" t="s">
        <v>4506</v>
      </c>
      <c r="AY344" s="3" t="s">
        <v>4507</v>
      </c>
      <c r="AZ344" s="3" t="s">
        <v>4507</v>
      </c>
      <c r="BA344" s="3" t="s">
        <v>4508</v>
      </c>
      <c r="BB344" s="3" t="s">
        <v>77</v>
      </c>
      <c r="BD344" s="3" t="s">
        <v>4509</v>
      </c>
      <c r="BE344" s="3" t="s">
        <v>4510</v>
      </c>
      <c r="BF344" s="3" t="s">
        <v>4511</v>
      </c>
    </row>
    <row r="345" spans="1:58" ht="41.25" customHeight="1" x14ac:dyDescent="0.25">
      <c r="A345" s="7" t="s">
        <v>62</v>
      </c>
      <c r="B345" s="2" t="s">
        <v>57</v>
      </c>
      <c r="C345" s="2" t="s">
        <v>58</v>
      </c>
      <c r="D345" s="2" t="s">
        <v>4512</v>
      </c>
      <c r="E345" s="2" t="s">
        <v>4513</v>
      </c>
      <c r="F345" s="2" t="s">
        <v>4514</v>
      </c>
      <c r="H345" s="3" t="s">
        <v>62</v>
      </c>
      <c r="I345" s="3" t="s">
        <v>63</v>
      </c>
      <c r="J345" s="3" t="s">
        <v>62</v>
      </c>
      <c r="K345" s="3" t="s">
        <v>62</v>
      </c>
      <c r="L345" s="3" t="s">
        <v>64</v>
      </c>
      <c r="M345" s="2" t="s">
        <v>3099</v>
      </c>
      <c r="N345" s="2" t="s">
        <v>4515</v>
      </c>
      <c r="O345" s="3" t="s">
        <v>561</v>
      </c>
      <c r="Q345" s="3" t="s">
        <v>68</v>
      </c>
      <c r="R345" s="3" t="s">
        <v>69</v>
      </c>
      <c r="T345" s="3" t="s">
        <v>70</v>
      </c>
      <c r="U345" s="4">
        <v>4</v>
      </c>
      <c r="V345" s="4">
        <v>4</v>
      </c>
      <c r="W345" s="5" t="s">
        <v>4516</v>
      </c>
      <c r="X345" s="5" t="s">
        <v>4516</v>
      </c>
      <c r="Y345" s="5" t="s">
        <v>4340</v>
      </c>
      <c r="Z345" s="5" t="s">
        <v>4340</v>
      </c>
      <c r="AA345" s="4">
        <v>362</v>
      </c>
      <c r="AB345" s="4">
        <v>331</v>
      </c>
      <c r="AC345" s="4">
        <v>384</v>
      </c>
      <c r="AD345" s="4">
        <v>3</v>
      </c>
      <c r="AE345" s="4">
        <v>3</v>
      </c>
      <c r="AF345" s="4">
        <v>21</v>
      </c>
      <c r="AG345" s="4">
        <v>22</v>
      </c>
      <c r="AH345" s="4">
        <v>9</v>
      </c>
      <c r="AI345" s="4">
        <v>9</v>
      </c>
      <c r="AJ345" s="4">
        <v>6</v>
      </c>
      <c r="AK345" s="4">
        <v>6</v>
      </c>
      <c r="AL345" s="4">
        <v>12</v>
      </c>
      <c r="AM345" s="4">
        <v>13</v>
      </c>
      <c r="AN345" s="4">
        <v>2</v>
      </c>
      <c r="AO345" s="4">
        <v>2</v>
      </c>
      <c r="AP345" s="4">
        <v>0</v>
      </c>
      <c r="AQ345" s="4">
        <v>0</v>
      </c>
      <c r="AR345" s="3" t="s">
        <v>62</v>
      </c>
      <c r="AS345" s="3" t="s">
        <v>62</v>
      </c>
      <c r="AU345" s="6" t="str">
        <f>HYPERLINK("https://creighton-primo.hosted.exlibrisgroup.com/primo-explore/search?tab=default_tab&amp;search_scope=EVERYTHING&amp;vid=01CRU&amp;lang=en_US&amp;offset=0&amp;query=any,contains,991000703519702656","Catalog Record")</f>
        <v>Catalog Record</v>
      </c>
      <c r="AV345" s="6" t="str">
        <f>HYPERLINK("http://www.worldcat.org/oclc/12553907","WorldCat Record")</f>
        <v>WorldCat Record</v>
      </c>
      <c r="AW345" s="3" t="s">
        <v>4517</v>
      </c>
      <c r="AX345" s="3" t="s">
        <v>4518</v>
      </c>
      <c r="AY345" s="3" t="s">
        <v>4519</v>
      </c>
      <c r="AZ345" s="3" t="s">
        <v>4519</v>
      </c>
      <c r="BA345" s="3" t="s">
        <v>4520</v>
      </c>
      <c r="BB345" s="3" t="s">
        <v>77</v>
      </c>
      <c r="BD345" s="3" t="s">
        <v>4521</v>
      </c>
      <c r="BE345" s="3" t="s">
        <v>4522</v>
      </c>
      <c r="BF345" s="3" t="s">
        <v>4523</v>
      </c>
    </row>
    <row r="346" spans="1:58" ht="41.25" customHeight="1" x14ac:dyDescent="0.25">
      <c r="A346" s="7" t="s">
        <v>62</v>
      </c>
      <c r="B346" s="2" t="s">
        <v>57</v>
      </c>
      <c r="C346" s="2" t="s">
        <v>58</v>
      </c>
      <c r="D346" s="2" t="s">
        <v>4524</v>
      </c>
      <c r="E346" s="2" t="s">
        <v>4525</v>
      </c>
      <c r="F346" s="2" t="s">
        <v>4526</v>
      </c>
      <c r="H346" s="3" t="s">
        <v>62</v>
      </c>
      <c r="I346" s="3" t="s">
        <v>63</v>
      </c>
      <c r="J346" s="3" t="s">
        <v>62</v>
      </c>
      <c r="K346" s="3" t="s">
        <v>62</v>
      </c>
      <c r="L346" s="3" t="s">
        <v>64</v>
      </c>
      <c r="M346" s="2" t="s">
        <v>3099</v>
      </c>
      <c r="N346" s="2" t="s">
        <v>4527</v>
      </c>
      <c r="O346" s="3" t="s">
        <v>67</v>
      </c>
      <c r="P346" s="2" t="s">
        <v>4528</v>
      </c>
      <c r="Q346" s="3" t="s">
        <v>68</v>
      </c>
      <c r="R346" s="3" t="s">
        <v>69</v>
      </c>
      <c r="T346" s="3" t="s">
        <v>70</v>
      </c>
      <c r="U346" s="4">
        <v>4</v>
      </c>
      <c r="V346" s="4">
        <v>4</v>
      </c>
      <c r="W346" s="5" t="s">
        <v>4529</v>
      </c>
      <c r="X346" s="5" t="s">
        <v>4529</v>
      </c>
      <c r="Y346" s="5" t="s">
        <v>4340</v>
      </c>
      <c r="Z346" s="5" t="s">
        <v>4340</v>
      </c>
      <c r="AA346" s="4">
        <v>311</v>
      </c>
      <c r="AB346" s="4">
        <v>285</v>
      </c>
      <c r="AC346" s="4">
        <v>481</v>
      </c>
      <c r="AD346" s="4">
        <v>3</v>
      </c>
      <c r="AE346" s="4">
        <v>4</v>
      </c>
      <c r="AF346" s="4">
        <v>12</v>
      </c>
      <c r="AG346" s="4">
        <v>22</v>
      </c>
      <c r="AH346" s="4">
        <v>3</v>
      </c>
      <c r="AI346" s="4">
        <v>5</v>
      </c>
      <c r="AJ346" s="4">
        <v>1</v>
      </c>
      <c r="AK346" s="4">
        <v>4</v>
      </c>
      <c r="AL346" s="4">
        <v>8</v>
      </c>
      <c r="AM346" s="4">
        <v>14</v>
      </c>
      <c r="AN346" s="4">
        <v>1</v>
      </c>
      <c r="AO346" s="4">
        <v>2</v>
      </c>
      <c r="AP346" s="4">
        <v>0</v>
      </c>
      <c r="AQ346" s="4">
        <v>0</v>
      </c>
      <c r="AR346" s="3" t="s">
        <v>62</v>
      </c>
      <c r="AS346" s="3" t="s">
        <v>62</v>
      </c>
      <c r="AU346" s="6" t="str">
        <f>HYPERLINK("https://creighton-primo.hosted.exlibrisgroup.com/primo-explore/search?tab=default_tab&amp;search_scope=EVERYTHING&amp;vid=01CRU&amp;lang=en_US&amp;offset=0&amp;query=any,contains,991000497529702656","Catalog Record")</f>
        <v>Catalog Record</v>
      </c>
      <c r="AV346" s="6" t="str">
        <f>HYPERLINK("http://www.worldcat.org/oclc/80825","WorldCat Record")</f>
        <v>WorldCat Record</v>
      </c>
      <c r="AW346" s="3" t="s">
        <v>4530</v>
      </c>
      <c r="AX346" s="3" t="s">
        <v>4531</v>
      </c>
      <c r="AY346" s="3" t="s">
        <v>4532</v>
      </c>
      <c r="AZ346" s="3" t="s">
        <v>4532</v>
      </c>
      <c r="BA346" s="3" t="s">
        <v>4533</v>
      </c>
      <c r="BB346" s="3" t="s">
        <v>77</v>
      </c>
      <c r="BE346" s="3" t="s">
        <v>4534</v>
      </c>
      <c r="BF346" s="3" t="s">
        <v>4535</v>
      </c>
    </row>
    <row r="347" spans="1:58" ht="41.25" customHeight="1" x14ac:dyDescent="0.25">
      <c r="A347" s="7" t="s">
        <v>62</v>
      </c>
      <c r="B347" s="2" t="s">
        <v>57</v>
      </c>
      <c r="C347" s="2" t="s">
        <v>58</v>
      </c>
      <c r="D347" s="2" t="s">
        <v>4536</v>
      </c>
      <c r="E347" s="2" t="s">
        <v>4537</v>
      </c>
      <c r="F347" s="2" t="s">
        <v>4538</v>
      </c>
      <c r="H347" s="3" t="s">
        <v>62</v>
      </c>
      <c r="I347" s="3" t="s">
        <v>63</v>
      </c>
      <c r="J347" s="3" t="s">
        <v>62</v>
      </c>
      <c r="K347" s="3" t="s">
        <v>62</v>
      </c>
      <c r="L347" s="3" t="s">
        <v>64</v>
      </c>
      <c r="M347" s="2" t="s">
        <v>4539</v>
      </c>
      <c r="N347" s="2" t="s">
        <v>3763</v>
      </c>
      <c r="O347" s="3" t="s">
        <v>629</v>
      </c>
      <c r="P347" s="2" t="s">
        <v>834</v>
      </c>
      <c r="Q347" s="3" t="s">
        <v>68</v>
      </c>
      <c r="R347" s="3" t="s">
        <v>69</v>
      </c>
      <c r="T347" s="3" t="s">
        <v>70</v>
      </c>
      <c r="U347" s="4">
        <v>3</v>
      </c>
      <c r="V347" s="4">
        <v>3</v>
      </c>
      <c r="W347" s="5" t="s">
        <v>4540</v>
      </c>
      <c r="X347" s="5" t="s">
        <v>4540</v>
      </c>
      <c r="Y347" s="5" t="s">
        <v>4340</v>
      </c>
      <c r="Z347" s="5" t="s">
        <v>4340</v>
      </c>
      <c r="AA347" s="4">
        <v>783</v>
      </c>
      <c r="AB347" s="4">
        <v>721</v>
      </c>
      <c r="AC347" s="4">
        <v>814</v>
      </c>
      <c r="AD347" s="4">
        <v>3</v>
      </c>
      <c r="AE347" s="4">
        <v>3</v>
      </c>
      <c r="AF347" s="4">
        <v>32</v>
      </c>
      <c r="AG347" s="4">
        <v>36</v>
      </c>
      <c r="AH347" s="4">
        <v>12</v>
      </c>
      <c r="AI347" s="4">
        <v>14</v>
      </c>
      <c r="AJ347" s="4">
        <v>8</v>
      </c>
      <c r="AK347" s="4">
        <v>9</v>
      </c>
      <c r="AL347" s="4">
        <v>20</v>
      </c>
      <c r="AM347" s="4">
        <v>21</v>
      </c>
      <c r="AN347" s="4">
        <v>2</v>
      </c>
      <c r="AO347" s="4">
        <v>2</v>
      </c>
      <c r="AP347" s="4">
        <v>0</v>
      </c>
      <c r="AQ347" s="4">
        <v>0</v>
      </c>
      <c r="AR347" s="3" t="s">
        <v>62</v>
      </c>
      <c r="AS347" s="3" t="s">
        <v>84</v>
      </c>
      <c r="AT347" s="6" t="str">
        <f>HYPERLINK("http://catalog.hathitrust.org/Record/000727849","HathiTrust Record")</f>
        <v>HathiTrust Record</v>
      </c>
      <c r="AU347" s="6" t="str">
        <f>HYPERLINK("https://creighton-primo.hosted.exlibrisgroup.com/primo-explore/search?tab=default_tab&amp;search_scope=EVERYTHING&amp;vid=01CRU&amp;lang=en_US&amp;offset=0&amp;query=any,contains,991004074889702656","Catalog Record")</f>
        <v>Catalog Record</v>
      </c>
      <c r="AV347" s="6" t="str">
        <f>HYPERLINK("http://www.worldcat.org/oclc/2316893","WorldCat Record")</f>
        <v>WorldCat Record</v>
      </c>
      <c r="AW347" s="3" t="s">
        <v>4541</v>
      </c>
      <c r="AX347" s="3" t="s">
        <v>4542</v>
      </c>
      <c r="AY347" s="3" t="s">
        <v>4543</v>
      </c>
      <c r="AZ347" s="3" t="s">
        <v>4543</v>
      </c>
      <c r="BA347" s="3" t="s">
        <v>4544</v>
      </c>
      <c r="BB347" s="3" t="s">
        <v>77</v>
      </c>
      <c r="BD347" s="3" t="s">
        <v>4545</v>
      </c>
      <c r="BE347" s="3" t="s">
        <v>4546</v>
      </c>
      <c r="BF347" s="3" t="s">
        <v>4547</v>
      </c>
    </row>
    <row r="348" spans="1:58" ht="41.25" customHeight="1" x14ac:dyDescent="0.25">
      <c r="A348" s="7" t="s">
        <v>62</v>
      </c>
      <c r="B348" s="2" t="s">
        <v>57</v>
      </c>
      <c r="C348" s="2" t="s">
        <v>58</v>
      </c>
      <c r="D348" s="2" t="s">
        <v>4548</v>
      </c>
      <c r="E348" s="2" t="s">
        <v>4549</v>
      </c>
      <c r="F348" s="2" t="s">
        <v>4550</v>
      </c>
      <c r="H348" s="3" t="s">
        <v>62</v>
      </c>
      <c r="I348" s="3" t="s">
        <v>63</v>
      </c>
      <c r="J348" s="3" t="s">
        <v>62</v>
      </c>
      <c r="K348" s="3" t="s">
        <v>62</v>
      </c>
      <c r="L348" s="3" t="s">
        <v>64</v>
      </c>
      <c r="M348" s="2" t="s">
        <v>4539</v>
      </c>
      <c r="N348" s="2" t="s">
        <v>4551</v>
      </c>
      <c r="O348" s="3" t="s">
        <v>940</v>
      </c>
      <c r="P348" s="2" t="s">
        <v>4552</v>
      </c>
      <c r="Q348" s="3" t="s">
        <v>68</v>
      </c>
      <c r="R348" s="3" t="s">
        <v>204</v>
      </c>
      <c r="T348" s="3" t="s">
        <v>70</v>
      </c>
      <c r="U348" s="4">
        <v>5</v>
      </c>
      <c r="V348" s="4">
        <v>5</v>
      </c>
      <c r="W348" s="5" t="s">
        <v>4553</v>
      </c>
      <c r="X348" s="5" t="s">
        <v>4553</v>
      </c>
      <c r="Y348" s="5" t="s">
        <v>3059</v>
      </c>
      <c r="Z348" s="5" t="s">
        <v>3059</v>
      </c>
      <c r="AA348" s="4">
        <v>327</v>
      </c>
      <c r="AB348" s="4">
        <v>298</v>
      </c>
      <c r="AC348" s="4">
        <v>308</v>
      </c>
      <c r="AD348" s="4">
        <v>3</v>
      </c>
      <c r="AE348" s="4">
        <v>3</v>
      </c>
      <c r="AF348" s="4">
        <v>14</v>
      </c>
      <c r="AG348" s="4">
        <v>14</v>
      </c>
      <c r="AH348" s="4">
        <v>7</v>
      </c>
      <c r="AI348" s="4">
        <v>7</v>
      </c>
      <c r="AJ348" s="4">
        <v>2</v>
      </c>
      <c r="AK348" s="4">
        <v>2</v>
      </c>
      <c r="AL348" s="4">
        <v>6</v>
      </c>
      <c r="AM348" s="4">
        <v>6</v>
      </c>
      <c r="AN348" s="4">
        <v>1</v>
      </c>
      <c r="AO348" s="4">
        <v>1</v>
      </c>
      <c r="AP348" s="4">
        <v>0</v>
      </c>
      <c r="AQ348" s="4">
        <v>0</v>
      </c>
      <c r="AR348" s="3" t="s">
        <v>62</v>
      </c>
      <c r="AS348" s="3" t="s">
        <v>62</v>
      </c>
      <c r="AU348" s="6" t="str">
        <f>HYPERLINK("https://creighton-primo.hosted.exlibrisgroup.com/primo-explore/search?tab=default_tab&amp;search_scope=EVERYTHING&amp;vid=01CRU&amp;lang=en_US&amp;offset=0&amp;query=any,contains,991002055789702656","Catalog Record")</f>
        <v>Catalog Record</v>
      </c>
      <c r="AV348" s="6" t="str">
        <f>HYPERLINK("http://www.worldcat.org/oclc/26262440","WorldCat Record")</f>
        <v>WorldCat Record</v>
      </c>
      <c r="AW348" s="3" t="s">
        <v>4554</v>
      </c>
      <c r="AX348" s="3" t="s">
        <v>4555</v>
      </c>
      <c r="AY348" s="3" t="s">
        <v>4556</v>
      </c>
      <c r="AZ348" s="3" t="s">
        <v>4556</v>
      </c>
      <c r="BA348" s="3" t="s">
        <v>4557</v>
      </c>
      <c r="BB348" s="3" t="s">
        <v>77</v>
      </c>
      <c r="BD348" s="3" t="s">
        <v>4558</v>
      </c>
      <c r="BE348" s="3" t="s">
        <v>4559</v>
      </c>
      <c r="BF348" s="3" t="s">
        <v>4560</v>
      </c>
    </row>
    <row r="349" spans="1:58" ht="41.25" customHeight="1" x14ac:dyDescent="0.25">
      <c r="A349" s="7" t="s">
        <v>62</v>
      </c>
      <c r="B349" s="2" t="s">
        <v>57</v>
      </c>
      <c r="C349" s="2" t="s">
        <v>58</v>
      </c>
      <c r="D349" s="2" t="s">
        <v>4561</v>
      </c>
      <c r="E349" s="2" t="s">
        <v>4562</v>
      </c>
      <c r="F349" s="2" t="s">
        <v>4563</v>
      </c>
      <c r="H349" s="3" t="s">
        <v>62</v>
      </c>
      <c r="I349" s="3" t="s">
        <v>63</v>
      </c>
      <c r="J349" s="3" t="s">
        <v>62</v>
      </c>
      <c r="K349" s="3" t="s">
        <v>62</v>
      </c>
      <c r="L349" s="3" t="s">
        <v>64</v>
      </c>
      <c r="M349" s="2" t="s">
        <v>4564</v>
      </c>
      <c r="N349" s="2" t="s">
        <v>4565</v>
      </c>
      <c r="O349" s="3" t="s">
        <v>267</v>
      </c>
      <c r="Q349" s="3" t="s">
        <v>68</v>
      </c>
      <c r="R349" s="3" t="s">
        <v>69</v>
      </c>
      <c r="T349" s="3" t="s">
        <v>70</v>
      </c>
      <c r="U349" s="4">
        <v>2</v>
      </c>
      <c r="V349" s="4">
        <v>2</v>
      </c>
      <c r="W349" s="5" t="s">
        <v>4566</v>
      </c>
      <c r="X349" s="5" t="s">
        <v>4566</v>
      </c>
      <c r="Y349" s="5" t="s">
        <v>4340</v>
      </c>
      <c r="Z349" s="5" t="s">
        <v>4340</v>
      </c>
      <c r="AA349" s="4">
        <v>728</v>
      </c>
      <c r="AB349" s="4">
        <v>619</v>
      </c>
      <c r="AC349" s="4">
        <v>913</v>
      </c>
      <c r="AD349" s="4">
        <v>5</v>
      </c>
      <c r="AE349" s="4">
        <v>8</v>
      </c>
      <c r="AF349" s="4">
        <v>35</v>
      </c>
      <c r="AG349" s="4">
        <v>51</v>
      </c>
      <c r="AH349" s="4">
        <v>11</v>
      </c>
      <c r="AI349" s="4">
        <v>20</v>
      </c>
      <c r="AJ349" s="4">
        <v>8</v>
      </c>
      <c r="AK349" s="4">
        <v>11</v>
      </c>
      <c r="AL349" s="4">
        <v>23</v>
      </c>
      <c r="AM349" s="4">
        <v>28</v>
      </c>
      <c r="AN349" s="4">
        <v>3</v>
      </c>
      <c r="AO349" s="4">
        <v>6</v>
      </c>
      <c r="AP349" s="4">
        <v>0</v>
      </c>
      <c r="AQ349" s="4">
        <v>0</v>
      </c>
      <c r="AR349" s="3" t="s">
        <v>62</v>
      </c>
      <c r="AS349" s="3" t="s">
        <v>84</v>
      </c>
      <c r="AT349" s="6" t="str">
        <f>HYPERLINK("http://catalog.hathitrust.org/Record/001391346","HathiTrust Record")</f>
        <v>HathiTrust Record</v>
      </c>
      <c r="AU349" s="6" t="str">
        <f>HYPERLINK("https://creighton-primo.hosted.exlibrisgroup.com/primo-explore/search?tab=default_tab&amp;search_scope=EVERYTHING&amp;vid=01CRU&amp;lang=en_US&amp;offset=0&amp;query=any,contains,991002781919702656","Catalog Record")</f>
        <v>Catalog Record</v>
      </c>
      <c r="AV349" s="6" t="str">
        <f>HYPERLINK("http://www.worldcat.org/oclc/440509","WorldCat Record")</f>
        <v>WorldCat Record</v>
      </c>
      <c r="AW349" s="3" t="s">
        <v>4567</v>
      </c>
      <c r="AX349" s="3" t="s">
        <v>4568</v>
      </c>
      <c r="AY349" s="3" t="s">
        <v>4569</v>
      </c>
      <c r="AZ349" s="3" t="s">
        <v>4569</v>
      </c>
      <c r="BA349" s="3" t="s">
        <v>4570</v>
      </c>
      <c r="BB349" s="3" t="s">
        <v>77</v>
      </c>
      <c r="BE349" s="3" t="s">
        <v>4571</v>
      </c>
      <c r="BF349" s="3" t="s">
        <v>4572</v>
      </c>
    </row>
    <row r="350" spans="1:58" ht="41.25" customHeight="1" x14ac:dyDescent="0.25">
      <c r="A350" s="7" t="s">
        <v>62</v>
      </c>
      <c r="B350" s="2" t="s">
        <v>57</v>
      </c>
      <c r="C350" s="2" t="s">
        <v>58</v>
      </c>
      <c r="D350" s="2" t="s">
        <v>4573</v>
      </c>
      <c r="E350" s="2" t="s">
        <v>4574</v>
      </c>
      <c r="F350" s="2" t="s">
        <v>4575</v>
      </c>
      <c r="H350" s="3" t="s">
        <v>62</v>
      </c>
      <c r="I350" s="3" t="s">
        <v>63</v>
      </c>
      <c r="J350" s="3" t="s">
        <v>62</v>
      </c>
      <c r="K350" s="3" t="s">
        <v>62</v>
      </c>
      <c r="L350" s="3" t="s">
        <v>64</v>
      </c>
      <c r="M350" s="2" t="s">
        <v>4576</v>
      </c>
      <c r="N350" s="2" t="s">
        <v>4577</v>
      </c>
      <c r="O350" s="3" t="s">
        <v>124</v>
      </c>
      <c r="Q350" s="3" t="s">
        <v>68</v>
      </c>
      <c r="R350" s="3" t="s">
        <v>88</v>
      </c>
      <c r="S350" s="2" t="s">
        <v>4578</v>
      </c>
      <c r="T350" s="3" t="s">
        <v>70</v>
      </c>
      <c r="U350" s="4">
        <v>6</v>
      </c>
      <c r="V350" s="4">
        <v>6</v>
      </c>
      <c r="W350" s="5" t="s">
        <v>4566</v>
      </c>
      <c r="X350" s="5" t="s">
        <v>4566</v>
      </c>
      <c r="Y350" s="5" t="s">
        <v>4340</v>
      </c>
      <c r="Z350" s="5" t="s">
        <v>4340</v>
      </c>
      <c r="AA350" s="4">
        <v>529</v>
      </c>
      <c r="AB350" s="4">
        <v>437</v>
      </c>
      <c r="AC350" s="4">
        <v>443</v>
      </c>
      <c r="AD350" s="4">
        <v>3</v>
      </c>
      <c r="AE350" s="4">
        <v>3</v>
      </c>
      <c r="AF350" s="4">
        <v>28</v>
      </c>
      <c r="AG350" s="4">
        <v>28</v>
      </c>
      <c r="AH350" s="4">
        <v>14</v>
      </c>
      <c r="AI350" s="4">
        <v>14</v>
      </c>
      <c r="AJ350" s="4">
        <v>4</v>
      </c>
      <c r="AK350" s="4">
        <v>4</v>
      </c>
      <c r="AL350" s="4">
        <v>17</v>
      </c>
      <c r="AM350" s="4">
        <v>17</v>
      </c>
      <c r="AN350" s="4">
        <v>1</v>
      </c>
      <c r="AO350" s="4">
        <v>1</v>
      </c>
      <c r="AP350" s="4">
        <v>0</v>
      </c>
      <c r="AQ350" s="4">
        <v>0</v>
      </c>
      <c r="AR350" s="3" t="s">
        <v>62</v>
      </c>
      <c r="AS350" s="3" t="s">
        <v>84</v>
      </c>
      <c r="AT350" s="6" t="str">
        <f>HYPERLINK("http://catalog.hathitrust.org/Record/009906794","HathiTrust Record")</f>
        <v>HathiTrust Record</v>
      </c>
      <c r="AU350" s="6" t="str">
        <f>HYPERLINK("https://creighton-primo.hosted.exlibrisgroup.com/primo-explore/search?tab=default_tab&amp;search_scope=EVERYTHING&amp;vid=01CRU&amp;lang=en_US&amp;offset=0&amp;query=any,contains,991002574989702656","Catalog Record")</f>
        <v>Catalog Record</v>
      </c>
      <c r="AV350" s="6" t="str">
        <f>HYPERLINK("http://www.worldcat.org/oclc/374653","WorldCat Record")</f>
        <v>WorldCat Record</v>
      </c>
      <c r="AW350" s="3" t="s">
        <v>4579</v>
      </c>
      <c r="AX350" s="3" t="s">
        <v>4580</v>
      </c>
      <c r="AY350" s="3" t="s">
        <v>4581</v>
      </c>
      <c r="AZ350" s="3" t="s">
        <v>4581</v>
      </c>
      <c r="BA350" s="3" t="s">
        <v>4582</v>
      </c>
      <c r="BB350" s="3" t="s">
        <v>77</v>
      </c>
      <c r="BE350" s="3" t="s">
        <v>4583</v>
      </c>
      <c r="BF350" s="3" t="s">
        <v>4584</v>
      </c>
    </row>
    <row r="351" spans="1:58" ht="41.25" customHeight="1" x14ac:dyDescent="0.25">
      <c r="A351" s="7" t="s">
        <v>62</v>
      </c>
      <c r="B351" s="2" t="s">
        <v>57</v>
      </c>
      <c r="C351" s="2" t="s">
        <v>58</v>
      </c>
      <c r="D351" s="2" t="s">
        <v>4585</v>
      </c>
      <c r="E351" s="2" t="s">
        <v>4586</v>
      </c>
      <c r="F351" s="2" t="s">
        <v>4587</v>
      </c>
      <c r="H351" s="3" t="s">
        <v>62</v>
      </c>
      <c r="I351" s="3" t="s">
        <v>63</v>
      </c>
      <c r="J351" s="3" t="s">
        <v>62</v>
      </c>
      <c r="K351" s="3" t="s">
        <v>62</v>
      </c>
      <c r="L351" s="3" t="s">
        <v>64</v>
      </c>
      <c r="M351" s="2" t="s">
        <v>4564</v>
      </c>
      <c r="N351" s="2" t="s">
        <v>4588</v>
      </c>
      <c r="O351" s="3" t="s">
        <v>1012</v>
      </c>
      <c r="Q351" s="3" t="s">
        <v>68</v>
      </c>
      <c r="R351" s="3" t="s">
        <v>88</v>
      </c>
      <c r="T351" s="3" t="s">
        <v>70</v>
      </c>
      <c r="U351" s="4">
        <v>2</v>
      </c>
      <c r="V351" s="4">
        <v>2</v>
      </c>
      <c r="W351" s="5" t="s">
        <v>4589</v>
      </c>
      <c r="X351" s="5" t="s">
        <v>4589</v>
      </c>
      <c r="Y351" s="5" t="s">
        <v>4340</v>
      </c>
      <c r="Z351" s="5" t="s">
        <v>4340</v>
      </c>
      <c r="AA351" s="4">
        <v>833</v>
      </c>
      <c r="AB351" s="4">
        <v>753</v>
      </c>
      <c r="AC351" s="4">
        <v>805</v>
      </c>
      <c r="AD351" s="4">
        <v>7</v>
      </c>
      <c r="AE351" s="4">
        <v>7</v>
      </c>
      <c r="AF351" s="4">
        <v>43</v>
      </c>
      <c r="AG351" s="4">
        <v>44</v>
      </c>
      <c r="AH351" s="4">
        <v>17</v>
      </c>
      <c r="AI351" s="4">
        <v>17</v>
      </c>
      <c r="AJ351" s="4">
        <v>7</v>
      </c>
      <c r="AK351" s="4">
        <v>8</v>
      </c>
      <c r="AL351" s="4">
        <v>25</v>
      </c>
      <c r="AM351" s="4">
        <v>26</v>
      </c>
      <c r="AN351" s="4">
        <v>5</v>
      </c>
      <c r="AO351" s="4">
        <v>5</v>
      </c>
      <c r="AP351" s="4">
        <v>0</v>
      </c>
      <c r="AQ351" s="4">
        <v>0</v>
      </c>
      <c r="AR351" s="3" t="s">
        <v>62</v>
      </c>
      <c r="AS351" s="3" t="s">
        <v>84</v>
      </c>
      <c r="AT351" s="6" t="str">
        <f>HYPERLINK("http://catalog.hathitrust.org/Record/001391347","HathiTrust Record")</f>
        <v>HathiTrust Record</v>
      </c>
      <c r="AU351" s="6" t="str">
        <f>HYPERLINK("https://creighton-primo.hosted.exlibrisgroup.com/primo-explore/search?tab=default_tab&amp;search_scope=EVERYTHING&amp;vid=01CRU&amp;lang=en_US&amp;offset=0&amp;query=any,contains,991002574079702656","Catalog Record")</f>
        <v>Catalog Record</v>
      </c>
      <c r="AV351" s="6" t="str">
        <f>HYPERLINK("http://www.worldcat.org/oclc/374489","WorldCat Record")</f>
        <v>WorldCat Record</v>
      </c>
      <c r="AW351" s="3" t="s">
        <v>4590</v>
      </c>
      <c r="AX351" s="3" t="s">
        <v>4591</v>
      </c>
      <c r="AY351" s="3" t="s">
        <v>4592</v>
      </c>
      <c r="AZ351" s="3" t="s">
        <v>4592</v>
      </c>
      <c r="BA351" s="3" t="s">
        <v>4593</v>
      </c>
      <c r="BB351" s="3" t="s">
        <v>77</v>
      </c>
      <c r="BE351" s="3" t="s">
        <v>4594</v>
      </c>
      <c r="BF351" s="3" t="s">
        <v>4595</v>
      </c>
    </row>
    <row r="352" spans="1:58" ht="41.25" customHeight="1" x14ac:dyDescent="0.25">
      <c r="A352" s="7" t="s">
        <v>62</v>
      </c>
      <c r="B352" s="2" t="s">
        <v>57</v>
      </c>
      <c r="C352" s="2" t="s">
        <v>58</v>
      </c>
      <c r="D352" s="2" t="s">
        <v>4596</v>
      </c>
      <c r="E352" s="2" t="s">
        <v>4597</v>
      </c>
      <c r="F352" s="2" t="s">
        <v>4598</v>
      </c>
      <c r="H352" s="3" t="s">
        <v>62</v>
      </c>
      <c r="I352" s="3" t="s">
        <v>63</v>
      </c>
      <c r="J352" s="3" t="s">
        <v>62</v>
      </c>
      <c r="K352" s="3" t="s">
        <v>62</v>
      </c>
      <c r="L352" s="3" t="s">
        <v>64</v>
      </c>
      <c r="M352" s="2" t="s">
        <v>3762</v>
      </c>
      <c r="N352" s="2" t="s">
        <v>4599</v>
      </c>
      <c r="O352" s="3" t="s">
        <v>218</v>
      </c>
      <c r="Q352" s="3" t="s">
        <v>68</v>
      </c>
      <c r="R352" s="3" t="s">
        <v>204</v>
      </c>
      <c r="T352" s="3" t="s">
        <v>70</v>
      </c>
      <c r="U352" s="4">
        <v>4</v>
      </c>
      <c r="V352" s="4">
        <v>4</v>
      </c>
      <c r="W352" s="5" t="s">
        <v>4600</v>
      </c>
      <c r="X352" s="5" t="s">
        <v>4600</v>
      </c>
      <c r="Y352" s="5" t="s">
        <v>4340</v>
      </c>
      <c r="Z352" s="5" t="s">
        <v>4340</v>
      </c>
      <c r="AA352" s="4">
        <v>136</v>
      </c>
      <c r="AB352" s="4">
        <v>129</v>
      </c>
      <c r="AC352" s="4">
        <v>689</v>
      </c>
      <c r="AD352" s="4">
        <v>2</v>
      </c>
      <c r="AE352" s="4">
        <v>7</v>
      </c>
      <c r="AF352" s="4">
        <v>11</v>
      </c>
      <c r="AG352" s="4">
        <v>37</v>
      </c>
      <c r="AH352" s="4">
        <v>5</v>
      </c>
      <c r="AI352" s="4">
        <v>15</v>
      </c>
      <c r="AJ352" s="4">
        <v>2</v>
      </c>
      <c r="AK352" s="4">
        <v>6</v>
      </c>
      <c r="AL352" s="4">
        <v>6</v>
      </c>
      <c r="AM352" s="4">
        <v>19</v>
      </c>
      <c r="AN352" s="4">
        <v>0</v>
      </c>
      <c r="AO352" s="4">
        <v>5</v>
      </c>
      <c r="AP352" s="4">
        <v>0</v>
      </c>
      <c r="AQ352" s="4">
        <v>0</v>
      </c>
      <c r="AR352" s="3" t="s">
        <v>62</v>
      </c>
      <c r="AS352" s="3" t="s">
        <v>84</v>
      </c>
      <c r="AT352" s="6" t="str">
        <f>HYPERLINK("http://catalog.hathitrust.org/Record/102012385","HathiTrust Record")</f>
        <v>HathiTrust Record</v>
      </c>
      <c r="AU352" s="6" t="str">
        <f>HYPERLINK("https://creighton-primo.hosted.exlibrisgroup.com/primo-explore/search?tab=default_tab&amp;search_scope=EVERYTHING&amp;vid=01CRU&amp;lang=en_US&amp;offset=0&amp;query=any,contains,991004987579702656","Catalog Record")</f>
        <v>Catalog Record</v>
      </c>
      <c r="AV352" s="6" t="str">
        <f>HYPERLINK("http://www.worldcat.org/oclc/6638377","WorldCat Record")</f>
        <v>WorldCat Record</v>
      </c>
      <c r="AW352" s="3" t="s">
        <v>4601</v>
      </c>
      <c r="AX352" s="3" t="s">
        <v>4602</v>
      </c>
      <c r="AY352" s="3" t="s">
        <v>4603</v>
      </c>
      <c r="AZ352" s="3" t="s">
        <v>4603</v>
      </c>
      <c r="BA352" s="3" t="s">
        <v>4604</v>
      </c>
      <c r="BB352" s="3" t="s">
        <v>77</v>
      </c>
      <c r="BE352" s="3" t="s">
        <v>4605</v>
      </c>
      <c r="BF352" s="3" t="s">
        <v>4606</v>
      </c>
    </row>
    <row r="353" spans="1:58" ht="41.25" customHeight="1" x14ac:dyDescent="0.25">
      <c r="A353" s="7" t="s">
        <v>62</v>
      </c>
      <c r="B353" s="2" t="s">
        <v>57</v>
      </c>
      <c r="C353" s="2" t="s">
        <v>58</v>
      </c>
      <c r="D353" s="2" t="s">
        <v>4607</v>
      </c>
      <c r="E353" s="2" t="s">
        <v>4608</v>
      </c>
      <c r="F353" s="2" t="s">
        <v>4609</v>
      </c>
      <c r="H353" s="3" t="s">
        <v>62</v>
      </c>
      <c r="I353" s="3" t="s">
        <v>63</v>
      </c>
      <c r="J353" s="3" t="s">
        <v>62</v>
      </c>
      <c r="K353" s="3" t="s">
        <v>62</v>
      </c>
      <c r="L353" s="3" t="s">
        <v>64</v>
      </c>
      <c r="M353" s="2" t="s">
        <v>3762</v>
      </c>
      <c r="N353" s="2" t="s">
        <v>4610</v>
      </c>
      <c r="O353" s="3" t="s">
        <v>137</v>
      </c>
      <c r="Q353" s="3" t="s">
        <v>68</v>
      </c>
      <c r="R353" s="3" t="s">
        <v>219</v>
      </c>
      <c r="T353" s="3" t="s">
        <v>70</v>
      </c>
      <c r="U353" s="4">
        <v>3</v>
      </c>
      <c r="V353" s="4">
        <v>3</v>
      </c>
      <c r="W353" s="5" t="s">
        <v>4611</v>
      </c>
      <c r="X353" s="5" t="s">
        <v>4611</v>
      </c>
      <c r="Y353" s="5" t="s">
        <v>4340</v>
      </c>
      <c r="Z353" s="5" t="s">
        <v>4340</v>
      </c>
      <c r="AA353" s="4">
        <v>672</v>
      </c>
      <c r="AB353" s="4">
        <v>603</v>
      </c>
      <c r="AC353" s="4">
        <v>692</v>
      </c>
      <c r="AD353" s="4">
        <v>2</v>
      </c>
      <c r="AE353" s="4">
        <v>3</v>
      </c>
      <c r="AF353" s="4">
        <v>34</v>
      </c>
      <c r="AG353" s="4">
        <v>39</v>
      </c>
      <c r="AH353" s="4">
        <v>15</v>
      </c>
      <c r="AI353" s="4">
        <v>15</v>
      </c>
      <c r="AJ353" s="4">
        <v>6</v>
      </c>
      <c r="AK353" s="4">
        <v>8</v>
      </c>
      <c r="AL353" s="4">
        <v>22</v>
      </c>
      <c r="AM353" s="4">
        <v>25</v>
      </c>
      <c r="AN353" s="4">
        <v>1</v>
      </c>
      <c r="AO353" s="4">
        <v>2</v>
      </c>
      <c r="AP353" s="4">
        <v>0</v>
      </c>
      <c r="AQ353" s="4">
        <v>0</v>
      </c>
      <c r="AR353" s="3" t="s">
        <v>62</v>
      </c>
      <c r="AS353" s="3" t="s">
        <v>84</v>
      </c>
      <c r="AT353" s="6" t="str">
        <f>HYPERLINK("http://catalog.hathitrust.org/Record/101900377","HathiTrust Record")</f>
        <v>HathiTrust Record</v>
      </c>
      <c r="AU353" s="6" t="str">
        <f>HYPERLINK("https://creighton-primo.hosted.exlibrisgroup.com/primo-explore/search?tab=default_tab&amp;search_scope=EVERYTHING&amp;vid=01CRU&amp;lang=en_US&amp;offset=0&amp;query=any,contains,991005092089702656","Catalog Record")</f>
        <v>Catalog Record</v>
      </c>
      <c r="AV353" s="6" t="str">
        <f>HYPERLINK("http://www.worldcat.org/oclc/7236104","WorldCat Record")</f>
        <v>WorldCat Record</v>
      </c>
      <c r="AW353" s="3" t="s">
        <v>4612</v>
      </c>
      <c r="AX353" s="3" t="s">
        <v>4613</v>
      </c>
      <c r="AY353" s="3" t="s">
        <v>4614</v>
      </c>
      <c r="AZ353" s="3" t="s">
        <v>4614</v>
      </c>
      <c r="BA353" s="3" t="s">
        <v>4615</v>
      </c>
      <c r="BB353" s="3" t="s">
        <v>77</v>
      </c>
      <c r="BD353" s="3" t="s">
        <v>4616</v>
      </c>
      <c r="BE353" s="3" t="s">
        <v>4617</v>
      </c>
      <c r="BF353" s="3" t="s">
        <v>4618</v>
      </c>
    </row>
    <row r="354" spans="1:58" ht="41.25" customHeight="1" x14ac:dyDescent="0.25">
      <c r="A354" s="7" t="s">
        <v>62</v>
      </c>
      <c r="B354" s="2" t="s">
        <v>57</v>
      </c>
      <c r="C354" s="2" t="s">
        <v>58</v>
      </c>
      <c r="D354" s="2" t="s">
        <v>4619</v>
      </c>
      <c r="E354" s="2" t="s">
        <v>4620</v>
      </c>
      <c r="F354" s="2" t="s">
        <v>4621</v>
      </c>
      <c r="H354" s="3" t="s">
        <v>62</v>
      </c>
      <c r="I354" s="3" t="s">
        <v>63</v>
      </c>
      <c r="J354" s="3" t="s">
        <v>62</v>
      </c>
      <c r="K354" s="3" t="s">
        <v>62</v>
      </c>
      <c r="L354" s="3" t="s">
        <v>64</v>
      </c>
      <c r="M354" s="2" t="s">
        <v>4622</v>
      </c>
      <c r="N354" s="2" t="s">
        <v>4623</v>
      </c>
      <c r="O354" s="3" t="s">
        <v>4624</v>
      </c>
      <c r="Q354" s="3" t="s">
        <v>68</v>
      </c>
      <c r="R354" s="3" t="s">
        <v>297</v>
      </c>
      <c r="T354" s="3" t="s">
        <v>70</v>
      </c>
      <c r="U354" s="4">
        <v>2</v>
      </c>
      <c r="V354" s="4">
        <v>2</v>
      </c>
      <c r="W354" s="5" t="s">
        <v>4625</v>
      </c>
      <c r="X354" s="5" t="s">
        <v>4625</v>
      </c>
      <c r="Y354" s="5" t="s">
        <v>4340</v>
      </c>
      <c r="Z354" s="5" t="s">
        <v>4340</v>
      </c>
      <c r="AA354" s="4">
        <v>254</v>
      </c>
      <c r="AB354" s="4">
        <v>202</v>
      </c>
      <c r="AC354" s="4">
        <v>224</v>
      </c>
      <c r="AD354" s="4">
        <v>2</v>
      </c>
      <c r="AE354" s="4">
        <v>2</v>
      </c>
      <c r="AF354" s="4">
        <v>16</v>
      </c>
      <c r="AG354" s="4">
        <v>17</v>
      </c>
      <c r="AH354" s="4">
        <v>3</v>
      </c>
      <c r="AI354" s="4">
        <v>4</v>
      </c>
      <c r="AJ354" s="4">
        <v>5</v>
      </c>
      <c r="AK354" s="4">
        <v>5</v>
      </c>
      <c r="AL354" s="4">
        <v>12</v>
      </c>
      <c r="AM354" s="4">
        <v>13</v>
      </c>
      <c r="AN354" s="4">
        <v>1</v>
      </c>
      <c r="AO354" s="4">
        <v>1</v>
      </c>
      <c r="AP354" s="4">
        <v>0</v>
      </c>
      <c r="AQ354" s="4">
        <v>0</v>
      </c>
      <c r="AR354" s="3" t="s">
        <v>62</v>
      </c>
      <c r="AS354" s="3" t="s">
        <v>84</v>
      </c>
      <c r="AT354" s="6" t="str">
        <f>HYPERLINK("http://catalog.hathitrust.org/Record/001921528","HathiTrust Record")</f>
        <v>HathiTrust Record</v>
      </c>
      <c r="AU354" s="6" t="str">
        <f>HYPERLINK("https://creighton-primo.hosted.exlibrisgroup.com/primo-explore/search?tab=default_tab&amp;search_scope=EVERYTHING&amp;vid=01CRU&amp;lang=en_US&amp;offset=0&amp;query=any,contains,991004216909702656","Catalog Record")</f>
        <v>Catalog Record</v>
      </c>
      <c r="AV354" s="6" t="str">
        <f>HYPERLINK("http://www.worldcat.org/oclc/260364","WorldCat Record")</f>
        <v>WorldCat Record</v>
      </c>
      <c r="AW354" s="3" t="s">
        <v>4626</v>
      </c>
      <c r="AX354" s="3" t="s">
        <v>4627</v>
      </c>
      <c r="AY354" s="3" t="s">
        <v>4628</v>
      </c>
      <c r="AZ354" s="3" t="s">
        <v>4628</v>
      </c>
      <c r="BA354" s="3" t="s">
        <v>4629</v>
      </c>
      <c r="BB354" s="3" t="s">
        <v>77</v>
      </c>
      <c r="BE354" s="3" t="s">
        <v>4630</v>
      </c>
      <c r="BF354" s="3" t="s">
        <v>4631</v>
      </c>
    </row>
    <row r="355" spans="1:58" ht="41.25" customHeight="1" x14ac:dyDescent="0.25">
      <c r="A355" s="7" t="s">
        <v>62</v>
      </c>
      <c r="B355" s="2" t="s">
        <v>57</v>
      </c>
      <c r="C355" s="2" t="s">
        <v>58</v>
      </c>
      <c r="D355" s="2" t="s">
        <v>4632</v>
      </c>
      <c r="E355" s="2" t="s">
        <v>4633</v>
      </c>
      <c r="F355" s="2" t="s">
        <v>4634</v>
      </c>
      <c r="G355" s="3" t="s">
        <v>83</v>
      </c>
      <c r="H355" s="3" t="s">
        <v>84</v>
      </c>
      <c r="I355" s="3" t="s">
        <v>63</v>
      </c>
      <c r="J355" s="3" t="s">
        <v>62</v>
      </c>
      <c r="K355" s="3" t="s">
        <v>62</v>
      </c>
      <c r="L355" s="3" t="s">
        <v>64</v>
      </c>
      <c r="M355" s="2" t="s">
        <v>4635</v>
      </c>
      <c r="N355" s="2" t="s">
        <v>4636</v>
      </c>
      <c r="O355" s="3" t="s">
        <v>726</v>
      </c>
      <c r="Q355" s="3" t="s">
        <v>68</v>
      </c>
      <c r="R355" s="3" t="s">
        <v>88</v>
      </c>
      <c r="T355" s="3" t="s">
        <v>70</v>
      </c>
      <c r="U355" s="4">
        <v>3</v>
      </c>
      <c r="V355" s="4">
        <v>3</v>
      </c>
      <c r="W355" s="5" t="s">
        <v>4417</v>
      </c>
      <c r="X355" s="5" t="s">
        <v>4417</v>
      </c>
      <c r="Y355" s="5" t="s">
        <v>4340</v>
      </c>
      <c r="Z355" s="5" t="s">
        <v>4340</v>
      </c>
      <c r="AA355" s="4">
        <v>446</v>
      </c>
      <c r="AB355" s="4">
        <v>373</v>
      </c>
      <c r="AC355" s="4">
        <v>598</v>
      </c>
      <c r="AD355" s="4">
        <v>4</v>
      </c>
      <c r="AE355" s="4">
        <v>6</v>
      </c>
      <c r="AF355" s="4">
        <v>16</v>
      </c>
      <c r="AG355" s="4">
        <v>23</v>
      </c>
      <c r="AH355" s="4">
        <v>5</v>
      </c>
      <c r="AI355" s="4">
        <v>7</v>
      </c>
      <c r="AJ355" s="4">
        <v>2</v>
      </c>
      <c r="AK355" s="4">
        <v>6</v>
      </c>
      <c r="AL355" s="4">
        <v>10</v>
      </c>
      <c r="AM355" s="4">
        <v>13</v>
      </c>
      <c r="AN355" s="4">
        <v>3</v>
      </c>
      <c r="AO355" s="4">
        <v>4</v>
      </c>
      <c r="AP355" s="4">
        <v>0</v>
      </c>
      <c r="AQ355" s="4">
        <v>0</v>
      </c>
      <c r="AR355" s="3" t="s">
        <v>62</v>
      </c>
      <c r="AS355" s="3" t="s">
        <v>84</v>
      </c>
      <c r="AT355" s="6" t="str">
        <f>HYPERLINK("http://catalog.hathitrust.org/Record/001391361","HathiTrust Record")</f>
        <v>HathiTrust Record</v>
      </c>
      <c r="AU355" s="6" t="str">
        <f>HYPERLINK("https://creighton-primo.hosted.exlibrisgroup.com/primo-explore/search?tab=default_tab&amp;search_scope=EVERYTHING&amp;vid=01CRU&amp;lang=en_US&amp;offset=0&amp;query=any,contains,991003725739702656","Catalog Record")</f>
        <v>Catalog Record</v>
      </c>
      <c r="AV355" s="6" t="str">
        <f>HYPERLINK("http://www.worldcat.org/oclc/1372828","WorldCat Record")</f>
        <v>WorldCat Record</v>
      </c>
      <c r="AW355" s="3" t="s">
        <v>4637</v>
      </c>
      <c r="AX355" s="3" t="s">
        <v>4638</v>
      </c>
      <c r="AY355" s="3" t="s">
        <v>4639</v>
      </c>
      <c r="AZ355" s="3" t="s">
        <v>4639</v>
      </c>
      <c r="BA355" s="3" t="s">
        <v>4640</v>
      </c>
      <c r="BB355" s="3" t="s">
        <v>77</v>
      </c>
      <c r="BE355" s="3" t="s">
        <v>4641</v>
      </c>
      <c r="BF355" s="3" t="s">
        <v>4642</v>
      </c>
    </row>
    <row r="356" spans="1:58" ht="41.25" customHeight="1" x14ac:dyDescent="0.25">
      <c r="A356" s="7" t="s">
        <v>62</v>
      </c>
      <c r="B356" s="2" t="s">
        <v>57</v>
      </c>
      <c r="C356" s="2" t="s">
        <v>58</v>
      </c>
      <c r="D356" s="2" t="s">
        <v>4632</v>
      </c>
      <c r="E356" s="2" t="s">
        <v>4633</v>
      </c>
      <c r="F356" s="2" t="s">
        <v>4634</v>
      </c>
      <c r="G356" s="3" t="s">
        <v>100</v>
      </c>
      <c r="H356" s="3" t="s">
        <v>84</v>
      </c>
      <c r="I356" s="3" t="s">
        <v>63</v>
      </c>
      <c r="J356" s="3" t="s">
        <v>62</v>
      </c>
      <c r="K356" s="3" t="s">
        <v>62</v>
      </c>
      <c r="L356" s="3" t="s">
        <v>64</v>
      </c>
      <c r="M356" s="2" t="s">
        <v>4635</v>
      </c>
      <c r="N356" s="2" t="s">
        <v>4636</v>
      </c>
      <c r="O356" s="3" t="s">
        <v>726</v>
      </c>
      <c r="Q356" s="3" t="s">
        <v>68</v>
      </c>
      <c r="R356" s="3" t="s">
        <v>88</v>
      </c>
      <c r="T356" s="3" t="s">
        <v>70</v>
      </c>
      <c r="U356" s="4">
        <v>0</v>
      </c>
      <c r="V356" s="4">
        <v>3</v>
      </c>
      <c r="X356" s="5" t="s">
        <v>4417</v>
      </c>
      <c r="Y356" s="5" t="s">
        <v>4340</v>
      </c>
      <c r="Z356" s="5" t="s">
        <v>4340</v>
      </c>
      <c r="AA356" s="4">
        <v>446</v>
      </c>
      <c r="AB356" s="4">
        <v>373</v>
      </c>
      <c r="AC356" s="4">
        <v>598</v>
      </c>
      <c r="AD356" s="4">
        <v>4</v>
      </c>
      <c r="AE356" s="4">
        <v>6</v>
      </c>
      <c r="AF356" s="4">
        <v>16</v>
      </c>
      <c r="AG356" s="4">
        <v>23</v>
      </c>
      <c r="AH356" s="4">
        <v>5</v>
      </c>
      <c r="AI356" s="4">
        <v>7</v>
      </c>
      <c r="AJ356" s="4">
        <v>2</v>
      </c>
      <c r="AK356" s="4">
        <v>6</v>
      </c>
      <c r="AL356" s="4">
        <v>10</v>
      </c>
      <c r="AM356" s="4">
        <v>13</v>
      </c>
      <c r="AN356" s="4">
        <v>3</v>
      </c>
      <c r="AO356" s="4">
        <v>4</v>
      </c>
      <c r="AP356" s="4">
        <v>0</v>
      </c>
      <c r="AQ356" s="4">
        <v>0</v>
      </c>
      <c r="AR356" s="3" t="s">
        <v>62</v>
      </c>
      <c r="AS356" s="3" t="s">
        <v>84</v>
      </c>
      <c r="AT356" s="6" t="str">
        <f>HYPERLINK("http://catalog.hathitrust.org/Record/001391361","HathiTrust Record")</f>
        <v>HathiTrust Record</v>
      </c>
      <c r="AU356" s="6" t="str">
        <f>HYPERLINK("https://creighton-primo.hosted.exlibrisgroup.com/primo-explore/search?tab=default_tab&amp;search_scope=EVERYTHING&amp;vid=01CRU&amp;lang=en_US&amp;offset=0&amp;query=any,contains,991003725739702656","Catalog Record")</f>
        <v>Catalog Record</v>
      </c>
      <c r="AV356" s="6" t="str">
        <f>HYPERLINK("http://www.worldcat.org/oclc/1372828","WorldCat Record")</f>
        <v>WorldCat Record</v>
      </c>
      <c r="AW356" s="3" t="s">
        <v>4637</v>
      </c>
      <c r="AX356" s="3" t="s">
        <v>4638</v>
      </c>
      <c r="AY356" s="3" t="s">
        <v>4639</v>
      </c>
      <c r="AZ356" s="3" t="s">
        <v>4639</v>
      </c>
      <c r="BA356" s="3" t="s">
        <v>4640</v>
      </c>
      <c r="BB356" s="3" t="s">
        <v>77</v>
      </c>
      <c r="BE356" s="3" t="s">
        <v>4643</v>
      </c>
      <c r="BF356" s="3" t="s">
        <v>4644</v>
      </c>
    </row>
    <row r="357" spans="1:58" ht="41.25" customHeight="1" x14ac:dyDescent="0.25">
      <c r="A357" s="7" t="s">
        <v>62</v>
      </c>
      <c r="B357" s="2" t="s">
        <v>57</v>
      </c>
      <c r="C357" s="2" t="s">
        <v>58</v>
      </c>
      <c r="D357" s="2" t="s">
        <v>4645</v>
      </c>
      <c r="E357" s="2" t="s">
        <v>4646</v>
      </c>
      <c r="F357" s="2" t="s">
        <v>4647</v>
      </c>
      <c r="H357" s="3" t="s">
        <v>62</v>
      </c>
      <c r="I357" s="3" t="s">
        <v>63</v>
      </c>
      <c r="J357" s="3" t="s">
        <v>62</v>
      </c>
      <c r="K357" s="3" t="s">
        <v>62</v>
      </c>
      <c r="L357" s="3" t="s">
        <v>64</v>
      </c>
      <c r="M357" s="2" t="s">
        <v>4648</v>
      </c>
      <c r="N357" s="2" t="s">
        <v>4649</v>
      </c>
      <c r="O357" s="3" t="s">
        <v>67</v>
      </c>
      <c r="Q357" s="3" t="s">
        <v>68</v>
      </c>
      <c r="R357" s="3" t="s">
        <v>69</v>
      </c>
      <c r="T357" s="3" t="s">
        <v>70</v>
      </c>
      <c r="U357" s="4">
        <v>2</v>
      </c>
      <c r="V357" s="4">
        <v>2</v>
      </c>
      <c r="W357" s="5" t="s">
        <v>4417</v>
      </c>
      <c r="X357" s="5" t="s">
        <v>4417</v>
      </c>
      <c r="Y357" s="5" t="s">
        <v>4340</v>
      </c>
      <c r="Z357" s="5" t="s">
        <v>4340</v>
      </c>
      <c r="AA357" s="4">
        <v>533</v>
      </c>
      <c r="AB357" s="4">
        <v>472</v>
      </c>
      <c r="AC357" s="4">
        <v>479</v>
      </c>
      <c r="AD357" s="4">
        <v>4</v>
      </c>
      <c r="AE357" s="4">
        <v>4</v>
      </c>
      <c r="AF357" s="4">
        <v>22</v>
      </c>
      <c r="AG357" s="4">
        <v>22</v>
      </c>
      <c r="AH357" s="4">
        <v>9</v>
      </c>
      <c r="AI357" s="4">
        <v>9</v>
      </c>
      <c r="AJ357" s="4">
        <v>4</v>
      </c>
      <c r="AK357" s="4">
        <v>4</v>
      </c>
      <c r="AL357" s="4">
        <v>10</v>
      </c>
      <c r="AM357" s="4">
        <v>10</v>
      </c>
      <c r="AN357" s="4">
        <v>3</v>
      </c>
      <c r="AO357" s="4">
        <v>3</v>
      </c>
      <c r="AP357" s="4">
        <v>0</v>
      </c>
      <c r="AQ357" s="4">
        <v>0</v>
      </c>
      <c r="AR357" s="3" t="s">
        <v>62</v>
      </c>
      <c r="AS357" s="3" t="s">
        <v>84</v>
      </c>
      <c r="AT357" s="6" t="str">
        <f>HYPERLINK("http://catalog.hathitrust.org/Record/001391365","HathiTrust Record")</f>
        <v>HathiTrust Record</v>
      </c>
      <c r="AU357" s="6" t="str">
        <f>HYPERLINK("https://creighton-primo.hosted.exlibrisgroup.com/primo-explore/search?tab=default_tab&amp;search_scope=EVERYTHING&amp;vid=01CRU&amp;lang=en_US&amp;offset=0&amp;query=any,contains,991000489729702656","Catalog Record")</f>
        <v>Catalog Record</v>
      </c>
      <c r="AV357" s="6" t="str">
        <f>HYPERLINK("http://www.worldcat.org/oclc/79975","WorldCat Record")</f>
        <v>WorldCat Record</v>
      </c>
      <c r="AW357" s="3" t="s">
        <v>4650</v>
      </c>
      <c r="AX357" s="3" t="s">
        <v>4651</v>
      </c>
      <c r="AY357" s="3" t="s">
        <v>4652</v>
      </c>
      <c r="AZ357" s="3" t="s">
        <v>4652</v>
      </c>
      <c r="BA357" s="3" t="s">
        <v>4653</v>
      </c>
      <c r="BB357" s="3" t="s">
        <v>77</v>
      </c>
      <c r="BE357" s="3" t="s">
        <v>4654</v>
      </c>
      <c r="BF357" s="3" t="s">
        <v>4655</v>
      </c>
    </row>
    <row r="358" spans="1:58" ht="41.25" customHeight="1" x14ac:dyDescent="0.25">
      <c r="A358" s="7" t="s">
        <v>62</v>
      </c>
      <c r="B358" s="2" t="s">
        <v>57</v>
      </c>
      <c r="C358" s="2" t="s">
        <v>58</v>
      </c>
      <c r="D358" s="2" t="s">
        <v>4656</v>
      </c>
      <c r="E358" s="2" t="s">
        <v>4657</v>
      </c>
      <c r="F358" s="2" t="s">
        <v>4658</v>
      </c>
      <c r="H358" s="3" t="s">
        <v>62</v>
      </c>
      <c r="I358" s="3" t="s">
        <v>63</v>
      </c>
      <c r="J358" s="3" t="s">
        <v>62</v>
      </c>
      <c r="K358" s="3" t="s">
        <v>62</v>
      </c>
      <c r="L358" s="3" t="s">
        <v>64</v>
      </c>
      <c r="M358" s="2" t="s">
        <v>4648</v>
      </c>
      <c r="N358" s="2" t="s">
        <v>4659</v>
      </c>
      <c r="O358" s="3" t="s">
        <v>124</v>
      </c>
      <c r="Q358" s="3" t="s">
        <v>68</v>
      </c>
      <c r="R358" s="3" t="s">
        <v>69</v>
      </c>
      <c r="T358" s="3" t="s">
        <v>70</v>
      </c>
      <c r="U358" s="4">
        <v>4</v>
      </c>
      <c r="V358" s="4">
        <v>4</v>
      </c>
      <c r="W358" s="5" t="s">
        <v>4417</v>
      </c>
      <c r="X358" s="5" t="s">
        <v>4417</v>
      </c>
      <c r="Y358" s="5" t="s">
        <v>4340</v>
      </c>
      <c r="Z358" s="5" t="s">
        <v>4340</v>
      </c>
      <c r="AA358" s="4">
        <v>1004</v>
      </c>
      <c r="AB358" s="4">
        <v>919</v>
      </c>
      <c r="AC358" s="4">
        <v>928</v>
      </c>
      <c r="AD358" s="4">
        <v>6</v>
      </c>
      <c r="AE358" s="4">
        <v>6</v>
      </c>
      <c r="AF358" s="4">
        <v>33</v>
      </c>
      <c r="AG358" s="4">
        <v>33</v>
      </c>
      <c r="AH358" s="4">
        <v>10</v>
      </c>
      <c r="AI358" s="4">
        <v>10</v>
      </c>
      <c r="AJ358" s="4">
        <v>6</v>
      </c>
      <c r="AK358" s="4">
        <v>6</v>
      </c>
      <c r="AL358" s="4">
        <v>19</v>
      </c>
      <c r="AM358" s="4">
        <v>19</v>
      </c>
      <c r="AN358" s="4">
        <v>5</v>
      </c>
      <c r="AO358" s="4">
        <v>5</v>
      </c>
      <c r="AP358" s="4">
        <v>0</v>
      </c>
      <c r="AQ358" s="4">
        <v>0</v>
      </c>
      <c r="AR358" s="3" t="s">
        <v>62</v>
      </c>
      <c r="AS358" s="3" t="s">
        <v>84</v>
      </c>
      <c r="AT358" s="6" t="str">
        <f>HYPERLINK("http://catalog.hathitrust.org/Record/001391366","HathiTrust Record")</f>
        <v>HathiTrust Record</v>
      </c>
      <c r="AU358" s="6" t="str">
        <f>HYPERLINK("https://creighton-primo.hosted.exlibrisgroup.com/primo-explore/search?tab=default_tab&amp;search_scope=EVERYTHING&amp;vid=01CRU&amp;lang=en_US&amp;offset=0&amp;query=any,contains,991002257769702656","Catalog Record")</f>
        <v>Catalog Record</v>
      </c>
      <c r="AV358" s="6" t="str">
        <f>HYPERLINK("http://www.worldcat.org/oclc/302466","WorldCat Record")</f>
        <v>WorldCat Record</v>
      </c>
      <c r="AW358" s="3" t="s">
        <v>4660</v>
      </c>
      <c r="AX358" s="3" t="s">
        <v>4661</v>
      </c>
      <c r="AY358" s="3" t="s">
        <v>4662</v>
      </c>
      <c r="AZ358" s="3" t="s">
        <v>4662</v>
      </c>
      <c r="BA358" s="3" t="s">
        <v>4663</v>
      </c>
      <c r="BB358" s="3" t="s">
        <v>77</v>
      </c>
      <c r="BE358" s="3" t="s">
        <v>4664</v>
      </c>
      <c r="BF358" s="3" t="s">
        <v>4665</v>
      </c>
    </row>
    <row r="359" spans="1:58" ht="41.25" customHeight="1" x14ac:dyDescent="0.25">
      <c r="A359" s="7" t="s">
        <v>62</v>
      </c>
      <c r="B359" s="2" t="s">
        <v>57</v>
      </c>
      <c r="C359" s="2" t="s">
        <v>58</v>
      </c>
      <c r="D359" s="2" t="s">
        <v>4666</v>
      </c>
      <c r="E359" s="2" t="s">
        <v>4667</v>
      </c>
      <c r="F359" s="2" t="s">
        <v>4668</v>
      </c>
      <c r="H359" s="3" t="s">
        <v>62</v>
      </c>
      <c r="I359" s="3" t="s">
        <v>63</v>
      </c>
      <c r="J359" s="3" t="s">
        <v>62</v>
      </c>
      <c r="K359" s="3" t="s">
        <v>62</v>
      </c>
      <c r="L359" s="3" t="s">
        <v>64</v>
      </c>
      <c r="M359" s="2" t="s">
        <v>4669</v>
      </c>
      <c r="N359" s="2" t="s">
        <v>4670</v>
      </c>
      <c r="O359" s="3" t="s">
        <v>383</v>
      </c>
      <c r="P359" s="2" t="s">
        <v>268</v>
      </c>
      <c r="Q359" s="3" t="s">
        <v>68</v>
      </c>
      <c r="R359" s="3" t="s">
        <v>69</v>
      </c>
      <c r="T359" s="3" t="s">
        <v>70</v>
      </c>
      <c r="U359" s="4">
        <v>2</v>
      </c>
      <c r="V359" s="4">
        <v>2</v>
      </c>
      <c r="W359" s="5" t="s">
        <v>4671</v>
      </c>
      <c r="X359" s="5" t="s">
        <v>4671</v>
      </c>
      <c r="Y359" s="5" t="s">
        <v>4340</v>
      </c>
      <c r="Z359" s="5" t="s">
        <v>4340</v>
      </c>
      <c r="AA359" s="4">
        <v>984</v>
      </c>
      <c r="AB359" s="4">
        <v>871</v>
      </c>
      <c r="AC359" s="4">
        <v>996</v>
      </c>
      <c r="AD359" s="4">
        <v>8</v>
      </c>
      <c r="AE359" s="4">
        <v>8</v>
      </c>
      <c r="AF359" s="4">
        <v>36</v>
      </c>
      <c r="AG359" s="4">
        <v>40</v>
      </c>
      <c r="AH359" s="4">
        <v>15</v>
      </c>
      <c r="AI359" s="4">
        <v>17</v>
      </c>
      <c r="AJ359" s="4">
        <v>8</v>
      </c>
      <c r="AK359" s="4">
        <v>8</v>
      </c>
      <c r="AL359" s="4">
        <v>19</v>
      </c>
      <c r="AM359" s="4">
        <v>22</v>
      </c>
      <c r="AN359" s="4">
        <v>4</v>
      </c>
      <c r="AO359" s="4">
        <v>4</v>
      </c>
      <c r="AP359" s="4">
        <v>0</v>
      </c>
      <c r="AQ359" s="4">
        <v>0</v>
      </c>
      <c r="AR359" s="3" t="s">
        <v>62</v>
      </c>
      <c r="AS359" s="3" t="s">
        <v>84</v>
      </c>
      <c r="AT359" s="6" t="str">
        <f>HYPERLINK("http://catalog.hathitrust.org/Record/001391368","HathiTrust Record")</f>
        <v>HathiTrust Record</v>
      </c>
      <c r="AU359" s="6" t="str">
        <f>HYPERLINK("https://creighton-primo.hosted.exlibrisgroup.com/primo-explore/search?tab=default_tab&amp;search_scope=EVERYTHING&amp;vid=01CRU&amp;lang=en_US&amp;offset=0&amp;query=any,contains,991000004449702656","Catalog Record")</f>
        <v>Catalog Record</v>
      </c>
      <c r="AV359" s="6" t="str">
        <f>HYPERLINK("http://www.worldcat.org/oclc/12665","WorldCat Record")</f>
        <v>WorldCat Record</v>
      </c>
      <c r="AW359" s="3" t="s">
        <v>4672</v>
      </c>
      <c r="AX359" s="3" t="s">
        <v>4673</v>
      </c>
      <c r="AY359" s="3" t="s">
        <v>4674</v>
      </c>
      <c r="AZ359" s="3" t="s">
        <v>4674</v>
      </c>
      <c r="BA359" s="3" t="s">
        <v>4675</v>
      </c>
      <c r="BB359" s="3" t="s">
        <v>77</v>
      </c>
      <c r="BE359" s="3" t="s">
        <v>4676</v>
      </c>
      <c r="BF359" s="3" t="s">
        <v>4677</v>
      </c>
    </row>
    <row r="360" spans="1:58" ht="41.25" customHeight="1" x14ac:dyDescent="0.25">
      <c r="A360" s="7" t="s">
        <v>62</v>
      </c>
      <c r="B360" s="2" t="s">
        <v>57</v>
      </c>
      <c r="C360" s="2" t="s">
        <v>58</v>
      </c>
      <c r="D360" s="2" t="s">
        <v>4678</v>
      </c>
      <c r="E360" s="2" t="s">
        <v>4679</v>
      </c>
      <c r="F360" s="2" t="s">
        <v>4680</v>
      </c>
      <c r="H360" s="3" t="s">
        <v>62</v>
      </c>
      <c r="I360" s="3" t="s">
        <v>63</v>
      </c>
      <c r="J360" s="3" t="s">
        <v>62</v>
      </c>
      <c r="K360" s="3" t="s">
        <v>62</v>
      </c>
      <c r="L360" s="3" t="s">
        <v>64</v>
      </c>
      <c r="N360" s="2" t="s">
        <v>4681</v>
      </c>
      <c r="O360" s="3" t="s">
        <v>137</v>
      </c>
      <c r="Q360" s="3" t="s">
        <v>68</v>
      </c>
      <c r="R360" s="3" t="s">
        <v>1653</v>
      </c>
      <c r="S360" s="2" t="s">
        <v>4682</v>
      </c>
      <c r="T360" s="3" t="s">
        <v>70</v>
      </c>
      <c r="U360" s="4">
        <v>1</v>
      </c>
      <c r="V360" s="4">
        <v>1</v>
      </c>
      <c r="W360" s="5" t="s">
        <v>4683</v>
      </c>
      <c r="X360" s="5" t="s">
        <v>4683</v>
      </c>
      <c r="Y360" s="5" t="s">
        <v>4340</v>
      </c>
      <c r="Z360" s="5" t="s">
        <v>4340</v>
      </c>
      <c r="AA360" s="4">
        <v>683</v>
      </c>
      <c r="AB360" s="4">
        <v>597</v>
      </c>
      <c r="AC360" s="4">
        <v>598</v>
      </c>
      <c r="AD360" s="4">
        <v>4</v>
      </c>
      <c r="AE360" s="4">
        <v>4</v>
      </c>
      <c r="AF360" s="4">
        <v>34</v>
      </c>
      <c r="AG360" s="4">
        <v>34</v>
      </c>
      <c r="AH360" s="4">
        <v>11</v>
      </c>
      <c r="AI360" s="4">
        <v>11</v>
      </c>
      <c r="AJ360" s="4">
        <v>8</v>
      </c>
      <c r="AK360" s="4">
        <v>8</v>
      </c>
      <c r="AL360" s="4">
        <v>21</v>
      </c>
      <c r="AM360" s="4">
        <v>21</v>
      </c>
      <c r="AN360" s="4">
        <v>3</v>
      </c>
      <c r="AO360" s="4">
        <v>3</v>
      </c>
      <c r="AP360" s="4">
        <v>0</v>
      </c>
      <c r="AQ360" s="4">
        <v>0</v>
      </c>
      <c r="AR360" s="3" t="s">
        <v>62</v>
      </c>
      <c r="AS360" s="3" t="s">
        <v>84</v>
      </c>
      <c r="AT360" s="6" t="str">
        <f>HYPERLINK("http://catalog.hathitrust.org/Record/000556103","HathiTrust Record")</f>
        <v>HathiTrust Record</v>
      </c>
      <c r="AU360" s="6" t="str">
        <f>HYPERLINK("https://creighton-primo.hosted.exlibrisgroup.com/primo-explore/search?tab=default_tab&amp;search_scope=EVERYTHING&amp;vid=01CRU&amp;lang=en_US&amp;offset=0&amp;query=any,contains,991005160349702656","Catalog Record")</f>
        <v>Catalog Record</v>
      </c>
      <c r="AV360" s="6" t="str">
        <f>HYPERLINK("http://www.worldcat.org/oclc/7775648","WorldCat Record")</f>
        <v>WorldCat Record</v>
      </c>
      <c r="AW360" s="3" t="s">
        <v>4684</v>
      </c>
      <c r="AX360" s="3" t="s">
        <v>4685</v>
      </c>
      <c r="AY360" s="3" t="s">
        <v>4686</v>
      </c>
      <c r="AZ360" s="3" t="s">
        <v>4686</v>
      </c>
      <c r="BA360" s="3" t="s">
        <v>4687</v>
      </c>
      <c r="BB360" s="3" t="s">
        <v>77</v>
      </c>
      <c r="BD360" s="3" t="s">
        <v>4688</v>
      </c>
      <c r="BE360" s="3" t="s">
        <v>4689</v>
      </c>
      <c r="BF360" s="3" t="s">
        <v>4690</v>
      </c>
    </row>
    <row r="361" spans="1:58" ht="41.25" customHeight="1" x14ac:dyDescent="0.25">
      <c r="A361" s="7" t="s">
        <v>62</v>
      </c>
      <c r="B361" s="2" t="s">
        <v>57</v>
      </c>
      <c r="C361" s="2" t="s">
        <v>58</v>
      </c>
      <c r="D361" s="2" t="s">
        <v>4691</v>
      </c>
      <c r="E361" s="2" t="s">
        <v>4692</v>
      </c>
      <c r="F361" s="2" t="s">
        <v>4123</v>
      </c>
      <c r="H361" s="3" t="s">
        <v>62</v>
      </c>
      <c r="I361" s="3" t="s">
        <v>63</v>
      </c>
      <c r="J361" s="3" t="s">
        <v>62</v>
      </c>
      <c r="K361" s="3" t="s">
        <v>62</v>
      </c>
      <c r="L361" s="3" t="s">
        <v>64</v>
      </c>
      <c r="M361" s="2" t="s">
        <v>4693</v>
      </c>
      <c r="N361" s="2" t="s">
        <v>4694</v>
      </c>
      <c r="O361" s="3" t="s">
        <v>902</v>
      </c>
      <c r="P361" s="2" t="s">
        <v>268</v>
      </c>
      <c r="Q361" s="3" t="s">
        <v>68</v>
      </c>
      <c r="R361" s="3" t="s">
        <v>69</v>
      </c>
      <c r="T361" s="3" t="s">
        <v>70</v>
      </c>
      <c r="U361" s="4">
        <v>2</v>
      </c>
      <c r="V361" s="4">
        <v>2</v>
      </c>
      <c r="W361" s="5" t="s">
        <v>4417</v>
      </c>
      <c r="X361" s="5" t="s">
        <v>4417</v>
      </c>
      <c r="Y361" s="5" t="s">
        <v>4340</v>
      </c>
      <c r="Z361" s="5" t="s">
        <v>4340</v>
      </c>
      <c r="AA361" s="4">
        <v>1120</v>
      </c>
      <c r="AB361" s="4">
        <v>1024</v>
      </c>
      <c r="AC361" s="4">
        <v>1137</v>
      </c>
      <c r="AD361" s="4">
        <v>8</v>
      </c>
      <c r="AE361" s="4">
        <v>9</v>
      </c>
      <c r="AF361" s="4">
        <v>34</v>
      </c>
      <c r="AG361" s="4">
        <v>37</v>
      </c>
      <c r="AH361" s="4">
        <v>16</v>
      </c>
      <c r="AI361" s="4">
        <v>18</v>
      </c>
      <c r="AJ361" s="4">
        <v>4</v>
      </c>
      <c r="AK361" s="4">
        <v>6</v>
      </c>
      <c r="AL361" s="4">
        <v>14</v>
      </c>
      <c r="AM361" s="4">
        <v>16</v>
      </c>
      <c r="AN361" s="4">
        <v>5</v>
      </c>
      <c r="AO361" s="4">
        <v>5</v>
      </c>
      <c r="AP361" s="4">
        <v>0</v>
      </c>
      <c r="AQ361" s="4">
        <v>0</v>
      </c>
      <c r="AR361" s="3" t="s">
        <v>62</v>
      </c>
      <c r="AS361" s="3" t="s">
        <v>84</v>
      </c>
      <c r="AT361" s="6" t="str">
        <f>HYPERLINK("http://catalog.hathitrust.org/Record/001391372","HathiTrust Record")</f>
        <v>HathiTrust Record</v>
      </c>
      <c r="AU361" s="6" t="str">
        <f>HYPERLINK("https://creighton-primo.hosted.exlibrisgroup.com/primo-explore/search?tab=default_tab&amp;search_scope=EVERYTHING&amp;vid=01CRU&amp;lang=en_US&amp;offset=0&amp;query=any,contains,991002328819702656","Catalog Record")</f>
        <v>Catalog Record</v>
      </c>
      <c r="AV361" s="6" t="str">
        <f>HYPERLINK("http://www.worldcat.org/oclc/321835","WorldCat Record")</f>
        <v>WorldCat Record</v>
      </c>
      <c r="AW361" s="3" t="s">
        <v>4695</v>
      </c>
      <c r="AX361" s="3" t="s">
        <v>4696</v>
      </c>
      <c r="AY361" s="3" t="s">
        <v>4697</v>
      </c>
      <c r="AZ361" s="3" t="s">
        <v>4697</v>
      </c>
      <c r="BA361" s="3" t="s">
        <v>4698</v>
      </c>
      <c r="BB361" s="3" t="s">
        <v>77</v>
      </c>
      <c r="BE361" s="3" t="s">
        <v>4699</v>
      </c>
      <c r="BF361" s="3" t="s">
        <v>4700</v>
      </c>
    </row>
    <row r="362" spans="1:58" ht="41.25" customHeight="1" x14ac:dyDescent="0.25">
      <c r="A362" s="7" t="s">
        <v>62</v>
      </c>
      <c r="B362" s="2" t="s">
        <v>57</v>
      </c>
      <c r="C362" s="2" t="s">
        <v>58</v>
      </c>
      <c r="D362" s="2" t="s">
        <v>4701</v>
      </c>
      <c r="E362" s="2" t="s">
        <v>4702</v>
      </c>
      <c r="F362" s="2" t="s">
        <v>4703</v>
      </c>
      <c r="H362" s="3" t="s">
        <v>62</v>
      </c>
      <c r="I362" s="3" t="s">
        <v>63</v>
      </c>
      <c r="J362" s="3" t="s">
        <v>62</v>
      </c>
      <c r="K362" s="3" t="s">
        <v>62</v>
      </c>
      <c r="L362" s="3" t="s">
        <v>64</v>
      </c>
      <c r="M362" s="2" t="s">
        <v>4704</v>
      </c>
      <c r="N362" s="2" t="s">
        <v>4705</v>
      </c>
      <c r="O362" s="3" t="s">
        <v>137</v>
      </c>
      <c r="Q362" s="3" t="s">
        <v>68</v>
      </c>
      <c r="R362" s="3" t="s">
        <v>1117</v>
      </c>
      <c r="S362" s="2" t="s">
        <v>4706</v>
      </c>
      <c r="T362" s="3" t="s">
        <v>70</v>
      </c>
      <c r="U362" s="4">
        <v>1</v>
      </c>
      <c r="V362" s="4">
        <v>1</v>
      </c>
      <c r="W362" s="5" t="s">
        <v>4707</v>
      </c>
      <c r="X362" s="5" t="s">
        <v>4707</v>
      </c>
      <c r="Y362" s="5" t="s">
        <v>4340</v>
      </c>
      <c r="Z362" s="5" t="s">
        <v>4340</v>
      </c>
      <c r="AA362" s="4">
        <v>342</v>
      </c>
      <c r="AB362" s="4">
        <v>291</v>
      </c>
      <c r="AC362" s="4">
        <v>292</v>
      </c>
      <c r="AD362" s="4">
        <v>3</v>
      </c>
      <c r="AE362" s="4">
        <v>3</v>
      </c>
      <c r="AF362" s="4">
        <v>20</v>
      </c>
      <c r="AG362" s="4">
        <v>20</v>
      </c>
      <c r="AH362" s="4">
        <v>7</v>
      </c>
      <c r="AI362" s="4">
        <v>7</v>
      </c>
      <c r="AJ362" s="4">
        <v>4</v>
      </c>
      <c r="AK362" s="4">
        <v>4</v>
      </c>
      <c r="AL362" s="4">
        <v>15</v>
      </c>
      <c r="AM362" s="4">
        <v>15</v>
      </c>
      <c r="AN362" s="4">
        <v>2</v>
      </c>
      <c r="AO362" s="4">
        <v>2</v>
      </c>
      <c r="AP362" s="4">
        <v>0</v>
      </c>
      <c r="AQ362" s="4">
        <v>0</v>
      </c>
      <c r="AR362" s="3" t="s">
        <v>62</v>
      </c>
      <c r="AS362" s="3" t="s">
        <v>84</v>
      </c>
      <c r="AT362" s="6" t="str">
        <f>HYPERLINK("http://catalog.hathitrust.org/Record/000265677","HathiTrust Record")</f>
        <v>HathiTrust Record</v>
      </c>
      <c r="AU362" s="6" t="str">
        <f>HYPERLINK("https://creighton-primo.hosted.exlibrisgroup.com/primo-explore/search?tab=default_tab&amp;search_scope=EVERYTHING&amp;vid=01CRU&amp;lang=en_US&amp;offset=0&amp;query=any,contains,991005130019702656","Catalog Record")</f>
        <v>Catalog Record</v>
      </c>
      <c r="AV362" s="6" t="str">
        <f>HYPERLINK("http://www.worldcat.org/oclc/7567293","WorldCat Record")</f>
        <v>WorldCat Record</v>
      </c>
      <c r="AW362" s="3" t="s">
        <v>4708</v>
      </c>
      <c r="AX362" s="3" t="s">
        <v>4709</v>
      </c>
      <c r="AY362" s="3" t="s">
        <v>4710</v>
      </c>
      <c r="AZ362" s="3" t="s">
        <v>4710</v>
      </c>
      <c r="BA362" s="3" t="s">
        <v>4711</v>
      </c>
      <c r="BB362" s="3" t="s">
        <v>77</v>
      </c>
      <c r="BD362" s="3" t="s">
        <v>4712</v>
      </c>
      <c r="BE362" s="3" t="s">
        <v>4713</v>
      </c>
      <c r="BF362" s="3" t="s">
        <v>4714</v>
      </c>
    </row>
    <row r="363" spans="1:58" ht="41.25" customHeight="1" x14ac:dyDescent="0.25">
      <c r="A363" s="7" t="s">
        <v>62</v>
      </c>
      <c r="B363" s="2" t="s">
        <v>57</v>
      </c>
      <c r="C363" s="2" t="s">
        <v>58</v>
      </c>
      <c r="D363" s="2" t="s">
        <v>4715</v>
      </c>
      <c r="E363" s="2" t="s">
        <v>4716</v>
      </c>
      <c r="F363" s="2" t="s">
        <v>4717</v>
      </c>
      <c r="H363" s="3" t="s">
        <v>62</v>
      </c>
      <c r="I363" s="3" t="s">
        <v>63</v>
      </c>
      <c r="J363" s="3" t="s">
        <v>62</v>
      </c>
      <c r="K363" s="3" t="s">
        <v>62</v>
      </c>
      <c r="L363" s="3" t="s">
        <v>64</v>
      </c>
      <c r="M363" s="2" t="s">
        <v>4718</v>
      </c>
      <c r="N363" s="2" t="s">
        <v>4719</v>
      </c>
      <c r="O363" s="3" t="s">
        <v>137</v>
      </c>
      <c r="Q363" s="3" t="s">
        <v>68</v>
      </c>
      <c r="R363" s="3" t="s">
        <v>698</v>
      </c>
      <c r="S363" s="2" t="s">
        <v>4720</v>
      </c>
      <c r="T363" s="3" t="s">
        <v>70</v>
      </c>
      <c r="U363" s="4">
        <v>1</v>
      </c>
      <c r="V363" s="4">
        <v>1</v>
      </c>
      <c r="W363" s="5" t="s">
        <v>4417</v>
      </c>
      <c r="X363" s="5" t="s">
        <v>4417</v>
      </c>
      <c r="Y363" s="5" t="s">
        <v>4340</v>
      </c>
      <c r="Z363" s="5" t="s">
        <v>4340</v>
      </c>
      <c r="AA363" s="4">
        <v>340</v>
      </c>
      <c r="AB363" s="4">
        <v>228</v>
      </c>
      <c r="AC363" s="4">
        <v>242</v>
      </c>
      <c r="AD363" s="4">
        <v>2</v>
      </c>
      <c r="AE363" s="4">
        <v>2</v>
      </c>
      <c r="AF363" s="4">
        <v>14</v>
      </c>
      <c r="AG363" s="4">
        <v>14</v>
      </c>
      <c r="AH363" s="4">
        <v>2</v>
      </c>
      <c r="AI363" s="4">
        <v>2</v>
      </c>
      <c r="AJ363" s="4">
        <v>5</v>
      </c>
      <c r="AK363" s="4">
        <v>5</v>
      </c>
      <c r="AL363" s="4">
        <v>12</v>
      </c>
      <c r="AM363" s="4">
        <v>12</v>
      </c>
      <c r="AN363" s="4">
        <v>1</v>
      </c>
      <c r="AO363" s="4">
        <v>1</v>
      </c>
      <c r="AP363" s="4">
        <v>0</v>
      </c>
      <c r="AQ363" s="4">
        <v>0</v>
      </c>
      <c r="AR363" s="3" t="s">
        <v>62</v>
      </c>
      <c r="AS363" s="3" t="s">
        <v>84</v>
      </c>
      <c r="AT363" s="6" t="str">
        <f>HYPERLINK("http://catalog.hathitrust.org/Record/101870474","HathiTrust Record")</f>
        <v>HathiTrust Record</v>
      </c>
      <c r="AU363" s="6" t="str">
        <f>HYPERLINK("https://creighton-primo.hosted.exlibrisgroup.com/primo-explore/search?tab=default_tab&amp;search_scope=EVERYTHING&amp;vid=01CRU&amp;lang=en_US&amp;offset=0&amp;query=any,contains,991005209549702656","Catalog Record")</f>
        <v>Catalog Record</v>
      </c>
      <c r="AV363" s="6" t="str">
        <f>HYPERLINK("http://www.worldcat.org/oclc/8151502","WorldCat Record")</f>
        <v>WorldCat Record</v>
      </c>
      <c r="AW363" s="3" t="s">
        <v>4721</v>
      </c>
      <c r="AX363" s="3" t="s">
        <v>4722</v>
      </c>
      <c r="AY363" s="3" t="s">
        <v>4723</v>
      </c>
      <c r="AZ363" s="3" t="s">
        <v>4723</v>
      </c>
      <c r="BA363" s="3" t="s">
        <v>4724</v>
      </c>
      <c r="BB363" s="3" t="s">
        <v>77</v>
      </c>
      <c r="BD363" s="3" t="s">
        <v>4725</v>
      </c>
      <c r="BE363" s="3" t="s">
        <v>4726</v>
      </c>
      <c r="BF363" s="3" t="s">
        <v>4727</v>
      </c>
    </row>
    <row r="364" spans="1:58" ht="41.25" customHeight="1" x14ac:dyDescent="0.25">
      <c r="A364" s="7" t="s">
        <v>62</v>
      </c>
      <c r="B364" s="2" t="s">
        <v>57</v>
      </c>
      <c r="C364" s="2" t="s">
        <v>58</v>
      </c>
      <c r="D364" s="2" t="s">
        <v>4728</v>
      </c>
      <c r="E364" s="2" t="s">
        <v>4729</v>
      </c>
      <c r="F364" s="2" t="s">
        <v>4730</v>
      </c>
      <c r="H364" s="3" t="s">
        <v>62</v>
      </c>
      <c r="I364" s="3" t="s">
        <v>63</v>
      </c>
      <c r="J364" s="3" t="s">
        <v>62</v>
      </c>
      <c r="K364" s="3" t="s">
        <v>62</v>
      </c>
      <c r="L364" s="3" t="s">
        <v>64</v>
      </c>
      <c r="M364" s="2" t="s">
        <v>4731</v>
      </c>
      <c r="N364" s="2" t="s">
        <v>4732</v>
      </c>
      <c r="O364" s="3" t="s">
        <v>312</v>
      </c>
      <c r="Q364" s="3" t="s">
        <v>68</v>
      </c>
      <c r="R364" s="3" t="s">
        <v>88</v>
      </c>
      <c r="T364" s="3" t="s">
        <v>70</v>
      </c>
      <c r="U364" s="4">
        <v>4</v>
      </c>
      <c r="V364" s="4">
        <v>4</v>
      </c>
      <c r="W364" s="5" t="s">
        <v>4733</v>
      </c>
      <c r="X364" s="5" t="s">
        <v>4733</v>
      </c>
      <c r="Y364" s="5" t="s">
        <v>4340</v>
      </c>
      <c r="Z364" s="5" t="s">
        <v>4340</v>
      </c>
      <c r="AA364" s="4">
        <v>130</v>
      </c>
      <c r="AB364" s="4">
        <v>118</v>
      </c>
      <c r="AC364" s="4">
        <v>573</v>
      </c>
      <c r="AD364" s="4">
        <v>2</v>
      </c>
      <c r="AE364" s="4">
        <v>3</v>
      </c>
      <c r="AF364" s="4">
        <v>8</v>
      </c>
      <c r="AG364" s="4">
        <v>26</v>
      </c>
      <c r="AH364" s="4">
        <v>4</v>
      </c>
      <c r="AI364" s="4">
        <v>10</v>
      </c>
      <c r="AJ364" s="4">
        <v>2</v>
      </c>
      <c r="AK364" s="4">
        <v>7</v>
      </c>
      <c r="AL364" s="4">
        <v>5</v>
      </c>
      <c r="AM364" s="4">
        <v>17</v>
      </c>
      <c r="AN364" s="4">
        <v>0</v>
      </c>
      <c r="AO364" s="4">
        <v>1</v>
      </c>
      <c r="AP364" s="4">
        <v>0</v>
      </c>
      <c r="AQ364" s="4">
        <v>0</v>
      </c>
      <c r="AR364" s="3" t="s">
        <v>62</v>
      </c>
      <c r="AS364" s="3" t="s">
        <v>84</v>
      </c>
      <c r="AT364" s="6" t="str">
        <f>HYPERLINK("http://catalog.hathitrust.org/Record/007040628","HathiTrust Record")</f>
        <v>HathiTrust Record</v>
      </c>
      <c r="AU364" s="6" t="str">
        <f>HYPERLINK("https://creighton-primo.hosted.exlibrisgroup.com/primo-explore/search?tab=default_tab&amp;search_scope=EVERYTHING&amp;vid=01CRU&amp;lang=en_US&amp;offset=0&amp;query=any,contains,991003137879702656","Catalog Record")</f>
        <v>Catalog Record</v>
      </c>
      <c r="AV364" s="6" t="str">
        <f>HYPERLINK("http://www.worldcat.org/oclc/8663878","WorldCat Record")</f>
        <v>WorldCat Record</v>
      </c>
      <c r="AW364" s="3" t="s">
        <v>4734</v>
      </c>
      <c r="AX364" s="3" t="s">
        <v>4735</v>
      </c>
      <c r="AY364" s="3" t="s">
        <v>4736</v>
      </c>
      <c r="AZ364" s="3" t="s">
        <v>4736</v>
      </c>
      <c r="BA364" s="3" t="s">
        <v>4737</v>
      </c>
      <c r="BB364" s="3" t="s">
        <v>77</v>
      </c>
      <c r="BD364" s="3" t="s">
        <v>4738</v>
      </c>
      <c r="BE364" s="3" t="s">
        <v>4739</v>
      </c>
      <c r="BF364" s="3" t="s">
        <v>4740</v>
      </c>
    </row>
    <row r="365" spans="1:58" ht="41.25" customHeight="1" x14ac:dyDescent="0.25">
      <c r="A365" s="7" t="s">
        <v>62</v>
      </c>
      <c r="B365" s="2" t="s">
        <v>57</v>
      </c>
      <c r="C365" s="2" t="s">
        <v>58</v>
      </c>
      <c r="D365" s="2" t="s">
        <v>4741</v>
      </c>
      <c r="E365" s="2" t="s">
        <v>4742</v>
      </c>
      <c r="F365" s="2" t="s">
        <v>4743</v>
      </c>
      <c r="H365" s="3" t="s">
        <v>62</v>
      </c>
      <c r="I365" s="3" t="s">
        <v>63</v>
      </c>
      <c r="J365" s="3" t="s">
        <v>62</v>
      </c>
      <c r="K365" s="3" t="s">
        <v>62</v>
      </c>
      <c r="L365" s="3" t="s">
        <v>64</v>
      </c>
      <c r="M365" s="2" t="s">
        <v>4744</v>
      </c>
      <c r="N365" s="2" t="s">
        <v>4745</v>
      </c>
      <c r="O365" s="3" t="s">
        <v>3813</v>
      </c>
      <c r="Q365" s="3" t="s">
        <v>68</v>
      </c>
      <c r="R365" s="3" t="s">
        <v>88</v>
      </c>
      <c r="T365" s="3" t="s">
        <v>70</v>
      </c>
      <c r="U365" s="4">
        <v>2</v>
      </c>
      <c r="V365" s="4">
        <v>2</v>
      </c>
      <c r="W365" s="5" t="s">
        <v>4417</v>
      </c>
      <c r="X365" s="5" t="s">
        <v>4417</v>
      </c>
      <c r="Y365" s="5" t="s">
        <v>4340</v>
      </c>
      <c r="Z365" s="5" t="s">
        <v>4340</v>
      </c>
      <c r="AA365" s="4">
        <v>582</v>
      </c>
      <c r="AB365" s="4">
        <v>526</v>
      </c>
      <c r="AC365" s="4">
        <v>828</v>
      </c>
      <c r="AD365" s="4">
        <v>5</v>
      </c>
      <c r="AE365" s="4">
        <v>8</v>
      </c>
      <c r="AF365" s="4">
        <v>16</v>
      </c>
      <c r="AG365" s="4">
        <v>32</v>
      </c>
      <c r="AH365" s="4">
        <v>6</v>
      </c>
      <c r="AI365" s="4">
        <v>12</v>
      </c>
      <c r="AJ365" s="4">
        <v>2</v>
      </c>
      <c r="AK365" s="4">
        <v>5</v>
      </c>
      <c r="AL365" s="4">
        <v>7</v>
      </c>
      <c r="AM365" s="4">
        <v>12</v>
      </c>
      <c r="AN365" s="4">
        <v>3</v>
      </c>
      <c r="AO365" s="4">
        <v>6</v>
      </c>
      <c r="AP365" s="4">
        <v>0</v>
      </c>
      <c r="AQ365" s="4">
        <v>1</v>
      </c>
      <c r="AR365" s="3" t="s">
        <v>84</v>
      </c>
      <c r="AS365" s="3" t="s">
        <v>62</v>
      </c>
      <c r="AT365" s="6" t="str">
        <f>HYPERLINK("http://catalog.hathitrust.org/Record/001958474","HathiTrust Record")</f>
        <v>HathiTrust Record</v>
      </c>
      <c r="AU365" s="6" t="str">
        <f>HYPERLINK("https://creighton-primo.hosted.exlibrisgroup.com/primo-explore/search?tab=default_tab&amp;search_scope=EVERYTHING&amp;vid=01CRU&amp;lang=en_US&amp;offset=0&amp;query=any,contains,991002575219702656","Catalog Record")</f>
        <v>Catalog Record</v>
      </c>
      <c r="AV365" s="6" t="str">
        <f>HYPERLINK("http://www.worldcat.org/oclc/374694","WorldCat Record")</f>
        <v>WorldCat Record</v>
      </c>
      <c r="AW365" s="3" t="s">
        <v>4746</v>
      </c>
      <c r="AX365" s="3" t="s">
        <v>4747</v>
      </c>
      <c r="AY365" s="3" t="s">
        <v>4748</v>
      </c>
      <c r="AZ365" s="3" t="s">
        <v>4748</v>
      </c>
      <c r="BA365" s="3" t="s">
        <v>4749</v>
      </c>
      <c r="BB365" s="3" t="s">
        <v>77</v>
      </c>
      <c r="BE365" s="3" t="s">
        <v>4750</v>
      </c>
      <c r="BF365" s="3" t="s">
        <v>4751</v>
      </c>
    </row>
    <row r="366" spans="1:58" ht="41.25" customHeight="1" x14ac:dyDescent="0.25">
      <c r="A366" s="7" t="s">
        <v>62</v>
      </c>
      <c r="B366" s="2" t="s">
        <v>57</v>
      </c>
      <c r="C366" s="2" t="s">
        <v>58</v>
      </c>
      <c r="D366" s="2" t="s">
        <v>4752</v>
      </c>
      <c r="E366" s="2" t="s">
        <v>4753</v>
      </c>
      <c r="F366" s="2" t="s">
        <v>4754</v>
      </c>
      <c r="H366" s="3" t="s">
        <v>62</v>
      </c>
      <c r="I366" s="3" t="s">
        <v>63</v>
      </c>
      <c r="J366" s="3" t="s">
        <v>62</v>
      </c>
      <c r="K366" s="3" t="s">
        <v>62</v>
      </c>
      <c r="L366" s="3" t="s">
        <v>64</v>
      </c>
      <c r="M366" s="2" t="s">
        <v>4755</v>
      </c>
      <c r="N366" s="2" t="s">
        <v>4756</v>
      </c>
      <c r="O366" s="3" t="s">
        <v>4757</v>
      </c>
      <c r="Q366" s="3" t="s">
        <v>68</v>
      </c>
      <c r="R366" s="3" t="s">
        <v>110</v>
      </c>
      <c r="T366" s="3" t="s">
        <v>70</v>
      </c>
      <c r="U366" s="4">
        <v>6</v>
      </c>
      <c r="V366" s="4">
        <v>6</v>
      </c>
      <c r="W366" s="5" t="s">
        <v>4758</v>
      </c>
      <c r="X366" s="5" t="s">
        <v>4758</v>
      </c>
      <c r="Y366" s="5" t="s">
        <v>3611</v>
      </c>
      <c r="Z366" s="5" t="s">
        <v>3611</v>
      </c>
      <c r="AA366" s="4">
        <v>31</v>
      </c>
      <c r="AB366" s="4">
        <v>31</v>
      </c>
      <c r="AC366" s="4">
        <v>671</v>
      </c>
      <c r="AD366" s="4">
        <v>1</v>
      </c>
      <c r="AE366" s="4">
        <v>4</v>
      </c>
      <c r="AF366" s="4">
        <v>1</v>
      </c>
      <c r="AG366" s="4">
        <v>33</v>
      </c>
      <c r="AH366" s="4">
        <v>0</v>
      </c>
      <c r="AI366" s="4">
        <v>11</v>
      </c>
      <c r="AJ366" s="4">
        <v>0</v>
      </c>
      <c r="AK366" s="4">
        <v>10</v>
      </c>
      <c r="AL366" s="4">
        <v>1</v>
      </c>
      <c r="AM366" s="4">
        <v>22</v>
      </c>
      <c r="AN366" s="4">
        <v>0</v>
      </c>
      <c r="AO366" s="4">
        <v>2</v>
      </c>
      <c r="AP366" s="4">
        <v>0</v>
      </c>
      <c r="AQ366" s="4">
        <v>0</v>
      </c>
      <c r="AR366" s="3" t="s">
        <v>62</v>
      </c>
      <c r="AS366" s="3" t="s">
        <v>62</v>
      </c>
      <c r="AU366" s="6" t="str">
        <f>HYPERLINK("https://creighton-primo.hosted.exlibrisgroup.com/primo-explore/search?tab=default_tab&amp;search_scope=EVERYTHING&amp;vid=01CRU&amp;lang=en_US&amp;offset=0&amp;query=any,contains,991004616379702656","Catalog Record")</f>
        <v>Catalog Record</v>
      </c>
      <c r="AV366" s="6" t="str">
        <f>HYPERLINK("http://www.worldcat.org/oclc/4260116","WorldCat Record")</f>
        <v>WorldCat Record</v>
      </c>
      <c r="AW366" s="3" t="s">
        <v>4759</v>
      </c>
      <c r="AX366" s="3" t="s">
        <v>4760</v>
      </c>
      <c r="AY366" s="3" t="s">
        <v>4761</v>
      </c>
      <c r="AZ366" s="3" t="s">
        <v>4761</v>
      </c>
      <c r="BA366" s="3" t="s">
        <v>4762</v>
      </c>
      <c r="BB366" s="3" t="s">
        <v>77</v>
      </c>
      <c r="BE366" s="3" t="s">
        <v>4763</v>
      </c>
      <c r="BF366" s="3" t="s">
        <v>4764</v>
      </c>
    </row>
    <row r="367" spans="1:58" ht="41.25" customHeight="1" x14ac:dyDescent="0.25">
      <c r="A367" s="7" t="s">
        <v>62</v>
      </c>
      <c r="B367" s="2" t="s">
        <v>57</v>
      </c>
      <c r="C367" s="2" t="s">
        <v>58</v>
      </c>
      <c r="D367" s="2" t="s">
        <v>4765</v>
      </c>
      <c r="E367" s="2" t="s">
        <v>4766</v>
      </c>
      <c r="F367" s="2" t="s">
        <v>4767</v>
      </c>
      <c r="H367" s="3" t="s">
        <v>62</v>
      </c>
      <c r="I367" s="3" t="s">
        <v>63</v>
      </c>
      <c r="J367" s="3" t="s">
        <v>62</v>
      </c>
      <c r="K367" s="3" t="s">
        <v>62</v>
      </c>
      <c r="L367" s="3" t="s">
        <v>64</v>
      </c>
      <c r="M367" s="2" t="s">
        <v>4768</v>
      </c>
      <c r="N367" s="2" t="s">
        <v>4213</v>
      </c>
      <c r="O367" s="3" t="s">
        <v>1805</v>
      </c>
      <c r="Q367" s="3" t="s">
        <v>68</v>
      </c>
      <c r="R367" s="3" t="s">
        <v>69</v>
      </c>
      <c r="T367" s="3" t="s">
        <v>70</v>
      </c>
      <c r="U367" s="4">
        <v>4</v>
      </c>
      <c r="V367" s="4">
        <v>4</v>
      </c>
      <c r="W367" s="5" t="s">
        <v>4769</v>
      </c>
      <c r="X367" s="5" t="s">
        <v>4769</v>
      </c>
      <c r="Y367" s="5" t="s">
        <v>3305</v>
      </c>
      <c r="Z367" s="5" t="s">
        <v>3305</v>
      </c>
      <c r="AA367" s="4">
        <v>193</v>
      </c>
      <c r="AB367" s="4">
        <v>153</v>
      </c>
      <c r="AC367" s="4">
        <v>476</v>
      </c>
      <c r="AD367" s="4">
        <v>2</v>
      </c>
      <c r="AE367" s="4">
        <v>4</v>
      </c>
      <c r="AF367" s="4">
        <v>9</v>
      </c>
      <c r="AG367" s="4">
        <v>27</v>
      </c>
      <c r="AH367" s="4">
        <v>4</v>
      </c>
      <c r="AI367" s="4">
        <v>12</v>
      </c>
      <c r="AJ367" s="4">
        <v>4</v>
      </c>
      <c r="AK367" s="4">
        <v>5</v>
      </c>
      <c r="AL367" s="4">
        <v>5</v>
      </c>
      <c r="AM367" s="4">
        <v>14</v>
      </c>
      <c r="AN367" s="4">
        <v>1</v>
      </c>
      <c r="AO367" s="4">
        <v>3</v>
      </c>
      <c r="AP367" s="4">
        <v>0</v>
      </c>
      <c r="AQ367" s="4">
        <v>0</v>
      </c>
      <c r="AR367" s="3" t="s">
        <v>62</v>
      </c>
      <c r="AS367" s="3" t="s">
        <v>62</v>
      </c>
      <c r="AU367" s="6" t="str">
        <f>HYPERLINK("https://creighton-primo.hosted.exlibrisgroup.com/primo-explore/search?tab=default_tab&amp;search_scope=EVERYTHING&amp;vid=01CRU&amp;lang=en_US&amp;offset=0&amp;query=any,contains,991005191069702656","Catalog Record")</f>
        <v>Catalog Record</v>
      </c>
      <c r="AV367" s="6" t="str">
        <f>HYPERLINK("http://www.worldcat.org/oclc/7999053","WorldCat Record")</f>
        <v>WorldCat Record</v>
      </c>
      <c r="AW367" s="3" t="s">
        <v>4770</v>
      </c>
      <c r="AX367" s="3" t="s">
        <v>4771</v>
      </c>
      <c r="AY367" s="3" t="s">
        <v>4772</v>
      </c>
      <c r="AZ367" s="3" t="s">
        <v>4772</v>
      </c>
      <c r="BA367" s="3" t="s">
        <v>4773</v>
      </c>
      <c r="BB367" s="3" t="s">
        <v>77</v>
      </c>
      <c r="BD367" s="3" t="s">
        <v>4774</v>
      </c>
      <c r="BE367" s="3" t="s">
        <v>4775</v>
      </c>
      <c r="BF367" s="3" t="s">
        <v>4776</v>
      </c>
    </row>
    <row r="368" spans="1:58" ht="41.25" customHeight="1" x14ac:dyDescent="0.25">
      <c r="A368" s="7" t="s">
        <v>62</v>
      </c>
      <c r="B368" s="2" t="s">
        <v>57</v>
      </c>
      <c r="C368" s="2" t="s">
        <v>58</v>
      </c>
      <c r="D368" s="2" t="s">
        <v>4777</v>
      </c>
      <c r="E368" s="2" t="s">
        <v>4778</v>
      </c>
      <c r="F368" s="2" t="s">
        <v>4779</v>
      </c>
      <c r="H368" s="3" t="s">
        <v>62</v>
      </c>
      <c r="I368" s="3" t="s">
        <v>63</v>
      </c>
      <c r="J368" s="3" t="s">
        <v>62</v>
      </c>
      <c r="K368" s="3" t="s">
        <v>62</v>
      </c>
      <c r="L368" s="3" t="s">
        <v>64</v>
      </c>
      <c r="M368" s="2" t="s">
        <v>4780</v>
      </c>
      <c r="N368" s="2" t="s">
        <v>4781</v>
      </c>
      <c r="O368" s="3" t="s">
        <v>137</v>
      </c>
      <c r="Q368" s="3" t="s">
        <v>68</v>
      </c>
      <c r="R368" s="3" t="s">
        <v>297</v>
      </c>
      <c r="T368" s="3" t="s">
        <v>70</v>
      </c>
      <c r="U368" s="4">
        <v>8</v>
      </c>
      <c r="V368" s="4">
        <v>8</v>
      </c>
      <c r="W368" s="5" t="s">
        <v>4782</v>
      </c>
      <c r="X368" s="5" t="s">
        <v>4782</v>
      </c>
      <c r="Y368" s="5" t="s">
        <v>4430</v>
      </c>
      <c r="Z368" s="5" t="s">
        <v>4430</v>
      </c>
      <c r="AA368" s="4">
        <v>422</v>
      </c>
      <c r="AB368" s="4">
        <v>340</v>
      </c>
      <c r="AC368" s="4">
        <v>411</v>
      </c>
      <c r="AD368" s="4">
        <v>2</v>
      </c>
      <c r="AE368" s="4">
        <v>3</v>
      </c>
      <c r="AF368" s="4">
        <v>7</v>
      </c>
      <c r="AG368" s="4">
        <v>8</v>
      </c>
      <c r="AH368" s="4">
        <v>4</v>
      </c>
      <c r="AI368" s="4">
        <v>4</v>
      </c>
      <c r="AJ368" s="4">
        <v>0</v>
      </c>
      <c r="AK368" s="4">
        <v>1</v>
      </c>
      <c r="AL368" s="4">
        <v>4</v>
      </c>
      <c r="AM368" s="4">
        <v>5</v>
      </c>
      <c r="AN368" s="4">
        <v>1</v>
      </c>
      <c r="AO368" s="4">
        <v>1</v>
      </c>
      <c r="AP368" s="4">
        <v>0</v>
      </c>
      <c r="AQ368" s="4">
        <v>0</v>
      </c>
      <c r="AR368" s="3" t="s">
        <v>62</v>
      </c>
      <c r="AS368" s="3" t="s">
        <v>84</v>
      </c>
      <c r="AT368" s="6" t="str">
        <f>HYPERLINK("http://catalog.hathitrust.org/Record/000108087","HathiTrust Record")</f>
        <v>HathiTrust Record</v>
      </c>
      <c r="AU368" s="6" t="str">
        <f>HYPERLINK("https://creighton-primo.hosted.exlibrisgroup.com/primo-explore/search?tab=default_tab&amp;search_scope=EVERYTHING&amp;vid=01CRU&amp;lang=en_US&amp;offset=0&amp;query=any,contains,991005149859702656","Catalog Record")</f>
        <v>Catalog Record</v>
      </c>
      <c r="AV368" s="6" t="str">
        <f>HYPERLINK("http://www.worldcat.org/oclc/7719749","WorldCat Record")</f>
        <v>WorldCat Record</v>
      </c>
      <c r="AW368" s="3" t="s">
        <v>4783</v>
      </c>
      <c r="AX368" s="3" t="s">
        <v>4784</v>
      </c>
      <c r="AY368" s="3" t="s">
        <v>4785</v>
      </c>
      <c r="AZ368" s="3" t="s">
        <v>4785</v>
      </c>
      <c r="BA368" s="3" t="s">
        <v>4786</v>
      </c>
      <c r="BB368" s="3" t="s">
        <v>77</v>
      </c>
      <c r="BD368" s="3" t="s">
        <v>4787</v>
      </c>
      <c r="BE368" s="3" t="s">
        <v>4788</v>
      </c>
      <c r="BF368" s="3" t="s">
        <v>4789</v>
      </c>
    </row>
    <row r="369" spans="1:58" ht="41.25" customHeight="1" x14ac:dyDescent="0.25">
      <c r="A369" s="7" t="s">
        <v>62</v>
      </c>
      <c r="B369" s="2" t="s">
        <v>57</v>
      </c>
      <c r="C369" s="2" t="s">
        <v>58</v>
      </c>
      <c r="D369" s="2" t="s">
        <v>4790</v>
      </c>
      <c r="E369" s="2" t="s">
        <v>4791</v>
      </c>
      <c r="F369" s="2" t="s">
        <v>4792</v>
      </c>
      <c r="H369" s="3" t="s">
        <v>62</v>
      </c>
      <c r="I369" s="3" t="s">
        <v>63</v>
      </c>
      <c r="J369" s="3" t="s">
        <v>62</v>
      </c>
      <c r="K369" s="3" t="s">
        <v>62</v>
      </c>
      <c r="L369" s="3" t="s">
        <v>64</v>
      </c>
      <c r="N369" s="2" t="s">
        <v>4793</v>
      </c>
      <c r="O369" s="3" t="s">
        <v>529</v>
      </c>
      <c r="Q369" s="3" t="s">
        <v>68</v>
      </c>
      <c r="R369" s="3" t="s">
        <v>69</v>
      </c>
      <c r="T369" s="3" t="s">
        <v>70</v>
      </c>
      <c r="U369" s="4">
        <v>7</v>
      </c>
      <c r="V369" s="4">
        <v>7</v>
      </c>
      <c r="W369" s="5" t="s">
        <v>4794</v>
      </c>
      <c r="X369" s="5" t="s">
        <v>4794</v>
      </c>
      <c r="Y369" s="5" t="s">
        <v>4430</v>
      </c>
      <c r="Z369" s="5" t="s">
        <v>4430</v>
      </c>
      <c r="AA369" s="4">
        <v>1876</v>
      </c>
      <c r="AB369" s="4">
        <v>1750</v>
      </c>
      <c r="AC369" s="4">
        <v>1824</v>
      </c>
      <c r="AD369" s="4">
        <v>13</v>
      </c>
      <c r="AE369" s="4">
        <v>14</v>
      </c>
      <c r="AF369" s="4">
        <v>41</v>
      </c>
      <c r="AG369" s="4">
        <v>44</v>
      </c>
      <c r="AH369" s="4">
        <v>16</v>
      </c>
      <c r="AI369" s="4">
        <v>18</v>
      </c>
      <c r="AJ369" s="4">
        <v>8</v>
      </c>
      <c r="AK369" s="4">
        <v>8</v>
      </c>
      <c r="AL369" s="4">
        <v>16</v>
      </c>
      <c r="AM369" s="4">
        <v>17</v>
      </c>
      <c r="AN369" s="4">
        <v>8</v>
      </c>
      <c r="AO369" s="4">
        <v>9</v>
      </c>
      <c r="AP369" s="4">
        <v>0</v>
      </c>
      <c r="AQ369" s="4">
        <v>0</v>
      </c>
      <c r="AR369" s="3" t="s">
        <v>62</v>
      </c>
      <c r="AS369" s="3" t="s">
        <v>84</v>
      </c>
      <c r="AT369" s="6" t="str">
        <f>HYPERLINK("http://catalog.hathitrust.org/Record/000451187","HathiTrust Record")</f>
        <v>HathiTrust Record</v>
      </c>
      <c r="AU369" s="6" t="str">
        <f>HYPERLINK("https://creighton-primo.hosted.exlibrisgroup.com/primo-explore/search?tab=default_tab&amp;search_scope=EVERYTHING&amp;vid=01CRU&amp;lang=en_US&amp;offset=0&amp;query=any,contains,991000377879702656","Catalog Record")</f>
        <v>Catalog Record</v>
      </c>
      <c r="AV369" s="6" t="str">
        <f>HYPERLINK("http://www.worldcat.org/oclc/10483061","WorldCat Record")</f>
        <v>WorldCat Record</v>
      </c>
      <c r="AW369" s="3" t="s">
        <v>4795</v>
      </c>
      <c r="AX369" s="3" t="s">
        <v>4796</v>
      </c>
      <c r="AY369" s="3" t="s">
        <v>4797</v>
      </c>
      <c r="AZ369" s="3" t="s">
        <v>4797</v>
      </c>
      <c r="BA369" s="3" t="s">
        <v>4798</v>
      </c>
      <c r="BB369" s="3" t="s">
        <v>77</v>
      </c>
      <c r="BD369" s="3" t="s">
        <v>4799</v>
      </c>
      <c r="BE369" s="3" t="s">
        <v>4800</v>
      </c>
      <c r="BF369" s="3" t="s">
        <v>4801</v>
      </c>
    </row>
    <row r="370" spans="1:58" ht="41.25" customHeight="1" x14ac:dyDescent="0.25">
      <c r="A370" s="7" t="s">
        <v>62</v>
      </c>
      <c r="B370" s="2" t="s">
        <v>57</v>
      </c>
      <c r="C370" s="2" t="s">
        <v>58</v>
      </c>
      <c r="D370" s="2" t="s">
        <v>4802</v>
      </c>
      <c r="E370" s="2" t="s">
        <v>4803</v>
      </c>
      <c r="F370" s="2" t="s">
        <v>4804</v>
      </c>
      <c r="H370" s="3" t="s">
        <v>62</v>
      </c>
      <c r="I370" s="3" t="s">
        <v>63</v>
      </c>
      <c r="J370" s="3" t="s">
        <v>62</v>
      </c>
      <c r="K370" s="3" t="s">
        <v>84</v>
      </c>
      <c r="L370" s="3" t="s">
        <v>64</v>
      </c>
      <c r="N370" s="2" t="s">
        <v>4805</v>
      </c>
      <c r="O370" s="3" t="s">
        <v>165</v>
      </c>
      <c r="Q370" s="3" t="s">
        <v>68</v>
      </c>
      <c r="R370" s="3" t="s">
        <v>69</v>
      </c>
      <c r="T370" s="3" t="s">
        <v>70</v>
      </c>
      <c r="U370" s="4">
        <v>7</v>
      </c>
      <c r="V370" s="4">
        <v>7</v>
      </c>
      <c r="W370" s="5" t="s">
        <v>4794</v>
      </c>
      <c r="X370" s="5" t="s">
        <v>4794</v>
      </c>
      <c r="Y370" s="5" t="s">
        <v>4806</v>
      </c>
      <c r="Z370" s="5" t="s">
        <v>4806</v>
      </c>
      <c r="AA370" s="4">
        <v>1719</v>
      </c>
      <c r="AB370" s="4">
        <v>1597</v>
      </c>
      <c r="AC370" s="4">
        <v>1751</v>
      </c>
      <c r="AD370" s="4">
        <v>15</v>
      </c>
      <c r="AE370" s="4">
        <v>21</v>
      </c>
      <c r="AF370" s="4">
        <v>46</v>
      </c>
      <c r="AG370" s="4">
        <v>48</v>
      </c>
      <c r="AH370" s="4">
        <v>20</v>
      </c>
      <c r="AI370" s="4">
        <v>21</v>
      </c>
      <c r="AJ370" s="4">
        <v>9</v>
      </c>
      <c r="AK370" s="4">
        <v>9</v>
      </c>
      <c r="AL370" s="4">
        <v>22</v>
      </c>
      <c r="AM370" s="4">
        <v>22</v>
      </c>
      <c r="AN370" s="4">
        <v>7</v>
      </c>
      <c r="AO370" s="4">
        <v>8</v>
      </c>
      <c r="AP370" s="4">
        <v>0</v>
      </c>
      <c r="AQ370" s="4">
        <v>0</v>
      </c>
      <c r="AR370" s="3" t="s">
        <v>62</v>
      </c>
      <c r="AS370" s="3" t="s">
        <v>84</v>
      </c>
      <c r="AT370" s="6" t="str">
        <f>HYPERLINK("http://catalog.hathitrust.org/Record/000250674","HathiTrust Record")</f>
        <v>HathiTrust Record</v>
      </c>
      <c r="AU370" s="6" t="str">
        <f>HYPERLINK("https://creighton-primo.hosted.exlibrisgroup.com/primo-explore/search?tab=default_tab&amp;search_scope=EVERYTHING&amp;vid=01CRU&amp;lang=en_US&amp;offset=0&amp;query=any,contains,991004309039702656","Catalog Record")</f>
        <v>Catalog Record</v>
      </c>
      <c r="AV370" s="6" t="str">
        <f>HYPERLINK("http://www.worldcat.org/oclc/2985874","WorldCat Record")</f>
        <v>WorldCat Record</v>
      </c>
      <c r="AW370" s="3" t="s">
        <v>4807</v>
      </c>
      <c r="AX370" s="3" t="s">
        <v>4808</v>
      </c>
      <c r="AY370" s="3" t="s">
        <v>4809</v>
      </c>
      <c r="AZ370" s="3" t="s">
        <v>4809</v>
      </c>
      <c r="BA370" s="3" t="s">
        <v>4810</v>
      </c>
      <c r="BB370" s="3" t="s">
        <v>77</v>
      </c>
      <c r="BD370" s="3" t="s">
        <v>4811</v>
      </c>
      <c r="BE370" s="3" t="s">
        <v>4812</v>
      </c>
      <c r="BF370" s="3" t="s">
        <v>4813</v>
      </c>
    </row>
    <row r="371" spans="1:58" ht="41.25" customHeight="1" x14ac:dyDescent="0.25">
      <c r="A371" s="7" t="s">
        <v>62</v>
      </c>
      <c r="B371" s="2" t="s">
        <v>57</v>
      </c>
      <c r="C371" s="2" t="s">
        <v>58</v>
      </c>
      <c r="D371" s="2" t="s">
        <v>4814</v>
      </c>
      <c r="E371" s="2" t="s">
        <v>4815</v>
      </c>
      <c r="F371" s="2" t="s">
        <v>4816</v>
      </c>
      <c r="H371" s="3" t="s">
        <v>62</v>
      </c>
      <c r="I371" s="3" t="s">
        <v>63</v>
      </c>
      <c r="J371" s="3" t="s">
        <v>62</v>
      </c>
      <c r="K371" s="3" t="s">
        <v>62</v>
      </c>
      <c r="L371" s="3" t="s">
        <v>64</v>
      </c>
      <c r="M371" s="2" t="s">
        <v>4817</v>
      </c>
      <c r="N371" s="2" t="s">
        <v>4818</v>
      </c>
      <c r="O371" s="3" t="s">
        <v>820</v>
      </c>
      <c r="Q371" s="3" t="s">
        <v>68</v>
      </c>
      <c r="R371" s="3" t="s">
        <v>297</v>
      </c>
      <c r="S371" s="2" t="s">
        <v>4819</v>
      </c>
      <c r="T371" s="3" t="s">
        <v>70</v>
      </c>
      <c r="U371" s="4">
        <v>3</v>
      </c>
      <c r="V371" s="4">
        <v>3</v>
      </c>
      <c r="W371" s="5" t="s">
        <v>1614</v>
      </c>
      <c r="X371" s="5" t="s">
        <v>1614</v>
      </c>
      <c r="Y371" s="5" t="s">
        <v>4340</v>
      </c>
      <c r="Z371" s="5" t="s">
        <v>4340</v>
      </c>
      <c r="AA371" s="4">
        <v>650</v>
      </c>
      <c r="AB371" s="4">
        <v>521</v>
      </c>
      <c r="AC371" s="4">
        <v>557</v>
      </c>
      <c r="AD371" s="4">
        <v>5</v>
      </c>
      <c r="AE371" s="4">
        <v>5</v>
      </c>
      <c r="AF371" s="4">
        <v>24</v>
      </c>
      <c r="AG371" s="4">
        <v>24</v>
      </c>
      <c r="AH371" s="4">
        <v>5</v>
      </c>
      <c r="AI371" s="4">
        <v>5</v>
      </c>
      <c r="AJ371" s="4">
        <v>7</v>
      </c>
      <c r="AK371" s="4">
        <v>7</v>
      </c>
      <c r="AL371" s="4">
        <v>13</v>
      </c>
      <c r="AM371" s="4">
        <v>13</v>
      </c>
      <c r="AN371" s="4">
        <v>3</v>
      </c>
      <c r="AO371" s="4">
        <v>3</v>
      </c>
      <c r="AP371" s="4">
        <v>0</v>
      </c>
      <c r="AQ371" s="4">
        <v>0</v>
      </c>
      <c r="AR371" s="3" t="s">
        <v>62</v>
      </c>
      <c r="AS371" s="3" t="s">
        <v>62</v>
      </c>
      <c r="AU371" s="6" t="str">
        <f>HYPERLINK("https://creighton-primo.hosted.exlibrisgroup.com/primo-explore/search?tab=default_tab&amp;search_scope=EVERYTHING&amp;vid=01CRU&amp;lang=en_US&amp;offset=0&amp;query=any,contains,991003872379702656","Catalog Record")</f>
        <v>Catalog Record</v>
      </c>
      <c r="AV371" s="6" t="str">
        <f>HYPERLINK("http://www.worldcat.org/oclc/1694575","WorldCat Record")</f>
        <v>WorldCat Record</v>
      </c>
      <c r="AW371" s="3" t="s">
        <v>4820</v>
      </c>
      <c r="AX371" s="3" t="s">
        <v>4821</v>
      </c>
      <c r="AY371" s="3" t="s">
        <v>4822</v>
      </c>
      <c r="AZ371" s="3" t="s">
        <v>4822</v>
      </c>
      <c r="BA371" s="3" t="s">
        <v>4823</v>
      </c>
      <c r="BB371" s="3" t="s">
        <v>77</v>
      </c>
      <c r="BD371" s="3" t="s">
        <v>4824</v>
      </c>
      <c r="BE371" s="3" t="s">
        <v>4825</v>
      </c>
      <c r="BF371" s="3" t="s">
        <v>4826</v>
      </c>
    </row>
    <row r="372" spans="1:58" ht="41.25" customHeight="1" x14ac:dyDescent="0.25">
      <c r="A372" s="7" t="s">
        <v>62</v>
      </c>
      <c r="B372" s="2" t="s">
        <v>57</v>
      </c>
      <c r="C372" s="2" t="s">
        <v>58</v>
      </c>
      <c r="D372" s="2" t="s">
        <v>4827</v>
      </c>
      <c r="E372" s="2" t="s">
        <v>4828</v>
      </c>
      <c r="F372" s="2" t="s">
        <v>4829</v>
      </c>
      <c r="H372" s="3" t="s">
        <v>62</v>
      </c>
      <c r="I372" s="3" t="s">
        <v>63</v>
      </c>
      <c r="J372" s="3" t="s">
        <v>62</v>
      </c>
      <c r="K372" s="3" t="s">
        <v>62</v>
      </c>
      <c r="L372" s="3" t="s">
        <v>64</v>
      </c>
      <c r="M372" s="2" t="s">
        <v>4830</v>
      </c>
      <c r="N372" s="2" t="s">
        <v>4831</v>
      </c>
      <c r="O372" s="3" t="s">
        <v>1820</v>
      </c>
      <c r="Q372" s="3" t="s">
        <v>68</v>
      </c>
      <c r="R372" s="3" t="s">
        <v>420</v>
      </c>
      <c r="T372" s="3" t="s">
        <v>70</v>
      </c>
      <c r="U372" s="4">
        <v>1</v>
      </c>
      <c r="V372" s="4">
        <v>1</v>
      </c>
      <c r="W372" s="5" t="s">
        <v>4832</v>
      </c>
      <c r="X372" s="5" t="s">
        <v>4832</v>
      </c>
      <c r="Y372" s="5" t="s">
        <v>4340</v>
      </c>
      <c r="Z372" s="5" t="s">
        <v>4340</v>
      </c>
      <c r="AA372" s="4">
        <v>283</v>
      </c>
      <c r="AB372" s="4">
        <v>256</v>
      </c>
      <c r="AC372" s="4">
        <v>300</v>
      </c>
      <c r="AD372" s="4">
        <v>3</v>
      </c>
      <c r="AE372" s="4">
        <v>3</v>
      </c>
      <c r="AF372" s="4">
        <v>21</v>
      </c>
      <c r="AG372" s="4">
        <v>21</v>
      </c>
      <c r="AH372" s="4">
        <v>11</v>
      </c>
      <c r="AI372" s="4">
        <v>11</v>
      </c>
      <c r="AJ372" s="4">
        <v>3</v>
      </c>
      <c r="AK372" s="4">
        <v>3</v>
      </c>
      <c r="AL372" s="4">
        <v>10</v>
      </c>
      <c r="AM372" s="4">
        <v>10</v>
      </c>
      <c r="AN372" s="4">
        <v>2</v>
      </c>
      <c r="AO372" s="4">
        <v>2</v>
      </c>
      <c r="AP372" s="4">
        <v>0</v>
      </c>
      <c r="AQ372" s="4">
        <v>0</v>
      </c>
      <c r="AR372" s="3" t="s">
        <v>62</v>
      </c>
      <c r="AS372" s="3" t="s">
        <v>62</v>
      </c>
      <c r="AU372" s="6" t="str">
        <f>HYPERLINK("https://creighton-primo.hosted.exlibrisgroup.com/primo-explore/search?tab=default_tab&amp;search_scope=EVERYTHING&amp;vid=01CRU&amp;lang=en_US&amp;offset=0&amp;query=any,contains,991004876289702656","Catalog Record")</f>
        <v>Catalog Record</v>
      </c>
      <c r="AV372" s="6" t="str">
        <f>HYPERLINK("http://www.worldcat.org/oclc/5793283","WorldCat Record")</f>
        <v>WorldCat Record</v>
      </c>
      <c r="AW372" s="3" t="s">
        <v>4833</v>
      </c>
      <c r="AX372" s="3" t="s">
        <v>4834</v>
      </c>
      <c r="AY372" s="3" t="s">
        <v>4835</v>
      </c>
      <c r="AZ372" s="3" t="s">
        <v>4835</v>
      </c>
      <c r="BA372" s="3" t="s">
        <v>4836</v>
      </c>
      <c r="BB372" s="3" t="s">
        <v>77</v>
      </c>
      <c r="BD372" s="3" t="s">
        <v>4837</v>
      </c>
      <c r="BE372" s="3" t="s">
        <v>4838</v>
      </c>
      <c r="BF372" s="3" t="s">
        <v>4839</v>
      </c>
    </row>
    <row r="373" spans="1:58" ht="41.25" customHeight="1" x14ac:dyDescent="0.25">
      <c r="A373" s="7" t="s">
        <v>62</v>
      </c>
      <c r="B373" s="2" t="s">
        <v>57</v>
      </c>
      <c r="C373" s="2" t="s">
        <v>58</v>
      </c>
      <c r="D373" s="2" t="s">
        <v>4840</v>
      </c>
      <c r="E373" s="2" t="s">
        <v>4841</v>
      </c>
      <c r="F373" s="2" t="s">
        <v>4842</v>
      </c>
      <c r="H373" s="3" t="s">
        <v>62</v>
      </c>
      <c r="I373" s="3" t="s">
        <v>63</v>
      </c>
      <c r="J373" s="3" t="s">
        <v>62</v>
      </c>
      <c r="K373" s="3" t="s">
        <v>62</v>
      </c>
      <c r="L373" s="3" t="s">
        <v>64</v>
      </c>
      <c r="M373" s="2" t="s">
        <v>4843</v>
      </c>
      <c r="N373" s="2" t="s">
        <v>4844</v>
      </c>
      <c r="O373" s="3" t="s">
        <v>629</v>
      </c>
      <c r="P373" s="2" t="s">
        <v>4845</v>
      </c>
      <c r="Q373" s="3" t="s">
        <v>68</v>
      </c>
      <c r="R373" s="3" t="s">
        <v>138</v>
      </c>
      <c r="T373" s="3" t="s">
        <v>70</v>
      </c>
      <c r="U373" s="4">
        <v>2</v>
      </c>
      <c r="V373" s="4">
        <v>2</v>
      </c>
      <c r="W373" s="5" t="s">
        <v>1308</v>
      </c>
      <c r="X373" s="5" t="s">
        <v>1308</v>
      </c>
      <c r="Y373" s="5" t="s">
        <v>4340</v>
      </c>
      <c r="Z373" s="5" t="s">
        <v>4340</v>
      </c>
      <c r="AA373" s="4">
        <v>216</v>
      </c>
      <c r="AB373" s="4">
        <v>190</v>
      </c>
      <c r="AC373" s="4">
        <v>268</v>
      </c>
      <c r="AD373" s="4">
        <v>2</v>
      </c>
      <c r="AE373" s="4">
        <v>2</v>
      </c>
      <c r="AF373" s="4">
        <v>13</v>
      </c>
      <c r="AG373" s="4">
        <v>16</v>
      </c>
      <c r="AH373" s="4">
        <v>6</v>
      </c>
      <c r="AI373" s="4">
        <v>7</v>
      </c>
      <c r="AJ373" s="4">
        <v>2</v>
      </c>
      <c r="AK373" s="4">
        <v>3</v>
      </c>
      <c r="AL373" s="4">
        <v>8</v>
      </c>
      <c r="AM373" s="4">
        <v>10</v>
      </c>
      <c r="AN373" s="4">
        <v>1</v>
      </c>
      <c r="AO373" s="4">
        <v>1</v>
      </c>
      <c r="AP373" s="4">
        <v>0</v>
      </c>
      <c r="AQ373" s="4">
        <v>0</v>
      </c>
      <c r="AR373" s="3" t="s">
        <v>62</v>
      </c>
      <c r="AS373" s="3" t="s">
        <v>84</v>
      </c>
      <c r="AT373" s="6" t="str">
        <f>HYPERLINK("http://catalog.hathitrust.org/Record/004479454","HathiTrust Record")</f>
        <v>HathiTrust Record</v>
      </c>
      <c r="AU373" s="6" t="str">
        <f>HYPERLINK("https://creighton-primo.hosted.exlibrisgroup.com/primo-explore/search?tab=default_tab&amp;search_scope=EVERYTHING&amp;vid=01CRU&amp;lang=en_US&amp;offset=0&amp;query=any,contains,991003963679702656","Catalog Record")</f>
        <v>Catalog Record</v>
      </c>
      <c r="AV373" s="6" t="str">
        <f>HYPERLINK("http://www.worldcat.org/oclc/1976732","WorldCat Record")</f>
        <v>WorldCat Record</v>
      </c>
      <c r="AW373" s="3" t="s">
        <v>4846</v>
      </c>
      <c r="AX373" s="3" t="s">
        <v>4847</v>
      </c>
      <c r="AY373" s="3" t="s">
        <v>4848</v>
      </c>
      <c r="AZ373" s="3" t="s">
        <v>4848</v>
      </c>
      <c r="BA373" s="3" t="s">
        <v>4849</v>
      </c>
      <c r="BB373" s="3" t="s">
        <v>77</v>
      </c>
      <c r="BD373" s="3" t="s">
        <v>4850</v>
      </c>
      <c r="BE373" s="3" t="s">
        <v>4851</v>
      </c>
      <c r="BF373" s="3" t="s">
        <v>4852</v>
      </c>
    </row>
    <row r="374" spans="1:58" ht="41.25" customHeight="1" x14ac:dyDescent="0.25">
      <c r="A374" s="7" t="s">
        <v>62</v>
      </c>
      <c r="B374" s="2" t="s">
        <v>57</v>
      </c>
      <c r="C374" s="2" t="s">
        <v>58</v>
      </c>
      <c r="D374" s="2" t="s">
        <v>4853</v>
      </c>
      <c r="E374" s="2" t="s">
        <v>4854</v>
      </c>
      <c r="F374" s="2" t="s">
        <v>4855</v>
      </c>
      <c r="H374" s="3" t="s">
        <v>62</v>
      </c>
      <c r="I374" s="3" t="s">
        <v>63</v>
      </c>
      <c r="J374" s="3" t="s">
        <v>62</v>
      </c>
      <c r="K374" s="3" t="s">
        <v>62</v>
      </c>
      <c r="L374" s="3" t="s">
        <v>64</v>
      </c>
      <c r="M374" s="2" t="s">
        <v>4856</v>
      </c>
      <c r="N374" s="2" t="s">
        <v>4857</v>
      </c>
      <c r="O374" s="3" t="s">
        <v>1158</v>
      </c>
      <c r="Q374" s="3" t="s">
        <v>68</v>
      </c>
      <c r="R374" s="3" t="s">
        <v>4858</v>
      </c>
      <c r="T374" s="3" t="s">
        <v>70</v>
      </c>
      <c r="U374" s="4">
        <v>6</v>
      </c>
      <c r="V374" s="4">
        <v>6</v>
      </c>
      <c r="W374" s="5" t="s">
        <v>4859</v>
      </c>
      <c r="X374" s="5" t="s">
        <v>4859</v>
      </c>
      <c r="Y374" s="5" t="s">
        <v>4340</v>
      </c>
      <c r="Z374" s="5" t="s">
        <v>4340</v>
      </c>
      <c r="AA374" s="4">
        <v>795</v>
      </c>
      <c r="AB374" s="4">
        <v>683</v>
      </c>
      <c r="AC374" s="4">
        <v>698</v>
      </c>
      <c r="AD374" s="4">
        <v>7</v>
      </c>
      <c r="AE374" s="4">
        <v>7</v>
      </c>
      <c r="AF374" s="4">
        <v>31</v>
      </c>
      <c r="AG374" s="4">
        <v>31</v>
      </c>
      <c r="AH374" s="4">
        <v>11</v>
      </c>
      <c r="AI374" s="4">
        <v>11</v>
      </c>
      <c r="AJ374" s="4">
        <v>9</v>
      </c>
      <c r="AK374" s="4">
        <v>9</v>
      </c>
      <c r="AL374" s="4">
        <v>17</v>
      </c>
      <c r="AM374" s="4">
        <v>17</v>
      </c>
      <c r="AN374" s="4">
        <v>5</v>
      </c>
      <c r="AO374" s="4">
        <v>5</v>
      </c>
      <c r="AP374" s="4">
        <v>0</v>
      </c>
      <c r="AQ374" s="4">
        <v>0</v>
      </c>
      <c r="AR374" s="3" t="s">
        <v>62</v>
      </c>
      <c r="AS374" s="3" t="s">
        <v>84</v>
      </c>
      <c r="AT374" s="6" t="str">
        <f>HYPERLINK("http://catalog.hathitrust.org/Record/000005833","HathiTrust Record")</f>
        <v>HathiTrust Record</v>
      </c>
      <c r="AU374" s="6" t="str">
        <f>HYPERLINK("https://creighton-primo.hosted.exlibrisgroup.com/primo-explore/search?tab=default_tab&amp;search_scope=EVERYTHING&amp;vid=01CRU&amp;lang=en_US&amp;offset=0&amp;query=any,contains,991002731849702656","Catalog Record")</f>
        <v>Catalog Record</v>
      </c>
      <c r="AV374" s="6" t="str">
        <f>HYPERLINK("http://www.worldcat.org/oclc/416940","WorldCat Record")</f>
        <v>WorldCat Record</v>
      </c>
      <c r="AW374" s="3" t="s">
        <v>4860</v>
      </c>
      <c r="AX374" s="3" t="s">
        <v>4861</v>
      </c>
      <c r="AY374" s="3" t="s">
        <v>4862</v>
      </c>
      <c r="AZ374" s="3" t="s">
        <v>4862</v>
      </c>
      <c r="BA374" s="3" t="s">
        <v>4863</v>
      </c>
      <c r="BB374" s="3" t="s">
        <v>77</v>
      </c>
      <c r="BD374" s="3" t="s">
        <v>4864</v>
      </c>
      <c r="BE374" s="3" t="s">
        <v>4865</v>
      </c>
      <c r="BF374" s="3" t="s">
        <v>4866</v>
      </c>
    </row>
    <row r="375" spans="1:58" ht="41.25" customHeight="1" x14ac:dyDescent="0.25">
      <c r="A375" s="7" t="s">
        <v>62</v>
      </c>
      <c r="B375" s="2" t="s">
        <v>57</v>
      </c>
      <c r="C375" s="2" t="s">
        <v>58</v>
      </c>
      <c r="D375" s="2" t="s">
        <v>4867</v>
      </c>
      <c r="E375" s="2" t="s">
        <v>4868</v>
      </c>
      <c r="F375" s="2" t="s">
        <v>4869</v>
      </c>
      <c r="H375" s="3" t="s">
        <v>62</v>
      </c>
      <c r="I375" s="3" t="s">
        <v>63</v>
      </c>
      <c r="J375" s="3" t="s">
        <v>62</v>
      </c>
      <c r="K375" s="3" t="s">
        <v>62</v>
      </c>
      <c r="L375" s="3" t="s">
        <v>64</v>
      </c>
      <c r="M375" s="2" t="s">
        <v>4870</v>
      </c>
      <c r="N375" s="2" t="s">
        <v>4871</v>
      </c>
      <c r="O375" s="3" t="s">
        <v>804</v>
      </c>
      <c r="Q375" s="3" t="s">
        <v>68</v>
      </c>
      <c r="R375" s="3" t="s">
        <v>297</v>
      </c>
      <c r="T375" s="3" t="s">
        <v>70</v>
      </c>
      <c r="U375" s="4">
        <v>1</v>
      </c>
      <c r="V375" s="4">
        <v>1</v>
      </c>
      <c r="W375" s="5" t="s">
        <v>4872</v>
      </c>
      <c r="X375" s="5" t="s">
        <v>4872</v>
      </c>
      <c r="Y375" s="5" t="s">
        <v>4872</v>
      </c>
      <c r="Z375" s="5" t="s">
        <v>4872</v>
      </c>
      <c r="AA375" s="4">
        <v>419</v>
      </c>
      <c r="AB375" s="4">
        <v>278</v>
      </c>
      <c r="AC375" s="4">
        <v>286</v>
      </c>
      <c r="AD375" s="4">
        <v>3</v>
      </c>
      <c r="AE375" s="4">
        <v>3</v>
      </c>
      <c r="AF375" s="4">
        <v>17</v>
      </c>
      <c r="AG375" s="4">
        <v>17</v>
      </c>
      <c r="AH375" s="4">
        <v>4</v>
      </c>
      <c r="AI375" s="4">
        <v>4</v>
      </c>
      <c r="AJ375" s="4">
        <v>2</v>
      </c>
      <c r="AK375" s="4">
        <v>2</v>
      </c>
      <c r="AL375" s="4">
        <v>13</v>
      </c>
      <c r="AM375" s="4">
        <v>13</v>
      </c>
      <c r="AN375" s="4">
        <v>2</v>
      </c>
      <c r="AO375" s="4">
        <v>2</v>
      </c>
      <c r="AP375" s="4">
        <v>0</v>
      </c>
      <c r="AQ375" s="4">
        <v>0</v>
      </c>
      <c r="AR375" s="3" t="s">
        <v>62</v>
      </c>
      <c r="AS375" s="3" t="s">
        <v>84</v>
      </c>
      <c r="AT375" s="6" t="str">
        <f>HYPERLINK("http://catalog.hathitrust.org/Record/000875004","HathiTrust Record")</f>
        <v>HathiTrust Record</v>
      </c>
      <c r="AU375" s="6" t="str">
        <f>HYPERLINK("https://creighton-primo.hosted.exlibrisgroup.com/primo-explore/search?tab=default_tab&amp;search_scope=EVERYTHING&amp;vid=01CRU&amp;lang=en_US&amp;offset=0&amp;query=any,contains,991005129439702656","Catalog Record")</f>
        <v>Catalog Record</v>
      </c>
      <c r="AV375" s="6" t="str">
        <f>HYPERLINK("http://www.worldcat.org/oclc/23941743","WorldCat Record")</f>
        <v>WorldCat Record</v>
      </c>
      <c r="AW375" s="3" t="s">
        <v>4873</v>
      </c>
      <c r="AX375" s="3" t="s">
        <v>4874</v>
      </c>
      <c r="AY375" s="3" t="s">
        <v>4875</v>
      </c>
      <c r="AZ375" s="3" t="s">
        <v>4875</v>
      </c>
      <c r="BA375" s="3" t="s">
        <v>4876</v>
      </c>
      <c r="BB375" s="3" t="s">
        <v>77</v>
      </c>
      <c r="BD375" s="3" t="s">
        <v>4877</v>
      </c>
      <c r="BE375" s="3" t="s">
        <v>4878</v>
      </c>
      <c r="BF375" s="3" t="s">
        <v>4879</v>
      </c>
    </row>
    <row r="376" spans="1:58" ht="41.25" customHeight="1" x14ac:dyDescent="0.25">
      <c r="A376" s="7" t="s">
        <v>62</v>
      </c>
      <c r="B376" s="2" t="s">
        <v>57</v>
      </c>
      <c r="C376" s="2" t="s">
        <v>58</v>
      </c>
      <c r="D376" s="2" t="s">
        <v>4880</v>
      </c>
      <c r="E376" s="2" t="s">
        <v>4881</v>
      </c>
      <c r="F376" s="2" t="s">
        <v>4882</v>
      </c>
      <c r="H376" s="3" t="s">
        <v>62</v>
      </c>
      <c r="I376" s="3" t="s">
        <v>63</v>
      </c>
      <c r="J376" s="3" t="s">
        <v>62</v>
      </c>
      <c r="K376" s="3" t="s">
        <v>62</v>
      </c>
      <c r="L376" s="3" t="s">
        <v>64</v>
      </c>
      <c r="M376" s="2" t="s">
        <v>4883</v>
      </c>
      <c r="N376" s="2" t="s">
        <v>4884</v>
      </c>
      <c r="O376" s="3" t="s">
        <v>67</v>
      </c>
      <c r="Q376" s="3" t="s">
        <v>68</v>
      </c>
      <c r="R376" s="3" t="s">
        <v>204</v>
      </c>
      <c r="T376" s="3" t="s">
        <v>70</v>
      </c>
      <c r="U376" s="4">
        <v>2</v>
      </c>
      <c r="V376" s="4">
        <v>2</v>
      </c>
      <c r="W376" s="5" t="s">
        <v>4885</v>
      </c>
      <c r="X376" s="5" t="s">
        <v>4885</v>
      </c>
      <c r="Y376" s="5" t="s">
        <v>4340</v>
      </c>
      <c r="Z376" s="5" t="s">
        <v>4340</v>
      </c>
      <c r="AA376" s="4">
        <v>375</v>
      </c>
      <c r="AB376" s="4">
        <v>329</v>
      </c>
      <c r="AC376" s="4">
        <v>331</v>
      </c>
      <c r="AD376" s="4">
        <v>4</v>
      </c>
      <c r="AE376" s="4">
        <v>4</v>
      </c>
      <c r="AF376" s="4">
        <v>28</v>
      </c>
      <c r="AG376" s="4">
        <v>28</v>
      </c>
      <c r="AH376" s="4">
        <v>9</v>
      </c>
      <c r="AI376" s="4">
        <v>9</v>
      </c>
      <c r="AJ376" s="4">
        <v>8</v>
      </c>
      <c r="AK376" s="4">
        <v>8</v>
      </c>
      <c r="AL376" s="4">
        <v>17</v>
      </c>
      <c r="AM376" s="4">
        <v>17</v>
      </c>
      <c r="AN376" s="4">
        <v>3</v>
      </c>
      <c r="AO376" s="4">
        <v>3</v>
      </c>
      <c r="AP376" s="4">
        <v>0</v>
      </c>
      <c r="AQ376" s="4">
        <v>0</v>
      </c>
      <c r="AR376" s="3" t="s">
        <v>62</v>
      </c>
      <c r="AS376" s="3" t="s">
        <v>84</v>
      </c>
      <c r="AT376" s="6" t="str">
        <f>HYPERLINK("http://catalog.hathitrust.org/Record/001921547","HathiTrust Record")</f>
        <v>HathiTrust Record</v>
      </c>
      <c r="AU376" s="6" t="str">
        <f>HYPERLINK("https://creighton-primo.hosted.exlibrisgroup.com/primo-explore/search?tab=default_tab&amp;search_scope=EVERYTHING&amp;vid=01CRU&amp;lang=en_US&amp;offset=0&amp;query=any,contains,991000550369702656","Catalog Record")</f>
        <v>Catalog Record</v>
      </c>
      <c r="AV376" s="6" t="str">
        <f>HYPERLINK("http://www.worldcat.org/oclc/92489","WorldCat Record")</f>
        <v>WorldCat Record</v>
      </c>
      <c r="AW376" s="3" t="s">
        <v>4886</v>
      </c>
      <c r="AX376" s="3" t="s">
        <v>4887</v>
      </c>
      <c r="AY376" s="3" t="s">
        <v>4888</v>
      </c>
      <c r="AZ376" s="3" t="s">
        <v>4888</v>
      </c>
      <c r="BA376" s="3" t="s">
        <v>4889</v>
      </c>
      <c r="BB376" s="3" t="s">
        <v>77</v>
      </c>
      <c r="BE376" s="3" t="s">
        <v>4890</v>
      </c>
      <c r="BF376" s="3" t="s">
        <v>4891</v>
      </c>
    </row>
    <row r="377" spans="1:58" ht="41.25" customHeight="1" x14ac:dyDescent="0.25">
      <c r="A377" s="7" t="s">
        <v>62</v>
      </c>
      <c r="B377" s="2" t="s">
        <v>57</v>
      </c>
      <c r="C377" s="2" t="s">
        <v>58</v>
      </c>
      <c r="D377" s="2" t="s">
        <v>4892</v>
      </c>
      <c r="E377" s="2" t="s">
        <v>4893</v>
      </c>
      <c r="F377" s="2" t="s">
        <v>4894</v>
      </c>
      <c r="H377" s="3" t="s">
        <v>62</v>
      </c>
      <c r="I377" s="3" t="s">
        <v>63</v>
      </c>
      <c r="J377" s="3" t="s">
        <v>62</v>
      </c>
      <c r="K377" s="3" t="s">
        <v>62</v>
      </c>
      <c r="L377" s="3" t="s">
        <v>64</v>
      </c>
      <c r="M377" s="2" t="s">
        <v>4895</v>
      </c>
      <c r="N377" s="2" t="s">
        <v>4896</v>
      </c>
      <c r="O377" s="3" t="s">
        <v>1805</v>
      </c>
      <c r="Q377" s="3" t="s">
        <v>68</v>
      </c>
      <c r="R377" s="3" t="s">
        <v>69</v>
      </c>
      <c r="T377" s="3" t="s">
        <v>70</v>
      </c>
      <c r="U377" s="4">
        <v>4</v>
      </c>
      <c r="V377" s="4">
        <v>4</v>
      </c>
      <c r="W377" s="5" t="s">
        <v>4897</v>
      </c>
      <c r="X377" s="5" t="s">
        <v>4897</v>
      </c>
      <c r="Y377" s="5" t="s">
        <v>4340</v>
      </c>
      <c r="Z377" s="5" t="s">
        <v>4340</v>
      </c>
      <c r="AA377" s="4">
        <v>596</v>
      </c>
      <c r="AB377" s="4">
        <v>535</v>
      </c>
      <c r="AC377" s="4">
        <v>641</v>
      </c>
      <c r="AD377" s="4">
        <v>5</v>
      </c>
      <c r="AE377" s="4">
        <v>5</v>
      </c>
      <c r="AF377" s="4">
        <v>28</v>
      </c>
      <c r="AG377" s="4">
        <v>34</v>
      </c>
      <c r="AH377" s="4">
        <v>10</v>
      </c>
      <c r="AI377" s="4">
        <v>13</v>
      </c>
      <c r="AJ377" s="4">
        <v>5</v>
      </c>
      <c r="AK377" s="4">
        <v>6</v>
      </c>
      <c r="AL377" s="4">
        <v>18</v>
      </c>
      <c r="AM377" s="4">
        <v>21</v>
      </c>
      <c r="AN377" s="4">
        <v>3</v>
      </c>
      <c r="AO377" s="4">
        <v>3</v>
      </c>
      <c r="AP377" s="4">
        <v>0</v>
      </c>
      <c r="AQ377" s="4">
        <v>0</v>
      </c>
      <c r="AR377" s="3" t="s">
        <v>62</v>
      </c>
      <c r="AS377" s="3" t="s">
        <v>84</v>
      </c>
      <c r="AT377" s="6" t="str">
        <f>HYPERLINK("http://catalog.hathitrust.org/Record/000764979","HathiTrust Record")</f>
        <v>HathiTrust Record</v>
      </c>
      <c r="AU377" s="6" t="str">
        <f>HYPERLINK("https://creighton-primo.hosted.exlibrisgroup.com/primo-explore/search?tab=default_tab&amp;search_scope=EVERYTHING&amp;vid=01CRU&amp;lang=en_US&amp;offset=0&amp;query=any,contains,991005182909702656","Catalog Record")</f>
        <v>Catalog Record</v>
      </c>
      <c r="AV377" s="6" t="str">
        <f>HYPERLINK("http://www.worldcat.org/oclc/7947484","WorldCat Record")</f>
        <v>WorldCat Record</v>
      </c>
      <c r="AW377" s="3" t="s">
        <v>4898</v>
      </c>
      <c r="AX377" s="3" t="s">
        <v>4899</v>
      </c>
      <c r="AY377" s="3" t="s">
        <v>4900</v>
      </c>
      <c r="AZ377" s="3" t="s">
        <v>4900</v>
      </c>
      <c r="BA377" s="3" t="s">
        <v>4901</v>
      </c>
      <c r="BB377" s="3" t="s">
        <v>77</v>
      </c>
      <c r="BD377" s="3" t="s">
        <v>4902</v>
      </c>
      <c r="BE377" s="3" t="s">
        <v>4903</v>
      </c>
      <c r="BF377" s="3" t="s">
        <v>4904</v>
      </c>
    </row>
    <row r="378" spans="1:58" ht="41.25" customHeight="1" x14ac:dyDescent="0.25">
      <c r="A378" s="7" t="s">
        <v>62</v>
      </c>
      <c r="B378" s="2" t="s">
        <v>57</v>
      </c>
      <c r="C378" s="2" t="s">
        <v>58</v>
      </c>
      <c r="D378" s="2" t="s">
        <v>4905</v>
      </c>
      <c r="E378" s="2" t="s">
        <v>4906</v>
      </c>
      <c r="F378" s="2" t="s">
        <v>4907</v>
      </c>
      <c r="H378" s="3" t="s">
        <v>62</v>
      </c>
      <c r="I378" s="3" t="s">
        <v>63</v>
      </c>
      <c r="J378" s="3" t="s">
        <v>62</v>
      </c>
      <c r="K378" s="3" t="s">
        <v>62</v>
      </c>
      <c r="L378" s="3" t="s">
        <v>64</v>
      </c>
      <c r="M378" s="2" t="s">
        <v>4908</v>
      </c>
      <c r="N378" s="2" t="s">
        <v>670</v>
      </c>
      <c r="O378" s="3" t="s">
        <v>312</v>
      </c>
      <c r="Q378" s="3" t="s">
        <v>68</v>
      </c>
      <c r="R378" s="3" t="s">
        <v>69</v>
      </c>
      <c r="T378" s="3" t="s">
        <v>70</v>
      </c>
      <c r="U378" s="4">
        <v>5</v>
      </c>
      <c r="V378" s="4">
        <v>5</v>
      </c>
      <c r="W378" s="5" t="s">
        <v>4909</v>
      </c>
      <c r="X378" s="5" t="s">
        <v>4909</v>
      </c>
      <c r="Y378" s="5" t="s">
        <v>4340</v>
      </c>
      <c r="Z378" s="5" t="s">
        <v>4340</v>
      </c>
      <c r="AA378" s="4">
        <v>243</v>
      </c>
      <c r="AB378" s="4">
        <v>214</v>
      </c>
      <c r="AC378" s="4">
        <v>219</v>
      </c>
      <c r="AD378" s="4">
        <v>3</v>
      </c>
      <c r="AE378" s="4">
        <v>3</v>
      </c>
      <c r="AF378" s="4">
        <v>26</v>
      </c>
      <c r="AG378" s="4">
        <v>26</v>
      </c>
      <c r="AH378" s="4">
        <v>6</v>
      </c>
      <c r="AI378" s="4">
        <v>6</v>
      </c>
      <c r="AJ378" s="4">
        <v>7</v>
      </c>
      <c r="AK378" s="4">
        <v>7</v>
      </c>
      <c r="AL378" s="4">
        <v>20</v>
      </c>
      <c r="AM378" s="4">
        <v>20</v>
      </c>
      <c r="AN378" s="4">
        <v>1</v>
      </c>
      <c r="AO378" s="4">
        <v>1</v>
      </c>
      <c r="AP378" s="4">
        <v>0</v>
      </c>
      <c r="AQ378" s="4">
        <v>0</v>
      </c>
      <c r="AR378" s="3" t="s">
        <v>62</v>
      </c>
      <c r="AS378" s="3" t="s">
        <v>62</v>
      </c>
      <c r="AU378" s="6" t="str">
        <f>HYPERLINK("https://creighton-primo.hosted.exlibrisgroup.com/primo-explore/search?tab=default_tab&amp;search_scope=EVERYTHING&amp;vid=01CRU&amp;lang=en_US&amp;offset=0&amp;query=any,contains,991001273559702656","Catalog Record")</f>
        <v>Catalog Record</v>
      </c>
      <c r="AV378" s="6" t="str">
        <f>HYPERLINK("http://www.worldcat.org/oclc/213128","WorldCat Record")</f>
        <v>WorldCat Record</v>
      </c>
      <c r="AW378" s="3" t="s">
        <v>4910</v>
      </c>
      <c r="AX378" s="3" t="s">
        <v>4911</v>
      </c>
      <c r="AY378" s="3" t="s">
        <v>4912</v>
      </c>
      <c r="AZ378" s="3" t="s">
        <v>4912</v>
      </c>
      <c r="BA378" s="3" t="s">
        <v>4913</v>
      </c>
      <c r="BB378" s="3" t="s">
        <v>77</v>
      </c>
      <c r="BE378" s="3" t="s">
        <v>4914</v>
      </c>
      <c r="BF378" s="3" t="s">
        <v>4915</v>
      </c>
    </row>
    <row r="379" spans="1:58" ht="41.25" customHeight="1" x14ac:dyDescent="0.25">
      <c r="A379" s="7" t="s">
        <v>62</v>
      </c>
      <c r="B379" s="2" t="s">
        <v>57</v>
      </c>
      <c r="C379" s="2" t="s">
        <v>58</v>
      </c>
      <c r="D379" s="2" t="s">
        <v>4916</v>
      </c>
      <c r="E379" s="2" t="s">
        <v>4917</v>
      </c>
      <c r="F379" s="2" t="s">
        <v>4918</v>
      </c>
      <c r="H379" s="3" t="s">
        <v>62</v>
      </c>
      <c r="I379" s="3" t="s">
        <v>63</v>
      </c>
      <c r="J379" s="3" t="s">
        <v>84</v>
      </c>
      <c r="K379" s="3" t="s">
        <v>62</v>
      </c>
      <c r="L379" s="3" t="s">
        <v>64</v>
      </c>
      <c r="N379" s="2" t="s">
        <v>4919</v>
      </c>
      <c r="O379" s="3" t="s">
        <v>267</v>
      </c>
      <c r="Q379" s="3" t="s">
        <v>68</v>
      </c>
      <c r="R379" s="3" t="s">
        <v>531</v>
      </c>
      <c r="S379" s="2" t="s">
        <v>4920</v>
      </c>
      <c r="T379" s="3" t="s">
        <v>70</v>
      </c>
      <c r="U379" s="4">
        <v>1</v>
      </c>
      <c r="V379" s="4">
        <v>4</v>
      </c>
      <c r="W379" s="5" t="s">
        <v>4921</v>
      </c>
      <c r="X379" s="5" t="s">
        <v>4921</v>
      </c>
      <c r="Y379" s="5" t="s">
        <v>4340</v>
      </c>
      <c r="Z379" s="5" t="s">
        <v>4340</v>
      </c>
      <c r="AA379" s="4">
        <v>1030</v>
      </c>
      <c r="AB379" s="4">
        <v>902</v>
      </c>
      <c r="AC379" s="4">
        <v>912</v>
      </c>
      <c r="AD379" s="4">
        <v>7</v>
      </c>
      <c r="AE379" s="4">
        <v>7</v>
      </c>
      <c r="AF379" s="4">
        <v>41</v>
      </c>
      <c r="AG379" s="4">
        <v>41</v>
      </c>
      <c r="AH379" s="4">
        <v>17</v>
      </c>
      <c r="AI379" s="4">
        <v>17</v>
      </c>
      <c r="AJ379" s="4">
        <v>8</v>
      </c>
      <c r="AK379" s="4">
        <v>8</v>
      </c>
      <c r="AL379" s="4">
        <v>23</v>
      </c>
      <c r="AM379" s="4">
        <v>23</v>
      </c>
      <c r="AN379" s="4">
        <v>4</v>
      </c>
      <c r="AO379" s="4">
        <v>4</v>
      </c>
      <c r="AP379" s="4">
        <v>0</v>
      </c>
      <c r="AQ379" s="4">
        <v>0</v>
      </c>
      <c r="AR379" s="3" t="s">
        <v>62</v>
      </c>
      <c r="AS379" s="3" t="s">
        <v>84</v>
      </c>
      <c r="AT379" s="6" t="str">
        <f>HYPERLINK("http://catalog.hathitrust.org/Record/001391413","HathiTrust Record")</f>
        <v>HathiTrust Record</v>
      </c>
      <c r="AU379" s="6" t="str">
        <f>HYPERLINK("https://creighton-primo.hosted.exlibrisgroup.com/primo-explore/search?tab=default_tab&amp;search_scope=EVERYTHING&amp;vid=01CRU&amp;lang=en_US&amp;offset=0&amp;query=any,contains,991001762959702656","Catalog Record")</f>
        <v>Catalog Record</v>
      </c>
      <c r="AV379" s="6" t="str">
        <f>HYPERLINK("http://www.worldcat.org/oclc/174366","WorldCat Record")</f>
        <v>WorldCat Record</v>
      </c>
      <c r="AW379" s="3" t="s">
        <v>4922</v>
      </c>
      <c r="AX379" s="3" t="s">
        <v>4923</v>
      </c>
      <c r="AY379" s="3" t="s">
        <v>4924</v>
      </c>
      <c r="AZ379" s="3" t="s">
        <v>4924</v>
      </c>
      <c r="BA379" s="3" t="s">
        <v>4925</v>
      </c>
      <c r="BB379" s="3" t="s">
        <v>77</v>
      </c>
      <c r="BE379" s="3" t="s">
        <v>4926</v>
      </c>
      <c r="BF379" s="3" t="s">
        <v>4927</v>
      </c>
    </row>
    <row r="380" spans="1:58" ht="41.25" customHeight="1" x14ac:dyDescent="0.25">
      <c r="A380" s="7" t="s">
        <v>62</v>
      </c>
      <c r="B380" s="2" t="s">
        <v>57</v>
      </c>
      <c r="C380" s="2" t="s">
        <v>58</v>
      </c>
      <c r="D380" s="2" t="s">
        <v>4928</v>
      </c>
      <c r="E380" s="2" t="s">
        <v>4929</v>
      </c>
      <c r="F380" s="2" t="s">
        <v>4930</v>
      </c>
      <c r="H380" s="3" t="s">
        <v>62</v>
      </c>
      <c r="I380" s="3" t="s">
        <v>63</v>
      </c>
      <c r="J380" s="3" t="s">
        <v>62</v>
      </c>
      <c r="K380" s="3" t="s">
        <v>62</v>
      </c>
      <c r="L380" s="3" t="s">
        <v>64</v>
      </c>
      <c r="M380" s="2" t="s">
        <v>4931</v>
      </c>
      <c r="N380" s="2" t="s">
        <v>4932</v>
      </c>
      <c r="O380" s="3" t="s">
        <v>1820</v>
      </c>
      <c r="Q380" s="3" t="s">
        <v>68</v>
      </c>
      <c r="R380" s="3" t="s">
        <v>69</v>
      </c>
      <c r="S380" s="2" t="s">
        <v>4933</v>
      </c>
      <c r="T380" s="3" t="s">
        <v>70</v>
      </c>
      <c r="U380" s="4">
        <v>6</v>
      </c>
      <c r="V380" s="4">
        <v>6</v>
      </c>
      <c r="W380" s="5" t="s">
        <v>4909</v>
      </c>
      <c r="X380" s="5" t="s">
        <v>4909</v>
      </c>
      <c r="Y380" s="5" t="s">
        <v>4340</v>
      </c>
      <c r="Z380" s="5" t="s">
        <v>4340</v>
      </c>
      <c r="AA380" s="4">
        <v>199</v>
      </c>
      <c r="AB380" s="4">
        <v>179</v>
      </c>
      <c r="AC380" s="4">
        <v>208</v>
      </c>
      <c r="AD380" s="4">
        <v>2</v>
      </c>
      <c r="AE380" s="4">
        <v>2</v>
      </c>
      <c r="AF380" s="4">
        <v>12</v>
      </c>
      <c r="AG380" s="4">
        <v>12</v>
      </c>
      <c r="AH380" s="4">
        <v>4</v>
      </c>
      <c r="AI380" s="4">
        <v>4</v>
      </c>
      <c r="AJ380" s="4">
        <v>2</v>
      </c>
      <c r="AK380" s="4">
        <v>2</v>
      </c>
      <c r="AL380" s="4">
        <v>8</v>
      </c>
      <c r="AM380" s="4">
        <v>8</v>
      </c>
      <c r="AN380" s="4">
        <v>1</v>
      </c>
      <c r="AO380" s="4">
        <v>1</v>
      </c>
      <c r="AP380" s="4">
        <v>0</v>
      </c>
      <c r="AQ380" s="4">
        <v>0</v>
      </c>
      <c r="AR380" s="3" t="s">
        <v>62</v>
      </c>
      <c r="AS380" s="3" t="s">
        <v>84</v>
      </c>
      <c r="AT380" s="6" t="str">
        <f>HYPERLINK("http://catalog.hathitrust.org/Record/007886244","HathiTrust Record")</f>
        <v>HathiTrust Record</v>
      </c>
      <c r="AU380" s="6" t="str">
        <f>HYPERLINK("https://creighton-primo.hosted.exlibrisgroup.com/primo-explore/search?tab=default_tab&amp;search_scope=EVERYTHING&amp;vid=01CRU&amp;lang=en_US&amp;offset=0&amp;query=any,contains,991004664969702656","Catalog Record")</f>
        <v>Catalog Record</v>
      </c>
      <c r="AV380" s="6" t="str">
        <f>HYPERLINK("http://www.worldcat.org/oclc/4503177","WorldCat Record")</f>
        <v>WorldCat Record</v>
      </c>
      <c r="AW380" s="3" t="s">
        <v>4934</v>
      </c>
      <c r="AX380" s="3" t="s">
        <v>4935</v>
      </c>
      <c r="AY380" s="3" t="s">
        <v>4936</v>
      </c>
      <c r="AZ380" s="3" t="s">
        <v>4936</v>
      </c>
      <c r="BA380" s="3" t="s">
        <v>4937</v>
      </c>
      <c r="BB380" s="3" t="s">
        <v>77</v>
      </c>
      <c r="BD380" s="3" t="s">
        <v>4938</v>
      </c>
      <c r="BE380" s="3" t="s">
        <v>4939</v>
      </c>
      <c r="BF380" s="3" t="s">
        <v>4940</v>
      </c>
    </row>
    <row r="381" spans="1:58" ht="41.25" customHeight="1" x14ac:dyDescent="0.25">
      <c r="A381" s="7" t="s">
        <v>62</v>
      </c>
      <c r="B381" s="2" t="s">
        <v>57</v>
      </c>
      <c r="C381" s="2" t="s">
        <v>58</v>
      </c>
      <c r="D381" s="2" t="s">
        <v>4941</v>
      </c>
      <c r="E381" s="2" t="s">
        <v>4942</v>
      </c>
      <c r="F381" s="2" t="s">
        <v>4943</v>
      </c>
      <c r="H381" s="3" t="s">
        <v>62</v>
      </c>
      <c r="I381" s="3" t="s">
        <v>63</v>
      </c>
      <c r="J381" s="3" t="s">
        <v>62</v>
      </c>
      <c r="K381" s="3" t="s">
        <v>62</v>
      </c>
      <c r="L381" s="3" t="s">
        <v>64</v>
      </c>
      <c r="M381" s="2" t="s">
        <v>4944</v>
      </c>
      <c r="N381" s="2" t="s">
        <v>4945</v>
      </c>
      <c r="O381" s="3" t="s">
        <v>820</v>
      </c>
      <c r="Q381" s="3" t="s">
        <v>68</v>
      </c>
      <c r="R381" s="3" t="s">
        <v>2263</v>
      </c>
      <c r="T381" s="3" t="s">
        <v>70</v>
      </c>
      <c r="U381" s="4">
        <v>7</v>
      </c>
      <c r="V381" s="4">
        <v>7</v>
      </c>
      <c r="W381" s="5" t="s">
        <v>4946</v>
      </c>
      <c r="X381" s="5" t="s">
        <v>4946</v>
      </c>
      <c r="Y381" s="5" t="s">
        <v>4340</v>
      </c>
      <c r="Z381" s="5" t="s">
        <v>4340</v>
      </c>
      <c r="AA381" s="4">
        <v>272</v>
      </c>
      <c r="AB381" s="4">
        <v>237</v>
      </c>
      <c r="AC381" s="4">
        <v>243</v>
      </c>
      <c r="AD381" s="4">
        <v>2</v>
      </c>
      <c r="AE381" s="4">
        <v>2</v>
      </c>
      <c r="AF381" s="4">
        <v>13</v>
      </c>
      <c r="AG381" s="4">
        <v>13</v>
      </c>
      <c r="AH381" s="4">
        <v>3</v>
      </c>
      <c r="AI381" s="4">
        <v>3</v>
      </c>
      <c r="AJ381" s="4">
        <v>2</v>
      </c>
      <c r="AK381" s="4">
        <v>2</v>
      </c>
      <c r="AL381" s="4">
        <v>8</v>
      </c>
      <c r="AM381" s="4">
        <v>8</v>
      </c>
      <c r="AN381" s="4">
        <v>1</v>
      </c>
      <c r="AO381" s="4">
        <v>1</v>
      </c>
      <c r="AP381" s="4">
        <v>0</v>
      </c>
      <c r="AQ381" s="4">
        <v>0</v>
      </c>
      <c r="AR381" s="3" t="s">
        <v>62</v>
      </c>
      <c r="AS381" s="3" t="s">
        <v>62</v>
      </c>
      <c r="AU381" s="6" t="str">
        <f>HYPERLINK("https://creighton-primo.hosted.exlibrisgroup.com/primo-explore/search?tab=default_tab&amp;search_scope=EVERYTHING&amp;vid=01CRU&amp;lang=en_US&amp;offset=0&amp;query=any,contains,991003468529702656","Catalog Record")</f>
        <v>Catalog Record</v>
      </c>
      <c r="AV381" s="6" t="str">
        <f>HYPERLINK("http://www.worldcat.org/oclc/1009737","WorldCat Record")</f>
        <v>WorldCat Record</v>
      </c>
      <c r="AW381" s="3" t="s">
        <v>4947</v>
      </c>
      <c r="AX381" s="3" t="s">
        <v>4948</v>
      </c>
      <c r="AY381" s="3" t="s">
        <v>4949</v>
      </c>
      <c r="AZ381" s="3" t="s">
        <v>4949</v>
      </c>
      <c r="BA381" s="3" t="s">
        <v>4950</v>
      </c>
      <c r="BB381" s="3" t="s">
        <v>77</v>
      </c>
      <c r="BD381" s="3" t="s">
        <v>4951</v>
      </c>
      <c r="BE381" s="3" t="s">
        <v>4952</v>
      </c>
      <c r="BF381" s="3" t="s">
        <v>4953</v>
      </c>
    </row>
    <row r="382" spans="1:58" ht="41.25" customHeight="1" x14ac:dyDescent="0.25">
      <c r="A382" s="7" t="s">
        <v>62</v>
      </c>
      <c r="B382" s="2" t="s">
        <v>57</v>
      </c>
      <c r="C382" s="2" t="s">
        <v>58</v>
      </c>
      <c r="D382" s="2" t="s">
        <v>4954</v>
      </c>
      <c r="E382" s="2" t="s">
        <v>4955</v>
      </c>
      <c r="F382" s="2" t="s">
        <v>4956</v>
      </c>
      <c r="H382" s="3" t="s">
        <v>62</v>
      </c>
      <c r="I382" s="3" t="s">
        <v>63</v>
      </c>
      <c r="J382" s="3" t="s">
        <v>62</v>
      </c>
      <c r="K382" s="3" t="s">
        <v>62</v>
      </c>
      <c r="L382" s="3" t="s">
        <v>64</v>
      </c>
      <c r="M382" s="2" t="s">
        <v>4957</v>
      </c>
      <c r="N382" s="2" t="s">
        <v>4958</v>
      </c>
      <c r="O382" s="3" t="s">
        <v>253</v>
      </c>
      <c r="Q382" s="3" t="s">
        <v>68</v>
      </c>
      <c r="R382" s="3" t="s">
        <v>3086</v>
      </c>
      <c r="T382" s="3" t="s">
        <v>70</v>
      </c>
      <c r="U382" s="4">
        <v>8</v>
      </c>
      <c r="V382" s="4">
        <v>8</v>
      </c>
      <c r="W382" s="5" t="s">
        <v>4909</v>
      </c>
      <c r="X382" s="5" t="s">
        <v>4909</v>
      </c>
      <c r="Y382" s="5" t="s">
        <v>4340</v>
      </c>
      <c r="Z382" s="5" t="s">
        <v>4340</v>
      </c>
      <c r="AA382" s="4">
        <v>473</v>
      </c>
      <c r="AB382" s="4">
        <v>397</v>
      </c>
      <c r="AC382" s="4">
        <v>404</v>
      </c>
      <c r="AD382" s="4">
        <v>4</v>
      </c>
      <c r="AE382" s="4">
        <v>4</v>
      </c>
      <c r="AF382" s="4">
        <v>30</v>
      </c>
      <c r="AG382" s="4">
        <v>30</v>
      </c>
      <c r="AH382" s="4">
        <v>9</v>
      </c>
      <c r="AI382" s="4">
        <v>9</v>
      </c>
      <c r="AJ382" s="4">
        <v>6</v>
      </c>
      <c r="AK382" s="4">
        <v>6</v>
      </c>
      <c r="AL382" s="4">
        <v>21</v>
      </c>
      <c r="AM382" s="4">
        <v>21</v>
      </c>
      <c r="AN382" s="4">
        <v>2</v>
      </c>
      <c r="AO382" s="4">
        <v>2</v>
      </c>
      <c r="AP382" s="4">
        <v>0</v>
      </c>
      <c r="AQ382" s="4">
        <v>0</v>
      </c>
      <c r="AR382" s="3" t="s">
        <v>62</v>
      </c>
      <c r="AS382" s="3" t="s">
        <v>84</v>
      </c>
      <c r="AT382" s="6" t="str">
        <f>HYPERLINK("http://catalog.hathitrust.org/Record/000351579","HathiTrust Record")</f>
        <v>HathiTrust Record</v>
      </c>
      <c r="AU382" s="6" t="str">
        <f>HYPERLINK("https://creighton-primo.hosted.exlibrisgroup.com/primo-explore/search?tab=default_tab&amp;search_scope=EVERYTHING&amp;vid=01CRU&amp;lang=en_US&amp;offset=0&amp;query=any,contains,991000606589702656","Catalog Record")</f>
        <v>Catalog Record</v>
      </c>
      <c r="AV382" s="6" t="str">
        <f>HYPERLINK("http://www.worldcat.org/oclc/11866947","WorldCat Record")</f>
        <v>WorldCat Record</v>
      </c>
      <c r="AW382" s="3" t="s">
        <v>4959</v>
      </c>
      <c r="AX382" s="3" t="s">
        <v>4960</v>
      </c>
      <c r="AY382" s="3" t="s">
        <v>4961</v>
      </c>
      <c r="AZ382" s="3" t="s">
        <v>4961</v>
      </c>
      <c r="BA382" s="3" t="s">
        <v>4962</v>
      </c>
      <c r="BB382" s="3" t="s">
        <v>77</v>
      </c>
      <c r="BD382" s="3" t="s">
        <v>4963</v>
      </c>
      <c r="BE382" s="3" t="s">
        <v>4964</v>
      </c>
      <c r="BF382" s="3" t="s">
        <v>4965</v>
      </c>
    </row>
    <row r="383" spans="1:58" ht="41.25" customHeight="1" x14ac:dyDescent="0.25">
      <c r="A383" s="7" t="s">
        <v>62</v>
      </c>
      <c r="B383" s="2" t="s">
        <v>57</v>
      </c>
      <c r="C383" s="2" t="s">
        <v>58</v>
      </c>
      <c r="D383" s="2" t="s">
        <v>4966</v>
      </c>
      <c r="E383" s="2" t="s">
        <v>4967</v>
      </c>
      <c r="F383" s="2" t="s">
        <v>4968</v>
      </c>
      <c r="H383" s="3" t="s">
        <v>62</v>
      </c>
      <c r="I383" s="3" t="s">
        <v>63</v>
      </c>
      <c r="J383" s="3" t="s">
        <v>62</v>
      </c>
      <c r="K383" s="3" t="s">
        <v>62</v>
      </c>
      <c r="L383" s="3" t="s">
        <v>64</v>
      </c>
      <c r="N383" s="2" t="s">
        <v>4969</v>
      </c>
      <c r="O383" s="3" t="s">
        <v>233</v>
      </c>
      <c r="Q383" s="3" t="s">
        <v>68</v>
      </c>
      <c r="R383" s="3" t="s">
        <v>531</v>
      </c>
      <c r="T383" s="3" t="s">
        <v>70</v>
      </c>
      <c r="U383" s="4">
        <v>1</v>
      </c>
      <c r="V383" s="4">
        <v>1</v>
      </c>
      <c r="W383" s="5" t="s">
        <v>1308</v>
      </c>
      <c r="X383" s="5" t="s">
        <v>1308</v>
      </c>
      <c r="Y383" s="5" t="s">
        <v>4340</v>
      </c>
      <c r="Z383" s="5" t="s">
        <v>4340</v>
      </c>
      <c r="AA383" s="4">
        <v>507</v>
      </c>
      <c r="AB383" s="4">
        <v>462</v>
      </c>
      <c r="AC383" s="4">
        <v>468</v>
      </c>
      <c r="AD383" s="4">
        <v>4</v>
      </c>
      <c r="AE383" s="4">
        <v>4</v>
      </c>
      <c r="AF383" s="4">
        <v>28</v>
      </c>
      <c r="AG383" s="4">
        <v>28</v>
      </c>
      <c r="AH383" s="4">
        <v>10</v>
      </c>
      <c r="AI383" s="4">
        <v>10</v>
      </c>
      <c r="AJ383" s="4">
        <v>6</v>
      </c>
      <c r="AK383" s="4">
        <v>6</v>
      </c>
      <c r="AL383" s="4">
        <v>19</v>
      </c>
      <c r="AM383" s="4">
        <v>19</v>
      </c>
      <c r="AN383" s="4">
        <v>3</v>
      </c>
      <c r="AO383" s="4">
        <v>3</v>
      </c>
      <c r="AP383" s="4">
        <v>0</v>
      </c>
      <c r="AQ383" s="4">
        <v>0</v>
      </c>
      <c r="AR383" s="3" t="s">
        <v>62</v>
      </c>
      <c r="AS383" s="3" t="s">
        <v>84</v>
      </c>
      <c r="AT383" s="6" t="str">
        <f>HYPERLINK("http://catalog.hathitrust.org/Record/000739972","HathiTrust Record")</f>
        <v>HathiTrust Record</v>
      </c>
      <c r="AU383" s="6" t="str">
        <f>HYPERLINK("https://creighton-primo.hosted.exlibrisgroup.com/primo-explore/search?tab=default_tab&amp;search_scope=EVERYTHING&amp;vid=01CRU&amp;lang=en_US&amp;offset=0&amp;query=any,contains,991004822929702656","Catalog Record")</f>
        <v>Catalog Record</v>
      </c>
      <c r="AV383" s="6" t="str">
        <f>HYPERLINK("http://www.worldcat.org/oclc/5336900","WorldCat Record")</f>
        <v>WorldCat Record</v>
      </c>
      <c r="AW383" s="3" t="s">
        <v>4970</v>
      </c>
      <c r="AX383" s="3" t="s">
        <v>4971</v>
      </c>
      <c r="AY383" s="3" t="s">
        <v>4972</v>
      </c>
      <c r="AZ383" s="3" t="s">
        <v>4972</v>
      </c>
      <c r="BA383" s="3" t="s">
        <v>4973</v>
      </c>
      <c r="BB383" s="3" t="s">
        <v>77</v>
      </c>
      <c r="BD383" s="3" t="s">
        <v>4974</v>
      </c>
      <c r="BE383" s="3" t="s">
        <v>4975</v>
      </c>
      <c r="BF383" s="3" t="s">
        <v>4976</v>
      </c>
    </row>
    <row r="384" spans="1:58" ht="41.25" customHeight="1" x14ac:dyDescent="0.25">
      <c r="A384" s="7" t="s">
        <v>62</v>
      </c>
      <c r="B384" s="2" t="s">
        <v>57</v>
      </c>
      <c r="C384" s="2" t="s">
        <v>58</v>
      </c>
      <c r="D384" s="2" t="s">
        <v>4977</v>
      </c>
      <c r="E384" s="2" t="s">
        <v>4978</v>
      </c>
      <c r="F384" s="2" t="s">
        <v>4979</v>
      </c>
      <c r="H384" s="3" t="s">
        <v>62</v>
      </c>
      <c r="I384" s="3" t="s">
        <v>63</v>
      </c>
      <c r="J384" s="3" t="s">
        <v>62</v>
      </c>
      <c r="K384" s="3" t="s">
        <v>62</v>
      </c>
      <c r="L384" s="3" t="s">
        <v>64</v>
      </c>
      <c r="M384" s="2" t="s">
        <v>4980</v>
      </c>
      <c r="N384" s="2" t="s">
        <v>4981</v>
      </c>
      <c r="O384" s="3" t="s">
        <v>1533</v>
      </c>
      <c r="Q384" s="3" t="s">
        <v>68</v>
      </c>
      <c r="R384" s="3" t="s">
        <v>69</v>
      </c>
      <c r="T384" s="3" t="s">
        <v>70</v>
      </c>
      <c r="U384" s="4">
        <v>1</v>
      </c>
      <c r="V384" s="4">
        <v>1</v>
      </c>
      <c r="W384" s="5" t="s">
        <v>4982</v>
      </c>
      <c r="X384" s="5" t="s">
        <v>4982</v>
      </c>
      <c r="Y384" s="5" t="s">
        <v>4303</v>
      </c>
      <c r="Z384" s="5" t="s">
        <v>4303</v>
      </c>
      <c r="AA384" s="4">
        <v>290</v>
      </c>
      <c r="AB384" s="4">
        <v>248</v>
      </c>
      <c r="AC384" s="4">
        <v>267</v>
      </c>
      <c r="AD384" s="4">
        <v>1</v>
      </c>
      <c r="AE384" s="4">
        <v>1</v>
      </c>
      <c r="AF384" s="4">
        <v>14</v>
      </c>
      <c r="AG384" s="4">
        <v>15</v>
      </c>
      <c r="AH384" s="4">
        <v>4</v>
      </c>
      <c r="AI384" s="4">
        <v>5</v>
      </c>
      <c r="AJ384" s="4">
        <v>4</v>
      </c>
      <c r="AK384" s="4">
        <v>4</v>
      </c>
      <c r="AL384" s="4">
        <v>11</v>
      </c>
      <c r="AM384" s="4">
        <v>11</v>
      </c>
      <c r="AN384" s="4">
        <v>0</v>
      </c>
      <c r="AO384" s="4">
        <v>0</v>
      </c>
      <c r="AP384" s="4">
        <v>0</v>
      </c>
      <c r="AQ384" s="4">
        <v>0</v>
      </c>
      <c r="AR384" s="3" t="s">
        <v>62</v>
      </c>
      <c r="AS384" s="3" t="s">
        <v>84</v>
      </c>
      <c r="AT384" s="6" t="str">
        <f>HYPERLINK("http://catalog.hathitrust.org/Record/007914279","HathiTrust Record")</f>
        <v>HathiTrust Record</v>
      </c>
      <c r="AU384" s="6" t="str">
        <f>HYPERLINK("https://creighton-primo.hosted.exlibrisgroup.com/primo-explore/search?tab=default_tab&amp;search_scope=EVERYTHING&amp;vid=01CRU&amp;lang=en_US&amp;offset=0&amp;query=any,contains,991003485219702656","Catalog Record")</f>
        <v>Catalog Record</v>
      </c>
      <c r="AV384" s="6" t="str">
        <f>HYPERLINK("http://www.worldcat.org/oclc/1032313","WorldCat Record")</f>
        <v>WorldCat Record</v>
      </c>
      <c r="AW384" s="3" t="s">
        <v>4983</v>
      </c>
      <c r="AX384" s="3" t="s">
        <v>4984</v>
      </c>
      <c r="AY384" s="3" t="s">
        <v>4985</v>
      </c>
      <c r="AZ384" s="3" t="s">
        <v>4985</v>
      </c>
      <c r="BA384" s="3" t="s">
        <v>4986</v>
      </c>
      <c r="BB384" s="3" t="s">
        <v>77</v>
      </c>
      <c r="BD384" s="3" t="s">
        <v>4987</v>
      </c>
      <c r="BE384" s="3" t="s">
        <v>4988</v>
      </c>
      <c r="BF384" s="3" t="s">
        <v>4989</v>
      </c>
    </row>
    <row r="385" spans="1:58" ht="41.25" customHeight="1" x14ac:dyDescent="0.25">
      <c r="A385" s="7" t="s">
        <v>62</v>
      </c>
      <c r="B385" s="2" t="s">
        <v>57</v>
      </c>
      <c r="C385" s="2" t="s">
        <v>58</v>
      </c>
      <c r="D385" s="2" t="s">
        <v>4990</v>
      </c>
      <c r="E385" s="2" t="s">
        <v>4991</v>
      </c>
      <c r="F385" s="2" t="s">
        <v>4992</v>
      </c>
      <c r="H385" s="3" t="s">
        <v>62</v>
      </c>
      <c r="I385" s="3" t="s">
        <v>63</v>
      </c>
      <c r="J385" s="3" t="s">
        <v>62</v>
      </c>
      <c r="K385" s="3" t="s">
        <v>62</v>
      </c>
      <c r="L385" s="3" t="s">
        <v>64</v>
      </c>
      <c r="M385" s="2" t="s">
        <v>4993</v>
      </c>
      <c r="N385" s="2" t="s">
        <v>3252</v>
      </c>
      <c r="O385" s="3" t="s">
        <v>1158</v>
      </c>
      <c r="Q385" s="3" t="s">
        <v>68</v>
      </c>
      <c r="R385" s="3" t="s">
        <v>69</v>
      </c>
      <c r="T385" s="3" t="s">
        <v>70</v>
      </c>
      <c r="U385" s="4">
        <v>7</v>
      </c>
      <c r="V385" s="4">
        <v>7</v>
      </c>
      <c r="W385" s="5" t="s">
        <v>4909</v>
      </c>
      <c r="X385" s="5" t="s">
        <v>4909</v>
      </c>
      <c r="Y385" s="5" t="s">
        <v>4303</v>
      </c>
      <c r="Z385" s="5" t="s">
        <v>4303</v>
      </c>
      <c r="AA385" s="4">
        <v>280</v>
      </c>
      <c r="AB385" s="4">
        <v>239</v>
      </c>
      <c r="AC385" s="4">
        <v>244</v>
      </c>
      <c r="AD385" s="4">
        <v>3</v>
      </c>
      <c r="AE385" s="4">
        <v>3</v>
      </c>
      <c r="AF385" s="4">
        <v>24</v>
      </c>
      <c r="AG385" s="4">
        <v>24</v>
      </c>
      <c r="AH385" s="4">
        <v>11</v>
      </c>
      <c r="AI385" s="4">
        <v>11</v>
      </c>
      <c r="AJ385" s="4">
        <v>3</v>
      </c>
      <c r="AK385" s="4">
        <v>3</v>
      </c>
      <c r="AL385" s="4">
        <v>15</v>
      </c>
      <c r="AM385" s="4">
        <v>15</v>
      </c>
      <c r="AN385" s="4">
        <v>2</v>
      </c>
      <c r="AO385" s="4">
        <v>2</v>
      </c>
      <c r="AP385" s="4">
        <v>0</v>
      </c>
      <c r="AQ385" s="4">
        <v>0</v>
      </c>
      <c r="AR385" s="3" t="s">
        <v>62</v>
      </c>
      <c r="AS385" s="3" t="s">
        <v>62</v>
      </c>
      <c r="AU385" s="6" t="str">
        <f>HYPERLINK("https://creighton-primo.hosted.exlibrisgroup.com/primo-explore/search?tab=default_tab&amp;search_scope=EVERYTHING&amp;vid=01CRU&amp;lang=en_US&amp;offset=0&amp;query=any,contains,991003230129702656","Catalog Record")</f>
        <v>Catalog Record</v>
      </c>
      <c r="AV385" s="6" t="str">
        <f>HYPERLINK("http://www.worldcat.org/oclc/754681","WorldCat Record")</f>
        <v>WorldCat Record</v>
      </c>
      <c r="AW385" s="3" t="s">
        <v>4994</v>
      </c>
      <c r="AX385" s="3" t="s">
        <v>4995</v>
      </c>
      <c r="AY385" s="3" t="s">
        <v>4996</v>
      </c>
      <c r="AZ385" s="3" t="s">
        <v>4996</v>
      </c>
      <c r="BA385" s="3" t="s">
        <v>4997</v>
      </c>
      <c r="BB385" s="3" t="s">
        <v>77</v>
      </c>
      <c r="BD385" s="3" t="s">
        <v>4998</v>
      </c>
      <c r="BE385" s="3" t="s">
        <v>4999</v>
      </c>
      <c r="BF385" s="3" t="s">
        <v>5000</v>
      </c>
    </row>
    <row r="386" spans="1:58" ht="41.25" customHeight="1" x14ac:dyDescent="0.25">
      <c r="A386" s="7" t="s">
        <v>62</v>
      </c>
      <c r="B386" s="2" t="s">
        <v>57</v>
      </c>
      <c r="C386" s="2" t="s">
        <v>58</v>
      </c>
      <c r="D386" s="2" t="s">
        <v>5001</v>
      </c>
      <c r="E386" s="2" t="s">
        <v>5002</v>
      </c>
      <c r="F386" s="2" t="s">
        <v>5003</v>
      </c>
      <c r="H386" s="3" t="s">
        <v>62</v>
      </c>
      <c r="I386" s="3" t="s">
        <v>63</v>
      </c>
      <c r="J386" s="3" t="s">
        <v>62</v>
      </c>
      <c r="K386" s="3" t="s">
        <v>62</v>
      </c>
      <c r="L386" s="3" t="s">
        <v>64</v>
      </c>
      <c r="M386" s="2" t="s">
        <v>5004</v>
      </c>
      <c r="N386" s="2" t="s">
        <v>5005</v>
      </c>
      <c r="O386" s="3" t="s">
        <v>1820</v>
      </c>
      <c r="Q386" s="3" t="s">
        <v>68</v>
      </c>
      <c r="R386" s="3" t="s">
        <v>219</v>
      </c>
      <c r="S386" s="2" t="s">
        <v>2864</v>
      </c>
      <c r="T386" s="3" t="s">
        <v>70</v>
      </c>
      <c r="U386" s="4">
        <v>3</v>
      </c>
      <c r="V386" s="4">
        <v>3</v>
      </c>
      <c r="W386" s="5" t="s">
        <v>5006</v>
      </c>
      <c r="X386" s="5" t="s">
        <v>5006</v>
      </c>
      <c r="Y386" s="5" t="s">
        <v>4303</v>
      </c>
      <c r="Z386" s="5" t="s">
        <v>4303</v>
      </c>
      <c r="AA386" s="4">
        <v>589</v>
      </c>
      <c r="AB386" s="4">
        <v>514</v>
      </c>
      <c r="AC386" s="4">
        <v>518</v>
      </c>
      <c r="AD386" s="4">
        <v>5</v>
      </c>
      <c r="AE386" s="4">
        <v>5</v>
      </c>
      <c r="AF386" s="4">
        <v>28</v>
      </c>
      <c r="AG386" s="4">
        <v>28</v>
      </c>
      <c r="AH386" s="4">
        <v>8</v>
      </c>
      <c r="AI386" s="4">
        <v>8</v>
      </c>
      <c r="AJ386" s="4">
        <v>6</v>
      </c>
      <c r="AK386" s="4">
        <v>6</v>
      </c>
      <c r="AL386" s="4">
        <v>17</v>
      </c>
      <c r="AM386" s="4">
        <v>17</v>
      </c>
      <c r="AN386" s="4">
        <v>4</v>
      </c>
      <c r="AO386" s="4">
        <v>4</v>
      </c>
      <c r="AP386" s="4">
        <v>0</v>
      </c>
      <c r="AQ386" s="4">
        <v>0</v>
      </c>
      <c r="AR386" s="3" t="s">
        <v>62</v>
      </c>
      <c r="AS386" s="3" t="s">
        <v>84</v>
      </c>
      <c r="AT386" s="6" t="str">
        <f>HYPERLINK("http://catalog.hathitrust.org/Record/000176933","HathiTrust Record")</f>
        <v>HathiTrust Record</v>
      </c>
      <c r="AU386" s="6" t="str">
        <f>HYPERLINK("https://creighton-primo.hosted.exlibrisgroup.com/primo-explore/search?tab=default_tab&amp;search_scope=EVERYTHING&amp;vid=01CRU&amp;lang=en_US&amp;offset=0&amp;query=any,contains,991004568519702656","Catalog Record")</f>
        <v>Catalog Record</v>
      </c>
      <c r="AV386" s="6" t="str">
        <f>HYPERLINK("http://www.worldcat.org/oclc/4005768","WorldCat Record")</f>
        <v>WorldCat Record</v>
      </c>
      <c r="AW386" s="3" t="s">
        <v>5007</v>
      </c>
      <c r="AX386" s="3" t="s">
        <v>5008</v>
      </c>
      <c r="AY386" s="3" t="s">
        <v>5009</v>
      </c>
      <c r="AZ386" s="3" t="s">
        <v>5009</v>
      </c>
      <c r="BA386" s="3" t="s">
        <v>5010</v>
      </c>
      <c r="BB386" s="3" t="s">
        <v>77</v>
      </c>
      <c r="BD386" s="3" t="s">
        <v>5011</v>
      </c>
      <c r="BE386" s="3" t="s">
        <v>5012</v>
      </c>
      <c r="BF386" s="3" t="s">
        <v>5013</v>
      </c>
    </row>
    <row r="387" spans="1:58" ht="41.25" customHeight="1" x14ac:dyDescent="0.25">
      <c r="A387" s="7" t="s">
        <v>62</v>
      </c>
      <c r="B387" s="2" t="s">
        <v>57</v>
      </c>
      <c r="C387" s="2" t="s">
        <v>58</v>
      </c>
      <c r="D387" s="2" t="s">
        <v>5014</v>
      </c>
      <c r="E387" s="2" t="s">
        <v>5015</v>
      </c>
      <c r="F387" s="2" t="s">
        <v>5016</v>
      </c>
      <c r="H387" s="3" t="s">
        <v>62</v>
      </c>
      <c r="I387" s="3" t="s">
        <v>63</v>
      </c>
      <c r="J387" s="3" t="s">
        <v>62</v>
      </c>
      <c r="K387" s="3" t="s">
        <v>62</v>
      </c>
      <c r="L387" s="3" t="s">
        <v>64</v>
      </c>
      <c r="M387" s="2" t="s">
        <v>5017</v>
      </c>
      <c r="N387" s="2" t="s">
        <v>5018</v>
      </c>
      <c r="O387" s="3" t="s">
        <v>902</v>
      </c>
      <c r="Q387" s="3" t="s">
        <v>68</v>
      </c>
      <c r="R387" s="3" t="s">
        <v>88</v>
      </c>
      <c r="T387" s="3" t="s">
        <v>70</v>
      </c>
      <c r="U387" s="4">
        <v>2</v>
      </c>
      <c r="V387" s="4">
        <v>2</v>
      </c>
      <c r="W387" s="5" t="s">
        <v>1430</v>
      </c>
      <c r="X387" s="5" t="s">
        <v>1430</v>
      </c>
      <c r="Y387" s="5" t="s">
        <v>4303</v>
      </c>
      <c r="Z387" s="5" t="s">
        <v>4303</v>
      </c>
      <c r="AA387" s="4">
        <v>364</v>
      </c>
      <c r="AB387" s="4">
        <v>299</v>
      </c>
      <c r="AC387" s="4">
        <v>308</v>
      </c>
      <c r="AD387" s="4">
        <v>1</v>
      </c>
      <c r="AE387" s="4">
        <v>1</v>
      </c>
      <c r="AF387" s="4">
        <v>33</v>
      </c>
      <c r="AG387" s="4">
        <v>33</v>
      </c>
      <c r="AH387" s="4">
        <v>11</v>
      </c>
      <c r="AI387" s="4">
        <v>11</v>
      </c>
      <c r="AJ387" s="4">
        <v>10</v>
      </c>
      <c r="AK387" s="4">
        <v>10</v>
      </c>
      <c r="AL387" s="4">
        <v>25</v>
      </c>
      <c r="AM387" s="4">
        <v>25</v>
      </c>
      <c r="AN387" s="4">
        <v>0</v>
      </c>
      <c r="AO387" s="4">
        <v>0</v>
      </c>
      <c r="AP387" s="4">
        <v>0</v>
      </c>
      <c r="AQ387" s="4">
        <v>0</v>
      </c>
      <c r="AR387" s="3" t="s">
        <v>62</v>
      </c>
      <c r="AS387" s="3" t="s">
        <v>62</v>
      </c>
      <c r="AU387" s="6" t="str">
        <f>HYPERLINK("https://creighton-primo.hosted.exlibrisgroup.com/primo-explore/search?tab=default_tab&amp;search_scope=EVERYTHING&amp;vid=01CRU&amp;lang=en_US&amp;offset=0&amp;query=any,contains,991003793069702656","Catalog Record")</f>
        <v>Catalog Record</v>
      </c>
      <c r="AV387" s="6" t="str">
        <f>HYPERLINK("http://www.worldcat.org/oclc/1512889","WorldCat Record")</f>
        <v>WorldCat Record</v>
      </c>
      <c r="AW387" s="3" t="s">
        <v>5019</v>
      </c>
      <c r="AX387" s="3" t="s">
        <v>5020</v>
      </c>
      <c r="AY387" s="3" t="s">
        <v>5021</v>
      </c>
      <c r="AZ387" s="3" t="s">
        <v>5021</v>
      </c>
      <c r="BA387" s="3" t="s">
        <v>5022</v>
      </c>
      <c r="BB387" s="3" t="s">
        <v>77</v>
      </c>
      <c r="BE387" s="3" t="s">
        <v>5023</v>
      </c>
      <c r="BF387" s="3" t="s">
        <v>5024</v>
      </c>
    </row>
    <row r="388" spans="1:58" ht="41.25" customHeight="1" x14ac:dyDescent="0.25">
      <c r="A388" s="7" t="s">
        <v>62</v>
      </c>
      <c r="B388" s="2" t="s">
        <v>57</v>
      </c>
      <c r="C388" s="2" t="s">
        <v>58</v>
      </c>
      <c r="D388" s="2" t="s">
        <v>5025</v>
      </c>
      <c r="E388" s="2" t="s">
        <v>5026</v>
      </c>
      <c r="F388" s="2" t="s">
        <v>5027</v>
      </c>
      <c r="H388" s="3" t="s">
        <v>62</v>
      </c>
      <c r="I388" s="3" t="s">
        <v>63</v>
      </c>
      <c r="J388" s="3" t="s">
        <v>62</v>
      </c>
      <c r="K388" s="3" t="s">
        <v>62</v>
      </c>
      <c r="L388" s="3" t="s">
        <v>64</v>
      </c>
      <c r="M388" s="2" t="s">
        <v>5028</v>
      </c>
      <c r="N388" s="2" t="s">
        <v>5029</v>
      </c>
      <c r="O388" s="3" t="s">
        <v>312</v>
      </c>
      <c r="Q388" s="3" t="s">
        <v>68</v>
      </c>
      <c r="R388" s="3" t="s">
        <v>219</v>
      </c>
      <c r="T388" s="3" t="s">
        <v>70</v>
      </c>
      <c r="U388" s="4">
        <v>5</v>
      </c>
      <c r="V388" s="4">
        <v>5</v>
      </c>
      <c r="W388" s="5" t="s">
        <v>5030</v>
      </c>
      <c r="X388" s="5" t="s">
        <v>5030</v>
      </c>
      <c r="Y388" s="5" t="s">
        <v>4303</v>
      </c>
      <c r="Z388" s="5" t="s">
        <v>4303</v>
      </c>
      <c r="AA388" s="4">
        <v>229</v>
      </c>
      <c r="AB388" s="4">
        <v>205</v>
      </c>
      <c r="AC388" s="4">
        <v>212</v>
      </c>
      <c r="AD388" s="4">
        <v>4</v>
      </c>
      <c r="AE388" s="4">
        <v>4</v>
      </c>
      <c r="AF388" s="4">
        <v>19</v>
      </c>
      <c r="AG388" s="4">
        <v>19</v>
      </c>
      <c r="AH388" s="4">
        <v>7</v>
      </c>
      <c r="AI388" s="4">
        <v>7</v>
      </c>
      <c r="AJ388" s="4">
        <v>6</v>
      </c>
      <c r="AK388" s="4">
        <v>6</v>
      </c>
      <c r="AL388" s="4">
        <v>11</v>
      </c>
      <c r="AM388" s="4">
        <v>11</v>
      </c>
      <c r="AN388" s="4">
        <v>2</v>
      </c>
      <c r="AO388" s="4">
        <v>2</v>
      </c>
      <c r="AP388" s="4">
        <v>0</v>
      </c>
      <c r="AQ388" s="4">
        <v>0</v>
      </c>
      <c r="AR388" s="3" t="s">
        <v>62</v>
      </c>
      <c r="AS388" s="3" t="s">
        <v>84</v>
      </c>
      <c r="AT388" s="6" t="str">
        <f>HYPERLINK("http://catalog.hathitrust.org/Record/006021072","HathiTrust Record")</f>
        <v>HathiTrust Record</v>
      </c>
      <c r="AU388" s="6" t="str">
        <f>HYPERLINK("https://creighton-primo.hosted.exlibrisgroup.com/primo-explore/search?tab=default_tab&amp;search_scope=EVERYTHING&amp;vid=01CRU&amp;lang=en_US&amp;offset=0&amp;query=any,contains,991000921799702656","Catalog Record")</f>
        <v>Catalog Record</v>
      </c>
      <c r="AV388" s="6" t="str">
        <f>HYPERLINK("http://www.worldcat.org/oclc/161978","WorldCat Record")</f>
        <v>WorldCat Record</v>
      </c>
      <c r="AW388" s="3" t="s">
        <v>5031</v>
      </c>
      <c r="AX388" s="3" t="s">
        <v>5032</v>
      </c>
      <c r="AY388" s="3" t="s">
        <v>5033</v>
      </c>
      <c r="AZ388" s="3" t="s">
        <v>5033</v>
      </c>
      <c r="BA388" s="3" t="s">
        <v>5034</v>
      </c>
      <c r="BB388" s="3" t="s">
        <v>77</v>
      </c>
      <c r="BD388" s="3" t="s">
        <v>5035</v>
      </c>
      <c r="BE388" s="3" t="s">
        <v>5036</v>
      </c>
      <c r="BF388" s="3" t="s">
        <v>5037</v>
      </c>
    </row>
    <row r="389" spans="1:58" ht="41.25" customHeight="1" x14ac:dyDescent="0.25">
      <c r="A389" s="7" t="s">
        <v>62</v>
      </c>
      <c r="B389" s="2" t="s">
        <v>57</v>
      </c>
      <c r="C389" s="2" t="s">
        <v>58</v>
      </c>
      <c r="D389" s="2" t="s">
        <v>5038</v>
      </c>
      <c r="E389" s="2" t="s">
        <v>5039</v>
      </c>
      <c r="F389" s="2" t="s">
        <v>5040</v>
      </c>
      <c r="H389" s="3" t="s">
        <v>62</v>
      </c>
      <c r="I389" s="3" t="s">
        <v>63</v>
      </c>
      <c r="J389" s="3" t="s">
        <v>62</v>
      </c>
      <c r="K389" s="3" t="s">
        <v>62</v>
      </c>
      <c r="L389" s="3" t="s">
        <v>64</v>
      </c>
      <c r="M389" s="2" t="s">
        <v>5041</v>
      </c>
      <c r="N389" s="2" t="s">
        <v>5042</v>
      </c>
      <c r="O389" s="3" t="s">
        <v>383</v>
      </c>
      <c r="Q389" s="3" t="s">
        <v>68</v>
      </c>
      <c r="R389" s="3" t="s">
        <v>69</v>
      </c>
      <c r="T389" s="3" t="s">
        <v>70</v>
      </c>
      <c r="U389" s="4">
        <v>2</v>
      </c>
      <c r="V389" s="4">
        <v>2</v>
      </c>
      <c r="W389" s="5" t="s">
        <v>5043</v>
      </c>
      <c r="X389" s="5" t="s">
        <v>5043</v>
      </c>
      <c r="Y389" s="5" t="s">
        <v>4303</v>
      </c>
      <c r="Z389" s="5" t="s">
        <v>4303</v>
      </c>
      <c r="AA389" s="4">
        <v>238</v>
      </c>
      <c r="AB389" s="4">
        <v>206</v>
      </c>
      <c r="AC389" s="4">
        <v>432</v>
      </c>
      <c r="AD389" s="4">
        <v>2</v>
      </c>
      <c r="AE389" s="4">
        <v>4</v>
      </c>
      <c r="AF389" s="4">
        <v>9</v>
      </c>
      <c r="AG389" s="4">
        <v>14</v>
      </c>
      <c r="AH389" s="4">
        <v>1</v>
      </c>
      <c r="AI389" s="4">
        <v>2</v>
      </c>
      <c r="AJ389" s="4">
        <v>2</v>
      </c>
      <c r="AK389" s="4">
        <v>3</v>
      </c>
      <c r="AL389" s="4">
        <v>6</v>
      </c>
      <c r="AM389" s="4">
        <v>8</v>
      </c>
      <c r="AN389" s="4">
        <v>1</v>
      </c>
      <c r="AO389" s="4">
        <v>3</v>
      </c>
      <c r="AP389" s="4">
        <v>0</v>
      </c>
      <c r="AQ389" s="4">
        <v>0</v>
      </c>
      <c r="AR389" s="3" t="s">
        <v>62</v>
      </c>
      <c r="AS389" s="3" t="s">
        <v>84</v>
      </c>
      <c r="AT389" s="6" t="str">
        <f>HYPERLINK("http://catalog.hathitrust.org/Record/007127838","HathiTrust Record")</f>
        <v>HathiTrust Record</v>
      </c>
      <c r="AU389" s="6" t="str">
        <f>HYPERLINK("https://creighton-primo.hosted.exlibrisgroup.com/primo-explore/search?tab=default_tab&amp;search_scope=EVERYTHING&amp;vid=01CRU&amp;lang=en_US&amp;offset=0&amp;query=any,contains,991000318679702656","Catalog Record")</f>
        <v>Catalog Record</v>
      </c>
      <c r="AV389" s="6" t="str">
        <f>HYPERLINK("http://www.worldcat.org/oclc/69589","WorldCat Record")</f>
        <v>WorldCat Record</v>
      </c>
      <c r="AW389" s="3" t="s">
        <v>5044</v>
      </c>
      <c r="AX389" s="3" t="s">
        <v>5045</v>
      </c>
      <c r="AY389" s="3" t="s">
        <v>5046</v>
      </c>
      <c r="AZ389" s="3" t="s">
        <v>5046</v>
      </c>
      <c r="BA389" s="3" t="s">
        <v>5047</v>
      </c>
      <c r="BB389" s="3" t="s">
        <v>77</v>
      </c>
      <c r="BE389" s="3" t="s">
        <v>5048</v>
      </c>
      <c r="BF389" s="3" t="s">
        <v>5049</v>
      </c>
    </row>
    <row r="390" spans="1:58" ht="41.25" customHeight="1" x14ac:dyDescent="0.25">
      <c r="A390" s="7" t="s">
        <v>62</v>
      </c>
      <c r="B390" s="2" t="s">
        <v>57</v>
      </c>
      <c r="C390" s="2" t="s">
        <v>58</v>
      </c>
      <c r="D390" s="2" t="s">
        <v>5050</v>
      </c>
      <c r="E390" s="2" t="s">
        <v>5051</v>
      </c>
      <c r="F390" s="2" t="s">
        <v>5052</v>
      </c>
      <c r="H390" s="3" t="s">
        <v>62</v>
      </c>
      <c r="I390" s="3" t="s">
        <v>63</v>
      </c>
      <c r="J390" s="3" t="s">
        <v>62</v>
      </c>
      <c r="K390" s="3" t="s">
        <v>62</v>
      </c>
      <c r="L390" s="3" t="s">
        <v>64</v>
      </c>
      <c r="M390" s="2" t="s">
        <v>5053</v>
      </c>
      <c r="N390" s="2" t="s">
        <v>5054</v>
      </c>
      <c r="O390" s="3" t="s">
        <v>165</v>
      </c>
      <c r="P390" s="2" t="s">
        <v>1601</v>
      </c>
      <c r="Q390" s="3" t="s">
        <v>68</v>
      </c>
      <c r="R390" s="3" t="s">
        <v>69</v>
      </c>
      <c r="T390" s="3" t="s">
        <v>70</v>
      </c>
      <c r="U390" s="4">
        <v>1</v>
      </c>
      <c r="V390" s="4">
        <v>1</v>
      </c>
      <c r="W390" s="5" t="s">
        <v>5055</v>
      </c>
      <c r="X390" s="5" t="s">
        <v>5055</v>
      </c>
      <c r="Y390" s="5" t="s">
        <v>4303</v>
      </c>
      <c r="Z390" s="5" t="s">
        <v>4303</v>
      </c>
      <c r="AA390" s="4">
        <v>500</v>
      </c>
      <c r="AB390" s="4">
        <v>419</v>
      </c>
      <c r="AC390" s="4">
        <v>841</v>
      </c>
      <c r="AD390" s="4">
        <v>3</v>
      </c>
      <c r="AE390" s="4">
        <v>10</v>
      </c>
      <c r="AF390" s="4">
        <v>18</v>
      </c>
      <c r="AG390" s="4">
        <v>37</v>
      </c>
      <c r="AH390" s="4">
        <v>5</v>
      </c>
      <c r="AI390" s="4">
        <v>12</v>
      </c>
      <c r="AJ390" s="4">
        <v>4</v>
      </c>
      <c r="AK390" s="4">
        <v>7</v>
      </c>
      <c r="AL390" s="4">
        <v>9</v>
      </c>
      <c r="AM390" s="4">
        <v>18</v>
      </c>
      <c r="AN390" s="4">
        <v>2</v>
      </c>
      <c r="AO390" s="4">
        <v>8</v>
      </c>
      <c r="AP390" s="4">
        <v>0</v>
      </c>
      <c r="AQ390" s="4">
        <v>0</v>
      </c>
      <c r="AR390" s="3" t="s">
        <v>62</v>
      </c>
      <c r="AS390" s="3" t="s">
        <v>84</v>
      </c>
      <c r="AT390" s="6" t="str">
        <f>HYPERLINK("http://catalog.hathitrust.org/Record/000142621","HathiTrust Record")</f>
        <v>HathiTrust Record</v>
      </c>
      <c r="AU390" s="6" t="str">
        <f>HYPERLINK("https://creighton-primo.hosted.exlibrisgroup.com/primo-explore/search?tab=default_tab&amp;search_scope=EVERYTHING&amp;vid=01CRU&amp;lang=en_US&amp;offset=0&amp;query=any,contains,991004342019702656","Catalog Record")</f>
        <v>Catalog Record</v>
      </c>
      <c r="AV390" s="6" t="str">
        <f>HYPERLINK("http://www.worldcat.org/oclc/3089844","WorldCat Record")</f>
        <v>WorldCat Record</v>
      </c>
      <c r="AW390" s="3" t="s">
        <v>5056</v>
      </c>
      <c r="AX390" s="3" t="s">
        <v>5057</v>
      </c>
      <c r="AY390" s="3" t="s">
        <v>5058</v>
      </c>
      <c r="AZ390" s="3" t="s">
        <v>5058</v>
      </c>
      <c r="BA390" s="3" t="s">
        <v>5059</v>
      </c>
      <c r="BB390" s="3" t="s">
        <v>77</v>
      </c>
      <c r="BD390" s="3" t="s">
        <v>5060</v>
      </c>
      <c r="BE390" s="3" t="s">
        <v>5061</v>
      </c>
      <c r="BF390" s="3" t="s">
        <v>5062</v>
      </c>
    </row>
    <row r="391" spans="1:58" ht="41.25" customHeight="1" x14ac:dyDescent="0.25">
      <c r="A391" s="7" t="s">
        <v>62</v>
      </c>
      <c r="B391" s="2" t="s">
        <v>57</v>
      </c>
      <c r="C391" s="2" t="s">
        <v>58</v>
      </c>
      <c r="D391" s="2" t="s">
        <v>5063</v>
      </c>
      <c r="E391" s="2" t="s">
        <v>5064</v>
      </c>
      <c r="F391" s="2" t="s">
        <v>5065</v>
      </c>
      <c r="H391" s="3" t="s">
        <v>62</v>
      </c>
      <c r="I391" s="3" t="s">
        <v>63</v>
      </c>
      <c r="J391" s="3" t="s">
        <v>62</v>
      </c>
      <c r="K391" s="3" t="s">
        <v>62</v>
      </c>
      <c r="L391" s="3" t="s">
        <v>64</v>
      </c>
      <c r="M391" s="2" t="s">
        <v>5066</v>
      </c>
      <c r="N391" s="2" t="s">
        <v>5067</v>
      </c>
      <c r="O391" s="3" t="s">
        <v>312</v>
      </c>
      <c r="Q391" s="3" t="s">
        <v>68</v>
      </c>
      <c r="R391" s="3" t="s">
        <v>138</v>
      </c>
      <c r="T391" s="3" t="s">
        <v>70</v>
      </c>
      <c r="U391" s="4">
        <v>3</v>
      </c>
      <c r="V391" s="4">
        <v>3</v>
      </c>
      <c r="W391" s="5" t="s">
        <v>5068</v>
      </c>
      <c r="X391" s="5" t="s">
        <v>5068</v>
      </c>
      <c r="Y391" s="5" t="s">
        <v>4303</v>
      </c>
      <c r="Z391" s="5" t="s">
        <v>4303</v>
      </c>
      <c r="AA391" s="4">
        <v>177</v>
      </c>
      <c r="AB391" s="4">
        <v>146</v>
      </c>
      <c r="AC391" s="4">
        <v>515</v>
      </c>
      <c r="AD391" s="4">
        <v>1</v>
      </c>
      <c r="AE391" s="4">
        <v>2</v>
      </c>
      <c r="AF391" s="4">
        <v>13</v>
      </c>
      <c r="AG391" s="4">
        <v>27</v>
      </c>
      <c r="AH391" s="4">
        <v>4</v>
      </c>
      <c r="AI391" s="4">
        <v>9</v>
      </c>
      <c r="AJ391" s="4">
        <v>2</v>
      </c>
      <c r="AK391" s="4">
        <v>5</v>
      </c>
      <c r="AL391" s="4">
        <v>9</v>
      </c>
      <c r="AM391" s="4">
        <v>18</v>
      </c>
      <c r="AN391" s="4">
        <v>0</v>
      </c>
      <c r="AO391" s="4">
        <v>1</v>
      </c>
      <c r="AP391" s="4">
        <v>0</v>
      </c>
      <c r="AQ391" s="4">
        <v>0</v>
      </c>
      <c r="AR391" s="3" t="s">
        <v>62</v>
      </c>
      <c r="AS391" s="3" t="s">
        <v>84</v>
      </c>
      <c r="AT391" s="6" t="str">
        <f>HYPERLINK("http://catalog.hathitrust.org/Record/004479471","HathiTrust Record")</f>
        <v>HathiTrust Record</v>
      </c>
      <c r="AU391" s="6" t="str">
        <f>HYPERLINK("https://creighton-primo.hosted.exlibrisgroup.com/primo-explore/search?tab=default_tab&amp;search_scope=EVERYTHING&amp;vid=01CRU&amp;lang=en_US&amp;offset=0&amp;query=any,contains,991000739869702656","Catalog Record")</f>
        <v>Catalog Record</v>
      </c>
      <c r="AV391" s="6" t="str">
        <f>HYPERLINK("http://www.worldcat.org/oclc/128985","WorldCat Record")</f>
        <v>WorldCat Record</v>
      </c>
      <c r="AW391" s="3" t="s">
        <v>5069</v>
      </c>
      <c r="AX391" s="3" t="s">
        <v>5070</v>
      </c>
      <c r="AY391" s="3" t="s">
        <v>5071</v>
      </c>
      <c r="AZ391" s="3" t="s">
        <v>5071</v>
      </c>
      <c r="BA391" s="3" t="s">
        <v>5072</v>
      </c>
      <c r="BB391" s="3" t="s">
        <v>77</v>
      </c>
      <c r="BD391" s="3" t="s">
        <v>5073</v>
      </c>
      <c r="BE391" s="3" t="s">
        <v>5074</v>
      </c>
      <c r="BF391" s="3" t="s">
        <v>5075</v>
      </c>
    </row>
    <row r="392" spans="1:58" ht="41.25" customHeight="1" x14ac:dyDescent="0.25">
      <c r="A392" s="7" t="s">
        <v>62</v>
      </c>
      <c r="B392" s="2" t="s">
        <v>57</v>
      </c>
      <c r="C392" s="2" t="s">
        <v>58</v>
      </c>
      <c r="D392" s="2" t="s">
        <v>5076</v>
      </c>
      <c r="E392" s="2" t="s">
        <v>5077</v>
      </c>
      <c r="F392" s="2" t="s">
        <v>5078</v>
      </c>
      <c r="H392" s="3" t="s">
        <v>62</v>
      </c>
      <c r="I392" s="3" t="s">
        <v>63</v>
      </c>
      <c r="J392" s="3" t="s">
        <v>62</v>
      </c>
      <c r="K392" s="3" t="s">
        <v>62</v>
      </c>
      <c r="L392" s="3" t="s">
        <v>64</v>
      </c>
      <c r="M392" s="2" t="s">
        <v>5079</v>
      </c>
      <c r="N392" s="2" t="s">
        <v>5080</v>
      </c>
      <c r="O392" s="3" t="s">
        <v>312</v>
      </c>
      <c r="Q392" s="3" t="s">
        <v>68</v>
      </c>
      <c r="R392" s="3" t="s">
        <v>69</v>
      </c>
      <c r="T392" s="3" t="s">
        <v>70</v>
      </c>
      <c r="U392" s="4">
        <v>2</v>
      </c>
      <c r="V392" s="4">
        <v>2</v>
      </c>
      <c r="W392" s="5" t="s">
        <v>5081</v>
      </c>
      <c r="X392" s="5" t="s">
        <v>5081</v>
      </c>
      <c r="Y392" s="5" t="s">
        <v>4303</v>
      </c>
      <c r="Z392" s="5" t="s">
        <v>4303</v>
      </c>
      <c r="AA392" s="4">
        <v>118</v>
      </c>
      <c r="AB392" s="4">
        <v>109</v>
      </c>
      <c r="AC392" s="4">
        <v>702</v>
      </c>
      <c r="AD392" s="4">
        <v>2</v>
      </c>
      <c r="AE392" s="4">
        <v>8</v>
      </c>
      <c r="AF392" s="4">
        <v>7</v>
      </c>
      <c r="AG392" s="4">
        <v>31</v>
      </c>
      <c r="AH392" s="4">
        <v>2</v>
      </c>
      <c r="AI392" s="4">
        <v>9</v>
      </c>
      <c r="AJ392" s="4">
        <v>1</v>
      </c>
      <c r="AK392" s="4">
        <v>5</v>
      </c>
      <c r="AL392" s="4">
        <v>5</v>
      </c>
      <c r="AM392" s="4">
        <v>17</v>
      </c>
      <c r="AN392" s="4">
        <v>1</v>
      </c>
      <c r="AO392" s="4">
        <v>6</v>
      </c>
      <c r="AP392" s="4">
        <v>0</v>
      </c>
      <c r="AQ392" s="4">
        <v>0</v>
      </c>
      <c r="AR392" s="3" t="s">
        <v>62</v>
      </c>
      <c r="AS392" s="3" t="s">
        <v>84</v>
      </c>
      <c r="AT392" s="6" t="str">
        <f>HYPERLINK("http://catalog.hathitrust.org/Record/100783244","HathiTrust Record")</f>
        <v>HathiTrust Record</v>
      </c>
      <c r="AU392" s="6" t="str">
        <f>HYPERLINK("https://creighton-primo.hosted.exlibrisgroup.com/primo-explore/search?tab=default_tab&amp;search_scope=EVERYTHING&amp;vid=01CRU&amp;lang=en_US&amp;offset=0&amp;query=any,contains,991000894999702656","Catalog Record")</f>
        <v>Catalog Record</v>
      </c>
      <c r="AV392" s="6" t="str">
        <f>HYPERLINK("http://www.worldcat.org/oclc/155650","WorldCat Record")</f>
        <v>WorldCat Record</v>
      </c>
      <c r="AW392" s="3" t="s">
        <v>5082</v>
      </c>
      <c r="AX392" s="3" t="s">
        <v>5083</v>
      </c>
      <c r="AY392" s="3" t="s">
        <v>5084</v>
      </c>
      <c r="AZ392" s="3" t="s">
        <v>5084</v>
      </c>
      <c r="BA392" s="3" t="s">
        <v>5085</v>
      </c>
      <c r="BB392" s="3" t="s">
        <v>77</v>
      </c>
      <c r="BE392" s="3" t="s">
        <v>5086</v>
      </c>
      <c r="BF392" s="3" t="s">
        <v>5087</v>
      </c>
    </row>
    <row r="393" spans="1:58" ht="41.25" customHeight="1" x14ac:dyDescent="0.25">
      <c r="A393" s="7" t="s">
        <v>62</v>
      </c>
      <c r="B393" s="2" t="s">
        <v>57</v>
      </c>
      <c r="C393" s="2" t="s">
        <v>58</v>
      </c>
      <c r="D393" s="2" t="s">
        <v>5088</v>
      </c>
      <c r="E393" s="2" t="s">
        <v>5089</v>
      </c>
      <c r="F393" s="2" t="s">
        <v>5090</v>
      </c>
      <c r="H393" s="3" t="s">
        <v>62</v>
      </c>
      <c r="I393" s="3" t="s">
        <v>63</v>
      </c>
      <c r="J393" s="3" t="s">
        <v>62</v>
      </c>
      <c r="K393" s="3" t="s">
        <v>62</v>
      </c>
      <c r="L393" s="3" t="s">
        <v>64</v>
      </c>
      <c r="M393" s="2" t="s">
        <v>5091</v>
      </c>
      <c r="N393" s="2" t="s">
        <v>5092</v>
      </c>
      <c r="O393" s="3" t="s">
        <v>820</v>
      </c>
      <c r="Q393" s="3" t="s">
        <v>68</v>
      </c>
      <c r="R393" s="3" t="s">
        <v>69</v>
      </c>
      <c r="T393" s="3" t="s">
        <v>70</v>
      </c>
      <c r="U393" s="4">
        <v>2</v>
      </c>
      <c r="V393" s="4">
        <v>2</v>
      </c>
      <c r="W393" s="5" t="s">
        <v>5093</v>
      </c>
      <c r="X393" s="5" t="s">
        <v>5093</v>
      </c>
      <c r="Y393" s="5" t="s">
        <v>4303</v>
      </c>
      <c r="Z393" s="5" t="s">
        <v>4303</v>
      </c>
      <c r="AA393" s="4">
        <v>395</v>
      </c>
      <c r="AB393" s="4">
        <v>370</v>
      </c>
      <c r="AC393" s="4">
        <v>458</v>
      </c>
      <c r="AD393" s="4">
        <v>4</v>
      </c>
      <c r="AE393" s="4">
        <v>4</v>
      </c>
      <c r="AF393" s="4">
        <v>19</v>
      </c>
      <c r="AG393" s="4">
        <v>24</v>
      </c>
      <c r="AH393" s="4">
        <v>7</v>
      </c>
      <c r="AI393" s="4">
        <v>9</v>
      </c>
      <c r="AJ393" s="4">
        <v>5</v>
      </c>
      <c r="AK393" s="4">
        <v>6</v>
      </c>
      <c r="AL393" s="4">
        <v>10</v>
      </c>
      <c r="AM393" s="4">
        <v>14</v>
      </c>
      <c r="AN393" s="4">
        <v>3</v>
      </c>
      <c r="AO393" s="4">
        <v>3</v>
      </c>
      <c r="AP393" s="4">
        <v>0</v>
      </c>
      <c r="AQ393" s="4">
        <v>0</v>
      </c>
      <c r="AR393" s="3" t="s">
        <v>62</v>
      </c>
      <c r="AS393" s="3" t="s">
        <v>84</v>
      </c>
      <c r="AT393" s="6" t="str">
        <f>HYPERLINK("http://catalog.hathitrust.org/Record/000705105","HathiTrust Record")</f>
        <v>HathiTrust Record</v>
      </c>
      <c r="AU393" s="6" t="str">
        <f>HYPERLINK("https://creighton-primo.hosted.exlibrisgroup.com/primo-explore/search?tab=default_tab&amp;search_scope=EVERYTHING&amp;vid=01CRU&amp;lang=en_US&amp;offset=0&amp;query=any,contains,991003759399702656","Catalog Record")</f>
        <v>Catalog Record</v>
      </c>
      <c r="AV393" s="6" t="str">
        <f>HYPERLINK("http://www.worldcat.org/oclc/1444038","WorldCat Record")</f>
        <v>WorldCat Record</v>
      </c>
      <c r="AW393" s="3" t="s">
        <v>5094</v>
      </c>
      <c r="AX393" s="3" t="s">
        <v>5095</v>
      </c>
      <c r="AY393" s="3" t="s">
        <v>5096</v>
      </c>
      <c r="AZ393" s="3" t="s">
        <v>5096</v>
      </c>
      <c r="BA393" s="3" t="s">
        <v>5097</v>
      </c>
      <c r="BB393" s="3" t="s">
        <v>77</v>
      </c>
      <c r="BD393" s="3" t="s">
        <v>5098</v>
      </c>
      <c r="BE393" s="3" t="s">
        <v>5099</v>
      </c>
      <c r="BF393" s="3" t="s">
        <v>5100</v>
      </c>
    </row>
    <row r="394" spans="1:58" ht="41.25" customHeight="1" x14ac:dyDescent="0.25">
      <c r="A394" s="7" t="s">
        <v>62</v>
      </c>
      <c r="B394" s="2" t="s">
        <v>57</v>
      </c>
      <c r="C394" s="2" t="s">
        <v>58</v>
      </c>
      <c r="D394" s="2" t="s">
        <v>5101</v>
      </c>
      <c r="E394" s="2" t="s">
        <v>5102</v>
      </c>
      <c r="F394" s="2" t="s">
        <v>5103</v>
      </c>
      <c r="H394" s="3" t="s">
        <v>62</v>
      </c>
      <c r="I394" s="3" t="s">
        <v>63</v>
      </c>
      <c r="J394" s="3" t="s">
        <v>62</v>
      </c>
      <c r="K394" s="3" t="s">
        <v>62</v>
      </c>
      <c r="L394" s="3" t="s">
        <v>64</v>
      </c>
      <c r="M394" s="2" t="s">
        <v>5104</v>
      </c>
      <c r="N394" s="2" t="s">
        <v>5105</v>
      </c>
      <c r="O394" s="3" t="s">
        <v>590</v>
      </c>
      <c r="P394" s="2" t="s">
        <v>268</v>
      </c>
      <c r="Q394" s="3" t="s">
        <v>68</v>
      </c>
      <c r="R394" s="3" t="s">
        <v>69</v>
      </c>
      <c r="T394" s="3" t="s">
        <v>70</v>
      </c>
      <c r="U394" s="4">
        <v>2</v>
      </c>
      <c r="V394" s="4">
        <v>2</v>
      </c>
      <c r="W394" s="5" t="s">
        <v>5106</v>
      </c>
      <c r="X394" s="5" t="s">
        <v>5106</v>
      </c>
      <c r="Y394" s="5" t="s">
        <v>4303</v>
      </c>
      <c r="Z394" s="5" t="s">
        <v>4303</v>
      </c>
      <c r="AA394" s="4">
        <v>816</v>
      </c>
      <c r="AB394" s="4">
        <v>746</v>
      </c>
      <c r="AC394" s="4">
        <v>781</v>
      </c>
      <c r="AD394" s="4">
        <v>11</v>
      </c>
      <c r="AE394" s="4">
        <v>11</v>
      </c>
      <c r="AF394" s="4">
        <v>25</v>
      </c>
      <c r="AG394" s="4">
        <v>25</v>
      </c>
      <c r="AH394" s="4">
        <v>5</v>
      </c>
      <c r="AI394" s="4">
        <v>5</v>
      </c>
      <c r="AJ394" s="4">
        <v>5</v>
      </c>
      <c r="AK394" s="4">
        <v>5</v>
      </c>
      <c r="AL394" s="4">
        <v>12</v>
      </c>
      <c r="AM394" s="4">
        <v>12</v>
      </c>
      <c r="AN394" s="4">
        <v>7</v>
      </c>
      <c r="AO394" s="4">
        <v>7</v>
      </c>
      <c r="AP394" s="4">
        <v>0</v>
      </c>
      <c r="AQ394" s="4">
        <v>0</v>
      </c>
      <c r="AR394" s="3" t="s">
        <v>62</v>
      </c>
      <c r="AS394" s="3" t="s">
        <v>62</v>
      </c>
      <c r="AU394" s="6" t="str">
        <f>HYPERLINK("https://creighton-primo.hosted.exlibrisgroup.com/primo-explore/search?tab=default_tab&amp;search_scope=EVERYTHING&amp;vid=01CRU&amp;lang=en_US&amp;offset=0&amp;query=any,contains,991003177959702656","Catalog Record")</f>
        <v>Catalog Record</v>
      </c>
      <c r="AV394" s="6" t="str">
        <f>HYPERLINK("http://www.worldcat.org/oclc/711129","WorldCat Record")</f>
        <v>WorldCat Record</v>
      </c>
      <c r="AW394" s="3" t="s">
        <v>5107</v>
      </c>
      <c r="AX394" s="3" t="s">
        <v>5108</v>
      </c>
      <c r="AY394" s="3" t="s">
        <v>5109</v>
      </c>
      <c r="AZ394" s="3" t="s">
        <v>5109</v>
      </c>
      <c r="BA394" s="3" t="s">
        <v>5110</v>
      </c>
      <c r="BB394" s="3" t="s">
        <v>77</v>
      </c>
      <c r="BE394" s="3" t="s">
        <v>5111</v>
      </c>
      <c r="BF394" s="3" t="s">
        <v>5112</v>
      </c>
    </row>
    <row r="395" spans="1:58" ht="41.25" customHeight="1" x14ac:dyDescent="0.25">
      <c r="A395" s="7" t="s">
        <v>62</v>
      </c>
      <c r="B395" s="2" t="s">
        <v>57</v>
      </c>
      <c r="C395" s="2" t="s">
        <v>58</v>
      </c>
      <c r="D395" s="2" t="s">
        <v>5113</v>
      </c>
      <c r="E395" s="2" t="s">
        <v>5114</v>
      </c>
      <c r="F395" s="2" t="s">
        <v>5115</v>
      </c>
      <c r="H395" s="3" t="s">
        <v>62</v>
      </c>
      <c r="I395" s="3" t="s">
        <v>63</v>
      </c>
      <c r="J395" s="3" t="s">
        <v>62</v>
      </c>
      <c r="K395" s="3" t="s">
        <v>62</v>
      </c>
      <c r="L395" s="3" t="s">
        <v>64</v>
      </c>
      <c r="N395" s="2" t="s">
        <v>5116</v>
      </c>
      <c r="O395" s="3" t="s">
        <v>165</v>
      </c>
      <c r="Q395" s="3" t="s">
        <v>68</v>
      </c>
      <c r="R395" s="3" t="s">
        <v>69</v>
      </c>
      <c r="S395" s="2" t="s">
        <v>5117</v>
      </c>
      <c r="T395" s="3" t="s">
        <v>70</v>
      </c>
      <c r="U395" s="4">
        <v>2</v>
      </c>
      <c r="V395" s="4">
        <v>2</v>
      </c>
      <c r="W395" s="5" t="s">
        <v>4885</v>
      </c>
      <c r="X395" s="5" t="s">
        <v>4885</v>
      </c>
      <c r="Y395" s="5" t="s">
        <v>5118</v>
      </c>
      <c r="Z395" s="5" t="s">
        <v>5118</v>
      </c>
      <c r="AA395" s="4">
        <v>71</v>
      </c>
      <c r="AB395" s="4">
        <v>63</v>
      </c>
      <c r="AC395" s="4">
        <v>883</v>
      </c>
      <c r="AD395" s="4">
        <v>1</v>
      </c>
      <c r="AE395" s="4">
        <v>6</v>
      </c>
      <c r="AF395" s="4">
        <v>2</v>
      </c>
      <c r="AG395" s="4">
        <v>42</v>
      </c>
      <c r="AH395" s="4">
        <v>0</v>
      </c>
      <c r="AI395" s="4">
        <v>19</v>
      </c>
      <c r="AJ395" s="4">
        <v>0</v>
      </c>
      <c r="AK395" s="4">
        <v>6</v>
      </c>
      <c r="AL395" s="4">
        <v>2</v>
      </c>
      <c r="AM395" s="4">
        <v>22</v>
      </c>
      <c r="AN395" s="4">
        <v>0</v>
      </c>
      <c r="AO395" s="4">
        <v>5</v>
      </c>
      <c r="AP395" s="4">
        <v>0</v>
      </c>
      <c r="AQ395" s="4">
        <v>0</v>
      </c>
      <c r="AR395" s="3" t="s">
        <v>62</v>
      </c>
      <c r="AS395" s="3" t="s">
        <v>62</v>
      </c>
      <c r="AU395" s="6" t="str">
        <f>HYPERLINK("https://creighton-primo.hosted.exlibrisgroup.com/primo-explore/search?tab=default_tab&amp;search_scope=EVERYTHING&amp;vid=01CRU&amp;lang=en_US&amp;offset=0&amp;query=any,contains,991004359629702656","Catalog Record")</f>
        <v>Catalog Record</v>
      </c>
      <c r="AV395" s="6" t="str">
        <f>HYPERLINK("http://www.worldcat.org/oclc/3160898","WorldCat Record")</f>
        <v>WorldCat Record</v>
      </c>
      <c r="AW395" s="3" t="s">
        <v>5119</v>
      </c>
      <c r="AX395" s="3" t="s">
        <v>5120</v>
      </c>
      <c r="AY395" s="3" t="s">
        <v>5121</v>
      </c>
      <c r="AZ395" s="3" t="s">
        <v>5121</v>
      </c>
      <c r="BA395" s="3" t="s">
        <v>5122</v>
      </c>
      <c r="BB395" s="3" t="s">
        <v>77</v>
      </c>
      <c r="BD395" s="3" t="s">
        <v>5123</v>
      </c>
      <c r="BE395" s="3" t="s">
        <v>5124</v>
      </c>
      <c r="BF395" s="3" t="s">
        <v>5125</v>
      </c>
    </row>
    <row r="396" spans="1:58" ht="41.25" customHeight="1" x14ac:dyDescent="0.25">
      <c r="A396" s="7" t="s">
        <v>62</v>
      </c>
      <c r="B396" s="2" t="s">
        <v>57</v>
      </c>
      <c r="C396" s="2" t="s">
        <v>58</v>
      </c>
      <c r="D396" s="2" t="s">
        <v>5126</v>
      </c>
      <c r="E396" s="2" t="s">
        <v>5127</v>
      </c>
      <c r="F396" s="2" t="s">
        <v>5128</v>
      </c>
      <c r="H396" s="3" t="s">
        <v>62</v>
      </c>
      <c r="I396" s="3" t="s">
        <v>63</v>
      </c>
      <c r="J396" s="3" t="s">
        <v>62</v>
      </c>
      <c r="K396" s="3" t="s">
        <v>62</v>
      </c>
      <c r="L396" s="3" t="s">
        <v>64</v>
      </c>
      <c r="M396" s="2" t="s">
        <v>5129</v>
      </c>
      <c r="N396" s="2" t="s">
        <v>5130</v>
      </c>
      <c r="O396" s="3" t="s">
        <v>820</v>
      </c>
      <c r="Q396" s="3" t="s">
        <v>68</v>
      </c>
      <c r="R396" s="3" t="s">
        <v>219</v>
      </c>
      <c r="T396" s="3" t="s">
        <v>70</v>
      </c>
      <c r="U396" s="4">
        <v>2</v>
      </c>
      <c r="V396" s="4">
        <v>2</v>
      </c>
      <c r="W396" s="5" t="s">
        <v>5131</v>
      </c>
      <c r="X396" s="5" t="s">
        <v>5131</v>
      </c>
      <c r="Y396" s="5" t="s">
        <v>4303</v>
      </c>
      <c r="Z396" s="5" t="s">
        <v>4303</v>
      </c>
      <c r="AA396" s="4">
        <v>666</v>
      </c>
      <c r="AB396" s="4">
        <v>597</v>
      </c>
      <c r="AC396" s="4">
        <v>604</v>
      </c>
      <c r="AD396" s="4">
        <v>4</v>
      </c>
      <c r="AE396" s="4">
        <v>4</v>
      </c>
      <c r="AF396" s="4">
        <v>38</v>
      </c>
      <c r="AG396" s="4">
        <v>38</v>
      </c>
      <c r="AH396" s="4">
        <v>13</v>
      </c>
      <c r="AI396" s="4">
        <v>13</v>
      </c>
      <c r="AJ396" s="4">
        <v>7</v>
      </c>
      <c r="AK396" s="4">
        <v>7</v>
      </c>
      <c r="AL396" s="4">
        <v>24</v>
      </c>
      <c r="AM396" s="4">
        <v>24</v>
      </c>
      <c r="AN396" s="4">
        <v>3</v>
      </c>
      <c r="AO396" s="4">
        <v>3</v>
      </c>
      <c r="AP396" s="4">
        <v>0</v>
      </c>
      <c r="AQ396" s="4">
        <v>0</v>
      </c>
      <c r="AR396" s="3" t="s">
        <v>62</v>
      </c>
      <c r="AS396" s="3" t="s">
        <v>84</v>
      </c>
      <c r="AT396" s="6" t="str">
        <f>HYPERLINK("http://catalog.hathitrust.org/Record/009907396","HathiTrust Record")</f>
        <v>HathiTrust Record</v>
      </c>
      <c r="AU396" s="6" t="str">
        <f>HYPERLINK("https://creighton-primo.hosted.exlibrisgroup.com/primo-explore/search?tab=default_tab&amp;search_scope=EVERYTHING&amp;vid=01CRU&amp;lang=en_US&amp;offset=0&amp;query=any,contains,991003747089702656","Catalog Record")</f>
        <v>Catalog Record</v>
      </c>
      <c r="AV396" s="6" t="str">
        <f>HYPERLINK("http://www.worldcat.org/oclc/1418936","WorldCat Record")</f>
        <v>WorldCat Record</v>
      </c>
      <c r="AW396" s="3" t="s">
        <v>5132</v>
      </c>
      <c r="AX396" s="3" t="s">
        <v>5133</v>
      </c>
      <c r="AY396" s="3" t="s">
        <v>5134</v>
      </c>
      <c r="AZ396" s="3" t="s">
        <v>5134</v>
      </c>
      <c r="BA396" s="3" t="s">
        <v>5135</v>
      </c>
      <c r="BB396" s="3" t="s">
        <v>77</v>
      </c>
      <c r="BD396" s="3" t="s">
        <v>5136</v>
      </c>
      <c r="BE396" s="3" t="s">
        <v>5137</v>
      </c>
      <c r="BF396" s="3" t="s">
        <v>5138</v>
      </c>
    </row>
    <row r="397" spans="1:58" ht="41.25" customHeight="1" x14ac:dyDescent="0.25">
      <c r="A397" s="7" t="s">
        <v>62</v>
      </c>
      <c r="B397" s="2" t="s">
        <v>57</v>
      </c>
      <c r="C397" s="2" t="s">
        <v>58</v>
      </c>
      <c r="D397" s="2" t="s">
        <v>5139</v>
      </c>
      <c r="E397" s="2" t="s">
        <v>5140</v>
      </c>
      <c r="F397" s="2" t="s">
        <v>5141</v>
      </c>
      <c r="H397" s="3" t="s">
        <v>62</v>
      </c>
      <c r="I397" s="3" t="s">
        <v>63</v>
      </c>
      <c r="J397" s="3" t="s">
        <v>62</v>
      </c>
      <c r="K397" s="3" t="s">
        <v>62</v>
      </c>
      <c r="L397" s="3" t="s">
        <v>64</v>
      </c>
      <c r="M397" s="2" t="s">
        <v>5142</v>
      </c>
      <c r="N397" s="2" t="s">
        <v>5143</v>
      </c>
      <c r="O397" s="3" t="s">
        <v>1251</v>
      </c>
      <c r="Q397" s="3" t="s">
        <v>68</v>
      </c>
      <c r="R397" s="3" t="s">
        <v>297</v>
      </c>
      <c r="T397" s="3" t="s">
        <v>70</v>
      </c>
      <c r="U397" s="4">
        <v>5</v>
      </c>
      <c r="V397" s="4">
        <v>5</v>
      </c>
      <c r="W397" s="5" t="s">
        <v>5144</v>
      </c>
      <c r="X397" s="5" t="s">
        <v>5144</v>
      </c>
      <c r="Y397" s="5" t="s">
        <v>5145</v>
      </c>
      <c r="Z397" s="5" t="s">
        <v>5145</v>
      </c>
      <c r="AA397" s="4">
        <v>440</v>
      </c>
      <c r="AB397" s="4">
        <v>302</v>
      </c>
      <c r="AC397" s="4">
        <v>336</v>
      </c>
      <c r="AD397" s="4">
        <v>3</v>
      </c>
      <c r="AE397" s="4">
        <v>4</v>
      </c>
      <c r="AF397" s="4">
        <v>18</v>
      </c>
      <c r="AG397" s="4">
        <v>19</v>
      </c>
      <c r="AH397" s="4">
        <v>6</v>
      </c>
      <c r="AI397" s="4">
        <v>6</v>
      </c>
      <c r="AJ397" s="4">
        <v>4</v>
      </c>
      <c r="AK397" s="4">
        <v>4</v>
      </c>
      <c r="AL397" s="4">
        <v>11</v>
      </c>
      <c r="AM397" s="4">
        <v>11</v>
      </c>
      <c r="AN397" s="4">
        <v>2</v>
      </c>
      <c r="AO397" s="4">
        <v>3</v>
      </c>
      <c r="AP397" s="4">
        <v>0</v>
      </c>
      <c r="AQ397" s="4">
        <v>0</v>
      </c>
      <c r="AR397" s="3" t="s">
        <v>62</v>
      </c>
      <c r="AS397" s="3" t="s">
        <v>62</v>
      </c>
      <c r="AU397" s="6" t="str">
        <f>HYPERLINK("https://creighton-primo.hosted.exlibrisgroup.com/primo-explore/search?tab=default_tab&amp;search_scope=EVERYTHING&amp;vid=01CRU&amp;lang=en_US&amp;offset=0&amp;query=any,contains,991001143869702656","Catalog Record")</f>
        <v>Catalog Record</v>
      </c>
      <c r="AV397" s="6" t="str">
        <f>HYPERLINK("http://www.worldcat.org/oclc/16756283","WorldCat Record")</f>
        <v>WorldCat Record</v>
      </c>
      <c r="AW397" s="3" t="s">
        <v>5146</v>
      </c>
      <c r="AX397" s="3" t="s">
        <v>5147</v>
      </c>
      <c r="AY397" s="3" t="s">
        <v>5148</v>
      </c>
      <c r="AZ397" s="3" t="s">
        <v>5148</v>
      </c>
      <c r="BA397" s="3" t="s">
        <v>5149</v>
      </c>
      <c r="BB397" s="3" t="s">
        <v>77</v>
      </c>
      <c r="BD397" s="3" t="s">
        <v>5150</v>
      </c>
      <c r="BE397" s="3" t="s">
        <v>5151</v>
      </c>
      <c r="BF397" s="3" t="s">
        <v>5152</v>
      </c>
    </row>
    <row r="398" spans="1:58" ht="41.25" customHeight="1" x14ac:dyDescent="0.25">
      <c r="A398" s="7" t="s">
        <v>62</v>
      </c>
      <c r="B398" s="2" t="s">
        <v>57</v>
      </c>
      <c r="C398" s="2" t="s">
        <v>58</v>
      </c>
      <c r="D398" s="2" t="s">
        <v>5153</v>
      </c>
      <c r="E398" s="2" t="s">
        <v>5154</v>
      </c>
      <c r="F398" s="2" t="s">
        <v>5155</v>
      </c>
      <c r="H398" s="3" t="s">
        <v>62</v>
      </c>
      <c r="I398" s="3" t="s">
        <v>63</v>
      </c>
      <c r="J398" s="3" t="s">
        <v>62</v>
      </c>
      <c r="K398" s="3" t="s">
        <v>62</v>
      </c>
      <c r="L398" s="3" t="s">
        <v>64</v>
      </c>
      <c r="M398" s="2" t="s">
        <v>5156</v>
      </c>
      <c r="N398" s="2" t="s">
        <v>5157</v>
      </c>
      <c r="O398" s="3" t="s">
        <v>1482</v>
      </c>
      <c r="Q398" s="3" t="s">
        <v>68</v>
      </c>
      <c r="R398" s="3" t="s">
        <v>88</v>
      </c>
      <c r="T398" s="3" t="s">
        <v>70</v>
      </c>
      <c r="U398" s="4">
        <v>8</v>
      </c>
      <c r="V398" s="4">
        <v>8</v>
      </c>
      <c r="W398" s="5" t="s">
        <v>5158</v>
      </c>
      <c r="X398" s="5" t="s">
        <v>5158</v>
      </c>
      <c r="Y398" s="5" t="s">
        <v>4303</v>
      </c>
      <c r="Z398" s="5" t="s">
        <v>4303</v>
      </c>
      <c r="AA398" s="4">
        <v>199</v>
      </c>
      <c r="AB398" s="4">
        <v>191</v>
      </c>
      <c r="AC398" s="4">
        <v>208</v>
      </c>
      <c r="AD398" s="4">
        <v>1</v>
      </c>
      <c r="AE398" s="4">
        <v>1</v>
      </c>
      <c r="AF398" s="4">
        <v>21</v>
      </c>
      <c r="AG398" s="4">
        <v>21</v>
      </c>
      <c r="AH398" s="4">
        <v>7</v>
      </c>
      <c r="AI398" s="4">
        <v>7</v>
      </c>
      <c r="AJ398" s="4">
        <v>4</v>
      </c>
      <c r="AK398" s="4">
        <v>4</v>
      </c>
      <c r="AL398" s="4">
        <v>17</v>
      </c>
      <c r="AM398" s="4">
        <v>17</v>
      </c>
      <c r="AN398" s="4">
        <v>0</v>
      </c>
      <c r="AO398" s="4">
        <v>0</v>
      </c>
      <c r="AP398" s="4">
        <v>0</v>
      </c>
      <c r="AQ398" s="4">
        <v>0</v>
      </c>
      <c r="AR398" s="3" t="s">
        <v>62</v>
      </c>
      <c r="AS398" s="3" t="s">
        <v>84</v>
      </c>
      <c r="AT398" s="6" t="str">
        <f>HYPERLINK("http://catalog.hathitrust.org/Record/006755966","HathiTrust Record")</f>
        <v>HathiTrust Record</v>
      </c>
      <c r="AU398" s="6" t="str">
        <f>HYPERLINK("https://creighton-primo.hosted.exlibrisgroup.com/primo-explore/search?tab=default_tab&amp;search_scope=EVERYTHING&amp;vid=01CRU&amp;lang=en_US&amp;offset=0&amp;query=any,contains,991002280259702656","Catalog Record")</f>
        <v>Catalog Record</v>
      </c>
      <c r="AV398" s="6" t="str">
        <f>HYPERLINK("http://www.worldcat.org/oclc/310825","WorldCat Record")</f>
        <v>WorldCat Record</v>
      </c>
      <c r="AW398" s="3" t="s">
        <v>5159</v>
      </c>
      <c r="AX398" s="3" t="s">
        <v>5160</v>
      </c>
      <c r="AY398" s="3" t="s">
        <v>5161</v>
      </c>
      <c r="AZ398" s="3" t="s">
        <v>5161</v>
      </c>
      <c r="BA398" s="3" t="s">
        <v>5162</v>
      </c>
      <c r="BB398" s="3" t="s">
        <v>77</v>
      </c>
      <c r="BE398" s="3" t="s">
        <v>5163</v>
      </c>
      <c r="BF398" s="3" t="s">
        <v>5164</v>
      </c>
    </row>
    <row r="399" spans="1:58" ht="41.25" customHeight="1" x14ac:dyDescent="0.25">
      <c r="A399" s="7" t="s">
        <v>62</v>
      </c>
      <c r="B399" s="2" t="s">
        <v>57</v>
      </c>
      <c r="C399" s="2" t="s">
        <v>58</v>
      </c>
      <c r="D399" s="2" t="s">
        <v>5165</v>
      </c>
      <c r="E399" s="2" t="s">
        <v>5166</v>
      </c>
      <c r="F399" s="2" t="s">
        <v>5167</v>
      </c>
      <c r="H399" s="3" t="s">
        <v>62</v>
      </c>
      <c r="I399" s="3" t="s">
        <v>63</v>
      </c>
      <c r="J399" s="3" t="s">
        <v>62</v>
      </c>
      <c r="K399" s="3" t="s">
        <v>62</v>
      </c>
      <c r="L399" s="3" t="s">
        <v>64</v>
      </c>
      <c r="M399" s="2" t="s">
        <v>5168</v>
      </c>
      <c r="N399" s="2" t="s">
        <v>5169</v>
      </c>
      <c r="O399" s="3" t="s">
        <v>804</v>
      </c>
      <c r="Q399" s="3" t="s">
        <v>68</v>
      </c>
      <c r="R399" s="3" t="s">
        <v>630</v>
      </c>
      <c r="S399" s="2" t="s">
        <v>5170</v>
      </c>
      <c r="T399" s="3" t="s">
        <v>70</v>
      </c>
      <c r="U399" s="4">
        <v>2</v>
      </c>
      <c r="V399" s="4">
        <v>2</v>
      </c>
      <c r="W399" s="5" t="s">
        <v>5171</v>
      </c>
      <c r="X399" s="5" t="s">
        <v>5171</v>
      </c>
      <c r="Y399" s="5" t="s">
        <v>1026</v>
      </c>
      <c r="Z399" s="5" t="s">
        <v>1026</v>
      </c>
      <c r="AA399" s="4">
        <v>286</v>
      </c>
      <c r="AB399" s="4">
        <v>243</v>
      </c>
      <c r="AC399" s="4">
        <v>636</v>
      </c>
      <c r="AD399" s="4">
        <v>2</v>
      </c>
      <c r="AE399" s="4">
        <v>2</v>
      </c>
      <c r="AF399" s="4">
        <v>27</v>
      </c>
      <c r="AG399" s="4">
        <v>30</v>
      </c>
      <c r="AH399" s="4">
        <v>9</v>
      </c>
      <c r="AI399" s="4">
        <v>11</v>
      </c>
      <c r="AJ399" s="4">
        <v>5</v>
      </c>
      <c r="AK399" s="4">
        <v>6</v>
      </c>
      <c r="AL399" s="4">
        <v>22</v>
      </c>
      <c r="AM399" s="4">
        <v>23</v>
      </c>
      <c r="AN399" s="4">
        <v>1</v>
      </c>
      <c r="AO399" s="4">
        <v>1</v>
      </c>
      <c r="AP399" s="4">
        <v>0</v>
      </c>
      <c r="AQ399" s="4">
        <v>0</v>
      </c>
      <c r="AR399" s="3" t="s">
        <v>62</v>
      </c>
      <c r="AS399" s="3" t="s">
        <v>84</v>
      </c>
      <c r="AT399" s="6" t="str">
        <f>HYPERLINK("http://catalog.hathitrust.org/Record/000818169","HathiTrust Record")</f>
        <v>HathiTrust Record</v>
      </c>
      <c r="AU399" s="6" t="str">
        <f>HYPERLINK("https://creighton-primo.hosted.exlibrisgroup.com/primo-explore/search?tab=default_tab&amp;search_scope=EVERYTHING&amp;vid=01CRU&amp;lang=en_US&amp;offset=0&amp;query=any,contains,991001045139702656","Catalog Record")</f>
        <v>Catalog Record</v>
      </c>
      <c r="AV399" s="6" t="str">
        <f>HYPERLINK("http://www.worldcat.org/oclc/15613883","WorldCat Record")</f>
        <v>WorldCat Record</v>
      </c>
      <c r="AW399" s="3" t="s">
        <v>5172</v>
      </c>
      <c r="AX399" s="3" t="s">
        <v>5173</v>
      </c>
      <c r="AY399" s="3" t="s">
        <v>5174</v>
      </c>
      <c r="AZ399" s="3" t="s">
        <v>5174</v>
      </c>
      <c r="BA399" s="3" t="s">
        <v>5175</v>
      </c>
      <c r="BB399" s="3" t="s">
        <v>77</v>
      </c>
      <c r="BD399" s="3" t="s">
        <v>5176</v>
      </c>
      <c r="BE399" s="3" t="s">
        <v>5177</v>
      </c>
      <c r="BF399" s="3" t="s">
        <v>5178</v>
      </c>
    </row>
    <row r="400" spans="1:58" ht="41.25" customHeight="1" x14ac:dyDescent="0.25">
      <c r="A400" s="7" t="s">
        <v>62</v>
      </c>
      <c r="B400" s="2" t="s">
        <v>57</v>
      </c>
      <c r="C400" s="2" t="s">
        <v>58</v>
      </c>
      <c r="D400" s="2" t="s">
        <v>5179</v>
      </c>
      <c r="E400" s="2" t="s">
        <v>5180</v>
      </c>
      <c r="F400" s="2" t="s">
        <v>5181</v>
      </c>
      <c r="H400" s="3" t="s">
        <v>62</v>
      </c>
      <c r="I400" s="3" t="s">
        <v>63</v>
      </c>
      <c r="J400" s="3" t="s">
        <v>62</v>
      </c>
      <c r="K400" s="3" t="s">
        <v>62</v>
      </c>
      <c r="L400" s="3" t="s">
        <v>64</v>
      </c>
      <c r="M400" s="2" t="s">
        <v>5182</v>
      </c>
      <c r="N400" s="2" t="s">
        <v>5183</v>
      </c>
      <c r="O400" s="3" t="s">
        <v>340</v>
      </c>
      <c r="Q400" s="3" t="s">
        <v>68</v>
      </c>
      <c r="R400" s="3" t="s">
        <v>69</v>
      </c>
      <c r="S400" s="2" t="s">
        <v>5184</v>
      </c>
      <c r="T400" s="3" t="s">
        <v>70</v>
      </c>
      <c r="U400" s="4">
        <v>5</v>
      </c>
      <c r="V400" s="4">
        <v>5</v>
      </c>
      <c r="W400" s="5" t="s">
        <v>5185</v>
      </c>
      <c r="X400" s="5" t="s">
        <v>5185</v>
      </c>
      <c r="Y400" s="5" t="s">
        <v>1026</v>
      </c>
      <c r="Z400" s="5" t="s">
        <v>1026</v>
      </c>
      <c r="AA400" s="4">
        <v>724</v>
      </c>
      <c r="AB400" s="4">
        <v>659</v>
      </c>
      <c r="AC400" s="4">
        <v>917</v>
      </c>
      <c r="AD400" s="4">
        <v>3</v>
      </c>
      <c r="AE400" s="4">
        <v>4</v>
      </c>
      <c r="AF400" s="4">
        <v>26</v>
      </c>
      <c r="AG400" s="4">
        <v>38</v>
      </c>
      <c r="AH400" s="4">
        <v>15</v>
      </c>
      <c r="AI400" s="4">
        <v>18</v>
      </c>
      <c r="AJ400" s="4">
        <v>5</v>
      </c>
      <c r="AK400" s="4">
        <v>9</v>
      </c>
      <c r="AL400" s="4">
        <v>9</v>
      </c>
      <c r="AM400" s="4">
        <v>19</v>
      </c>
      <c r="AN400" s="4">
        <v>2</v>
      </c>
      <c r="AO400" s="4">
        <v>3</v>
      </c>
      <c r="AP400" s="4">
        <v>0</v>
      </c>
      <c r="AQ400" s="4">
        <v>0</v>
      </c>
      <c r="AR400" s="3" t="s">
        <v>84</v>
      </c>
      <c r="AS400" s="3" t="s">
        <v>62</v>
      </c>
      <c r="AT400" s="6" t="str">
        <f>HYPERLINK("http://catalog.hathitrust.org/Record/000839166","HathiTrust Record")</f>
        <v>HathiTrust Record</v>
      </c>
      <c r="AU400" s="6" t="str">
        <f>HYPERLINK("https://creighton-primo.hosted.exlibrisgroup.com/primo-explore/search?tab=default_tab&amp;search_scope=EVERYTHING&amp;vid=01CRU&amp;lang=en_US&amp;offset=0&amp;query=any,contains,991005356779702656","Catalog Record")</f>
        <v>Catalog Record</v>
      </c>
      <c r="AV400" s="6" t="str">
        <f>HYPERLINK("http://www.worldcat.org/oclc/555793","WorldCat Record")</f>
        <v>WorldCat Record</v>
      </c>
      <c r="AW400" s="3" t="s">
        <v>5186</v>
      </c>
      <c r="AX400" s="3" t="s">
        <v>5187</v>
      </c>
      <c r="AY400" s="3" t="s">
        <v>5188</v>
      </c>
      <c r="AZ400" s="3" t="s">
        <v>5188</v>
      </c>
      <c r="BA400" s="3" t="s">
        <v>5189</v>
      </c>
      <c r="BB400" s="3" t="s">
        <v>77</v>
      </c>
      <c r="BE400" s="3" t="s">
        <v>5190</v>
      </c>
      <c r="BF400" s="3" t="s">
        <v>5191</v>
      </c>
    </row>
    <row r="401" spans="1:58" ht="41.25" customHeight="1" x14ac:dyDescent="0.25">
      <c r="A401" s="7" t="s">
        <v>62</v>
      </c>
      <c r="B401" s="2" t="s">
        <v>57</v>
      </c>
      <c r="C401" s="2" t="s">
        <v>58</v>
      </c>
      <c r="D401" s="2" t="s">
        <v>5192</v>
      </c>
      <c r="E401" s="2" t="s">
        <v>5193</v>
      </c>
      <c r="F401" s="2" t="s">
        <v>5194</v>
      </c>
      <c r="H401" s="3" t="s">
        <v>62</v>
      </c>
      <c r="I401" s="3" t="s">
        <v>63</v>
      </c>
      <c r="J401" s="3" t="s">
        <v>62</v>
      </c>
      <c r="K401" s="3" t="s">
        <v>62</v>
      </c>
      <c r="L401" s="3" t="s">
        <v>64</v>
      </c>
      <c r="M401" s="2" t="s">
        <v>5195</v>
      </c>
      <c r="Q401" s="3" t="s">
        <v>68</v>
      </c>
      <c r="R401" s="3" t="s">
        <v>88</v>
      </c>
      <c r="T401" s="3" t="s">
        <v>70</v>
      </c>
      <c r="U401" s="4">
        <v>3</v>
      </c>
      <c r="V401" s="4">
        <v>3</v>
      </c>
      <c r="W401" s="5" t="s">
        <v>5185</v>
      </c>
      <c r="X401" s="5" t="s">
        <v>5185</v>
      </c>
      <c r="Y401" s="5" t="s">
        <v>5196</v>
      </c>
      <c r="Z401" s="5" t="s">
        <v>5196</v>
      </c>
      <c r="AA401" s="4">
        <v>292</v>
      </c>
      <c r="AB401" s="4">
        <v>274</v>
      </c>
      <c r="AC401" s="4">
        <v>467</v>
      </c>
      <c r="AD401" s="4">
        <v>2</v>
      </c>
      <c r="AE401" s="4">
        <v>2</v>
      </c>
      <c r="AF401" s="4">
        <v>13</v>
      </c>
      <c r="AG401" s="4">
        <v>24</v>
      </c>
      <c r="AH401" s="4">
        <v>5</v>
      </c>
      <c r="AI401" s="4">
        <v>10</v>
      </c>
      <c r="AJ401" s="4">
        <v>4</v>
      </c>
      <c r="AK401" s="4">
        <v>9</v>
      </c>
      <c r="AL401" s="4">
        <v>8</v>
      </c>
      <c r="AM401" s="4">
        <v>14</v>
      </c>
      <c r="AN401" s="4">
        <v>1</v>
      </c>
      <c r="AO401" s="4">
        <v>1</v>
      </c>
      <c r="AP401" s="4">
        <v>0</v>
      </c>
      <c r="AQ401" s="4">
        <v>0</v>
      </c>
      <c r="AR401" s="3" t="s">
        <v>62</v>
      </c>
      <c r="AS401" s="3" t="s">
        <v>62</v>
      </c>
      <c r="AU401" s="6" t="str">
        <f>HYPERLINK("https://creighton-primo.hosted.exlibrisgroup.com/primo-explore/search?tab=default_tab&amp;search_scope=EVERYTHING&amp;vid=01CRU&amp;lang=en_US&amp;offset=0&amp;query=any,contains,991000954709702656","Catalog Record")</f>
        <v>Catalog Record</v>
      </c>
      <c r="AV401" s="6" t="str">
        <f>HYPERLINK("http://www.worldcat.org/oclc/9559134","WorldCat Record")</f>
        <v>WorldCat Record</v>
      </c>
      <c r="AW401" s="3" t="s">
        <v>5197</v>
      </c>
      <c r="AX401" s="3" t="s">
        <v>5198</v>
      </c>
      <c r="AY401" s="3" t="s">
        <v>5199</v>
      </c>
      <c r="AZ401" s="3" t="s">
        <v>5199</v>
      </c>
      <c r="BA401" s="3" t="s">
        <v>5200</v>
      </c>
      <c r="BB401" s="3" t="s">
        <v>77</v>
      </c>
      <c r="BD401" s="3" t="s">
        <v>5201</v>
      </c>
      <c r="BE401" s="3" t="s">
        <v>5202</v>
      </c>
      <c r="BF401" s="3" t="s">
        <v>5203</v>
      </c>
    </row>
    <row r="402" spans="1:58" ht="41.25" customHeight="1" x14ac:dyDescent="0.25">
      <c r="A402" s="7" t="s">
        <v>62</v>
      </c>
      <c r="B402" s="2" t="s">
        <v>57</v>
      </c>
      <c r="C402" s="2" t="s">
        <v>58</v>
      </c>
      <c r="D402" s="2" t="s">
        <v>5204</v>
      </c>
      <c r="E402" s="2" t="s">
        <v>5205</v>
      </c>
      <c r="F402" s="2" t="s">
        <v>5206</v>
      </c>
      <c r="H402" s="3" t="s">
        <v>62</v>
      </c>
      <c r="I402" s="3" t="s">
        <v>63</v>
      </c>
      <c r="J402" s="3" t="s">
        <v>62</v>
      </c>
      <c r="K402" s="3" t="s">
        <v>62</v>
      </c>
      <c r="L402" s="3" t="s">
        <v>64</v>
      </c>
      <c r="M402" s="2" t="s">
        <v>4249</v>
      </c>
      <c r="N402" s="2" t="s">
        <v>5207</v>
      </c>
      <c r="O402" s="3" t="s">
        <v>1158</v>
      </c>
      <c r="Q402" s="3" t="s">
        <v>68</v>
      </c>
      <c r="R402" s="3" t="s">
        <v>69</v>
      </c>
      <c r="S402" s="2" t="s">
        <v>5208</v>
      </c>
      <c r="T402" s="3" t="s">
        <v>70</v>
      </c>
      <c r="U402" s="4">
        <v>3</v>
      </c>
      <c r="V402" s="4">
        <v>3</v>
      </c>
      <c r="W402" s="5" t="s">
        <v>5209</v>
      </c>
      <c r="X402" s="5" t="s">
        <v>5209</v>
      </c>
      <c r="Y402" s="5" t="s">
        <v>5196</v>
      </c>
      <c r="Z402" s="5" t="s">
        <v>5196</v>
      </c>
      <c r="AA402" s="4">
        <v>401</v>
      </c>
      <c r="AB402" s="4">
        <v>369</v>
      </c>
      <c r="AC402" s="4">
        <v>465</v>
      </c>
      <c r="AD402" s="4">
        <v>5</v>
      </c>
      <c r="AE402" s="4">
        <v>6</v>
      </c>
      <c r="AF402" s="4">
        <v>24</v>
      </c>
      <c r="AG402" s="4">
        <v>31</v>
      </c>
      <c r="AH402" s="4">
        <v>7</v>
      </c>
      <c r="AI402" s="4">
        <v>9</v>
      </c>
      <c r="AJ402" s="4">
        <v>3</v>
      </c>
      <c r="AK402" s="4">
        <v>6</v>
      </c>
      <c r="AL402" s="4">
        <v>17</v>
      </c>
      <c r="AM402" s="4">
        <v>20</v>
      </c>
      <c r="AN402" s="4">
        <v>4</v>
      </c>
      <c r="AO402" s="4">
        <v>5</v>
      </c>
      <c r="AP402" s="4">
        <v>0</v>
      </c>
      <c r="AQ402" s="4">
        <v>0</v>
      </c>
      <c r="AR402" s="3" t="s">
        <v>62</v>
      </c>
      <c r="AS402" s="3" t="s">
        <v>84</v>
      </c>
      <c r="AT402" s="6" t="str">
        <f>HYPERLINK("http://catalog.hathitrust.org/Record/102075083","HathiTrust Record")</f>
        <v>HathiTrust Record</v>
      </c>
      <c r="AU402" s="6" t="str">
        <f>HYPERLINK("https://creighton-primo.hosted.exlibrisgroup.com/primo-explore/search?tab=default_tab&amp;search_scope=EVERYTHING&amp;vid=01CRU&amp;lang=en_US&amp;offset=0&amp;query=any,contains,991003256829702656","Catalog Record")</f>
        <v>Catalog Record</v>
      </c>
      <c r="AV402" s="6" t="str">
        <f>HYPERLINK("http://www.worldcat.org/oclc/782290","WorldCat Record")</f>
        <v>WorldCat Record</v>
      </c>
      <c r="AW402" s="3" t="s">
        <v>5210</v>
      </c>
      <c r="AX402" s="3" t="s">
        <v>5211</v>
      </c>
      <c r="AY402" s="3" t="s">
        <v>5212</v>
      </c>
      <c r="AZ402" s="3" t="s">
        <v>5212</v>
      </c>
      <c r="BA402" s="3" t="s">
        <v>5213</v>
      </c>
      <c r="BB402" s="3" t="s">
        <v>77</v>
      </c>
      <c r="BD402" s="3" t="s">
        <v>5214</v>
      </c>
      <c r="BE402" s="3" t="s">
        <v>5215</v>
      </c>
      <c r="BF402" s="3" t="s">
        <v>5216</v>
      </c>
    </row>
    <row r="403" spans="1:58" ht="41.25" customHeight="1" x14ac:dyDescent="0.25">
      <c r="A403" s="7" t="s">
        <v>62</v>
      </c>
      <c r="B403" s="2" t="s">
        <v>57</v>
      </c>
      <c r="C403" s="2" t="s">
        <v>58</v>
      </c>
      <c r="D403" s="2" t="s">
        <v>5217</v>
      </c>
      <c r="E403" s="2" t="s">
        <v>5218</v>
      </c>
      <c r="F403" s="2" t="s">
        <v>5219</v>
      </c>
      <c r="H403" s="3" t="s">
        <v>62</v>
      </c>
      <c r="I403" s="3" t="s">
        <v>63</v>
      </c>
      <c r="J403" s="3" t="s">
        <v>62</v>
      </c>
      <c r="K403" s="3" t="s">
        <v>62</v>
      </c>
      <c r="L403" s="3" t="s">
        <v>64</v>
      </c>
      <c r="M403" s="2" t="s">
        <v>5220</v>
      </c>
      <c r="N403" s="2" t="s">
        <v>5221</v>
      </c>
      <c r="O403" s="3" t="s">
        <v>165</v>
      </c>
      <c r="Q403" s="3" t="s">
        <v>68</v>
      </c>
      <c r="R403" s="3" t="s">
        <v>69</v>
      </c>
      <c r="T403" s="3" t="s">
        <v>70</v>
      </c>
      <c r="U403" s="4">
        <v>1</v>
      </c>
      <c r="V403" s="4">
        <v>1</v>
      </c>
      <c r="W403" s="5" t="s">
        <v>3178</v>
      </c>
      <c r="X403" s="5" t="s">
        <v>3178</v>
      </c>
      <c r="Y403" s="5" t="s">
        <v>4303</v>
      </c>
      <c r="Z403" s="5" t="s">
        <v>4303</v>
      </c>
      <c r="AA403" s="4">
        <v>216</v>
      </c>
      <c r="AB403" s="4">
        <v>197</v>
      </c>
      <c r="AC403" s="4">
        <v>198</v>
      </c>
      <c r="AD403" s="4">
        <v>3</v>
      </c>
      <c r="AE403" s="4">
        <v>3</v>
      </c>
      <c r="AF403" s="4">
        <v>10</v>
      </c>
      <c r="AG403" s="4">
        <v>10</v>
      </c>
      <c r="AH403" s="4">
        <v>1</v>
      </c>
      <c r="AI403" s="4">
        <v>1</v>
      </c>
      <c r="AJ403" s="4">
        <v>4</v>
      </c>
      <c r="AK403" s="4">
        <v>4</v>
      </c>
      <c r="AL403" s="4">
        <v>5</v>
      </c>
      <c r="AM403" s="4">
        <v>5</v>
      </c>
      <c r="AN403" s="4">
        <v>1</v>
      </c>
      <c r="AO403" s="4">
        <v>1</v>
      </c>
      <c r="AP403" s="4">
        <v>0</v>
      </c>
      <c r="AQ403" s="4">
        <v>0</v>
      </c>
      <c r="AR403" s="3" t="s">
        <v>62</v>
      </c>
      <c r="AS403" s="3" t="s">
        <v>84</v>
      </c>
      <c r="AT403" s="6" t="str">
        <f>HYPERLINK("http://catalog.hathitrust.org/Record/101997817","HathiTrust Record")</f>
        <v>HathiTrust Record</v>
      </c>
      <c r="AU403" s="6" t="str">
        <f>HYPERLINK("https://creighton-primo.hosted.exlibrisgroup.com/primo-explore/search?tab=default_tab&amp;search_scope=EVERYTHING&amp;vid=01CRU&amp;lang=en_US&amp;offset=0&amp;query=any,contains,991004322539702656","Catalog Record")</f>
        <v>Catalog Record</v>
      </c>
      <c r="AV403" s="6" t="str">
        <f>HYPERLINK("http://www.worldcat.org/oclc/3022438","WorldCat Record")</f>
        <v>WorldCat Record</v>
      </c>
      <c r="AW403" s="3" t="s">
        <v>5222</v>
      </c>
      <c r="AX403" s="3" t="s">
        <v>5223</v>
      </c>
      <c r="AY403" s="3" t="s">
        <v>5224</v>
      </c>
      <c r="AZ403" s="3" t="s">
        <v>5224</v>
      </c>
      <c r="BA403" s="3" t="s">
        <v>5225</v>
      </c>
      <c r="BB403" s="3" t="s">
        <v>77</v>
      </c>
      <c r="BD403" s="3" t="s">
        <v>5226</v>
      </c>
      <c r="BE403" s="3" t="s">
        <v>5227</v>
      </c>
      <c r="BF403" s="3" t="s">
        <v>5228</v>
      </c>
    </row>
    <row r="404" spans="1:58" ht="41.25" customHeight="1" x14ac:dyDescent="0.25">
      <c r="A404" s="7" t="s">
        <v>62</v>
      </c>
      <c r="B404" s="2" t="s">
        <v>57</v>
      </c>
      <c r="C404" s="2" t="s">
        <v>58</v>
      </c>
      <c r="D404" s="2" t="s">
        <v>5229</v>
      </c>
      <c r="E404" s="2" t="s">
        <v>5230</v>
      </c>
      <c r="F404" s="2" t="s">
        <v>5231</v>
      </c>
      <c r="H404" s="3" t="s">
        <v>62</v>
      </c>
      <c r="I404" s="3" t="s">
        <v>63</v>
      </c>
      <c r="J404" s="3" t="s">
        <v>62</v>
      </c>
      <c r="K404" s="3" t="s">
        <v>62</v>
      </c>
      <c r="L404" s="3" t="s">
        <v>64</v>
      </c>
      <c r="M404" s="2" t="s">
        <v>5232</v>
      </c>
      <c r="N404" s="2" t="s">
        <v>5233</v>
      </c>
      <c r="O404" s="3" t="s">
        <v>404</v>
      </c>
      <c r="Q404" s="3" t="s">
        <v>68</v>
      </c>
      <c r="R404" s="3" t="s">
        <v>1184</v>
      </c>
      <c r="T404" s="3" t="s">
        <v>70</v>
      </c>
      <c r="U404" s="4">
        <v>4</v>
      </c>
      <c r="V404" s="4">
        <v>4</v>
      </c>
      <c r="W404" s="5" t="s">
        <v>5234</v>
      </c>
      <c r="X404" s="5" t="s">
        <v>5234</v>
      </c>
      <c r="Y404" s="5" t="s">
        <v>5235</v>
      </c>
      <c r="Z404" s="5" t="s">
        <v>5235</v>
      </c>
      <c r="AA404" s="4">
        <v>352</v>
      </c>
      <c r="AB404" s="4">
        <v>320</v>
      </c>
      <c r="AC404" s="4">
        <v>325</v>
      </c>
      <c r="AD404" s="4">
        <v>4</v>
      </c>
      <c r="AE404" s="4">
        <v>4</v>
      </c>
      <c r="AF404" s="4">
        <v>11</v>
      </c>
      <c r="AG404" s="4">
        <v>11</v>
      </c>
      <c r="AH404" s="4">
        <v>4</v>
      </c>
      <c r="AI404" s="4">
        <v>4</v>
      </c>
      <c r="AJ404" s="4">
        <v>2</v>
      </c>
      <c r="AK404" s="4">
        <v>2</v>
      </c>
      <c r="AL404" s="4">
        <v>3</v>
      </c>
      <c r="AM404" s="4">
        <v>3</v>
      </c>
      <c r="AN404" s="4">
        <v>2</v>
      </c>
      <c r="AO404" s="4">
        <v>2</v>
      </c>
      <c r="AP404" s="4">
        <v>0</v>
      </c>
      <c r="AQ404" s="4">
        <v>0</v>
      </c>
      <c r="AR404" s="3" t="s">
        <v>62</v>
      </c>
      <c r="AS404" s="3" t="s">
        <v>62</v>
      </c>
      <c r="AU404" s="6" t="str">
        <f>HYPERLINK("https://creighton-primo.hosted.exlibrisgroup.com/primo-explore/search?tab=default_tab&amp;search_scope=EVERYTHING&amp;vid=01CRU&amp;lang=en_US&amp;offset=0&amp;query=any,contains,991001927339702656","Catalog Record")</f>
        <v>Catalog Record</v>
      </c>
      <c r="AV404" s="6" t="str">
        <f>HYPERLINK("http://www.worldcat.org/oclc/247300","WorldCat Record")</f>
        <v>WorldCat Record</v>
      </c>
      <c r="AW404" s="3" t="s">
        <v>5236</v>
      </c>
      <c r="AX404" s="3" t="s">
        <v>5237</v>
      </c>
      <c r="AY404" s="3" t="s">
        <v>5238</v>
      </c>
      <c r="AZ404" s="3" t="s">
        <v>5238</v>
      </c>
      <c r="BA404" s="3" t="s">
        <v>5239</v>
      </c>
      <c r="BB404" s="3" t="s">
        <v>77</v>
      </c>
      <c r="BE404" s="3" t="s">
        <v>5240</v>
      </c>
      <c r="BF404" s="3" t="s">
        <v>5241</v>
      </c>
    </row>
    <row r="405" spans="1:58" ht="41.25" customHeight="1" x14ac:dyDescent="0.25">
      <c r="A405" s="7" t="s">
        <v>62</v>
      </c>
      <c r="B405" s="2" t="s">
        <v>57</v>
      </c>
      <c r="C405" s="2" t="s">
        <v>58</v>
      </c>
      <c r="D405" s="2" t="s">
        <v>5242</v>
      </c>
      <c r="E405" s="2" t="s">
        <v>5243</v>
      </c>
      <c r="F405" s="2" t="s">
        <v>5244</v>
      </c>
      <c r="H405" s="3" t="s">
        <v>62</v>
      </c>
      <c r="I405" s="3" t="s">
        <v>63</v>
      </c>
      <c r="J405" s="3" t="s">
        <v>62</v>
      </c>
      <c r="K405" s="3" t="s">
        <v>62</v>
      </c>
      <c r="L405" s="3" t="s">
        <v>64</v>
      </c>
      <c r="M405" s="2" t="s">
        <v>5245</v>
      </c>
      <c r="N405" s="2" t="s">
        <v>491</v>
      </c>
      <c r="O405" s="3" t="s">
        <v>404</v>
      </c>
      <c r="Q405" s="3" t="s">
        <v>68</v>
      </c>
      <c r="R405" s="3" t="s">
        <v>69</v>
      </c>
      <c r="T405" s="3" t="s">
        <v>70</v>
      </c>
      <c r="U405" s="4">
        <v>2</v>
      </c>
      <c r="V405" s="4">
        <v>2</v>
      </c>
      <c r="W405" s="5" t="s">
        <v>5234</v>
      </c>
      <c r="X405" s="5" t="s">
        <v>5234</v>
      </c>
      <c r="Y405" s="5" t="s">
        <v>5246</v>
      </c>
      <c r="Z405" s="5" t="s">
        <v>5246</v>
      </c>
      <c r="AA405" s="4">
        <v>736</v>
      </c>
      <c r="AB405" s="4">
        <v>622</v>
      </c>
      <c r="AC405" s="4">
        <v>624</v>
      </c>
      <c r="AD405" s="4">
        <v>6</v>
      </c>
      <c r="AE405" s="4">
        <v>6</v>
      </c>
      <c r="AF405" s="4">
        <v>30</v>
      </c>
      <c r="AG405" s="4">
        <v>30</v>
      </c>
      <c r="AH405" s="4">
        <v>10</v>
      </c>
      <c r="AI405" s="4">
        <v>10</v>
      </c>
      <c r="AJ405" s="4">
        <v>7</v>
      </c>
      <c r="AK405" s="4">
        <v>7</v>
      </c>
      <c r="AL405" s="4">
        <v>14</v>
      </c>
      <c r="AM405" s="4">
        <v>14</v>
      </c>
      <c r="AN405" s="4">
        <v>5</v>
      </c>
      <c r="AO405" s="4">
        <v>5</v>
      </c>
      <c r="AP405" s="4">
        <v>0</v>
      </c>
      <c r="AQ405" s="4">
        <v>0</v>
      </c>
      <c r="AR405" s="3" t="s">
        <v>62</v>
      </c>
      <c r="AS405" s="3" t="s">
        <v>62</v>
      </c>
      <c r="AU405" s="6" t="str">
        <f>HYPERLINK("https://creighton-primo.hosted.exlibrisgroup.com/primo-explore/search?tab=default_tab&amp;search_scope=EVERYTHING&amp;vid=01CRU&amp;lang=en_US&amp;offset=0&amp;query=any,contains,991002271829702656","Catalog Record")</f>
        <v>Catalog Record</v>
      </c>
      <c r="AV405" s="6" t="str">
        <f>HYPERLINK("http://www.worldcat.org/oclc/308527","WorldCat Record")</f>
        <v>WorldCat Record</v>
      </c>
      <c r="AW405" s="3" t="s">
        <v>5247</v>
      </c>
      <c r="AX405" s="3" t="s">
        <v>5248</v>
      </c>
      <c r="AY405" s="3" t="s">
        <v>5249</v>
      </c>
      <c r="AZ405" s="3" t="s">
        <v>5249</v>
      </c>
      <c r="BA405" s="3" t="s">
        <v>5250</v>
      </c>
      <c r="BB405" s="3" t="s">
        <v>77</v>
      </c>
      <c r="BE405" s="3" t="s">
        <v>5251</v>
      </c>
      <c r="BF405" s="3" t="s">
        <v>5252</v>
      </c>
    </row>
    <row r="406" spans="1:58" ht="41.25" customHeight="1" x14ac:dyDescent="0.25">
      <c r="A406" s="7" t="s">
        <v>62</v>
      </c>
      <c r="B406" s="2" t="s">
        <v>57</v>
      </c>
      <c r="C406" s="2" t="s">
        <v>58</v>
      </c>
      <c r="D406" s="2" t="s">
        <v>5253</v>
      </c>
      <c r="E406" s="2" t="s">
        <v>5254</v>
      </c>
      <c r="F406" s="2" t="s">
        <v>5255</v>
      </c>
      <c r="H406" s="3" t="s">
        <v>62</v>
      </c>
      <c r="I406" s="3" t="s">
        <v>63</v>
      </c>
      <c r="J406" s="3" t="s">
        <v>62</v>
      </c>
      <c r="K406" s="3" t="s">
        <v>62</v>
      </c>
      <c r="L406" s="3" t="s">
        <v>64</v>
      </c>
      <c r="M406" s="2" t="s">
        <v>5256</v>
      </c>
      <c r="N406" s="2" t="s">
        <v>5257</v>
      </c>
      <c r="O406" s="3" t="s">
        <v>1306</v>
      </c>
      <c r="Q406" s="3" t="s">
        <v>68</v>
      </c>
      <c r="R406" s="3" t="s">
        <v>88</v>
      </c>
      <c r="T406" s="3" t="s">
        <v>70</v>
      </c>
      <c r="U406" s="4">
        <v>2</v>
      </c>
      <c r="V406" s="4">
        <v>2</v>
      </c>
      <c r="W406" s="5" t="s">
        <v>125</v>
      </c>
      <c r="X406" s="5" t="s">
        <v>125</v>
      </c>
      <c r="Y406" s="5" t="s">
        <v>4303</v>
      </c>
      <c r="Z406" s="5" t="s">
        <v>4303</v>
      </c>
      <c r="AA406" s="4">
        <v>66</v>
      </c>
      <c r="AB406" s="4">
        <v>60</v>
      </c>
      <c r="AC406" s="4">
        <v>489</v>
      </c>
      <c r="AD406" s="4">
        <v>2</v>
      </c>
      <c r="AE406" s="4">
        <v>5</v>
      </c>
      <c r="AF406" s="4">
        <v>5</v>
      </c>
      <c r="AG406" s="4">
        <v>40</v>
      </c>
      <c r="AH406" s="4">
        <v>0</v>
      </c>
      <c r="AI406" s="4">
        <v>14</v>
      </c>
      <c r="AJ406" s="4">
        <v>1</v>
      </c>
      <c r="AK406" s="4">
        <v>10</v>
      </c>
      <c r="AL406" s="4">
        <v>4</v>
      </c>
      <c r="AM406" s="4">
        <v>25</v>
      </c>
      <c r="AN406" s="4">
        <v>0</v>
      </c>
      <c r="AO406" s="4">
        <v>3</v>
      </c>
      <c r="AP406" s="4">
        <v>0</v>
      </c>
      <c r="AQ406" s="4">
        <v>0</v>
      </c>
      <c r="AR406" s="3" t="s">
        <v>62</v>
      </c>
      <c r="AS406" s="3" t="s">
        <v>62</v>
      </c>
      <c r="AU406" s="6" t="str">
        <f>HYPERLINK("https://creighton-primo.hosted.exlibrisgroup.com/primo-explore/search?tab=default_tab&amp;search_scope=EVERYTHING&amp;vid=01CRU&amp;lang=en_US&amp;offset=0&amp;query=any,contains,991003750379702656","Catalog Record")</f>
        <v>Catalog Record</v>
      </c>
      <c r="AV406" s="6" t="str">
        <f>HYPERLINK("http://www.worldcat.org/oclc/1425686","WorldCat Record")</f>
        <v>WorldCat Record</v>
      </c>
      <c r="AW406" s="3" t="s">
        <v>5258</v>
      </c>
      <c r="AX406" s="3" t="s">
        <v>5259</v>
      </c>
      <c r="AY406" s="3" t="s">
        <v>5260</v>
      </c>
      <c r="AZ406" s="3" t="s">
        <v>5260</v>
      </c>
      <c r="BA406" s="3" t="s">
        <v>5261</v>
      </c>
      <c r="BB406" s="3" t="s">
        <v>77</v>
      </c>
      <c r="BE406" s="3" t="s">
        <v>5262</v>
      </c>
      <c r="BF406" s="3" t="s">
        <v>5263</v>
      </c>
    </row>
    <row r="407" spans="1:58" ht="41.25" customHeight="1" x14ac:dyDescent="0.25">
      <c r="A407" s="7" t="s">
        <v>62</v>
      </c>
      <c r="B407" s="2" t="s">
        <v>57</v>
      </c>
      <c r="C407" s="2" t="s">
        <v>58</v>
      </c>
      <c r="D407" s="2" t="s">
        <v>5264</v>
      </c>
      <c r="E407" s="2" t="s">
        <v>5265</v>
      </c>
      <c r="F407" s="2" t="s">
        <v>5266</v>
      </c>
      <c r="H407" s="3" t="s">
        <v>62</v>
      </c>
      <c r="I407" s="3" t="s">
        <v>63</v>
      </c>
      <c r="J407" s="3" t="s">
        <v>62</v>
      </c>
      <c r="K407" s="3" t="s">
        <v>62</v>
      </c>
      <c r="L407" s="3" t="s">
        <v>64</v>
      </c>
      <c r="M407" s="2" t="s">
        <v>3607</v>
      </c>
      <c r="N407" s="2" t="s">
        <v>5267</v>
      </c>
      <c r="O407" s="3" t="s">
        <v>355</v>
      </c>
      <c r="Q407" s="3" t="s">
        <v>68</v>
      </c>
      <c r="R407" s="3" t="s">
        <v>88</v>
      </c>
      <c r="T407" s="3" t="s">
        <v>70</v>
      </c>
      <c r="U407" s="4">
        <v>1</v>
      </c>
      <c r="V407" s="4">
        <v>1</v>
      </c>
      <c r="W407" s="5" t="s">
        <v>5268</v>
      </c>
      <c r="X407" s="5" t="s">
        <v>5268</v>
      </c>
      <c r="Y407" s="5" t="s">
        <v>4303</v>
      </c>
      <c r="Z407" s="5" t="s">
        <v>4303</v>
      </c>
      <c r="AA407" s="4">
        <v>301</v>
      </c>
      <c r="AB407" s="4">
        <v>218</v>
      </c>
      <c r="AC407" s="4">
        <v>223</v>
      </c>
      <c r="AD407" s="4">
        <v>2</v>
      </c>
      <c r="AE407" s="4">
        <v>2</v>
      </c>
      <c r="AF407" s="4">
        <v>9</v>
      </c>
      <c r="AG407" s="4">
        <v>9</v>
      </c>
      <c r="AH407" s="4">
        <v>1</v>
      </c>
      <c r="AI407" s="4">
        <v>1</v>
      </c>
      <c r="AJ407" s="4">
        <v>2</v>
      </c>
      <c r="AK407" s="4">
        <v>2</v>
      </c>
      <c r="AL407" s="4">
        <v>6</v>
      </c>
      <c r="AM407" s="4">
        <v>6</v>
      </c>
      <c r="AN407" s="4">
        <v>1</v>
      </c>
      <c r="AO407" s="4">
        <v>1</v>
      </c>
      <c r="AP407" s="4">
        <v>0</v>
      </c>
      <c r="AQ407" s="4">
        <v>0</v>
      </c>
      <c r="AR407" s="3" t="s">
        <v>62</v>
      </c>
      <c r="AS407" s="3" t="s">
        <v>84</v>
      </c>
      <c r="AT407" s="6" t="str">
        <f>HYPERLINK("http://catalog.hathitrust.org/Record/001391489","HathiTrust Record")</f>
        <v>HathiTrust Record</v>
      </c>
      <c r="AU407" s="6" t="str">
        <f>HYPERLINK("https://creighton-primo.hosted.exlibrisgroup.com/primo-explore/search?tab=default_tab&amp;search_scope=EVERYTHING&amp;vid=01CRU&amp;lang=en_US&amp;offset=0&amp;query=any,contains,991002481409702656","Catalog Record")</f>
        <v>Catalog Record</v>
      </c>
      <c r="AV407" s="6" t="str">
        <f>HYPERLINK("http://www.worldcat.org/oclc/359836","WorldCat Record")</f>
        <v>WorldCat Record</v>
      </c>
      <c r="AW407" s="3" t="s">
        <v>5269</v>
      </c>
      <c r="AX407" s="3" t="s">
        <v>5270</v>
      </c>
      <c r="AY407" s="3" t="s">
        <v>5271</v>
      </c>
      <c r="AZ407" s="3" t="s">
        <v>5271</v>
      </c>
      <c r="BA407" s="3" t="s">
        <v>5272</v>
      </c>
      <c r="BB407" s="3" t="s">
        <v>77</v>
      </c>
      <c r="BE407" s="3" t="s">
        <v>5273</v>
      </c>
      <c r="BF407" s="3" t="s">
        <v>5274</v>
      </c>
    </row>
    <row r="408" spans="1:58" ht="41.25" customHeight="1" x14ac:dyDescent="0.25">
      <c r="A408" s="7" t="s">
        <v>62</v>
      </c>
      <c r="B408" s="2" t="s">
        <v>57</v>
      </c>
      <c r="C408" s="2" t="s">
        <v>58</v>
      </c>
      <c r="D408" s="2" t="s">
        <v>5275</v>
      </c>
      <c r="E408" s="2" t="s">
        <v>5276</v>
      </c>
      <c r="F408" s="2" t="s">
        <v>5277</v>
      </c>
      <c r="H408" s="3" t="s">
        <v>62</v>
      </c>
      <c r="I408" s="3" t="s">
        <v>63</v>
      </c>
      <c r="J408" s="3" t="s">
        <v>62</v>
      </c>
      <c r="K408" s="3" t="s">
        <v>62</v>
      </c>
      <c r="L408" s="3" t="s">
        <v>64</v>
      </c>
      <c r="M408" s="2" t="s">
        <v>5278</v>
      </c>
      <c r="N408" s="2" t="s">
        <v>5279</v>
      </c>
      <c r="O408" s="3" t="s">
        <v>5280</v>
      </c>
      <c r="Q408" s="3" t="s">
        <v>68</v>
      </c>
      <c r="R408" s="3" t="s">
        <v>110</v>
      </c>
      <c r="S408" s="2" t="s">
        <v>5281</v>
      </c>
      <c r="T408" s="3" t="s">
        <v>70</v>
      </c>
      <c r="U408" s="4">
        <v>1</v>
      </c>
      <c r="V408" s="4">
        <v>1</v>
      </c>
      <c r="W408" s="5" t="s">
        <v>5282</v>
      </c>
      <c r="X408" s="5" t="s">
        <v>5282</v>
      </c>
      <c r="Y408" s="5" t="s">
        <v>4303</v>
      </c>
      <c r="Z408" s="5" t="s">
        <v>4303</v>
      </c>
      <c r="AA408" s="4">
        <v>110</v>
      </c>
      <c r="AB408" s="4">
        <v>96</v>
      </c>
      <c r="AC408" s="4">
        <v>104</v>
      </c>
      <c r="AD408" s="4">
        <v>1</v>
      </c>
      <c r="AE408" s="4">
        <v>1</v>
      </c>
      <c r="AF408" s="4">
        <v>27</v>
      </c>
      <c r="AG408" s="4">
        <v>27</v>
      </c>
      <c r="AH408" s="4">
        <v>9</v>
      </c>
      <c r="AI408" s="4">
        <v>9</v>
      </c>
      <c r="AJ408" s="4">
        <v>6</v>
      </c>
      <c r="AK408" s="4">
        <v>6</v>
      </c>
      <c r="AL408" s="4">
        <v>21</v>
      </c>
      <c r="AM408" s="4">
        <v>21</v>
      </c>
      <c r="AN408" s="4">
        <v>0</v>
      </c>
      <c r="AO408" s="4">
        <v>0</v>
      </c>
      <c r="AP408" s="4">
        <v>0</v>
      </c>
      <c r="AQ408" s="4">
        <v>0</v>
      </c>
      <c r="AR408" s="3" t="s">
        <v>62</v>
      </c>
      <c r="AS408" s="3" t="s">
        <v>62</v>
      </c>
      <c r="AU408" s="6" t="str">
        <f>HYPERLINK("https://creighton-primo.hosted.exlibrisgroup.com/primo-explore/search?tab=default_tab&amp;search_scope=EVERYTHING&amp;vid=01CRU&amp;lang=en_US&amp;offset=0&amp;query=any,contains,991004401439702656","Catalog Record")</f>
        <v>Catalog Record</v>
      </c>
      <c r="AV408" s="6" t="str">
        <f>HYPERLINK("http://www.worldcat.org/oclc/3301558","WorldCat Record")</f>
        <v>WorldCat Record</v>
      </c>
      <c r="AW408" s="3" t="s">
        <v>5283</v>
      </c>
      <c r="AX408" s="3" t="s">
        <v>5284</v>
      </c>
      <c r="AY408" s="3" t="s">
        <v>5285</v>
      </c>
      <c r="AZ408" s="3" t="s">
        <v>5285</v>
      </c>
      <c r="BA408" s="3" t="s">
        <v>5286</v>
      </c>
      <c r="BB408" s="3" t="s">
        <v>77</v>
      </c>
      <c r="BE408" s="3" t="s">
        <v>5287</v>
      </c>
      <c r="BF408" s="3" t="s">
        <v>5288</v>
      </c>
    </row>
    <row r="409" spans="1:58" ht="41.25" customHeight="1" x14ac:dyDescent="0.25">
      <c r="A409" s="7" t="s">
        <v>62</v>
      </c>
      <c r="B409" s="2" t="s">
        <v>57</v>
      </c>
      <c r="C409" s="2" t="s">
        <v>58</v>
      </c>
      <c r="D409" s="2" t="s">
        <v>5289</v>
      </c>
      <c r="E409" s="2" t="s">
        <v>5290</v>
      </c>
      <c r="F409" s="2" t="s">
        <v>5291</v>
      </c>
      <c r="H409" s="3" t="s">
        <v>62</v>
      </c>
      <c r="I409" s="3" t="s">
        <v>63</v>
      </c>
      <c r="J409" s="3" t="s">
        <v>62</v>
      </c>
      <c r="K409" s="3" t="s">
        <v>62</v>
      </c>
      <c r="L409" s="3" t="s">
        <v>64</v>
      </c>
      <c r="M409" s="2" t="s">
        <v>4768</v>
      </c>
      <c r="N409" s="2" t="s">
        <v>5292</v>
      </c>
      <c r="O409" s="3" t="s">
        <v>629</v>
      </c>
      <c r="Q409" s="3" t="s">
        <v>68</v>
      </c>
      <c r="R409" s="3" t="s">
        <v>166</v>
      </c>
      <c r="S409" s="2" t="s">
        <v>5293</v>
      </c>
      <c r="T409" s="3" t="s">
        <v>70</v>
      </c>
      <c r="U409" s="4">
        <v>1</v>
      </c>
      <c r="V409" s="4">
        <v>1</v>
      </c>
      <c r="W409" s="5" t="s">
        <v>2356</v>
      </c>
      <c r="X409" s="5" t="s">
        <v>2356</v>
      </c>
      <c r="Y409" s="5" t="s">
        <v>5196</v>
      </c>
      <c r="Z409" s="5" t="s">
        <v>5196</v>
      </c>
      <c r="AA409" s="4">
        <v>163</v>
      </c>
      <c r="AB409" s="4">
        <v>157</v>
      </c>
      <c r="AC409" s="4">
        <v>511</v>
      </c>
      <c r="AD409" s="4">
        <v>1</v>
      </c>
      <c r="AE409" s="4">
        <v>2</v>
      </c>
      <c r="AF409" s="4">
        <v>8</v>
      </c>
      <c r="AG409" s="4">
        <v>24</v>
      </c>
      <c r="AH409" s="4">
        <v>4</v>
      </c>
      <c r="AI409" s="4">
        <v>10</v>
      </c>
      <c r="AJ409" s="4">
        <v>2</v>
      </c>
      <c r="AK409" s="4">
        <v>6</v>
      </c>
      <c r="AL409" s="4">
        <v>7</v>
      </c>
      <c r="AM409" s="4">
        <v>16</v>
      </c>
      <c r="AN409" s="4">
        <v>0</v>
      </c>
      <c r="AO409" s="4">
        <v>1</v>
      </c>
      <c r="AP409" s="4">
        <v>0</v>
      </c>
      <c r="AQ409" s="4">
        <v>0</v>
      </c>
      <c r="AR409" s="3" t="s">
        <v>62</v>
      </c>
      <c r="AS409" s="3" t="s">
        <v>84</v>
      </c>
      <c r="AT409" s="6" t="str">
        <f>HYPERLINK("http://catalog.hathitrust.org/Record/000040809","HathiTrust Record")</f>
        <v>HathiTrust Record</v>
      </c>
      <c r="AU409" s="6" t="str">
        <f>HYPERLINK("https://creighton-primo.hosted.exlibrisgroup.com/primo-explore/search?tab=default_tab&amp;search_scope=EVERYTHING&amp;vid=01CRU&amp;lang=en_US&amp;offset=0&amp;query=any,contains,991003885699702656","Catalog Record")</f>
        <v>Catalog Record</v>
      </c>
      <c r="AV409" s="6" t="str">
        <f>HYPERLINK("http://www.worldcat.org/oclc/1735559","WorldCat Record")</f>
        <v>WorldCat Record</v>
      </c>
      <c r="AW409" s="3" t="s">
        <v>5294</v>
      </c>
      <c r="AX409" s="3" t="s">
        <v>5295</v>
      </c>
      <c r="AY409" s="3" t="s">
        <v>5296</v>
      </c>
      <c r="AZ409" s="3" t="s">
        <v>5296</v>
      </c>
      <c r="BA409" s="3" t="s">
        <v>5297</v>
      </c>
      <c r="BB409" s="3" t="s">
        <v>77</v>
      </c>
      <c r="BD409" s="3" t="s">
        <v>5298</v>
      </c>
      <c r="BE409" s="3" t="s">
        <v>5299</v>
      </c>
      <c r="BF409" s="3" t="s">
        <v>5300</v>
      </c>
    </row>
    <row r="410" spans="1:58" ht="41.25" customHeight="1" x14ac:dyDescent="0.25">
      <c r="A410" s="7" t="s">
        <v>62</v>
      </c>
      <c r="B410" s="2" t="s">
        <v>57</v>
      </c>
      <c r="C410" s="2" t="s">
        <v>58</v>
      </c>
      <c r="D410" s="2" t="s">
        <v>5301</v>
      </c>
      <c r="E410" s="2" t="s">
        <v>5302</v>
      </c>
      <c r="F410" s="2" t="s">
        <v>5303</v>
      </c>
      <c r="H410" s="3" t="s">
        <v>62</v>
      </c>
      <c r="I410" s="3" t="s">
        <v>63</v>
      </c>
      <c r="J410" s="3" t="s">
        <v>62</v>
      </c>
      <c r="K410" s="3" t="s">
        <v>62</v>
      </c>
      <c r="L410" s="3" t="s">
        <v>64</v>
      </c>
      <c r="N410" s="2" t="s">
        <v>5304</v>
      </c>
      <c r="O410" s="3" t="s">
        <v>1251</v>
      </c>
      <c r="Q410" s="3" t="s">
        <v>68</v>
      </c>
      <c r="R410" s="3" t="s">
        <v>1653</v>
      </c>
      <c r="T410" s="3" t="s">
        <v>70</v>
      </c>
      <c r="U410" s="4">
        <v>1</v>
      </c>
      <c r="V410" s="4">
        <v>1</v>
      </c>
      <c r="W410" s="5" t="s">
        <v>5305</v>
      </c>
      <c r="X410" s="5" t="s">
        <v>5305</v>
      </c>
      <c r="Y410" s="5" t="s">
        <v>5196</v>
      </c>
      <c r="Z410" s="5" t="s">
        <v>5196</v>
      </c>
      <c r="AA410" s="4">
        <v>383</v>
      </c>
      <c r="AB410" s="4">
        <v>302</v>
      </c>
      <c r="AC410" s="4">
        <v>303</v>
      </c>
      <c r="AD410" s="4">
        <v>2</v>
      </c>
      <c r="AE410" s="4">
        <v>2</v>
      </c>
      <c r="AF410" s="4">
        <v>13</v>
      </c>
      <c r="AG410" s="4">
        <v>13</v>
      </c>
      <c r="AH410" s="4">
        <v>4</v>
      </c>
      <c r="AI410" s="4">
        <v>4</v>
      </c>
      <c r="AJ410" s="4">
        <v>2</v>
      </c>
      <c r="AK410" s="4">
        <v>2</v>
      </c>
      <c r="AL410" s="4">
        <v>9</v>
      </c>
      <c r="AM410" s="4">
        <v>9</v>
      </c>
      <c r="AN410" s="4">
        <v>1</v>
      </c>
      <c r="AO410" s="4">
        <v>1</v>
      </c>
      <c r="AP410" s="4">
        <v>0</v>
      </c>
      <c r="AQ410" s="4">
        <v>0</v>
      </c>
      <c r="AR410" s="3" t="s">
        <v>62</v>
      </c>
      <c r="AS410" s="3" t="s">
        <v>84</v>
      </c>
      <c r="AT410" s="6" t="str">
        <f>HYPERLINK("http://catalog.hathitrust.org/Record/101904097","HathiTrust Record")</f>
        <v>HathiTrust Record</v>
      </c>
      <c r="AU410" s="6" t="str">
        <f>HYPERLINK("https://creighton-primo.hosted.exlibrisgroup.com/primo-explore/search?tab=default_tab&amp;search_scope=EVERYTHING&amp;vid=01CRU&amp;lang=en_US&amp;offset=0&amp;query=any,contains,991001241099702656","Catalog Record")</f>
        <v>Catalog Record</v>
      </c>
      <c r="AV410" s="6" t="str">
        <f>HYPERLINK("http://www.worldcat.org/oclc/17619683","WorldCat Record")</f>
        <v>WorldCat Record</v>
      </c>
      <c r="AW410" s="3" t="s">
        <v>5306</v>
      </c>
      <c r="AX410" s="3" t="s">
        <v>5307</v>
      </c>
      <c r="AY410" s="3" t="s">
        <v>5308</v>
      </c>
      <c r="AZ410" s="3" t="s">
        <v>5308</v>
      </c>
      <c r="BA410" s="3" t="s">
        <v>5309</v>
      </c>
      <c r="BB410" s="3" t="s">
        <v>77</v>
      </c>
      <c r="BD410" s="3" t="s">
        <v>5310</v>
      </c>
      <c r="BE410" s="3" t="s">
        <v>5311</v>
      </c>
      <c r="BF410" s="3" t="s">
        <v>5312</v>
      </c>
    </row>
    <row r="411" spans="1:58" ht="41.25" customHeight="1" x14ac:dyDescent="0.25">
      <c r="A411" s="7" t="s">
        <v>62</v>
      </c>
      <c r="B411" s="2" t="s">
        <v>57</v>
      </c>
      <c r="C411" s="2" t="s">
        <v>58</v>
      </c>
      <c r="D411" s="2" t="s">
        <v>5313</v>
      </c>
      <c r="E411" s="2" t="s">
        <v>5314</v>
      </c>
      <c r="F411" s="2" t="s">
        <v>5315</v>
      </c>
      <c r="H411" s="3" t="s">
        <v>62</v>
      </c>
      <c r="I411" s="3" t="s">
        <v>63</v>
      </c>
      <c r="J411" s="3" t="s">
        <v>62</v>
      </c>
      <c r="K411" s="3" t="s">
        <v>62</v>
      </c>
      <c r="L411" s="3" t="s">
        <v>64</v>
      </c>
      <c r="M411" s="2" t="s">
        <v>5316</v>
      </c>
      <c r="N411" s="2" t="s">
        <v>5317</v>
      </c>
      <c r="O411" s="3" t="s">
        <v>383</v>
      </c>
      <c r="Q411" s="3" t="s">
        <v>68</v>
      </c>
      <c r="R411" s="3" t="s">
        <v>166</v>
      </c>
      <c r="T411" s="3" t="s">
        <v>70</v>
      </c>
      <c r="U411" s="4">
        <v>5</v>
      </c>
      <c r="V411" s="4">
        <v>5</v>
      </c>
      <c r="W411" s="5" t="s">
        <v>5318</v>
      </c>
      <c r="X411" s="5" t="s">
        <v>5318</v>
      </c>
      <c r="Y411" s="5" t="s">
        <v>4303</v>
      </c>
      <c r="Z411" s="5" t="s">
        <v>4303</v>
      </c>
      <c r="AA411" s="4">
        <v>768</v>
      </c>
      <c r="AB411" s="4">
        <v>589</v>
      </c>
      <c r="AC411" s="4">
        <v>589</v>
      </c>
      <c r="AD411" s="4">
        <v>7</v>
      </c>
      <c r="AE411" s="4">
        <v>7</v>
      </c>
      <c r="AF411" s="4">
        <v>35</v>
      </c>
      <c r="AG411" s="4">
        <v>35</v>
      </c>
      <c r="AH411" s="4">
        <v>15</v>
      </c>
      <c r="AI411" s="4">
        <v>15</v>
      </c>
      <c r="AJ411" s="4">
        <v>7</v>
      </c>
      <c r="AK411" s="4">
        <v>7</v>
      </c>
      <c r="AL411" s="4">
        <v>18</v>
      </c>
      <c r="AM411" s="4">
        <v>18</v>
      </c>
      <c r="AN411" s="4">
        <v>5</v>
      </c>
      <c r="AO411" s="4">
        <v>5</v>
      </c>
      <c r="AP411" s="4">
        <v>0</v>
      </c>
      <c r="AQ411" s="4">
        <v>0</v>
      </c>
      <c r="AR411" s="3" t="s">
        <v>62</v>
      </c>
      <c r="AS411" s="3" t="s">
        <v>62</v>
      </c>
      <c r="AU411" s="6" t="str">
        <f>HYPERLINK("https://creighton-primo.hosted.exlibrisgroup.com/primo-explore/search?tab=default_tab&amp;search_scope=EVERYTHING&amp;vid=01CRU&amp;lang=en_US&amp;offset=0&amp;query=any,contains,991005433569702656","Catalog Record")</f>
        <v>Catalog Record</v>
      </c>
      <c r="AV411" s="6" t="str">
        <f>HYPERLINK("http://www.worldcat.org/oclc/1896","WorldCat Record")</f>
        <v>WorldCat Record</v>
      </c>
      <c r="AW411" s="3" t="s">
        <v>5319</v>
      </c>
      <c r="AX411" s="3" t="s">
        <v>5320</v>
      </c>
      <c r="AY411" s="3" t="s">
        <v>5321</v>
      </c>
      <c r="AZ411" s="3" t="s">
        <v>5321</v>
      </c>
      <c r="BA411" s="3" t="s">
        <v>5322</v>
      </c>
      <c r="BB411" s="3" t="s">
        <v>77</v>
      </c>
      <c r="BE411" s="3" t="s">
        <v>5323</v>
      </c>
      <c r="BF411" s="3" t="s">
        <v>5324</v>
      </c>
    </row>
    <row r="412" spans="1:58" ht="41.25" customHeight="1" x14ac:dyDescent="0.25">
      <c r="A412" s="7" t="s">
        <v>62</v>
      </c>
      <c r="B412" s="2" t="s">
        <v>57</v>
      </c>
      <c r="C412" s="2" t="s">
        <v>58</v>
      </c>
      <c r="D412" s="2" t="s">
        <v>5325</v>
      </c>
      <c r="E412" s="2" t="s">
        <v>5326</v>
      </c>
      <c r="F412" s="2" t="s">
        <v>5327</v>
      </c>
      <c r="H412" s="3" t="s">
        <v>62</v>
      </c>
      <c r="I412" s="3" t="s">
        <v>63</v>
      </c>
      <c r="J412" s="3" t="s">
        <v>62</v>
      </c>
      <c r="K412" s="3" t="s">
        <v>62</v>
      </c>
      <c r="L412" s="3" t="s">
        <v>64</v>
      </c>
      <c r="M412" s="2" t="s">
        <v>5328</v>
      </c>
      <c r="N412" s="2" t="s">
        <v>5329</v>
      </c>
      <c r="O412" s="3" t="s">
        <v>1158</v>
      </c>
      <c r="Q412" s="3" t="s">
        <v>68</v>
      </c>
      <c r="R412" s="3" t="s">
        <v>69</v>
      </c>
      <c r="T412" s="3" t="s">
        <v>70</v>
      </c>
      <c r="U412" s="4">
        <v>4</v>
      </c>
      <c r="V412" s="4">
        <v>4</v>
      </c>
      <c r="W412" s="5" t="s">
        <v>5318</v>
      </c>
      <c r="X412" s="5" t="s">
        <v>5318</v>
      </c>
      <c r="Y412" s="5" t="s">
        <v>4303</v>
      </c>
      <c r="Z412" s="5" t="s">
        <v>4303</v>
      </c>
      <c r="AA412" s="4">
        <v>225</v>
      </c>
      <c r="AB412" s="4">
        <v>189</v>
      </c>
      <c r="AC412" s="4">
        <v>195</v>
      </c>
      <c r="AD412" s="4">
        <v>2</v>
      </c>
      <c r="AE412" s="4">
        <v>2</v>
      </c>
      <c r="AF412" s="4">
        <v>19</v>
      </c>
      <c r="AG412" s="4">
        <v>19</v>
      </c>
      <c r="AH412" s="4">
        <v>5</v>
      </c>
      <c r="AI412" s="4">
        <v>5</v>
      </c>
      <c r="AJ412" s="4">
        <v>5</v>
      </c>
      <c r="AK412" s="4">
        <v>5</v>
      </c>
      <c r="AL412" s="4">
        <v>14</v>
      </c>
      <c r="AM412" s="4">
        <v>14</v>
      </c>
      <c r="AN412" s="4">
        <v>0</v>
      </c>
      <c r="AO412" s="4">
        <v>0</v>
      </c>
      <c r="AP412" s="4">
        <v>0</v>
      </c>
      <c r="AQ412" s="4">
        <v>0</v>
      </c>
      <c r="AR412" s="3" t="s">
        <v>62</v>
      </c>
      <c r="AS412" s="3" t="s">
        <v>84</v>
      </c>
      <c r="AT412" s="6" t="str">
        <f>HYPERLINK("http://catalog.hathitrust.org/Record/102072390","HathiTrust Record")</f>
        <v>HathiTrust Record</v>
      </c>
      <c r="AU412" s="6" t="str">
        <f>HYPERLINK("https://creighton-primo.hosted.exlibrisgroup.com/primo-explore/search?tab=default_tab&amp;search_scope=EVERYTHING&amp;vid=01CRU&amp;lang=en_US&amp;offset=0&amp;query=any,contains,991002899829702656","Catalog Record")</f>
        <v>Catalog Record</v>
      </c>
      <c r="AV412" s="6" t="str">
        <f>HYPERLINK("http://www.worldcat.org/oclc/516279","WorldCat Record")</f>
        <v>WorldCat Record</v>
      </c>
      <c r="AW412" s="3" t="s">
        <v>5330</v>
      </c>
      <c r="AX412" s="3" t="s">
        <v>5331</v>
      </c>
      <c r="AY412" s="3" t="s">
        <v>5332</v>
      </c>
      <c r="AZ412" s="3" t="s">
        <v>5332</v>
      </c>
      <c r="BA412" s="3" t="s">
        <v>5333</v>
      </c>
      <c r="BB412" s="3" t="s">
        <v>77</v>
      </c>
      <c r="BD412" s="3" t="s">
        <v>5334</v>
      </c>
      <c r="BE412" s="3" t="s">
        <v>5335</v>
      </c>
      <c r="BF412" s="3" t="s">
        <v>5336</v>
      </c>
    </row>
    <row r="413" spans="1:58" ht="41.25" customHeight="1" x14ac:dyDescent="0.25">
      <c r="A413" s="7" t="s">
        <v>62</v>
      </c>
      <c r="B413" s="2" t="s">
        <v>57</v>
      </c>
      <c r="C413" s="2" t="s">
        <v>58</v>
      </c>
      <c r="D413" s="2" t="s">
        <v>5337</v>
      </c>
      <c r="E413" s="2" t="s">
        <v>5338</v>
      </c>
      <c r="F413" s="2" t="s">
        <v>5339</v>
      </c>
      <c r="H413" s="3" t="s">
        <v>62</v>
      </c>
      <c r="I413" s="3" t="s">
        <v>63</v>
      </c>
      <c r="J413" s="3" t="s">
        <v>62</v>
      </c>
      <c r="K413" s="3" t="s">
        <v>62</v>
      </c>
      <c r="L413" s="3" t="s">
        <v>64</v>
      </c>
      <c r="M413" s="2" t="s">
        <v>5340</v>
      </c>
      <c r="N413" s="2" t="s">
        <v>5341</v>
      </c>
      <c r="O413" s="3" t="s">
        <v>355</v>
      </c>
      <c r="P413" s="2" t="s">
        <v>268</v>
      </c>
      <c r="Q413" s="3" t="s">
        <v>68</v>
      </c>
      <c r="R413" s="3" t="s">
        <v>297</v>
      </c>
      <c r="S413" s="2" t="s">
        <v>5342</v>
      </c>
      <c r="T413" s="3" t="s">
        <v>70</v>
      </c>
      <c r="U413" s="4">
        <v>4</v>
      </c>
      <c r="V413" s="4">
        <v>4</v>
      </c>
      <c r="W413" s="5" t="s">
        <v>5318</v>
      </c>
      <c r="X413" s="5" t="s">
        <v>5318</v>
      </c>
      <c r="Y413" s="5" t="s">
        <v>4303</v>
      </c>
      <c r="Z413" s="5" t="s">
        <v>4303</v>
      </c>
      <c r="AA413" s="4">
        <v>595</v>
      </c>
      <c r="AB413" s="4">
        <v>434</v>
      </c>
      <c r="AC413" s="4">
        <v>475</v>
      </c>
      <c r="AD413" s="4">
        <v>4</v>
      </c>
      <c r="AE413" s="4">
        <v>4</v>
      </c>
      <c r="AF413" s="4">
        <v>23</v>
      </c>
      <c r="AG413" s="4">
        <v>25</v>
      </c>
      <c r="AH413" s="4">
        <v>9</v>
      </c>
      <c r="AI413" s="4">
        <v>11</v>
      </c>
      <c r="AJ413" s="4">
        <v>4</v>
      </c>
      <c r="AK413" s="4">
        <v>5</v>
      </c>
      <c r="AL413" s="4">
        <v>14</v>
      </c>
      <c r="AM413" s="4">
        <v>14</v>
      </c>
      <c r="AN413" s="4">
        <v>3</v>
      </c>
      <c r="AO413" s="4">
        <v>3</v>
      </c>
      <c r="AP413" s="4">
        <v>0</v>
      </c>
      <c r="AQ413" s="4">
        <v>0</v>
      </c>
      <c r="AR413" s="3" t="s">
        <v>62</v>
      </c>
      <c r="AS413" s="3" t="s">
        <v>84</v>
      </c>
      <c r="AT413" s="6" t="str">
        <f>HYPERLINK("http://catalog.hathitrust.org/Record/001391498","HathiTrust Record")</f>
        <v>HathiTrust Record</v>
      </c>
      <c r="AU413" s="6" t="str">
        <f>HYPERLINK("https://creighton-primo.hosted.exlibrisgroup.com/primo-explore/search?tab=default_tab&amp;search_scope=EVERYTHING&amp;vid=01CRU&amp;lang=en_US&amp;offset=0&amp;query=any,contains,991004202309702656","Catalog Record")</f>
        <v>Catalog Record</v>
      </c>
      <c r="AV413" s="6" t="str">
        <f>HYPERLINK("http://www.worldcat.org/oclc/2655919","WorldCat Record")</f>
        <v>WorldCat Record</v>
      </c>
      <c r="AW413" s="3" t="s">
        <v>5343</v>
      </c>
      <c r="AX413" s="3" t="s">
        <v>5344</v>
      </c>
      <c r="AY413" s="3" t="s">
        <v>5345</v>
      </c>
      <c r="AZ413" s="3" t="s">
        <v>5345</v>
      </c>
      <c r="BA413" s="3" t="s">
        <v>5346</v>
      </c>
      <c r="BB413" s="3" t="s">
        <v>77</v>
      </c>
      <c r="BE413" s="3" t="s">
        <v>5347</v>
      </c>
      <c r="BF413" s="3" t="s">
        <v>5348</v>
      </c>
    </row>
    <row r="414" spans="1:58" ht="41.25" customHeight="1" x14ac:dyDescent="0.25">
      <c r="A414" s="7" t="s">
        <v>62</v>
      </c>
      <c r="B414" s="2" t="s">
        <v>57</v>
      </c>
      <c r="C414" s="2" t="s">
        <v>58</v>
      </c>
      <c r="D414" s="2" t="s">
        <v>5349</v>
      </c>
      <c r="E414" s="2" t="s">
        <v>5350</v>
      </c>
      <c r="F414" s="2" t="s">
        <v>5351</v>
      </c>
      <c r="H414" s="3" t="s">
        <v>62</v>
      </c>
      <c r="I414" s="3" t="s">
        <v>63</v>
      </c>
      <c r="J414" s="3" t="s">
        <v>62</v>
      </c>
      <c r="K414" s="3" t="s">
        <v>62</v>
      </c>
      <c r="L414" s="3" t="s">
        <v>64</v>
      </c>
      <c r="N414" s="2" t="s">
        <v>5352</v>
      </c>
      <c r="O414" s="3" t="s">
        <v>295</v>
      </c>
      <c r="Q414" s="3" t="s">
        <v>68</v>
      </c>
      <c r="R414" s="3" t="s">
        <v>297</v>
      </c>
      <c r="S414" s="2" t="s">
        <v>5353</v>
      </c>
      <c r="T414" s="3" t="s">
        <v>70</v>
      </c>
      <c r="U414" s="4">
        <v>2</v>
      </c>
      <c r="V414" s="4">
        <v>2</v>
      </c>
      <c r="W414" s="5" t="s">
        <v>5354</v>
      </c>
      <c r="X414" s="5" t="s">
        <v>5354</v>
      </c>
      <c r="Y414" s="5" t="s">
        <v>5145</v>
      </c>
      <c r="Z414" s="5" t="s">
        <v>5145</v>
      </c>
      <c r="AA414" s="4">
        <v>569</v>
      </c>
      <c r="AB414" s="4">
        <v>428</v>
      </c>
      <c r="AC414" s="4">
        <v>437</v>
      </c>
      <c r="AD414" s="4">
        <v>2</v>
      </c>
      <c r="AE414" s="4">
        <v>2</v>
      </c>
      <c r="AF414" s="4">
        <v>23</v>
      </c>
      <c r="AG414" s="4">
        <v>24</v>
      </c>
      <c r="AH414" s="4">
        <v>10</v>
      </c>
      <c r="AI414" s="4">
        <v>10</v>
      </c>
      <c r="AJ414" s="4">
        <v>5</v>
      </c>
      <c r="AK414" s="4">
        <v>5</v>
      </c>
      <c r="AL414" s="4">
        <v>14</v>
      </c>
      <c r="AM414" s="4">
        <v>15</v>
      </c>
      <c r="AN414" s="4">
        <v>1</v>
      </c>
      <c r="AO414" s="4">
        <v>1</v>
      </c>
      <c r="AP414" s="4">
        <v>0</v>
      </c>
      <c r="AQ414" s="4">
        <v>0</v>
      </c>
      <c r="AR414" s="3" t="s">
        <v>62</v>
      </c>
      <c r="AS414" s="3" t="s">
        <v>84</v>
      </c>
      <c r="AT414" s="6" t="str">
        <f>HYPERLINK("http://catalog.hathitrust.org/Record/001825141","HathiTrust Record")</f>
        <v>HathiTrust Record</v>
      </c>
      <c r="AU414" s="6" t="str">
        <f>HYPERLINK("https://creighton-primo.hosted.exlibrisgroup.com/primo-explore/search?tab=default_tab&amp;search_scope=EVERYTHING&amp;vid=01CRU&amp;lang=en_US&amp;offset=0&amp;query=any,contains,991001453309702656","Catalog Record")</f>
        <v>Catalog Record</v>
      </c>
      <c r="AV414" s="6" t="str">
        <f>HYPERLINK("http://www.worldcat.org/oclc/23733091","WorldCat Record")</f>
        <v>WorldCat Record</v>
      </c>
      <c r="AW414" s="3" t="s">
        <v>5355</v>
      </c>
      <c r="AX414" s="3" t="s">
        <v>5356</v>
      </c>
      <c r="AY414" s="3" t="s">
        <v>5357</v>
      </c>
      <c r="AZ414" s="3" t="s">
        <v>5357</v>
      </c>
      <c r="BA414" s="3" t="s">
        <v>5358</v>
      </c>
      <c r="BB414" s="3" t="s">
        <v>77</v>
      </c>
      <c r="BD414" s="3" t="s">
        <v>5359</v>
      </c>
      <c r="BE414" s="3" t="s">
        <v>5360</v>
      </c>
      <c r="BF414" s="3" t="s">
        <v>5361</v>
      </c>
    </row>
    <row r="415" spans="1:58" ht="41.25" customHeight="1" x14ac:dyDescent="0.25">
      <c r="A415" s="7" t="s">
        <v>62</v>
      </c>
      <c r="B415" s="2" t="s">
        <v>57</v>
      </c>
      <c r="C415" s="2" t="s">
        <v>58</v>
      </c>
      <c r="D415" s="2" t="s">
        <v>5362</v>
      </c>
      <c r="E415" s="2" t="s">
        <v>5363</v>
      </c>
      <c r="F415" s="2" t="s">
        <v>5364</v>
      </c>
      <c r="H415" s="3" t="s">
        <v>62</v>
      </c>
      <c r="I415" s="3" t="s">
        <v>63</v>
      </c>
      <c r="J415" s="3" t="s">
        <v>62</v>
      </c>
      <c r="K415" s="3" t="s">
        <v>62</v>
      </c>
      <c r="L415" s="3" t="s">
        <v>64</v>
      </c>
      <c r="N415" s="2" t="s">
        <v>5365</v>
      </c>
      <c r="O415" s="3" t="s">
        <v>355</v>
      </c>
      <c r="Q415" s="3" t="s">
        <v>68</v>
      </c>
      <c r="R415" s="3" t="s">
        <v>69</v>
      </c>
      <c r="T415" s="3" t="s">
        <v>70</v>
      </c>
      <c r="U415" s="4">
        <v>1</v>
      </c>
      <c r="V415" s="4">
        <v>1</v>
      </c>
      <c r="W415" s="5" t="s">
        <v>3542</v>
      </c>
      <c r="X415" s="5" t="s">
        <v>3542</v>
      </c>
      <c r="Y415" s="5" t="s">
        <v>4303</v>
      </c>
      <c r="Z415" s="5" t="s">
        <v>4303</v>
      </c>
      <c r="AA415" s="4">
        <v>525</v>
      </c>
      <c r="AB415" s="4">
        <v>462</v>
      </c>
      <c r="AC415" s="4">
        <v>465</v>
      </c>
      <c r="AD415" s="4">
        <v>6</v>
      </c>
      <c r="AE415" s="4">
        <v>6</v>
      </c>
      <c r="AF415" s="4">
        <v>25</v>
      </c>
      <c r="AG415" s="4">
        <v>25</v>
      </c>
      <c r="AH415" s="4">
        <v>5</v>
      </c>
      <c r="AI415" s="4">
        <v>5</v>
      </c>
      <c r="AJ415" s="4">
        <v>6</v>
      </c>
      <c r="AK415" s="4">
        <v>6</v>
      </c>
      <c r="AL415" s="4">
        <v>14</v>
      </c>
      <c r="AM415" s="4">
        <v>14</v>
      </c>
      <c r="AN415" s="4">
        <v>5</v>
      </c>
      <c r="AO415" s="4">
        <v>5</v>
      </c>
      <c r="AP415" s="4">
        <v>1</v>
      </c>
      <c r="AQ415" s="4">
        <v>1</v>
      </c>
      <c r="AR415" s="3" t="s">
        <v>62</v>
      </c>
      <c r="AS415" s="3" t="s">
        <v>84</v>
      </c>
      <c r="AT415" s="6" t="str">
        <f>HYPERLINK("http://catalog.hathitrust.org/Record/001391505","HathiTrust Record")</f>
        <v>HathiTrust Record</v>
      </c>
      <c r="AU415" s="6" t="str">
        <f>HYPERLINK("https://creighton-primo.hosted.exlibrisgroup.com/primo-explore/search?tab=default_tab&amp;search_scope=EVERYTHING&amp;vid=01CRU&amp;lang=en_US&amp;offset=0&amp;query=any,contains,991003809089702656","Catalog Record")</f>
        <v>Catalog Record</v>
      </c>
      <c r="AV415" s="6" t="str">
        <f>HYPERLINK("http://www.worldcat.org/oclc/1533409","WorldCat Record")</f>
        <v>WorldCat Record</v>
      </c>
      <c r="AW415" s="3" t="s">
        <v>5366</v>
      </c>
      <c r="AX415" s="3" t="s">
        <v>5367</v>
      </c>
      <c r="AY415" s="3" t="s">
        <v>5368</v>
      </c>
      <c r="AZ415" s="3" t="s">
        <v>5368</v>
      </c>
      <c r="BA415" s="3" t="s">
        <v>5369</v>
      </c>
      <c r="BB415" s="3" t="s">
        <v>77</v>
      </c>
      <c r="BE415" s="3" t="s">
        <v>5370</v>
      </c>
      <c r="BF415" s="3" t="s">
        <v>5371</v>
      </c>
    </row>
    <row r="416" spans="1:58" ht="41.25" customHeight="1" x14ac:dyDescent="0.25">
      <c r="A416" s="7" t="s">
        <v>62</v>
      </c>
      <c r="B416" s="2" t="s">
        <v>57</v>
      </c>
      <c r="C416" s="2" t="s">
        <v>58</v>
      </c>
      <c r="D416" s="2" t="s">
        <v>5372</v>
      </c>
      <c r="E416" s="2" t="s">
        <v>5373</v>
      </c>
      <c r="F416" s="2" t="s">
        <v>5374</v>
      </c>
      <c r="H416" s="3" t="s">
        <v>62</v>
      </c>
      <c r="I416" s="3" t="s">
        <v>63</v>
      </c>
      <c r="J416" s="3" t="s">
        <v>62</v>
      </c>
      <c r="K416" s="3" t="s">
        <v>62</v>
      </c>
      <c r="L416" s="3" t="s">
        <v>64</v>
      </c>
      <c r="M416" s="2" t="s">
        <v>5375</v>
      </c>
      <c r="N416" s="2" t="s">
        <v>5376</v>
      </c>
      <c r="O416" s="3" t="s">
        <v>267</v>
      </c>
      <c r="Q416" s="3" t="s">
        <v>68</v>
      </c>
      <c r="R416" s="3" t="s">
        <v>69</v>
      </c>
      <c r="T416" s="3" t="s">
        <v>70</v>
      </c>
      <c r="U416" s="4">
        <v>2</v>
      </c>
      <c r="V416" s="4">
        <v>2</v>
      </c>
      <c r="W416" s="5" t="s">
        <v>5377</v>
      </c>
      <c r="X416" s="5" t="s">
        <v>5377</v>
      </c>
      <c r="Y416" s="5" t="s">
        <v>4303</v>
      </c>
      <c r="Z416" s="5" t="s">
        <v>4303</v>
      </c>
      <c r="AA416" s="4">
        <v>738</v>
      </c>
      <c r="AB416" s="4">
        <v>627</v>
      </c>
      <c r="AC416" s="4">
        <v>637</v>
      </c>
      <c r="AD416" s="4">
        <v>5</v>
      </c>
      <c r="AE416" s="4">
        <v>5</v>
      </c>
      <c r="AF416" s="4">
        <v>29</v>
      </c>
      <c r="AG416" s="4">
        <v>29</v>
      </c>
      <c r="AH416" s="4">
        <v>10</v>
      </c>
      <c r="AI416" s="4">
        <v>10</v>
      </c>
      <c r="AJ416" s="4">
        <v>7</v>
      </c>
      <c r="AK416" s="4">
        <v>7</v>
      </c>
      <c r="AL416" s="4">
        <v>17</v>
      </c>
      <c r="AM416" s="4">
        <v>17</v>
      </c>
      <c r="AN416" s="4">
        <v>4</v>
      </c>
      <c r="AO416" s="4">
        <v>4</v>
      </c>
      <c r="AP416" s="4">
        <v>0</v>
      </c>
      <c r="AQ416" s="4">
        <v>0</v>
      </c>
      <c r="AR416" s="3" t="s">
        <v>62</v>
      </c>
      <c r="AS416" s="3" t="s">
        <v>84</v>
      </c>
      <c r="AT416" s="6" t="str">
        <f>HYPERLINK("http://catalog.hathitrust.org/Record/001391510","HathiTrust Record")</f>
        <v>HathiTrust Record</v>
      </c>
      <c r="AU416" s="6" t="str">
        <f>HYPERLINK("https://creighton-primo.hosted.exlibrisgroup.com/primo-explore/search?tab=default_tab&amp;search_scope=EVERYTHING&amp;vid=01CRU&amp;lang=en_US&amp;offset=0&amp;query=any,contains,991001962259702656","Catalog Record")</f>
        <v>Catalog Record</v>
      </c>
      <c r="AV416" s="6" t="str">
        <f>HYPERLINK("http://www.worldcat.org/oclc/253537","WorldCat Record")</f>
        <v>WorldCat Record</v>
      </c>
      <c r="AW416" s="3" t="s">
        <v>5378</v>
      </c>
      <c r="AX416" s="3" t="s">
        <v>5379</v>
      </c>
      <c r="AY416" s="3" t="s">
        <v>5380</v>
      </c>
      <c r="AZ416" s="3" t="s">
        <v>5380</v>
      </c>
      <c r="BA416" s="3" t="s">
        <v>5381</v>
      </c>
      <c r="BB416" s="3" t="s">
        <v>77</v>
      </c>
      <c r="BE416" s="3" t="s">
        <v>5382</v>
      </c>
      <c r="BF416" s="3" t="s">
        <v>5383</v>
      </c>
    </row>
    <row r="417" spans="1:58" ht="41.25" customHeight="1" x14ac:dyDescent="0.25">
      <c r="A417" s="7" t="s">
        <v>62</v>
      </c>
      <c r="B417" s="2" t="s">
        <v>57</v>
      </c>
      <c r="C417" s="2" t="s">
        <v>58</v>
      </c>
      <c r="D417" s="2" t="s">
        <v>5384</v>
      </c>
      <c r="E417" s="2" t="s">
        <v>5385</v>
      </c>
      <c r="F417" s="2" t="s">
        <v>5386</v>
      </c>
      <c r="H417" s="3" t="s">
        <v>62</v>
      </c>
      <c r="I417" s="3" t="s">
        <v>63</v>
      </c>
      <c r="J417" s="3" t="s">
        <v>62</v>
      </c>
      <c r="K417" s="3" t="s">
        <v>62</v>
      </c>
      <c r="L417" s="3" t="s">
        <v>64</v>
      </c>
      <c r="N417" s="2" t="s">
        <v>5387</v>
      </c>
      <c r="O417" s="3" t="s">
        <v>940</v>
      </c>
      <c r="Q417" s="3" t="s">
        <v>68</v>
      </c>
      <c r="R417" s="3" t="s">
        <v>204</v>
      </c>
      <c r="S417" s="2" t="s">
        <v>5388</v>
      </c>
      <c r="T417" s="3" t="s">
        <v>70</v>
      </c>
      <c r="U417" s="4">
        <v>2</v>
      </c>
      <c r="V417" s="4">
        <v>2</v>
      </c>
      <c r="W417" s="5" t="s">
        <v>3371</v>
      </c>
      <c r="X417" s="5" t="s">
        <v>3371</v>
      </c>
      <c r="Y417" s="5" t="s">
        <v>5389</v>
      </c>
      <c r="Z417" s="5" t="s">
        <v>5389</v>
      </c>
      <c r="AA417" s="4">
        <v>287</v>
      </c>
      <c r="AB417" s="4">
        <v>187</v>
      </c>
      <c r="AC417" s="4">
        <v>250</v>
      </c>
      <c r="AD417" s="4">
        <v>3</v>
      </c>
      <c r="AE417" s="4">
        <v>3</v>
      </c>
      <c r="AF417" s="4">
        <v>13</v>
      </c>
      <c r="AG417" s="4">
        <v>16</v>
      </c>
      <c r="AH417" s="4">
        <v>3</v>
      </c>
      <c r="AI417" s="4">
        <v>4</v>
      </c>
      <c r="AJ417" s="4">
        <v>5</v>
      </c>
      <c r="AK417" s="4">
        <v>7</v>
      </c>
      <c r="AL417" s="4">
        <v>8</v>
      </c>
      <c r="AM417" s="4">
        <v>8</v>
      </c>
      <c r="AN417" s="4">
        <v>2</v>
      </c>
      <c r="AO417" s="4">
        <v>2</v>
      </c>
      <c r="AP417" s="4">
        <v>0</v>
      </c>
      <c r="AQ417" s="4">
        <v>0</v>
      </c>
      <c r="AR417" s="3" t="s">
        <v>62</v>
      </c>
      <c r="AS417" s="3" t="s">
        <v>84</v>
      </c>
      <c r="AT417" s="6" t="str">
        <f>HYPERLINK("http://catalog.hathitrust.org/Record/002610273","HathiTrust Record")</f>
        <v>HathiTrust Record</v>
      </c>
      <c r="AU417" s="6" t="str">
        <f>HYPERLINK("https://creighton-primo.hosted.exlibrisgroup.com/primo-explore/search?tab=default_tab&amp;search_scope=EVERYTHING&amp;vid=01CRU&amp;lang=en_US&amp;offset=0&amp;query=any,contains,991002071749702656","Catalog Record")</f>
        <v>Catalog Record</v>
      </c>
      <c r="AV417" s="6" t="str">
        <f>HYPERLINK("http://www.worldcat.org/oclc/26546587","WorldCat Record")</f>
        <v>WorldCat Record</v>
      </c>
      <c r="AW417" s="3" t="s">
        <v>5390</v>
      </c>
      <c r="AX417" s="3" t="s">
        <v>5391</v>
      </c>
      <c r="AY417" s="3" t="s">
        <v>5392</v>
      </c>
      <c r="AZ417" s="3" t="s">
        <v>5392</v>
      </c>
      <c r="BA417" s="3" t="s">
        <v>5393</v>
      </c>
      <c r="BB417" s="3" t="s">
        <v>77</v>
      </c>
      <c r="BD417" s="3" t="s">
        <v>5394</v>
      </c>
      <c r="BE417" s="3" t="s">
        <v>5395</v>
      </c>
      <c r="BF417" s="3" t="s">
        <v>5396</v>
      </c>
    </row>
    <row r="418" spans="1:58" ht="41.25" customHeight="1" x14ac:dyDescent="0.25">
      <c r="A418" s="7" t="s">
        <v>62</v>
      </c>
      <c r="B418" s="2" t="s">
        <v>57</v>
      </c>
      <c r="C418" s="2" t="s">
        <v>58</v>
      </c>
      <c r="D418" s="2" t="s">
        <v>5397</v>
      </c>
      <c r="E418" s="2" t="s">
        <v>5398</v>
      </c>
      <c r="F418" s="2" t="s">
        <v>5399</v>
      </c>
      <c r="H418" s="3" t="s">
        <v>62</v>
      </c>
      <c r="I418" s="3" t="s">
        <v>63</v>
      </c>
      <c r="J418" s="3" t="s">
        <v>62</v>
      </c>
      <c r="K418" s="3" t="s">
        <v>62</v>
      </c>
      <c r="L418" s="3" t="s">
        <v>64</v>
      </c>
      <c r="M418" s="2" t="s">
        <v>5400</v>
      </c>
      <c r="N418" s="2" t="s">
        <v>5401</v>
      </c>
      <c r="O418" s="3" t="s">
        <v>124</v>
      </c>
      <c r="Q418" s="3" t="s">
        <v>68</v>
      </c>
      <c r="R418" s="3" t="s">
        <v>531</v>
      </c>
      <c r="S418" s="2" t="s">
        <v>5402</v>
      </c>
      <c r="T418" s="3" t="s">
        <v>70</v>
      </c>
      <c r="U418" s="4">
        <v>8</v>
      </c>
      <c r="V418" s="4">
        <v>8</v>
      </c>
      <c r="W418" s="5" t="s">
        <v>5403</v>
      </c>
      <c r="X418" s="5" t="s">
        <v>5403</v>
      </c>
      <c r="Y418" s="5" t="s">
        <v>4303</v>
      </c>
      <c r="Z418" s="5" t="s">
        <v>4303</v>
      </c>
      <c r="AA418" s="4">
        <v>929</v>
      </c>
      <c r="AB418" s="4">
        <v>782</v>
      </c>
      <c r="AC418" s="4">
        <v>791</v>
      </c>
      <c r="AD418" s="4">
        <v>7</v>
      </c>
      <c r="AE418" s="4">
        <v>7</v>
      </c>
      <c r="AF418" s="4">
        <v>39</v>
      </c>
      <c r="AG418" s="4">
        <v>39</v>
      </c>
      <c r="AH418" s="4">
        <v>16</v>
      </c>
      <c r="AI418" s="4">
        <v>16</v>
      </c>
      <c r="AJ418" s="4">
        <v>7</v>
      </c>
      <c r="AK418" s="4">
        <v>7</v>
      </c>
      <c r="AL418" s="4">
        <v>19</v>
      </c>
      <c r="AM418" s="4">
        <v>19</v>
      </c>
      <c r="AN418" s="4">
        <v>5</v>
      </c>
      <c r="AO418" s="4">
        <v>5</v>
      </c>
      <c r="AP418" s="4">
        <v>0</v>
      </c>
      <c r="AQ418" s="4">
        <v>0</v>
      </c>
      <c r="AR418" s="3" t="s">
        <v>62</v>
      </c>
      <c r="AS418" s="3" t="s">
        <v>84</v>
      </c>
      <c r="AT418" s="6" t="str">
        <f>HYPERLINK("http://catalog.hathitrust.org/Record/001391514","HathiTrust Record")</f>
        <v>HathiTrust Record</v>
      </c>
      <c r="AU418" s="6" t="str">
        <f>HYPERLINK("https://creighton-primo.hosted.exlibrisgroup.com/primo-explore/search?tab=default_tab&amp;search_scope=EVERYTHING&amp;vid=01CRU&amp;lang=en_US&amp;offset=0&amp;query=any,contains,991001378729702656","Catalog Record")</f>
        <v>Catalog Record</v>
      </c>
      <c r="AV418" s="6" t="str">
        <f>HYPERLINK("http://www.worldcat.org/oclc/225752","WorldCat Record")</f>
        <v>WorldCat Record</v>
      </c>
      <c r="AW418" s="3" t="s">
        <v>5404</v>
      </c>
      <c r="AX418" s="3" t="s">
        <v>5405</v>
      </c>
      <c r="AY418" s="3" t="s">
        <v>5406</v>
      </c>
      <c r="AZ418" s="3" t="s">
        <v>5406</v>
      </c>
      <c r="BA418" s="3" t="s">
        <v>5407</v>
      </c>
      <c r="BB418" s="3" t="s">
        <v>77</v>
      </c>
      <c r="BE418" s="3" t="s">
        <v>5408</v>
      </c>
      <c r="BF418" s="3" t="s">
        <v>5409</v>
      </c>
    </row>
    <row r="419" spans="1:58" ht="41.25" customHeight="1" x14ac:dyDescent="0.25">
      <c r="A419" s="7" t="s">
        <v>62</v>
      </c>
      <c r="B419" s="2" t="s">
        <v>57</v>
      </c>
      <c r="C419" s="2" t="s">
        <v>58</v>
      </c>
      <c r="D419" s="2" t="s">
        <v>5410</v>
      </c>
      <c r="E419" s="2" t="s">
        <v>5411</v>
      </c>
      <c r="F419" s="2" t="s">
        <v>5412</v>
      </c>
      <c r="H419" s="3" t="s">
        <v>62</v>
      </c>
      <c r="I419" s="3" t="s">
        <v>63</v>
      </c>
      <c r="J419" s="3" t="s">
        <v>62</v>
      </c>
      <c r="K419" s="3" t="s">
        <v>62</v>
      </c>
      <c r="L419" s="3" t="s">
        <v>64</v>
      </c>
      <c r="M419" s="2" t="s">
        <v>5413</v>
      </c>
      <c r="N419" s="2" t="s">
        <v>5414</v>
      </c>
      <c r="O419" s="3" t="s">
        <v>684</v>
      </c>
      <c r="Q419" s="3" t="s">
        <v>68</v>
      </c>
      <c r="R419" s="3" t="s">
        <v>531</v>
      </c>
      <c r="T419" s="3" t="s">
        <v>70</v>
      </c>
      <c r="U419" s="4">
        <v>1</v>
      </c>
      <c r="V419" s="4">
        <v>1</v>
      </c>
      <c r="W419" s="5" t="s">
        <v>5377</v>
      </c>
      <c r="X419" s="5" t="s">
        <v>5377</v>
      </c>
      <c r="Y419" s="5" t="s">
        <v>4303</v>
      </c>
      <c r="Z419" s="5" t="s">
        <v>4303</v>
      </c>
      <c r="AA419" s="4">
        <v>972</v>
      </c>
      <c r="AB419" s="4">
        <v>841</v>
      </c>
      <c r="AC419" s="4">
        <v>910</v>
      </c>
      <c r="AD419" s="4">
        <v>4</v>
      </c>
      <c r="AE419" s="4">
        <v>5</v>
      </c>
      <c r="AF419" s="4">
        <v>34</v>
      </c>
      <c r="AG419" s="4">
        <v>37</v>
      </c>
      <c r="AH419" s="4">
        <v>15</v>
      </c>
      <c r="AI419" s="4">
        <v>16</v>
      </c>
      <c r="AJ419" s="4">
        <v>7</v>
      </c>
      <c r="AK419" s="4">
        <v>7</v>
      </c>
      <c r="AL419" s="4">
        <v>18</v>
      </c>
      <c r="AM419" s="4">
        <v>20</v>
      </c>
      <c r="AN419" s="4">
        <v>3</v>
      </c>
      <c r="AO419" s="4">
        <v>4</v>
      </c>
      <c r="AP419" s="4">
        <v>0</v>
      </c>
      <c r="AQ419" s="4">
        <v>0</v>
      </c>
      <c r="AR419" s="3" t="s">
        <v>62</v>
      </c>
      <c r="AS419" s="3" t="s">
        <v>84</v>
      </c>
      <c r="AT419" s="6" t="str">
        <f>HYPERLINK("http://catalog.hathitrust.org/Record/001274779","HathiTrust Record")</f>
        <v>HathiTrust Record</v>
      </c>
      <c r="AU419" s="6" t="str">
        <f>HYPERLINK("https://creighton-primo.hosted.exlibrisgroup.com/primo-explore/search?tab=default_tab&amp;search_scope=EVERYTHING&amp;vid=01CRU&amp;lang=en_US&amp;offset=0&amp;query=any,contains,991002573529702656","Catalog Record")</f>
        <v>Catalog Record</v>
      </c>
      <c r="AV419" s="6" t="str">
        <f>HYPERLINK("http://www.worldcat.org/oclc/374322","WorldCat Record")</f>
        <v>WorldCat Record</v>
      </c>
      <c r="AW419" s="3" t="s">
        <v>5415</v>
      </c>
      <c r="AX419" s="3" t="s">
        <v>5416</v>
      </c>
      <c r="AY419" s="3" t="s">
        <v>5417</v>
      </c>
      <c r="AZ419" s="3" t="s">
        <v>5417</v>
      </c>
      <c r="BA419" s="3" t="s">
        <v>5418</v>
      </c>
      <c r="BB419" s="3" t="s">
        <v>77</v>
      </c>
      <c r="BE419" s="3" t="s">
        <v>5419</v>
      </c>
      <c r="BF419" s="3" t="s">
        <v>5420</v>
      </c>
    </row>
    <row r="420" spans="1:58" ht="41.25" customHeight="1" x14ac:dyDescent="0.25">
      <c r="A420" s="7" t="s">
        <v>62</v>
      </c>
      <c r="B420" s="2" t="s">
        <v>57</v>
      </c>
      <c r="C420" s="2" t="s">
        <v>58</v>
      </c>
      <c r="D420" s="2" t="s">
        <v>5421</v>
      </c>
      <c r="E420" s="2" t="s">
        <v>5422</v>
      </c>
      <c r="F420" s="2" t="s">
        <v>5423</v>
      </c>
      <c r="H420" s="3" t="s">
        <v>62</v>
      </c>
      <c r="I420" s="3" t="s">
        <v>63</v>
      </c>
      <c r="J420" s="3" t="s">
        <v>62</v>
      </c>
      <c r="K420" s="3" t="s">
        <v>62</v>
      </c>
      <c r="L420" s="3" t="s">
        <v>64</v>
      </c>
      <c r="M420" s="2" t="s">
        <v>5424</v>
      </c>
      <c r="N420" s="2" t="s">
        <v>5425</v>
      </c>
      <c r="O420" s="3" t="s">
        <v>1820</v>
      </c>
      <c r="Q420" s="3" t="s">
        <v>68</v>
      </c>
      <c r="R420" s="3" t="s">
        <v>531</v>
      </c>
      <c r="T420" s="3" t="s">
        <v>70</v>
      </c>
      <c r="U420" s="4">
        <v>7</v>
      </c>
      <c r="V420" s="4">
        <v>7</v>
      </c>
      <c r="W420" s="5" t="s">
        <v>5426</v>
      </c>
      <c r="X420" s="5" t="s">
        <v>5426</v>
      </c>
      <c r="Y420" s="5" t="s">
        <v>5427</v>
      </c>
      <c r="Z420" s="5" t="s">
        <v>5427</v>
      </c>
      <c r="AA420" s="4">
        <v>252</v>
      </c>
      <c r="AB420" s="4">
        <v>195</v>
      </c>
      <c r="AC420" s="4">
        <v>337</v>
      </c>
      <c r="AD420" s="4">
        <v>3</v>
      </c>
      <c r="AE420" s="4">
        <v>3</v>
      </c>
      <c r="AF420" s="4">
        <v>15</v>
      </c>
      <c r="AG420" s="4">
        <v>21</v>
      </c>
      <c r="AH420" s="4">
        <v>5</v>
      </c>
      <c r="AI420" s="4">
        <v>7</v>
      </c>
      <c r="AJ420" s="4">
        <v>5</v>
      </c>
      <c r="AK420" s="4">
        <v>7</v>
      </c>
      <c r="AL420" s="4">
        <v>7</v>
      </c>
      <c r="AM420" s="4">
        <v>10</v>
      </c>
      <c r="AN420" s="4">
        <v>2</v>
      </c>
      <c r="AO420" s="4">
        <v>2</v>
      </c>
      <c r="AP420" s="4">
        <v>0</v>
      </c>
      <c r="AQ420" s="4">
        <v>0</v>
      </c>
      <c r="AR420" s="3" t="s">
        <v>62</v>
      </c>
      <c r="AS420" s="3" t="s">
        <v>84</v>
      </c>
      <c r="AT420" s="6" t="str">
        <f>HYPERLINK("http://catalog.hathitrust.org/Record/101997365","HathiTrust Record")</f>
        <v>HathiTrust Record</v>
      </c>
      <c r="AU420" s="6" t="str">
        <f>HYPERLINK("https://creighton-primo.hosted.exlibrisgroup.com/primo-explore/search?tab=default_tab&amp;search_scope=EVERYTHING&amp;vid=01CRU&amp;lang=en_US&amp;offset=0&amp;query=any,contains,991004753409702656","Catalog Record")</f>
        <v>Catalog Record</v>
      </c>
      <c r="AV420" s="6" t="str">
        <f>HYPERLINK("http://www.worldcat.org/oclc/4952137","WorldCat Record")</f>
        <v>WorldCat Record</v>
      </c>
      <c r="AW420" s="3" t="s">
        <v>5428</v>
      </c>
      <c r="AX420" s="3" t="s">
        <v>5429</v>
      </c>
      <c r="AY420" s="3" t="s">
        <v>5430</v>
      </c>
      <c r="AZ420" s="3" t="s">
        <v>5430</v>
      </c>
      <c r="BA420" s="3" t="s">
        <v>5431</v>
      </c>
      <c r="BB420" s="3" t="s">
        <v>77</v>
      </c>
      <c r="BD420" s="3" t="s">
        <v>5432</v>
      </c>
      <c r="BE420" s="3" t="s">
        <v>5433</v>
      </c>
      <c r="BF420" s="3" t="s">
        <v>5434</v>
      </c>
    </row>
    <row r="421" spans="1:58" ht="41.25" customHeight="1" x14ac:dyDescent="0.25">
      <c r="A421" s="7" t="s">
        <v>62</v>
      </c>
      <c r="B421" s="2" t="s">
        <v>57</v>
      </c>
      <c r="C421" s="2" t="s">
        <v>58</v>
      </c>
      <c r="D421" s="2" t="s">
        <v>5435</v>
      </c>
      <c r="E421" s="2" t="s">
        <v>5436</v>
      </c>
      <c r="F421" s="2" t="s">
        <v>5437</v>
      </c>
      <c r="H421" s="3" t="s">
        <v>62</v>
      </c>
      <c r="I421" s="3" t="s">
        <v>63</v>
      </c>
      <c r="J421" s="3" t="s">
        <v>62</v>
      </c>
      <c r="K421" s="3" t="s">
        <v>62</v>
      </c>
      <c r="L421" s="3" t="s">
        <v>64</v>
      </c>
      <c r="M421" s="2" t="s">
        <v>5438</v>
      </c>
      <c r="N421" s="2" t="s">
        <v>5439</v>
      </c>
      <c r="O421" s="3" t="s">
        <v>1533</v>
      </c>
      <c r="Q421" s="3" t="s">
        <v>68</v>
      </c>
      <c r="R421" s="3" t="s">
        <v>69</v>
      </c>
      <c r="T421" s="3" t="s">
        <v>70</v>
      </c>
      <c r="U421" s="4">
        <v>1</v>
      </c>
      <c r="V421" s="4">
        <v>1</v>
      </c>
      <c r="W421" s="5" t="s">
        <v>5377</v>
      </c>
      <c r="X421" s="5" t="s">
        <v>5377</v>
      </c>
      <c r="Y421" s="5" t="s">
        <v>5427</v>
      </c>
      <c r="Z421" s="5" t="s">
        <v>5427</v>
      </c>
      <c r="AA421" s="4">
        <v>350</v>
      </c>
      <c r="AB421" s="4">
        <v>326</v>
      </c>
      <c r="AC421" s="4">
        <v>528</v>
      </c>
      <c r="AD421" s="4">
        <v>3</v>
      </c>
      <c r="AE421" s="4">
        <v>4</v>
      </c>
      <c r="AF421" s="4">
        <v>21</v>
      </c>
      <c r="AG421" s="4">
        <v>29</v>
      </c>
      <c r="AH421" s="4">
        <v>8</v>
      </c>
      <c r="AI421" s="4">
        <v>11</v>
      </c>
      <c r="AJ421" s="4">
        <v>7</v>
      </c>
      <c r="AK421" s="4">
        <v>8</v>
      </c>
      <c r="AL421" s="4">
        <v>11</v>
      </c>
      <c r="AM421" s="4">
        <v>14</v>
      </c>
      <c r="AN421" s="4">
        <v>2</v>
      </c>
      <c r="AO421" s="4">
        <v>3</v>
      </c>
      <c r="AP421" s="4">
        <v>0</v>
      </c>
      <c r="AQ421" s="4">
        <v>0</v>
      </c>
      <c r="AR421" s="3" t="s">
        <v>62</v>
      </c>
      <c r="AS421" s="3" t="s">
        <v>62</v>
      </c>
      <c r="AU421" s="6" t="str">
        <f>HYPERLINK("https://creighton-primo.hosted.exlibrisgroup.com/primo-explore/search?tab=default_tab&amp;search_scope=EVERYTHING&amp;vid=01CRU&amp;lang=en_US&amp;offset=0&amp;query=any,contains,991003245309702656","Catalog Record")</f>
        <v>Catalog Record</v>
      </c>
      <c r="AV421" s="6" t="str">
        <f>HYPERLINK("http://www.worldcat.org/oclc/769008","WorldCat Record")</f>
        <v>WorldCat Record</v>
      </c>
      <c r="AW421" s="3" t="s">
        <v>5440</v>
      </c>
      <c r="AX421" s="3" t="s">
        <v>5441</v>
      </c>
      <c r="AY421" s="3" t="s">
        <v>5442</v>
      </c>
      <c r="AZ421" s="3" t="s">
        <v>5442</v>
      </c>
      <c r="BA421" s="3" t="s">
        <v>5443</v>
      </c>
      <c r="BB421" s="3" t="s">
        <v>77</v>
      </c>
      <c r="BD421" s="3" t="s">
        <v>5444</v>
      </c>
      <c r="BE421" s="3" t="s">
        <v>5445</v>
      </c>
      <c r="BF421" s="3" t="s">
        <v>5446</v>
      </c>
    </row>
    <row r="422" spans="1:58" ht="41.25" customHeight="1" x14ac:dyDescent="0.25">
      <c r="A422" s="7" t="s">
        <v>62</v>
      </c>
      <c r="B422" s="2" t="s">
        <v>57</v>
      </c>
      <c r="C422" s="2" t="s">
        <v>58</v>
      </c>
      <c r="D422" s="2" t="s">
        <v>5447</v>
      </c>
      <c r="E422" s="2" t="s">
        <v>5448</v>
      </c>
      <c r="F422" s="2" t="s">
        <v>5449</v>
      </c>
      <c r="H422" s="3" t="s">
        <v>62</v>
      </c>
      <c r="I422" s="3" t="s">
        <v>63</v>
      </c>
      <c r="J422" s="3" t="s">
        <v>62</v>
      </c>
      <c r="K422" s="3" t="s">
        <v>62</v>
      </c>
      <c r="L422" s="3" t="s">
        <v>64</v>
      </c>
      <c r="M422" s="2" t="s">
        <v>5450</v>
      </c>
      <c r="N422" s="2" t="s">
        <v>5451</v>
      </c>
      <c r="O422" s="3" t="s">
        <v>1012</v>
      </c>
      <c r="P422" s="2" t="s">
        <v>268</v>
      </c>
      <c r="Q422" s="3" t="s">
        <v>68</v>
      </c>
      <c r="R422" s="3" t="s">
        <v>69</v>
      </c>
      <c r="T422" s="3" t="s">
        <v>70</v>
      </c>
      <c r="U422" s="4">
        <v>7</v>
      </c>
      <c r="V422" s="4">
        <v>7</v>
      </c>
      <c r="W422" s="5" t="s">
        <v>5452</v>
      </c>
      <c r="X422" s="5" t="s">
        <v>5452</v>
      </c>
      <c r="Y422" s="5" t="s">
        <v>5427</v>
      </c>
      <c r="Z422" s="5" t="s">
        <v>5427</v>
      </c>
      <c r="AA422" s="4">
        <v>806</v>
      </c>
      <c r="AB422" s="4">
        <v>682</v>
      </c>
      <c r="AC422" s="4">
        <v>1132</v>
      </c>
      <c r="AD422" s="4">
        <v>7</v>
      </c>
      <c r="AE422" s="4">
        <v>10</v>
      </c>
      <c r="AF422" s="4">
        <v>31</v>
      </c>
      <c r="AG422" s="4">
        <v>45</v>
      </c>
      <c r="AH422" s="4">
        <v>12</v>
      </c>
      <c r="AI422" s="4">
        <v>19</v>
      </c>
      <c r="AJ422" s="4">
        <v>7</v>
      </c>
      <c r="AK422" s="4">
        <v>10</v>
      </c>
      <c r="AL422" s="4">
        <v>12</v>
      </c>
      <c r="AM422" s="4">
        <v>22</v>
      </c>
      <c r="AN422" s="4">
        <v>5</v>
      </c>
      <c r="AO422" s="4">
        <v>6</v>
      </c>
      <c r="AP422" s="4">
        <v>0</v>
      </c>
      <c r="AQ422" s="4">
        <v>0</v>
      </c>
      <c r="AR422" s="3" t="s">
        <v>62</v>
      </c>
      <c r="AS422" s="3" t="s">
        <v>84</v>
      </c>
      <c r="AT422" s="6" t="str">
        <f>HYPERLINK("http://catalog.hathitrust.org/Record/001391525","HathiTrust Record")</f>
        <v>HathiTrust Record</v>
      </c>
      <c r="AU422" s="6" t="str">
        <f>HYPERLINK("https://creighton-primo.hosted.exlibrisgroup.com/primo-explore/search?tab=default_tab&amp;search_scope=EVERYTHING&amp;vid=01CRU&amp;lang=en_US&amp;offset=0&amp;query=any,contains,991003109979702656","Catalog Record")</f>
        <v>Catalog Record</v>
      </c>
      <c r="AV422" s="6" t="str">
        <f>HYPERLINK("http://www.worldcat.org/oclc/656217","WorldCat Record")</f>
        <v>WorldCat Record</v>
      </c>
      <c r="AW422" s="3" t="s">
        <v>5453</v>
      </c>
      <c r="AX422" s="3" t="s">
        <v>5454</v>
      </c>
      <c r="AY422" s="3" t="s">
        <v>5455</v>
      </c>
      <c r="AZ422" s="3" t="s">
        <v>5455</v>
      </c>
      <c r="BA422" s="3" t="s">
        <v>5456</v>
      </c>
      <c r="BB422" s="3" t="s">
        <v>77</v>
      </c>
      <c r="BE422" s="3" t="s">
        <v>5457</v>
      </c>
      <c r="BF422" s="3" t="s">
        <v>5458</v>
      </c>
    </row>
    <row r="423" spans="1:58" ht="41.25" customHeight="1" x14ac:dyDescent="0.25">
      <c r="A423" s="7" t="s">
        <v>62</v>
      </c>
      <c r="B423" s="2" t="s">
        <v>57</v>
      </c>
      <c r="C423" s="2" t="s">
        <v>58</v>
      </c>
      <c r="D423" s="2" t="s">
        <v>5459</v>
      </c>
      <c r="E423" s="2" t="s">
        <v>5460</v>
      </c>
      <c r="F423" s="2" t="s">
        <v>5461</v>
      </c>
      <c r="H423" s="3" t="s">
        <v>62</v>
      </c>
      <c r="I423" s="3" t="s">
        <v>63</v>
      </c>
      <c r="J423" s="3" t="s">
        <v>62</v>
      </c>
      <c r="K423" s="3" t="s">
        <v>62</v>
      </c>
      <c r="L423" s="3" t="s">
        <v>64</v>
      </c>
      <c r="M423" s="2" t="s">
        <v>5462</v>
      </c>
      <c r="N423" s="2" t="s">
        <v>5463</v>
      </c>
      <c r="O423" s="3" t="s">
        <v>355</v>
      </c>
      <c r="Q423" s="3" t="s">
        <v>68</v>
      </c>
      <c r="R423" s="3" t="s">
        <v>69</v>
      </c>
      <c r="T423" s="3" t="s">
        <v>70</v>
      </c>
      <c r="U423" s="4">
        <v>5</v>
      </c>
      <c r="V423" s="4">
        <v>5</v>
      </c>
      <c r="W423" s="5" t="s">
        <v>5464</v>
      </c>
      <c r="X423" s="5" t="s">
        <v>5464</v>
      </c>
      <c r="Y423" s="5" t="s">
        <v>5427</v>
      </c>
      <c r="Z423" s="5" t="s">
        <v>5427</v>
      </c>
      <c r="AA423" s="4">
        <v>859</v>
      </c>
      <c r="AB423" s="4">
        <v>703</v>
      </c>
      <c r="AC423" s="4">
        <v>723</v>
      </c>
      <c r="AD423" s="4">
        <v>6</v>
      </c>
      <c r="AE423" s="4">
        <v>6</v>
      </c>
      <c r="AF423" s="4">
        <v>40</v>
      </c>
      <c r="AG423" s="4">
        <v>40</v>
      </c>
      <c r="AH423" s="4">
        <v>18</v>
      </c>
      <c r="AI423" s="4">
        <v>18</v>
      </c>
      <c r="AJ423" s="4">
        <v>7</v>
      </c>
      <c r="AK423" s="4">
        <v>7</v>
      </c>
      <c r="AL423" s="4">
        <v>22</v>
      </c>
      <c r="AM423" s="4">
        <v>22</v>
      </c>
      <c r="AN423" s="4">
        <v>4</v>
      </c>
      <c r="AO423" s="4">
        <v>4</v>
      </c>
      <c r="AP423" s="4">
        <v>0</v>
      </c>
      <c r="AQ423" s="4">
        <v>0</v>
      </c>
      <c r="AR423" s="3" t="s">
        <v>62</v>
      </c>
      <c r="AS423" s="3" t="s">
        <v>84</v>
      </c>
      <c r="AT423" s="6" t="str">
        <f>HYPERLINK("http://catalog.hathitrust.org/Record/000037522","HathiTrust Record")</f>
        <v>HathiTrust Record</v>
      </c>
      <c r="AU423" s="6" t="str">
        <f>HYPERLINK("https://creighton-primo.hosted.exlibrisgroup.com/primo-explore/search?tab=default_tab&amp;search_scope=EVERYTHING&amp;vid=01CRU&amp;lang=en_US&amp;offset=0&amp;query=any,contains,991003569609702656","Catalog Record")</f>
        <v>Catalog Record</v>
      </c>
      <c r="AV423" s="6" t="str">
        <f>HYPERLINK("http://www.worldcat.org/oclc/378073","WorldCat Record")</f>
        <v>WorldCat Record</v>
      </c>
      <c r="AW423" s="3" t="s">
        <v>5465</v>
      </c>
      <c r="AX423" s="3" t="s">
        <v>5466</v>
      </c>
      <c r="AY423" s="3" t="s">
        <v>5467</v>
      </c>
      <c r="AZ423" s="3" t="s">
        <v>5467</v>
      </c>
      <c r="BA423" s="3" t="s">
        <v>5468</v>
      </c>
      <c r="BB423" s="3" t="s">
        <v>77</v>
      </c>
      <c r="BE423" s="3" t="s">
        <v>5469</v>
      </c>
      <c r="BF423" s="3" t="s">
        <v>5470</v>
      </c>
    </row>
    <row r="424" spans="1:58" ht="41.25" customHeight="1" x14ac:dyDescent="0.25">
      <c r="A424" s="7" t="s">
        <v>62</v>
      </c>
      <c r="B424" s="2" t="s">
        <v>57</v>
      </c>
      <c r="C424" s="2" t="s">
        <v>58</v>
      </c>
      <c r="D424" s="2" t="s">
        <v>5471</v>
      </c>
      <c r="E424" s="2" t="s">
        <v>5472</v>
      </c>
      <c r="F424" s="2" t="s">
        <v>5473</v>
      </c>
      <c r="H424" s="3" t="s">
        <v>62</v>
      </c>
      <c r="I424" s="3" t="s">
        <v>63</v>
      </c>
      <c r="J424" s="3" t="s">
        <v>62</v>
      </c>
      <c r="K424" s="3" t="s">
        <v>62</v>
      </c>
      <c r="L424" s="3" t="s">
        <v>64</v>
      </c>
      <c r="M424" s="2" t="s">
        <v>5474</v>
      </c>
      <c r="N424" s="2" t="s">
        <v>5475</v>
      </c>
      <c r="O424" s="3" t="s">
        <v>165</v>
      </c>
      <c r="P424" s="2" t="s">
        <v>5476</v>
      </c>
      <c r="Q424" s="3" t="s">
        <v>68</v>
      </c>
      <c r="R424" s="3" t="s">
        <v>69</v>
      </c>
      <c r="T424" s="3" t="s">
        <v>70</v>
      </c>
      <c r="U424" s="4">
        <v>5</v>
      </c>
      <c r="V424" s="4">
        <v>5</v>
      </c>
      <c r="W424" s="5" t="s">
        <v>5477</v>
      </c>
      <c r="X424" s="5" t="s">
        <v>5477</v>
      </c>
      <c r="Y424" s="5" t="s">
        <v>5427</v>
      </c>
      <c r="Z424" s="5" t="s">
        <v>5427</v>
      </c>
      <c r="AA424" s="4">
        <v>426</v>
      </c>
      <c r="AB424" s="4">
        <v>384</v>
      </c>
      <c r="AC424" s="4">
        <v>431</v>
      </c>
      <c r="AD424" s="4">
        <v>2</v>
      </c>
      <c r="AE424" s="4">
        <v>2</v>
      </c>
      <c r="AF424" s="4">
        <v>23</v>
      </c>
      <c r="AG424" s="4">
        <v>24</v>
      </c>
      <c r="AH424" s="4">
        <v>8</v>
      </c>
      <c r="AI424" s="4">
        <v>8</v>
      </c>
      <c r="AJ424" s="4">
        <v>7</v>
      </c>
      <c r="AK424" s="4">
        <v>7</v>
      </c>
      <c r="AL424" s="4">
        <v>14</v>
      </c>
      <c r="AM424" s="4">
        <v>15</v>
      </c>
      <c r="AN424" s="4">
        <v>1</v>
      </c>
      <c r="AO424" s="4">
        <v>1</v>
      </c>
      <c r="AP424" s="4">
        <v>0</v>
      </c>
      <c r="AQ424" s="4">
        <v>0</v>
      </c>
      <c r="AR424" s="3" t="s">
        <v>62</v>
      </c>
      <c r="AS424" s="3" t="s">
        <v>62</v>
      </c>
      <c r="AU424" s="6" t="str">
        <f>HYPERLINK("https://creighton-primo.hosted.exlibrisgroup.com/primo-explore/search?tab=default_tab&amp;search_scope=EVERYTHING&amp;vid=01CRU&amp;lang=en_US&amp;offset=0&amp;query=any,contains,991004107669702656","Catalog Record")</f>
        <v>Catalog Record</v>
      </c>
      <c r="AV424" s="6" t="str">
        <f>HYPERLINK("http://www.worldcat.org/oclc/2388081","WorldCat Record")</f>
        <v>WorldCat Record</v>
      </c>
      <c r="AW424" s="3" t="s">
        <v>5478</v>
      </c>
      <c r="AX424" s="3" t="s">
        <v>5479</v>
      </c>
      <c r="AY424" s="3" t="s">
        <v>5480</v>
      </c>
      <c r="AZ424" s="3" t="s">
        <v>5480</v>
      </c>
      <c r="BA424" s="3" t="s">
        <v>5481</v>
      </c>
      <c r="BB424" s="3" t="s">
        <v>77</v>
      </c>
      <c r="BD424" s="3" t="s">
        <v>5482</v>
      </c>
      <c r="BE424" s="3" t="s">
        <v>5483</v>
      </c>
      <c r="BF424" s="3" t="s">
        <v>5484</v>
      </c>
    </row>
    <row r="425" spans="1:58" ht="41.25" customHeight="1" x14ac:dyDescent="0.25">
      <c r="A425" s="7" t="s">
        <v>62</v>
      </c>
      <c r="B425" s="2" t="s">
        <v>57</v>
      </c>
      <c r="C425" s="2" t="s">
        <v>58</v>
      </c>
      <c r="D425" s="2" t="s">
        <v>5485</v>
      </c>
      <c r="E425" s="2" t="s">
        <v>5486</v>
      </c>
      <c r="F425" s="2" t="s">
        <v>5487</v>
      </c>
      <c r="H425" s="3" t="s">
        <v>62</v>
      </c>
      <c r="I425" s="3" t="s">
        <v>63</v>
      </c>
      <c r="J425" s="3" t="s">
        <v>62</v>
      </c>
      <c r="K425" s="3" t="s">
        <v>62</v>
      </c>
      <c r="L425" s="3" t="s">
        <v>64</v>
      </c>
      <c r="M425" s="2" t="s">
        <v>5474</v>
      </c>
      <c r="N425" s="2" t="s">
        <v>5488</v>
      </c>
      <c r="O425" s="3" t="s">
        <v>1637</v>
      </c>
      <c r="Q425" s="3" t="s">
        <v>68</v>
      </c>
      <c r="R425" s="3" t="s">
        <v>69</v>
      </c>
      <c r="T425" s="3" t="s">
        <v>70</v>
      </c>
      <c r="U425" s="4">
        <v>5</v>
      </c>
      <c r="V425" s="4">
        <v>5</v>
      </c>
      <c r="W425" s="5" t="s">
        <v>5477</v>
      </c>
      <c r="X425" s="5" t="s">
        <v>5477</v>
      </c>
      <c r="Y425" s="5" t="s">
        <v>5427</v>
      </c>
      <c r="Z425" s="5" t="s">
        <v>5427</v>
      </c>
      <c r="AA425" s="4">
        <v>256</v>
      </c>
      <c r="AB425" s="4">
        <v>196</v>
      </c>
      <c r="AC425" s="4">
        <v>197</v>
      </c>
      <c r="AD425" s="4">
        <v>2</v>
      </c>
      <c r="AE425" s="4">
        <v>2</v>
      </c>
      <c r="AF425" s="4">
        <v>8</v>
      </c>
      <c r="AG425" s="4">
        <v>8</v>
      </c>
      <c r="AH425" s="4">
        <v>1</v>
      </c>
      <c r="AI425" s="4">
        <v>1</v>
      </c>
      <c r="AJ425" s="4">
        <v>3</v>
      </c>
      <c r="AK425" s="4">
        <v>3</v>
      </c>
      <c r="AL425" s="4">
        <v>4</v>
      </c>
      <c r="AM425" s="4">
        <v>4</v>
      </c>
      <c r="AN425" s="4">
        <v>1</v>
      </c>
      <c r="AO425" s="4">
        <v>1</v>
      </c>
      <c r="AP425" s="4">
        <v>0</v>
      </c>
      <c r="AQ425" s="4">
        <v>0</v>
      </c>
      <c r="AR425" s="3" t="s">
        <v>62</v>
      </c>
      <c r="AS425" s="3" t="s">
        <v>84</v>
      </c>
      <c r="AT425" s="6" t="str">
        <f>HYPERLINK("http://catalog.hathitrust.org/Record/101897175","HathiTrust Record")</f>
        <v>HathiTrust Record</v>
      </c>
      <c r="AU425" s="6" t="str">
        <f>HYPERLINK("https://creighton-primo.hosted.exlibrisgroup.com/primo-explore/search?tab=default_tab&amp;search_scope=EVERYTHING&amp;vid=01CRU&amp;lang=en_US&amp;offset=0&amp;query=any,contains,991000070619702656","Catalog Record")</f>
        <v>Catalog Record</v>
      </c>
      <c r="AV425" s="6" t="str">
        <f>HYPERLINK("http://www.worldcat.org/oclc/8784826","WorldCat Record")</f>
        <v>WorldCat Record</v>
      </c>
      <c r="AW425" s="3" t="s">
        <v>5489</v>
      </c>
      <c r="AX425" s="3" t="s">
        <v>5490</v>
      </c>
      <c r="AY425" s="3" t="s">
        <v>5491</v>
      </c>
      <c r="AZ425" s="3" t="s">
        <v>5491</v>
      </c>
      <c r="BA425" s="3" t="s">
        <v>5492</v>
      </c>
      <c r="BB425" s="3" t="s">
        <v>77</v>
      </c>
      <c r="BD425" s="3" t="s">
        <v>5493</v>
      </c>
      <c r="BE425" s="3" t="s">
        <v>5494</v>
      </c>
      <c r="BF425" s="3" t="s">
        <v>5495</v>
      </c>
    </row>
    <row r="426" spans="1:58" ht="41.25" customHeight="1" x14ac:dyDescent="0.25">
      <c r="A426" s="7" t="s">
        <v>62</v>
      </c>
      <c r="B426" s="2" t="s">
        <v>57</v>
      </c>
      <c r="C426" s="2" t="s">
        <v>58</v>
      </c>
      <c r="D426" s="2" t="s">
        <v>5496</v>
      </c>
      <c r="E426" s="2" t="s">
        <v>5497</v>
      </c>
      <c r="F426" s="2" t="s">
        <v>5498</v>
      </c>
      <c r="H426" s="3" t="s">
        <v>62</v>
      </c>
      <c r="I426" s="3" t="s">
        <v>63</v>
      </c>
      <c r="J426" s="3" t="s">
        <v>62</v>
      </c>
      <c r="K426" s="3" t="s">
        <v>62</v>
      </c>
      <c r="L426" s="3" t="s">
        <v>64</v>
      </c>
      <c r="M426" s="2" t="s">
        <v>5499</v>
      </c>
      <c r="N426" s="2" t="s">
        <v>5500</v>
      </c>
      <c r="O426" s="3" t="s">
        <v>1533</v>
      </c>
      <c r="Q426" s="3" t="s">
        <v>68</v>
      </c>
      <c r="R426" s="3" t="s">
        <v>531</v>
      </c>
      <c r="T426" s="3" t="s">
        <v>70</v>
      </c>
      <c r="U426" s="4">
        <v>8</v>
      </c>
      <c r="V426" s="4">
        <v>8</v>
      </c>
      <c r="W426" s="5" t="s">
        <v>5501</v>
      </c>
      <c r="X426" s="5" t="s">
        <v>5501</v>
      </c>
      <c r="Y426" s="5" t="s">
        <v>5427</v>
      </c>
      <c r="Z426" s="5" t="s">
        <v>5427</v>
      </c>
      <c r="AA426" s="4">
        <v>460</v>
      </c>
      <c r="AB426" s="4">
        <v>385</v>
      </c>
      <c r="AC426" s="4">
        <v>393</v>
      </c>
      <c r="AD426" s="4">
        <v>5</v>
      </c>
      <c r="AE426" s="4">
        <v>5</v>
      </c>
      <c r="AF426" s="4">
        <v>24</v>
      </c>
      <c r="AG426" s="4">
        <v>24</v>
      </c>
      <c r="AH426" s="4">
        <v>7</v>
      </c>
      <c r="AI426" s="4">
        <v>7</v>
      </c>
      <c r="AJ426" s="4">
        <v>5</v>
      </c>
      <c r="AK426" s="4">
        <v>5</v>
      </c>
      <c r="AL426" s="4">
        <v>14</v>
      </c>
      <c r="AM426" s="4">
        <v>14</v>
      </c>
      <c r="AN426" s="4">
        <v>4</v>
      </c>
      <c r="AO426" s="4">
        <v>4</v>
      </c>
      <c r="AP426" s="4">
        <v>0</v>
      </c>
      <c r="AQ426" s="4">
        <v>0</v>
      </c>
      <c r="AR426" s="3" t="s">
        <v>62</v>
      </c>
      <c r="AS426" s="3" t="s">
        <v>84</v>
      </c>
      <c r="AT426" s="6" t="str">
        <f>HYPERLINK("http://catalog.hathitrust.org/Record/010679286","HathiTrust Record")</f>
        <v>HathiTrust Record</v>
      </c>
      <c r="AU426" s="6" t="str">
        <f>HYPERLINK("https://creighton-primo.hosted.exlibrisgroup.com/primo-explore/search?tab=default_tab&amp;search_scope=EVERYTHING&amp;vid=01CRU&amp;lang=en_US&amp;offset=0&amp;query=any,contains,991003550889702656","Catalog Record")</f>
        <v>Catalog Record</v>
      </c>
      <c r="AV426" s="6" t="str">
        <f>HYPERLINK("http://www.worldcat.org/oclc/1119442","WorldCat Record")</f>
        <v>WorldCat Record</v>
      </c>
      <c r="AW426" s="3" t="s">
        <v>5502</v>
      </c>
      <c r="AX426" s="3" t="s">
        <v>5503</v>
      </c>
      <c r="AY426" s="3" t="s">
        <v>5504</v>
      </c>
      <c r="AZ426" s="3" t="s">
        <v>5504</v>
      </c>
      <c r="BA426" s="3" t="s">
        <v>5505</v>
      </c>
      <c r="BB426" s="3" t="s">
        <v>77</v>
      </c>
      <c r="BD426" s="3" t="s">
        <v>5506</v>
      </c>
      <c r="BE426" s="3" t="s">
        <v>5507</v>
      </c>
      <c r="BF426" s="3" t="s">
        <v>5508</v>
      </c>
    </row>
    <row r="427" spans="1:58" ht="41.25" customHeight="1" x14ac:dyDescent="0.25">
      <c r="A427" s="7" t="s">
        <v>62</v>
      </c>
      <c r="B427" s="2" t="s">
        <v>57</v>
      </c>
      <c r="C427" s="2" t="s">
        <v>58</v>
      </c>
      <c r="D427" s="2" t="s">
        <v>5509</v>
      </c>
      <c r="E427" s="2" t="s">
        <v>5510</v>
      </c>
      <c r="F427" s="2" t="s">
        <v>5511</v>
      </c>
      <c r="H427" s="3" t="s">
        <v>62</v>
      </c>
      <c r="I427" s="3" t="s">
        <v>63</v>
      </c>
      <c r="J427" s="3" t="s">
        <v>62</v>
      </c>
      <c r="K427" s="3" t="s">
        <v>62</v>
      </c>
      <c r="L427" s="3" t="s">
        <v>64</v>
      </c>
      <c r="M427" s="2" t="s">
        <v>5512</v>
      </c>
      <c r="N427" s="2" t="s">
        <v>5513</v>
      </c>
      <c r="O427" s="3" t="s">
        <v>312</v>
      </c>
      <c r="P427" s="2" t="s">
        <v>268</v>
      </c>
      <c r="Q427" s="3" t="s">
        <v>68</v>
      </c>
      <c r="R427" s="3" t="s">
        <v>69</v>
      </c>
      <c r="T427" s="3" t="s">
        <v>70</v>
      </c>
      <c r="U427" s="4">
        <v>1</v>
      </c>
      <c r="V427" s="4">
        <v>1</v>
      </c>
      <c r="W427" s="5" t="s">
        <v>5514</v>
      </c>
      <c r="X427" s="5" t="s">
        <v>5514</v>
      </c>
      <c r="Y427" s="5" t="s">
        <v>5427</v>
      </c>
      <c r="Z427" s="5" t="s">
        <v>5427</v>
      </c>
      <c r="AA427" s="4">
        <v>547</v>
      </c>
      <c r="AB427" s="4">
        <v>445</v>
      </c>
      <c r="AC427" s="4">
        <v>477</v>
      </c>
      <c r="AD427" s="4">
        <v>5</v>
      </c>
      <c r="AE427" s="4">
        <v>5</v>
      </c>
      <c r="AF427" s="4">
        <v>24</v>
      </c>
      <c r="AG427" s="4">
        <v>24</v>
      </c>
      <c r="AH427" s="4">
        <v>10</v>
      </c>
      <c r="AI427" s="4">
        <v>10</v>
      </c>
      <c r="AJ427" s="4">
        <v>4</v>
      </c>
      <c r="AK427" s="4">
        <v>4</v>
      </c>
      <c r="AL427" s="4">
        <v>13</v>
      </c>
      <c r="AM427" s="4">
        <v>13</v>
      </c>
      <c r="AN427" s="4">
        <v>4</v>
      </c>
      <c r="AO427" s="4">
        <v>4</v>
      </c>
      <c r="AP427" s="4">
        <v>0</v>
      </c>
      <c r="AQ427" s="4">
        <v>0</v>
      </c>
      <c r="AR427" s="3" t="s">
        <v>62</v>
      </c>
      <c r="AS427" s="3" t="s">
        <v>62</v>
      </c>
      <c r="AU427" s="6" t="str">
        <f>HYPERLINK("https://creighton-primo.hosted.exlibrisgroup.com/primo-explore/search?tab=default_tab&amp;search_scope=EVERYTHING&amp;vid=01CRU&amp;lang=en_US&amp;offset=0&amp;query=any,contains,991000895579702656","Catalog Record")</f>
        <v>Catalog Record</v>
      </c>
      <c r="AV427" s="6" t="str">
        <f>HYPERLINK("http://www.worldcat.org/oclc/155921","WorldCat Record")</f>
        <v>WorldCat Record</v>
      </c>
      <c r="AW427" s="3" t="s">
        <v>5515</v>
      </c>
      <c r="AX427" s="3" t="s">
        <v>5516</v>
      </c>
      <c r="AY427" s="3" t="s">
        <v>5517</v>
      </c>
      <c r="AZ427" s="3" t="s">
        <v>5517</v>
      </c>
      <c r="BA427" s="3" t="s">
        <v>5518</v>
      </c>
      <c r="BB427" s="3" t="s">
        <v>77</v>
      </c>
      <c r="BD427" s="3" t="s">
        <v>5519</v>
      </c>
      <c r="BE427" s="3" t="s">
        <v>5520</v>
      </c>
      <c r="BF427" s="3" t="s">
        <v>5521</v>
      </c>
    </row>
    <row r="428" spans="1:58" ht="41.25" customHeight="1" x14ac:dyDescent="0.25">
      <c r="A428" s="7" t="s">
        <v>62</v>
      </c>
      <c r="B428" s="2" t="s">
        <v>57</v>
      </c>
      <c r="C428" s="2" t="s">
        <v>58</v>
      </c>
      <c r="D428" s="2" t="s">
        <v>5522</v>
      </c>
      <c r="E428" s="2" t="s">
        <v>5523</v>
      </c>
      <c r="F428" s="2" t="s">
        <v>5524</v>
      </c>
      <c r="H428" s="3" t="s">
        <v>62</v>
      </c>
      <c r="I428" s="3" t="s">
        <v>63</v>
      </c>
      <c r="J428" s="3" t="s">
        <v>62</v>
      </c>
      <c r="K428" s="3" t="s">
        <v>62</v>
      </c>
      <c r="L428" s="3" t="s">
        <v>64</v>
      </c>
      <c r="M428" s="2" t="s">
        <v>3607</v>
      </c>
      <c r="N428" s="2" t="s">
        <v>5525</v>
      </c>
      <c r="O428" s="3" t="s">
        <v>546</v>
      </c>
      <c r="P428" s="2" t="s">
        <v>4188</v>
      </c>
      <c r="Q428" s="3" t="s">
        <v>68</v>
      </c>
      <c r="R428" s="3" t="s">
        <v>88</v>
      </c>
      <c r="S428" s="2" t="s">
        <v>5526</v>
      </c>
      <c r="T428" s="3" t="s">
        <v>70</v>
      </c>
      <c r="U428" s="4">
        <v>2</v>
      </c>
      <c r="V428" s="4">
        <v>2</v>
      </c>
      <c r="W428" s="5" t="s">
        <v>5527</v>
      </c>
      <c r="X428" s="5" t="s">
        <v>5527</v>
      </c>
      <c r="Y428" s="5" t="s">
        <v>5427</v>
      </c>
      <c r="Z428" s="5" t="s">
        <v>5427</v>
      </c>
      <c r="AA428" s="4">
        <v>151</v>
      </c>
      <c r="AB428" s="4">
        <v>143</v>
      </c>
      <c r="AC428" s="4">
        <v>492</v>
      </c>
      <c r="AD428" s="4">
        <v>1</v>
      </c>
      <c r="AE428" s="4">
        <v>3</v>
      </c>
      <c r="AF428" s="4">
        <v>4</v>
      </c>
      <c r="AG428" s="4">
        <v>16</v>
      </c>
      <c r="AH428" s="4">
        <v>0</v>
      </c>
      <c r="AI428" s="4">
        <v>6</v>
      </c>
      <c r="AJ428" s="4">
        <v>3</v>
      </c>
      <c r="AK428" s="4">
        <v>4</v>
      </c>
      <c r="AL428" s="4">
        <v>1</v>
      </c>
      <c r="AM428" s="4">
        <v>7</v>
      </c>
      <c r="AN428" s="4">
        <v>0</v>
      </c>
      <c r="AO428" s="4">
        <v>2</v>
      </c>
      <c r="AP428" s="4">
        <v>0</v>
      </c>
      <c r="AQ428" s="4">
        <v>0</v>
      </c>
      <c r="AR428" s="3" t="s">
        <v>62</v>
      </c>
      <c r="AS428" s="3" t="s">
        <v>84</v>
      </c>
      <c r="AT428" s="6" t="str">
        <f>HYPERLINK("http://catalog.hathitrust.org/Record/001391535","HathiTrust Record")</f>
        <v>HathiTrust Record</v>
      </c>
      <c r="AU428" s="6" t="str">
        <f>HYPERLINK("https://creighton-primo.hosted.exlibrisgroup.com/primo-explore/search?tab=default_tab&amp;search_scope=EVERYTHING&amp;vid=01CRU&amp;lang=en_US&amp;offset=0&amp;query=any,contains,991002625359702656","Catalog Record")</f>
        <v>Catalog Record</v>
      </c>
      <c r="AV428" s="6" t="str">
        <f>HYPERLINK("http://www.worldcat.org/oclc/381889","WorldCat Record")</f>
        <v>WorldCat Record</v>
      </c>
      <c r="AW428" s="3" t="s">
        <v>5528</v>
      </c>
      <c r="AX428" s="3" t="s">
        <v>5529</v>
      </c>
      <c r="AY428" s="3" t="s">
        <v>5530</v>
      </c>
      <c r="AZ428" s="3" t="s">
        <v>5530</v>
      </c>
      <c r="BA428" s="3" t="s">
        <v>5531</v>
      </c>
      <c r="BB428" s="3" t="s">
        <v>77</v>
      </c>
      <c r="BE428" s="3" t="s">
        <v>5532</v>
      </c>
      <c r="BF428" s="3" t="s">
        <v>5533</v>
      </c>
    </row>
    <row r="429" spans="1:58" ht="41.25" customHeight="1" x14ac:dyDescent="0.25">
      <c r="A429" s="7" t="s">
        <v>62</v>
      </c>
      <c r="B429" s="2" t="s">
        <v>57</v>
      </c>
      <c r="C429" s="2" t="s">
        <v>58</v>
      </c>
      <c r="D429" s="2" t="s">
        <v>5534</v>
      </c>
      <c r="E429" s="2" t="s">
        <v>5535</v>
      </c>
      <c r="F429" s="2" t="s">
        <v>5536</v>
      </c>
      <c r="H429" s="3" t="s">
        <v>62</v>
      </c>
      <c r="I429" s="3" t="s">
        <v>63</v>
      </c>
      <c r="J429" s="3" t="s">
        <v>62</v>
      </c>
      <c r="K429" s="3" t="s">
        <v>62</v>
      </c>
      <c r="L429" s="3" t="s">
        <v>64</v>
      </c>
      <c r="N429" s="2" t="s">
        <v>5537</v>
      </c>
      <c r="O429" s="3" t="s">
        <v>1820</v>
      </c>
      <c r="P429" s="2" t="s">
        <v>834</v>
      </c>
      <c r="Q429" s="3" t="s">
        <v>68</v>
      </c>
      <c r="R429" s="3" t="s">
        <v>204</v>
      </c>
      <c r="S429" s="2" t="s">
        <v>5538</v>
      </c>
      <c r="T429" s="3" t="s">
        <v>70</v>
      </c>
      <c r="U429" s="4">
        <v>3</v>
      </c>
      <c r="V429" s="4">
        <v>3</v>
      </c>
      <c r="W429" s="5" t="s">
        <v>3688</v>
      </c>
      <c r="X429" s="5" t="s">
        <v>3688</v>
      </c>
      <c r="Y429" s="5" t="s">
        <v>5427</v>
      </c>
      <c r="Z429" s="5" t="s">
        <v>5427</v>
      </c>
      <c r="AA429" s="4">
        <v>663</v>
      </c>
      <c r="AB429" s="4">
        <v>567</v>
      </c>
      <c r="AC429" s="4">
        <v>579</v>
      </c>
      <c r="AD429" s="4">
        <v>3</v>
      </c>
      <c r="AE429" s="4">
        <v>3</v>
      </c>
      <c r="AF429" s="4">
        <v>21</v>
      </c>
      <c r="AG429" s="4">
        <v>22</v>
      </c>
      <c r="AH429" s="4">
        <v>10</v>
      </c>
      <c r="AI429" s="4">
        <v>11</v>
      </c>
      <c r="AJ429" s="4">
        <v>5</v>
      </c>
      <c r="AK429" s="4">
        <v>5</v>
      </c>
      <c r="AL429" s="4">
        <v>10</v>
      </c>
      <c r="AM429" s="4">
        <v>10</v>
      </c>
      <c r="AN429" s="4">
        <v>2</v>
      </c>
      <c r="AO429" s="4">
        <v>2</v>
      </c>
      <c r="AP429" s="4">
        <v>0</v>
      </c>
      <c r="AQ429" s="4">
        <v>0</v>
      </c>
      <c r="AR429" s="3" t="s">
        <v>62</v>
      </c>
      <c r="AS429" s="3" t="s">
        <v>84</v>
      </c>
      <c r="AT429" s="6" t="str">
        <f>HYPERLINK("http://catalog.hathitrust.org/Record/000025908","HathiTrust Record")</f>
        <v>HathiTrust Record</v>
      </c>
      <c r="AU429" s="6" t="str">
        <f>HYPERLINK("https://creighton-primo.hosted.exlibrisgroup.com/primo-explore/search?tab=default_tab&amp;search_scope=EVERYTHING&amp;vid=01CRU&amp;lang=en_US&amp;offset=0&amp;query=any,contains,991004785689702656","Catalog Record")</f>
        <v>Catalog Record</v>
      </c>
      <c r="AV429" s="6" t="str">
        <f>HYPERLINK("http://www.worldcat.org/oclc/5140597","WorldCat Record")</f>
        <v>WorldCat Record</v>
      </c>
      <c r="AW429" s="3" t="s">
        <v>5539</v>
      </c>
      <c r="AX429" s="3" t="s">
        <v>5540</v>
      </c>
      <c r="AY429" s="3" t="s">
        <v>5541</v>
      </c>
      <c r="AZ429" s="3" t="s">
        <v>5541</v>
      </c>
      <c r="BA429" s="3" t="s">
        <v>5542</v>
      </c>
      <c r="BB429" s="3" t="s">
        <v>77</v>
      </c>
      <c r="BD429" s="3" t="s">
        <v>5543</v>
      </c>
      <c r="BE429" s="3" t="s">
        <v>5544</v>
      </c>
      <c r="BF429" s="3" t="s">
        <v>5545</v>
      </c>
    </row>
    <row r="430" spans="1:58" ht="41.25" customHeight="1" x14ac:dyDescent="0.25">
      <c r="A430" s="7" t="s">
        <v>62</v>
      </c>
      <c r="B430" s="2" t="s">
        <v>57</v>
      </c>
      <c r="C430" s="2" t="s">
        <v>58</v>
      </c>
      <c r="D430" s="2" t="s">
        <v>5546</v>
      </c>
      <c r="E430" s="2" t="s">
        <v>5547</v>
      </c>
      <c r="F430" s="2" t="s">
        <v>5548</v>
      </c>
      <c r="H430" s="3" t="s">
        <v>62</v>
      </c>
      <c r="I430" s="3" t="s">
        <v>63</v>
      </c>
      <c r="J430" s="3" t="s">
        <v>62</v>
      </c>
      <c r="K430" s="3" t="s">
        <v>62</v>
      </c>
      <c r="L430" s="3" t="s">
        <v>64</v>
      </c>
      <c r="M430" s="2" t="s">
        <v>5549</v>
      </c>
      <c r="N430" s="2" t="s">
        <v>4048</v>
      </c>
      <c r="O430" s="3" t="s">
        <v>67</v>
      </c>
      <c r="Q430" s="3" t="s">
        <v>68</v>
      </c>
      <c r="R430" s="3" t="s">
        <v>69</v>
      </c>
      <c r="S430" s="2" t="s">
        <v>5550</v>
      </c>
      <c r="T430" s="3" t="s">
        <v>70</v>
      </c>
      <c r="U430" s="4">
        <v>2</v>
      </c>
      <c r="V430" s="4">
        <v>2</v>
      </c>
      <c r="W430" s="5" t="s">
        <v>3688</v>
      </c>
      <c r="X430" s="5" t="s">
        <v>3688</v>
      </c>
      <c r="Y430" s="5" t="s">
        <v>5427</v>
      </c>
      <c r="Z430" s="5" t="s">
        <v>5427</v>
      </c>
      <c r="AA430" s="4">
        <v>531</v>
      </c>
      <c r="AB430" s="4">
        <v>476</v>
      </c>
      <c r="AC430" s="4">
        <v>581</v>
      </c>
      <c r="AD430" s="4">
        <v>6</v>
      </c>
      <c r="AE430" s="4">
        <v>6</v>
      </c>
      <c r="AF430" s="4">
        <v>28</v>
      </c>
      <c r="AG430" s="4">
        <v>30</v>
      </c>
      <c r="AH430" s="4">
        <v>8</v>
      </c>
      <c r="AI430" s="4">
        <v>10</v>
      </c>
      <c r="AJ430" s="4">
        <v>5</v>
      </c>
      <c r="AK430" s="4">
        <v>5</v>
      </c>
      <c r="AL430" s="4">
        <v>16</v>
      </c>
      <c r="AM430" s="4">
        <v>17</v>
      </c>
      <c r="AN430" s="4">
        <v>5</v>
      </c>
      <c r="AO430" s="4">
        <v>5</v>
      </c>
      <c r="AP430" s="4">
        <v>0</v>
      </c>
      <c r="AQ430" s="4">
        <v>0</v>
      </c>
      <c r="AR430" s="3" t="s">
        <v>62</v>
      </c>
      <c r="AS430" s="3" t="s">
        <v>84</v>
      </c>
      <c r="AT430" s="6" t="str">
        <f>HYPERLINK("http://catalog.hathitrust.org/Record/101870562","HathiTrust Record")</f>
        <v>HathiTrust Record</v>
      </c>
      <c r="AU430" s="6" t="str">
        <f>HYPERLINK("https://creighton-primo.hosted.exlibrisgroup.com/primo-explore/search?tab=default_tab&amp;search_scope=EVERYTHING&amp;vid=01CRU&amp;lang=en_US&amp;offset=0&amp;query=any,contains,991000136959702656","Catalog Record")</f>
        <v>Catalog Record</v>
      </c>
      <c r="AV430" s="6" t="str">
        <f>HYPERLINK("http://www.worldcat.org/oclc/56838","WorldCat Record")</f>
        <v>WorldCat Record</v>
      </c>
      <c r="AW430" s="3" t="s">
        <v>5551</v>
      </c>
      <c r="AX430" s="3" t="s">
        <v>5552</v>
      </c>
      <c r="AY430" s="3" t="s">
        <v>5553</v>
      </c>
      <c r="AZ430" s="3" t="s">
        <v>5553</v>
      </c>
      <c r="BA430" s="3" t="s">
        <v>5554</v>
      </c>
      <c r="BB430" s="3" t="s">
        <v>77</v>
      </c>
      <c r="BE430" s="3" t="s">
        <v>5555</v>
      </c>
      <c r="BF430" s="3" t="s">
        <v>5556</v>
      </c>
    </row>
    <row r="431" spans="1:58" ht="41.25" customHeight="1" x14ac:dyDescent="0.25">
      <c r="A431" s="7" t="s">
        <v>62</v>
      </c>
      <c r="B431" s="2" t="s">
        <v>57</v>
      </c>
      <c r="C431" s="2" t="s">
        <v>58</v>
      </c>
      <c r="D431" s="2" t="s">
        <v>5557</v>
      </c>
      <c r="E431" s="2" t="s">
        <v>5558</v>
      </c>
      <c r="F431" s="2" t="s">
        <v>5559</v>
      </c>
      <c r="H431" s="3" t="s">
        <v>62</v>
      </c>
      <c r="I431" s="3" t="s">
        <v>63</v>
      </c>
      <c r="J431" s="3" t="s">
        <v>62</v>
      </c>
      <c r="K431" s="3" t="s">
        <v>62</v>
      </c>
      <c r="L431" s="3" t="s">
        <v>64</v>
      </c>
      <c r="M431" s="2" t="s">
        <v>5560</v>
      </c>
      <c r="N431" s="2" t="s">
        <v>5561</v>
      </c>
      <c r="O431" s="3" t="s">
        <v>383</v>
      </c>
      <c r="Q431" s="3" t="s">
        <v>68</v>
      </c>
      <c r="R431" s="3" t="s">
        <v>297</v>
      </c>
      <c r="S431" s="2" t="s">
        <v>5562</v>
      </c>
      <c r="T431" s="3" t="s">
        <v>70</v>
      </c>
      <c r="U431" s="4">
        <v>1</v>
      </c>
      <c r="V431" s="4">
        <v>1</v>
      </c>
      <c r="W431" s="5" t="s">
        <v>5563</v>
      </c>
      <c r="X431" s="5" t="s">
        <v>5563</v>
      </c>
      <c r="Y431" s="5" t="s">
        <v>5427</v>
      </c>
      <c r="Z431" s="5" t="s">
        <v>5427</v>
      </c>
      <c r="AA431" s="4">
        <v>310</v>
      </c>
      <c r="AB431" s="4">
        <v>117</v>
      </c>
      <c r="AC431" s="4">
        <v>379</v>
      </c>
      <c r="AD431" s="4">
        <v>1</v>
      </c>
      <c r="AE431" s="4">
        <v>3</v>
      </c>
      <c r="AF431" s="4">
        <v>9</v>
      </c>
      <c r="AG431" s="4">
        <v>19</v>
      </c>
      <c r="AH431" s="4">
        <v>1</v>
      </c>
      <c r="AI431" s="4">
        <v>3</v>
      </c>
      <c r="AJ431" s="4">
        <v>1</v>
      </c>
      <c r="AK431" s="4">
        <v>3</v>
      </c>
      <c r="AL431" s="4">
        <v>8</v>
      </c>
      <c r="AM431" s="4">
        <v>14</v>
      </c>
      <c r="AN431" s="4">
        <v>0</v>
      </c>
      <c r="AO431" s="4">
        <v>2</v>
      </c>
      <c r="AP431" s="4">
        <v>0</v>
      </c>
      <c r="AQ431" s="4">
        <v>0</v>
      </c>
      <c r="AR431" s="3" t="s">
        <v>62</v>
      </c>
      <c r="AS431" s="3" t="s">
        <v>62</v>
      </c>
      <c r="AU431" s="6" t="str">
        <f>HYPERLINK("https://creighton-primo.hosted.exlibrisgroup.com/primo-explore/search?tab=default_tab&amp;search_scope=EVERYTHING&amp;vid=01CRU&amp;lang=en_US&amp;offset=0&amp;query=any,contains,991000166929702656","Catalog Record")</f>
        <v>Catalog Record</v>
      </c>
      <c r="AV431" s="6" t="str">
        <f>HYPERLINK("http://www.worldcat.org/oclc/61686","WorldCat Record")</f>
        <v>WorldCat Record</v>
      </c>
      <c r="AW431" s="3" t="s">
        <v>5564</v>
      </c>
      <c r="AX431" s="3" t="s">
        <v>5565</v>
      </c>
      <c r="AY431" s="3" t="s">
        <v>5566</v>
      </c>
      <c r="AZ431" s="3" t="s">
        <v>5566</v>
      </c>
      <c r="BA431" s="3" t="s">
        <v>5567</v>
      </c>
      <c r="BB431" s="3" t="s">
        <v>77</v>
      </c>
      <c r="BD431" s="3" t="s">
        <v>5568</v>
      </c>
      <c r="BE431" s="3" t="s">
        <v>5569</v>
      </c>
      <c r="BF431" s="3" t="s">
        <v>5570</v>
      </c>
    </row>
    <row r="432" spans="1:58" ht="41.25" customHeight="1" x14ac:dyDescent="0.25">
      <c r="A432" s="7" t="s">
        <v>62</v>
      </c>
      <c r="B432" s="2" t="s">
        <v>57</v>
      </c>
      <c r="C432" s="2" t="s">
        <v>58</v>
      </c>
      <c r="D432" s="2" t="s">
        <v>5571</v>
      </c>
      <c r="E432" s="2" t="s">
        <v>5572</v>
      </c>
      <c r="F432" s="2" t="s">
        <v>5573</v>
      </c>
      <c r="H432" s="3" t="s">
        <v>62</v>
      </c>
      <c r="I432" s="3" t="s">
        <v>63</v>
      </c>
      <c r="J432" s="3" t="s">
        <v>62</v>
      </c>
      <c r="K432" s="3" t="s">
        <v>62</v>
      </c>
      <c r="L432" s="3" t="s">
        <v>64</v>
      </c>
      <c r="M432" s="2" t="s">
        <v>5574</v>
      </c>
      <c r="N432" s="2" t="s">
        <v>5575</v>
      </c>
      <c r="O432" s="3" t="s">
        <v>312</v>
      </c>
      <c r="P432" s="2" t="s">
        <v>5576</v>
      </c>
      <c r="Q432" s="3" t="s">
        <v>68</v>
      </c>
      <c r="R432" s="3" t="s">
        <v>69</v>
      </c>
      <c r="S432" s="2" t="s">
        <v>5577</v>
      </c>
      <c r="T432" s="3" t="s">
        <v>70</v>
      </c>
      <c r="U432" s="4">
        <v>4</v>
      </c>
      <c r="V432" s="4">
        <v>4</v>
      </c>
      <c r="W432" s="5" t="s">
        <v>3688</v>
      </c>
      <c r="X432" s="5" t="s">
        <v>3688</v>
      </c>
      <c r="Y432" s="5" t="s">
        <v>5427</v>
      </c>
      <c r="Z432" s="5" t="s">
        <v>5427</v>
      </c>
      <c r="AA432" s="4">
        <v>174</v>
      </c>
      <c r="AB432" s="4">
        <v>154</v>
      </c>
      <c r="AC432" s="4">
        <v>377</v>
      </c>
      <c r="AD432" s="4">
        <v>3</v>
      </c>
      <c r="AE432" s="4">
        <v>5</v>
      </c>
      <c r="AF432" s="4">
        <v>7</v>
      </c>
      <c r="AG432" s="4">
        <v>21</v>
      </c>
      <c r="AH432" s="4">
        <v>2</v>
      </c>
      <c r="AI432" s="4">
        <v>10</v>
      </c>
      <c r="AJ432" s="4">
        <v>1</v>
      </c>
      <c r="AK432" s="4">
        <v>3</v>
      </c>
      <c r="AL432" s="4">
        <v>2</v>
      </c>
      <c r="AM432" s="4">
        <v>9</v>
      </c>
      <c r="AN432" s="4">
        <v>2</v>
      </c>
      <c r="AO432" s="4">
        <v>4</v>
      </c>
      <c r="AP432" s="4">
        <v>0</v>
      </c>
      <c r="AQ432" s="4">
        <v>0</v>
      </c>
      <c r="AR432" s="3" t="s">
        <v>62</v>
      </c>
      <c r="AS432" s="3" t="s">
        <v>62</v>
      </c>
      <c r="AU432" s="6" t="str">
        <f>HYPERLINK("https://creighton-primo.hosted.exlibrisgroup.com/primo-explore/search?tab=default_tab&amp;search_scope=EVERYTHING&amp;vid=01CRU&amp;lang=en_US&amp;offset=0&amp;query=any,contains,991001237699702656","Catalog Record")</f>
        <v>Catalog Record</v>
      </c>
      <c r="AV432" s="6" t="str">
        <f>HYPERLINK("http://www.worldcat.org/oclc/206820","WorldCat Record")</f>
        <v>WorldCat Record</v>
      </c>
      <c r="AW432" s="3" t="s">
        <v>5578</v>
      </c>
      <c r="AX432" s="3" t="s">
        <v>5579</v>
      </c>
      <c r="AY432" s="3" t="s">
        <v>5580</v>
      </c>
      <c r="AZ432" s="3" t="s">
        <v>5580</v>
      </c>
      <c r="BA432" s="3" t="s">
        <v>5581</v>
      </c>
      <c r="BB432" s="3" t="s">
        <v>77</v>
      </c>
      <c r="BD432" s="3" t="s">
        <v>5582</v>
      </c>
      <c r="BE432" s="3" t="s">
        <v>5583</v>
      </c>
      <c r="BF432" s="3" t="s">
        <v>5584</v>
      </c>
    </row>
    <row r="433" spans="1:58" ht="41.25" customHeight="1" x14ac:dyDescent="0.25">
      <c r="A433" s="7" t="s">
        <v>62</v>
      </c>
      <c r="B433" s="2" t="s">
        <v>57</v>
      </c>
      <c r="C433" s="2" t="s">
        <v>58</v>
      </c>
      <c r="D433" s="2" t="s">
        <v>5585</v>
      </c>
      <c r="E433" s="2" t="s">
        <v>5586</v>
      </c>
      <c r="F433" s="2" t="s">
        <v>5587</v>
      </c>
      <c r="H433" s="3" t="s">
        <v>62</v>
      </c>
      <c r="I433" s="3" t="s">
        <v>63</v>
      </c>
      <c r="J433" s="3" t="s">
        <v>62</v>
      </c>
      <c r="K433" s="3" t="s">
        <v>62</v>
      </c>
      <c r="L433" s="3" t="s">
        <v>64</v>
      </c>
      <c r="M433" s="2" t="s">
        <v>5588</v>
      </c>
      <c r="N433" s="2" t="s">
        <v>5589</v>
      </c>
      <c r="O433" s="3" t="s">
        <v>590</v>
      </c>
      <c r="Q433" s="3" t="s">
        <v>68</v>
      </c>
      <c r="R433" s="3" t="s">
        <v>88</v>
      </c>
      <c r="T433" s="3" t="s">
        <v>70</v>
      </c>
      <c r="U433" s="4">
        <v>3</v>
      </c>
      <c r="V433" s="4">
        <v>3</v>
      </c>
      <c r="W433" s="5" t="s">
        <v>89</v>
      </c>
      <c r="X433" s="5" t="s">
        <v>89</v>
      </c>
      <c r="Y433" s="5" t="s">
        <v>5427</v>
      </c>
      <c r="Z433" s="5" t="s">
        <v>5427</v>
      </c>
      <c r="AA433" s="4">
        <v>898</v>
      </c>
      <c r="AB433" s="4">
        <v>708</v>
      </c>
      <c r="AC433" s="4">
        <v>715</v>
      </c>
      <c r="AD433" s="4">
        <v>7</v>
      </c>
      <c r="AE433" s="4">
        <v>7</v>
      </c>
      <c r="AF433" s="4">
        <v>35</v>
      </c>
      <c r="AG433" s="4">
        <v>35</v>
      </c>
      <c r="AH433" s="4">
        <v>14</v>
      </c>
      <c r="AI433" s="4">
        <v>14</v>
      </c>
      <c r="AJ433" s="4">
        <v>5</v>
      </c>
      <c r="AK433" s="4">
        <v>5</v>
      </c>
      <c r="AL433" s="4">
        <v>18</v>
      </c>
      <c r="AM433" s="4">
        <v>18</v>
      </c>
      <c r="AN433" s="4">
        <v>6</v>
      </c>
      <c r="AO433" s="4">
        <v>6</v>
      </c>
      <c r="AP433" s="4">
        <v>0</v>
      </c>
      <c r="AQ433" s="4">
        <v>0</v>
      </c>
      <c r="AR433" s="3" t="s">
        <v>62</v>
      </c>
      <c r="AS433" s="3" t="s">
        <v>84</v>
      </c>
      <c r="AT433" s="6" t="str">
        <f>HYPERLINK("http://catalog.hathitrust.org/Record/001391538","HathiTrust Record")</f>
        <v>HathiTrust Record</v>
      </c>
      <c r="AU433" s="6" t="str">
        <f>HYPERLINK("https://creighton-primo.hosted.exlibrisgroup.com/primo-explore/search?tab=default_tab&amp;search_scope=EVERYTHING&amp;vid=01CRU&amp;lang=en_US&amp;offset=0&amp;query=any,contains,991002589009702656","Catalog Record")</f>
        <v>Catalog Record</v>
      </c>
      <c r="AV433" s="6" t="str">
        <f>HYPERLINK("http://www.worldcat.org/oclc/375412","WorldCat Record")</f>
        <v>WorldCat Record</v>
      </c>
      <c r="AW433" s="3" t="s">
        <v>5590</v>
      </c>
      <c r="AX433" s="3" t="s">
        <v>5591</v>
      </c>
      <c r="AY433" s="3" t="s">
        <v>5592</v>
      </c>
      <c r="AZ433" s="3" t="s">
        <v>5592</v>
      </c>
      <c r="BA433" s="3" t="s">
        <v>5593</v>
      </c>
      <c r="BB433" s="3" t="s">
        <v>77</v>
      </c>
      <c r="BE433" s="3" t="s">
        <v>5594</v>
      </c>
      <c r="BF433" s="3" t="s">
        <v>5595</v>
      </c>
    </row>
    <row r="434" spans="1:58" ht="41.25" customHeight="1" x14ac:dyDescent="0.25">
      <c r="A434" s="7" t="s">
        <v>62</v>
      </c>
      <c r="B434" s="2" t="s">
        <v>57</v>
      </c>
      <c r="C434" s="2" t="s">
        <v>58</v>
      </c>
      <c r="D434" s="2" t="s">
        <v>5596</v>
      </c>
      <c r="E434" s="2" t="s">
        <v>5597</v>
      </c>
      <c r="F434" s="2" t="s">
        <v>5598</v>
      </c>
      <c r="H434" s="3" t="s">
        <v>62</v>
      </c>
      <c r="I434" s="3" t="s">
        <v>63</v>
      </c>
      <c r="J434" s="3" t="s">
        <v>62</v>
      </c>
      <c r="K434" s="3" t="s">
        <v>62</v>
      </c>
      <c r="L434" s="3" t="s">
        <v>64</v>
      </c>
      <c r="N434" s="2" t="s">
        <v>5599</v>
      </c>
      <c r="O434" s="3" t="s">
        <v>940</v>
      </c>
      <c r="Q434" s="3" t="s">
        <v>68</v>
      </c>
      <c r="R434" s="3" t="s">
        <v>297</v>
      </c>
      <c r="T434" s="3" t="s">
        <v>70</v>
      </c>
      <c r="U434" s="4">
        <v>3</v>
      </c>
      <c r="V434" s="4">
        <v>3</v>
      </c>
      <c r="W434" s="5" t="s">
        <v>5600</v>
      </c>
      <c r="X434" s="5" t="s">
        <v>5600</v>
      </c>
      <c r="Y434" s="5" t="s">
        <v>5601</v>
      </c>
      <c r="Z434" s="5" t="s">
        <v>5601</v>
      </c>
      <c r="AA434" s="4">
        <v>296</v>
      </c>
      <c r="AB434" s="4">
        <v>191</v>
      </c>
      <c r="AC434" s="4">
        <v>192</v>
      </c>
      <c r="AD434" s="4">
        <v>3</v>
      </c>
      <c r="AE434" s="4">
        <v>3</v>
      </c>
      <c r="AF434" s="4">
        <v>15</v>
      </c>
      <c r="AG434" s="4">
        <v>15</v>
      </c>
      <c r="AH434" s="4">
        <v>3</v>
      </c>
      <c r="AI434" s="4">
        <v>3</v>
      </c>
      <c r="AJ434" s="4">
        <v>5</v>
      </c>
      <c r="AK434" s="4">
        <v>5</v>
      </c>
      <c r="AL434" s="4">
        <v>9</v>
      </c>
      <c r="AM434" s="4">
        <v>9</v>
      </c>
      <c r="AN434" s="4">
        <v>2</v>
      </c>
      <c r="AO434" s="4">
        <v>2</v>
      </c>
      <c r="AP434" s="4">
        <v>0</v>
      </c>
      <c r="AQ434" s="4">
        <v>0</v>
      </c>
      <c r="AR434" s="3" t="s">
        <v>62</v>
      </c>
      <c r="AS434" s="3" t="s">
        <v>84</v>
      </c>
      <c r="AT434" s="6" t="str">
        <f>HYPERLINK("http://catalog.hathitrust.org/Record/002700739","HathiTrust Record")</f>
        <v>HathiTrust Record</v>
      </c>
      <c r="AU434" s="6" t="str">
        <f>HYPERLINK("https://creighton-primo.hosted.exlibrisgroup.com/primo-explore/search?tab=default_tab&amp;search_scope=EVERYTHING&amp;vid=01CRU&amp;lang=en_US&amp;offset=0&amp;query=any,contains,991002109909702656","Catalog Record")</f>
        <v>Catalog Record</v>
      </c>
      <c r="AV434" s="6" t="str">
        <f>HYPERLINK("http://www.worldcat.org/oclc/27035668","WorldCat Record")</f>
        <v>WorldCat Record</v>
      </c>
      <c r="AW434" s="3" t="s">
        <v>5602</v>
      </c>
      <c r="AX434" s="3" t="s">
        <v>5603</v>
      </c>
      <c r="AY434" s="3" t="s">
        <v>5604</v>
      </c>
      <c r="AZ434" s="3" t="s">
        <v>5604</v>
      </c>
      <c r="BA434" s="3" t="s">
        <v>5605</v>
      </c>
      <c r="BB434" s="3" t="s">
        <v>77</v>
      </c>
      <c r="BD434" s="3" t="s">
        <v>5606</v>
      </c>
      <c r="BE434" s="3" t="s">
        <v>5607</v>
      </c>
      <c r="BF434" s="3" t="s">
        <v>5608</v>
      </c>
    </row>
    <row r="435" spans="1:58" ht="41.25" customHeight="1" x14ac:dyDescent="0.25">
      <c r="A435" s="7" t="s">
        <v>62</v>
      </c>
      <c r="B435" s="2" t="s">
        <v>57</v>
      </c>
      <c r="C435" s="2" t="s">
        <v>58</v>
      </c>
      <c r="D435" s="2" t="s">
        <v>5609</v>
      </c>
      <c r="E435" s="2" t="s">
        <v>5610</v>
      </c>
      <c r="F435" s="2" t="s">
        <v>5611</v>
      </c>
      <c r="H435" s="3" t="s">
        <v>62</v>
      </c>
      <c r="I435" s="3" t="s">
        <v>63</v>
      </c>
      <c r="J435" s="3" t="s">
        <v>62</v>
      </c>
      <c r="K435" s="3" t="s">
        <v>84</v>
      </c>
      <c r="L435" s="3" t="s">
        <v>64</v>
      </c>
      <c r="N435" s="2" t="s">
        <v>5612</v>
      </c>
      <c r="O435" s="3" t="s">
        <v>804</v>
      </c>
      <c r="Q435" s="3" t="s">
        <v>68</v>
      </c>
      <c r="R435" s="3" t="s">
        <v>297</v>
      </c>
      <c r="T435" s="3" t="s">
        <v>70</v>
      </c>
      <c r="U435" s="4">
        <v>2</v>
      </c>
      <c r="V435" s="4">
        <v>2</v>
      </c>
      <c r="W435" s="5" t="s">
        <v>5613</v>
      </c>
      <c r="X435" s="5" t="s">
        <v>5613</v>
      </c>
      <c r="Y435" s="5" t="s">
        <v>5427</v>
      </c>
      <c r="Z435" s="5" t="s">
        <v>5427</v>
      </c>
      <c r="AA435" s="4">
        <v>226</v>
      </c>
      <c r="AB435" s="4">
        <v>142</v>
      </c>
      <c r="AC435" s="4">
        <v>216</v>
      </c>
      <c r="AD435" s="4">
        <v>2</v>
      </c>
      <c r="AE435" s="4">
        <v>3</v>
      </c>
      <c r="AF435" s="4">
        <v>13</v>
      </c>
      <c r="AG435" s="4">
        <v>18</v>
      </c>
      <c r="AH435" s="4">
        <v>4</v>
      </c>
      <c r="AI435" s="4">
        <v>6</v>
      </c>
      <c r="AJ435" s="4">
        <v>3</v>
      </c>
      <c r="AK435" s="4">
        <v>3</v>
      </c>
      <c r="AL435" s="4">
        <v>10</v>
      </c>
      <c r="AM435" s="4">
        <v>13</v>
      </c>
      <c r="AN435" s="4">
        <v>1</v>
      </c>
      <c r="AO435" s="4">
        <v>2</v>
      </c>
      <c r="AP435" s="4">
        <v>0</v>
      </c>
      <c r="AQ435" s="4">
        <v>0</v>
      </c>
      <c r="AR435" s="3" t="s">
        <v>62</v>
      </c>
      <c r="AS435" s="3" t="s">
        <v>84</v>
      </c>
      <c r="AT435" s="6" t="str">
        <f>HYPERLINK("http://catalog.hathitrust.org/Record/101879441","HathiTrust Record")</f>
        <v>HathiTrust Record</v>
      </c>
      <c r="AU435" s="6" t="str">
        <f>HYPERLINK("https://creighton-primo.hosted.exlibrisgroup.com/primo-explore/search?tab=default_tab&amp;search_scope=EVERYTHING&amp;vid=01CRU&amp;lang=en_US&amp;offset=0&amp;query=any,contains,991001166879702656","Catalog Record")</f>
        <v>Catalog Record</v>
      </c>
      <c r="AV435" s="6" t="str">
        <f>HYPERLINK("http://www.worldcat.org/oclc/16924386","WorldCat Record")</f>
        <v>WorldCat Record</v>
      </c>
      <c r="AW435" s="3" t="s">
        <v>5614</v>
      </c>
      <c r="AX435" s="3" t="s">
        <v>5615</v>
      </c>
      <c r="AY435" s="3" t="s">
        <v>5616</v>
      </c>
      <c r="AZ435" s="3" t="s">
        <v>5616</v>
      </c>
      <c r="BA435" s="3" t="s">
        <v>5617</v>
      </c>
      <c r="BB435" s="3" t="s">
        <v>77</v>
      </c>
      <c r="BD435" s="3" t="s">
        <v>5618</v>
      </c>
      <c r="BE435" s="3" t="s">
        <v>5619</v>
      </c>
      <c r="BF435" s="3" t="s">
        <v>5620</v>
      </c>
    </row>
    <row r="436" spans="1:58" ht="41.25" customHeight="1" x14ac:dyDescent="0.25">
      <c r="A436" s="7" t="s">
        <v>62</v>
      </c>
      <c r="B436" s="2" t="s">
        <v>57</v>
      </c>
      <c r="C436" s="2" t="s">
        <v>58</v>
      </c>
      <c r="D436" s="2" t="s">
        <v>5621</v>
      </c>
      <c r="E436" s="2" t="s">
        <v>5622</v>
      </c>
      <c r="F436" s="2" t="s">
        <v>5623</v>
      </c>
      <c r="H436" s="3" t="s">
        <v>62</v>
      </c>
      <c r="I436" s="3" t="s">
        <v>63</v>
      </c>
      <c r="J436" s="3" t="s">
        <v>62</v>
      </c>
      <c r="K436" s="3" t="s">
        <v>62</v>
      </c>
      <c r="L436" s="3" t="s">
        <v>64</v>
      </c>
      <c r="M436" s="2" t="s">
        <v>5624</v>
      </c>
      <c r="N436" s="2" t="s">
        <v>5625</v>
      </c>
      <c r="O436" s="3" t="s">
        <v>1637</v>
      </c>
      <c r="Q436" s="3" t="s">
        <v>68</v>
      </c>
      <c r="R436" s="3" t="s">
        <v>297</v>
      </c>
      <c r="T436" s="3" t="s">
        <v>70</v>
      </c>
      <c r="U436" s="4">
        <v>7</v>
      </c>
      <c r="V436" s="4">
        <v>7</v>
      </c>
      <c r="W436" s="5" t="s">
        <v>5626</v>
      </c>
      <c r="X436" s="5" t="s">
        <v>5626</v>
      </c>
      <c r="Y436" s="5" t="s">
        <v>5427</v>
      </c>
      <c r="Z436" s="5" t="s">
        <v>5427</v>
      </c>
      <c r="AA436" s="4">
        <v>292</v>
      </c>
      <c r="AB436" s="4">
        <v>172</v>
      </c>
      <c r="AC436" s="4">
        <v>688</v>
      </c>
      <c r="AD436" s="4">
        <v>1</v>
      </c>
      <c r="AE436" s="4">
        <v>4</v>
      </c>
      <c r="AF436" s="4">
        <v>8</v>
      </c>
      <c r="AG436" s="4">
        <v>22</v>
      </c>
      <c r="AH436" s="4">
        <v>2</v>
      </c>
      <c r="AI436" s="4">
        <v>7</v>
      </c>
      <c r="AJ436" s="4">
        <v>2</v>
      </c>
      <c r="AK436" s="4">
        <v>6</v>
      </c>
      <c r="AL436" s="4">
        <v>6</v>
      </c>
      <c r="AM436" s="4">
        <v>12</v>
      </c>
      <c r="AN436" s="4">
        <v>0</v>
      </c>
      <c r="AO436" s="4">
        <v>3</v>
      </c>
      <c r="AP436" s="4">
        <v>0</v>
      </c>
      <c r="AQ436" s="4">
        <v>0</v>
      </c>
      <c r="AR436" s="3" t="s">
        <v>62</v>
      </c>
      <c r="AS436" s="3" t="s">
        <v>84</v>
      </c>
      <c r="AT436" s="6" t="str">
        <f>HYPERLINK("http://catalog.hathitrust.org/Record/009919104","HathiTrust Record")</f>
        <v>HathiTrust Record</v>
      </c>
      <c r="AU436" s="6" t="str">
        <f>HYPERLINK("https://creighton-primo.hosted.exlibrisgroup.com/primo-explore/search?tab=default_tab&amp;search_scope=EVERYTHING&amp;vid=01CRU&amp;lang=en_US&amp;offset=0&amp;query=any,contains,991000721609702656","Catalog Record")</f>
        <v>Catalog Record</v>
      </c>
      <c r="AV436" s="6" t="str">
        <f>HYPERLINK("http://www.worldcat.org/oclc/12666860","WorldCat Record")</f>
        <v>WorldCat Record</v>
      </c>
      <c r="AW436" s="3" t="s">
        <v>5627</v>
      </c>
      <c r="AX436" s="3" t="s">
        <v>5628</v>
      </c>
      <c r="AY436" s="3" t="s">
        <v>5629</v>
      </c>
      <c r="AZ436" s="3" t="s">
        <v>5629</v>
      </c>
      <c r="BA436" s="3" t="s">
        <v>5630</v>
      </c>
      <c r="BB436" s="3" t="s">
        <v>77</v>
      </c>
      <c r="BD436" s="3" t="s">
        <v>5631</v>
      </c>
      <c r="BE436" s="3" t="s">
        <v>5632</v>
      </c>
      <c r="BF436" s="3" t="s">
        <v>5633</v>
      </c>
    </row>
    <row r="437" spans="1:58" ht="41.25" customHeight="1" x14ac:dyDescent="0.25">
      <c r="A437" s="7" t="s">
        <v>62</v>
      </c>
      <c r="B437" s="2" t="s">
        <v>57</v>
      </c>
      <c r="C437" s="2" t="s">
        <v>58</v>
      </c>
      <c r="D437" s="2" t="s">
        <v>5634</v>
      </c>
      <c r="E437" s="2" t="s">
        <v>5635</v>
      </c>
      <c r="F437" s="2" t="s">
        <v>5636</v>
      </c>
      <c r="H437" s="3" t="s">
        <v>62</v>
      </c>
      <c r="I437" s="3" t="s">
        <v>63</v>
      </c>
      <c r="J437" s="3" t="s">
        <v>62</v>
      </c>
      <c r="K437" s="3" t="s">
        <v>62</v>
      </c>
      <c r="L437" s="3" t="s">
        <v>64</v>
      </c>
      <c r="M437" s="2" t="s">
        <v>5637</v>
      </c>
      <c r="N437" s="2" t="s">
        <v>5638</v>
      </c>
      <c r="O437" s="3" t="s">
        <v>87</v>
      </c>
      <c r="Q437" s="3" t="s">
        <v>68</v>
      </c>
      <c r="R437" s="3" t="s">
        <v>88</v>
      </c>
      <c r="S437" s="2" t="s">
        <v>5639</v>
      </c>
      <c r="T437" s="3" t="s">
        <v>70</v>
      </c>
      <c r="U437" s="4">
        <v>2</v>
      </c>
      <c r="V437" s="4">
        <v>2</v>
      </c>
      <c r="W437" s="5" t="s">
        <v>5514</v>
      </c>
      <c r="X437" s="5" t="s">
        <v>5514</v>
      </c>
      <c r="Y437" s="5" t="s">
        <v>5427</v>
      </c>
      <c r="Z437" s="5" t="s">
        <v>5427</v>
      </c>
      <c r="AA437" s="4">
        <v>672</v>
      </c>
      <c r="AB437" s="4">
        <v>536</v>
      </c>
      <c r="AC437" s="4">
        <v>549</v>
      </c>
      <c r="AD437" s="4">
        <v>4</v>
      </c>
      <c r="AE437" s="4">
        <v>4</v>
      </c>
      <c r="AF437" s="4">
        <v>22</v>
      </c>
      <c r="AG437" s="4">
        <v>22</v>
      </c>
      <c r="AH437" s="4">
        <v>10</v>
      </c>
      <c r="AI437" s="4">
        <v>10</v>
      </c>
      <c r="AJ437" s="4">
        <v>3</v>
      </c>
      <c r="AK437" s="4">
        <v>3</v>
      </c>
      <c r="AL437" s="4">
        <v>13</v>
      </c>
      <c r="AM437" s="4">
        <v>13</v>
      </c>
      <c r="AN437" s="4">
        <v>3</v>
      </c>
      <c r="AO437" s="4">
        <v>3</v>
      </c>
      <c r="AP437" s="4">
        <v>0</v>
      </c>
      <c r="AQ437" s="4">
        <v>0</v>
      </c>
      <c r="AR437" s="3" t="s">
        <v>84</v>
      </c>
      <c r="AS437" s="3" t="s">
        <v>62</v>
      </c>
      <c r="AT437" s="6" t="str">
        <f>HYPERLINK("http://catalog.hathitrust.org/Record/001391545","HathiTrust Record")</f>
        <v>HathiTrust Record</v>
      </c>
      <c r="AU437" s="6" t="str">
        <f>HYPERLINK("https://creighton-primo.hosted.exlibrisgroup.com/primo-explore/search?tab=default_tab&amp;search_scope=EVERYTHING&amp;vid=01CRU&amp;lang=en_US&amp;offset=0&amp;query=any,contains,991002400619702656","Catalog Record")</f>
        <v>Catalog Record</v>
      </c>
      <c r="AV437" s="6" t="str">
        <f>HYPERLINK("http://www.worldcat.org/oclc/336604","WorldCat Record")</f>
        <v>WorldCat Record</v>
      </c>
      <c r="AW437" s="3" t="s">
        <v>5640</v>
      </c>
      <c r="AX437" s="3" t="s">
        <v>5641</v>
      </c>
      <c r="AY437" s="3" t="s">
        <v>5642</v>
      </c>
      <c r="AZ437" s="3" t="s">
        <v>5642</v>
      </c>
      <c r="BA437" s="3" t="s">
        <v>5643</v>
      </c>
      <c r="BB437" s="3" t="s">
        <v>77</v>
      </c>
      <c r="BE437" s="3" t="s">
        <v>5644</v>
      </c>
      <c r="BF437" s="3" t="s">
        <v>5645</v>
      </c>
    </row>
    <row r="438" spans="1:58" ht="41.25" customHeight="1" x14ac:dyDescent="0.25">
      <c r="A438" s="7" t="s">
        <v>62</v>
      </c>
      <c r="B438" s="2" t="s">
        <v>57</v>
      </c>
      <c r="C438" s="2" t="s">
        <v>58</v>
      </c>
      <c r="D438" s="2" t="s">
        <v>5646</v>
      </c>
      <c r="E438" s="2" t="s">
        <v>5647</v>
      </c>
      <c r="F438" s="2" t="s">
        <v>5648</v>
      </c>
      <c r="H438" s="3" t="s">
        <v>62</v>
      </c>
      <c r="I438" s="3" t="s">
        <v>63</v>
      </c>
      <c r="J438" s="3" t="s">
        <v>62</v>
      </c>
      <c r="K438" s="3" t="s">
        <v>62</v>
      </c>
      <c r="L438" s="3" t="s">
        <v>64</v>
      </c>
      <c r="M438" s="2" t="s">
        <v>5649</v>
      </c>
      <c r="N438" s="2" t="s">
        <v>5650</v>
      </c>
      <c r="O438" s="3" t="s">
        <v>561</v>
      </c>
      <c r="Q438" s="3" t="s">
        <v>68</v>
      </c>
      <c r="R438" s="3" t="s">
        <v>5651</v>
      </c>
      <c r="T438" s="3" t="s">
        <v>70</v>
      </c>
      <c r="U438" s="4">
        <v>2</v>
      </c>
      <c r="V438" s="4">
        <v>2</v>
      </c>
      <c r="W438" s="5" t="s">
        <v>5354</v>
      </c>
      <c r="X438" s="5" t="s">
        <v>5354</v>
      </c>
      <c r="Y438" s="5" t="s">
        <v>5427</v>
      </c>
      <c r="Z438" s="5" t="s">
        <v>5427</v>
      </c>
      <c r="AA438" s="4">
        <v>125</v>
      </c>
      <c r="AB438" s="4">
        <v>65</v>
      </c>
      <c r="AC438" s="4">
        <v>67</v>
      </c>
      <c r="AD438" s="4">
        <v>1</v>
      </c>
      <c r="AE438" s="4">
        <v>1</v>
      </c>
      <c r="AF438" s="4">
        <v>3</v>
      </c>
      <c r="AG438" s="4">
        <v>3</v>
      </c>
      <c r="AH438" s="4">
        <v>1</v>
      </c>
      <c r="AI438" s="4">
        <v>1</v>
      </c>
      <c r="AJ438" s="4">
        <v>1</v>
      </c>
      <c r="AK438" s="4">
        <v>1</v>
      </c>
      <c r="AL438" s="4">
        <v>2</v>
      </c>
      <c r="AM438" s="4">
        <v>2</v>
      </c>
      <c r="AN438" s="4">
        <v>0</v>
      </c>
      <c r="AO438" s="4">
        <v>0</v>
      </c>
      <c r="AP438" s="4">
        <v>0</v>
      </c>
      <c r="AQ438" s="4">
        <v>0</v>
      </c>
      <c r="AR438" s="3" t="s">
        <v>62</v>
      </c>
      <c r="AS438" s="3" t="s">
        <v>84</v>
      </c>
      <c r="AT438" s="6" t="str">
        <f>HYPERLINK("http://catalog.hathitrust.org/Record/000811275","HathiTrust Record")</f>
        <v>HathiTrust Record</v>
      </c>
      <c r="AU438" s="6" t="str">
        <f>HYPERLINK("https://creighton-primo.hosted.exlibrisgroup.com/primo-explore/search?tab=default_tab&amp;search_scope=EVERYTHING&amp;vid=01CRU&amp;lang=en_US&amp;offset=0&amp;query=any,contains,991000843879702656","Catalog Record")</f>
        <v>Catalog Record</v>
      </c>
      <c r="AV438" s="6" t="str">
        <f>HYPERLINK("http://www.worldcat.org/oclc/13546873","WorldCat Record")</f>
        <v>WorldCat Record</v>
      </c>
      <c r="AW438" s="3" t="s">
        <v>5652</v>
      </c>
      <c r="AX438" s="3" t="s">
        <v>5653</v>
      </c>
      <c r="AY438" s="3" t="s">
        <v>5654</v>
      </c>
      <c r="AZ438" s="3" t="s">
        <v>5654</v>
      </c>
      <c r="BA438" s="3" t="s">
        <v>5655</v>
      </c>
      <c r="BB438" s="3" t="s">
        <v>77</v>
      </c>
      <c r="BE438" s="3" t="s">
        <v>5656</v>
      </c>
      <c r="BF438" s="3" t="s">
        <v>5657</v>
      </c>
    </row>
    <row r="439" spans="1:58" ht="41.25" customHeight="1" x14ac:dyDescent="0.25">
      <c r="A439" s="7" t="s">
        <v>62</v>
      </c>
      <c r="B439" s="2" t="s">
        <v>57</v>
      </c>
      <c r="C439" s="2" t="s">
        <v>58</v>
      </c>
      <c r="D439" s="2" t="s">
        <v>5658</v>
      </c>
      <c r="E439" s="2" t="s">
        <v>5659</v>
      </c>
      <c r="F439" s="2" t="s">
        <v>5660</v>
      </c>
      <c r="H439" s="3" t="s">
        <v>62</v>
      </c>
      <c r="I439" s="3" t="s">
        <v>63</v>
      </c>
      <c r="J439" s="3" t="s">
        <v>62</v>
      </c>
      <c r="K439" s="3" t="s">
        <v>62</v>
      </c>
      <c r="L439" s="3" t="s">
        <v>64</v>
      </c>
      <c r="M439" s="2" t="s">
        <v>5661</v>
      </c>
      <c r="N439" s="2" t="s">
        <v>5662</v>
      </c>
      <c r="O439" s="3" t="s">
        <v>340</v>
      </c>
      <c r="Q439" s="3" t="s">
        <v>68</v>
      </c>
      <c r="R439" s="3" t="s">
        <v>888</v>
      </c>
      <c r="T439" s="3" t="s">
        <v>70</v>
      </c>
      <c r="U439" s="4">
        <v>7</v>
      </c>
      <c r="V439" s="4">
        <v>7</v>
      </c>
      <c r="W439" s="5" t="s">
        <v>5663</v>
      </c>
      <c r="X439" s="5" t="s">
        <v>5663</v>
      </c>
      <c r="Y439" s="5" t="s">
        <v>5427</v>
      </c>
      <c r="Z439" s="5" t="s">
        <v>5427</v>
      </c>
      <c r="AA439" s="4">
        <v>1385</v>
      </c>
      <c r="AB439" s="4">
        <v>1240</v>
      </c>
      <c r="AC439" s="4">
        <v>1562</v>
      </c>
      <c r="AD439" s="4">
        <v>9</v>
      </c>
      <c r="AE439" s="4">
        <v>11</v>
      </c>
      <c r="AF439" s="4">
        <v>48</v>
      </c>
      <c r="AG439" s="4">
        <v>58</v>
      </c>
      <c r="AH439" s="4">
        <v>20</v>
      </c>
      <c r="AI439" s="4">
        <v>26</v>
      </c>
      <c r="AJ439" s="4">
        <v>7</v>
      </c>
      <c r="AK439" s="4">
        <v>10</v>
      </c>
      <c r="AL439" s="4">
        <v>23</v>
      </c>
      <c r="AM439" s="4">
        <v>24</v>
      </c>
      <c r="AN439" s="4">
        <v>8</v>
      </c>
      <c r="AO439" s="4">
        <v>9</v>
      </c>
      <c r="AP439" s="4">
        <v>0</v>
      </c>
      <c r="AQ439" s="4">
        <v>1</v>
      </c>
      <c r="AR439" s="3" t="s">
        <v>62</v>
      </c>
      <c r="AS439" s="3" t="s">
        <v>84</v>
      </c>
      <c r="AT439" s="6" t="str">
        <f>HYPERLINK("http://catalog.hathitrust.org/Record/001391548","HathiTrust Record")</f>
        <v>HathiTrust Record</v>
      </c>
      <c r="AU439" s="6" t="str">
        <f>HYPERLINK("https://creighton-primo.hosted.exlibrisgroup.com/primo-explore/search?tab=default_tab&amp;search_scope=EVERYTHING&amp;vid=01CRU&amp;lang=en_US&amp;offset=0&amp;query=any,contains,991005355009702656","Catalog Record")</f>
        <v>Catalog Record</v>
      </c>
      <c r="AV439" s="6" t="str">
        <f>HYPERLINK("http://www.worldcat.org/oclc/378072","WorldCat Record")</f>
        <v>WorldCat Record</v>
      </c>
      <c r="AW439" s="3" t="s">
        <v>5664</v>
      </c>
      <c r="AX439" s="3" t="s">
        <v>5665</v>
      </c>
      <c r="AY439" s="3" t="s">
        <v>5666</v>
      </c>
      <c r="AZ439" s="3" t="s">
        <v>5666</v>
      </c>
      <c r="BA439" s="3" t="s">
        <v>5667</v>
      </c>
      <c r="BB439" s="3" t="s">
        <v>77</v>
      </c>
      <c r="BE439" s="3" t="s">
        <v>5668</v>
      </c>
      <c r="BF439" s="3" t="s">
        <v>5669</v>
      </c>
    </row>
    <row r="440" spans="1:58" ht="41.25" customHeight="1" x14ac:dyDescent="0.25">
      <c r="A440" s="7" t="s">
        <v>62</v>
      </c>
      <c r="B440" s="2" t="s">
        <v>57</v>
      </c>
      <c r="C440" s="2" t="s">
        <v>58</v>
      </c>
      <c r="D440" s="2" t="s">
        <v>5670</v>
      </c>
      <c r="E440" s="2" t="s">
        <v>5671</v>
      </c>
      <c r="F440" s="2" t="s">
        <v>5672</v>
      </c>
      <c r="H440" s="3" t="s">
        <v>62</v>
      </c>
      <c r="I440" s="3" t="s">
        <v>63</v>
      </c>
      <c r="J440" s="3" t="s">
        <v>62</v>
      </c>
      <c r="K440" s="3" t="s">
        <v>62</v>
      </c>
      <c r="L440" s="3" t="s">
        <v>64</v>
      </c>
      <c r="M440" s="2" t="s">
        <v>5673</v>
      </c>
      <c r="N440" s="2" t="s">
        <v>5674</v>
      </c>
      <c r="O440" s="3" t="s">
        <v>529</v>
      </c>
      <c r="P440" s="2" t="s">
        <v>5675</v>
      </c>
      <c r="Q440" s="3" t="s">
        <v>68</v>
      </c>
      <c r="R440" s="3" t="s">
        <v>1349</v>
      </c>
      <c r="T440" s="3" t="s">
        <v>70</v>
      </c>
      <c r="U440" s="4">
        <v>3</v>
      </c>
      <c r="V440" s="4">
        <v>3</v>
      </c>
      <c r="W440" s="5" t="s">
        <v>5676</v>
      </c>
      <c r="X440" s="5" t="s">
        <v>5676</v>
      </c>
      <c r="Y440" s="5" t="s">
        <v>5427</v>
      </c>
      <c r="Z440" s="5" t="s">
        <v>5427</v>
      </c>
      <c r="AA440" s="4">
        <v>140</v>
      </c>
      <c r="AB440" s="4">
        <v>119</v>
      </c>
      <c r="AC440" s="4">
        <v>191</v>
      </c>
      <c r="AD440" s="4">
        <v>2</v>
      </c>
      <c r="AE440" s="4">
        <v>3</v>
      </c>
      <c r="AF440" s="4">
        <v>7</v>
      </c>
      <c r="AG440" s="4">
        <v>10</v>
      </c>
      <c r="AH440" s="4">
        <v>1</v>
      </c>
      <c r="AI440" s="4">
        <v>1</v>
      </c>
      <c r="AJ440" s="4">
        <v>1</v>
      </c>
      <c r="AK440" s="4">
        <v>1</v>
      </c>
      <c r="AL440" s="4">
        <v>6</v>
      </c>
      <c r="AM440" s="4">
        <v>8</v>
      </c>
      <c r="AN440" s="4">
        <v>1</v>
      </c>
      <c r="AO440" s="4">
        <v>2</v>
      </c>
      <c r="AP440" s="4">
        <v>0</v>
      </c>
      <c r="AQ440" s="4">
        <v>0</v>
      </c>
      <c r="AR440" s="3" t="s">
        <v>62</v>
      </c>
      <c r="AS440" s="3" t="s">
        <v>84</v>
      </c>
      <c r="AT440" s="6" t="str">
        <f>HYPERLINK("http://catalog.hathitrust.org/Record/000337321","HathiTrust Record")</f>
        <v>HathiTrust Record</v>
      </c>
      <c r="AU440" s="6" t="str">
        <f>HYPERLINK("https://creighton-primo.hosted.exlibrisgroup.com/primo-explore/search?tab=default_tab&amp;search_scope=EVERYTHING&amp;vid=01CRU&amp;lang=en_US&amp;offset=0&amp;query=any,contains,991000418509702656","Catalog Record")</f>
        <v>Catalog Record</v>
      </c>
      <c r="AV440" s="6" t="str">
        <f>HYPERLINK("http://www.worldcat.org/oclc/10726763","WorldCat Record")</f>
        <v>WorldCat Record</v>
      </c>
      <c r="AW440" s="3" t="s">
        <v>5677</v>
      </c>
      <c r="AX440" s="3" t="s">
        <v>5678</v>
      </c>
      <c r="AY440" s="3" t="s">
        <v>5679</v>
      </c>
      <c r="AZ440" s="3" t="s">
        <v>5679</v>
      </c>
      <c r="BA440" s="3" t="s">
        <v>5680</v>
      </c>
      <c r="BB440" s="3" t="s">
        <v>77</v>
      </c>
      <c r="BD440" s="3" t="s">
        <v>5681</v>
      </c>
      <c r="BE440" s="3" t="s">
        <v>5682</v>
      </c>
      <c r="BF440" s="3" t="s">
        <v>5683</v>
      </c>
    </row>
    <row r="441" spans="1:58" ht="41.25" customHeight="1" x14ac:dyDescent="0.25">
      <c r="A441" s="7" t="s">
        <v>62</v>
      </c>
      <c r="B441" s="2" t="s">
        <v>57</v>
      </c>
      <c r="C441" s="2" t="s">
        <v>58</v>
      </c>
      <c r="D441" s="2" t="s">
        <v>5684</v>
      </c>
      <c r="E441" s="2" t="s">
        <v>5685</v>
      </c>
      <c r="F441" s="2" t="s">
        <v>5686</v>
      </c>
      <c r="H441" s="3" t="s">
        <v>62</v>
      </c>
      <c r="I441" s="3" t="s">
        <v>63</v>
      </c>
      <c r="J441" s="3" t="s">
        <v>62</v>
      </c>
      <c r="K441" s="3" t="s">
        <v>62</v>
      </c>
      <c r="L441" s="3" t="s">
        <v>64</v>
      </c>
      <c r="M441" s="2" t="s">
        <v>5687</v>
      </c>
      <c r="N441" s="2" t="s">
        <v>5688</v>
      </c>
      <c r="O441" s="3" t="s">
        <v>1158</v>
      </c>
      <c r="P441" s="2" t="s">
        <v>3453</v>
      </c>
      <c r="Q441" s="3" t="s">
        <v>68</v>
      </c>
      <c r="R441" s="3" t="s">
        <v>69</v>
      </c>
      <c r="T441" s="3" t="s">
        <v>70</v>
      </c>
      <c r="U441" s="4">
        <v>5</v>
      </c>
      <c r="V441" s="4">
        <v>5</v>
      </c>
      <c r="W441" s="5" t="s">
        <v>5689</v>
      </c>
      <c r="X441" s="5" t="s">
        <v>5689</v>
      </c>
      <c r="Y441" s="5" t="s">
        <v>5427</v>
      </c>
      <c r="Z441" s="5" t="s">
        <v>5427</v>
      </c>
      <c r="AA441" s="4">
        <v>474</v>
      </c>
      <c r="AB441" s="4">
        <v>428</v>
      </c>
      <c r="AC441" s="4">
        <v>521</v>
      </c>
      <c r="AD441" s="4">
        <v>3</v>
      </c>
      <c r="AE441" s="4">
        <v>4</v>
      </c>
      <c r="AF441" s="4">
        <v>18</v>
      </c>
      <c r="AG441" s="4">
        <v>25</v>
      </c>
      <c r="AH441" s="4">
        <v>7</v>
      </c>
      <c r="AI441" s="4">
        <v>8</v>
      </c>
      <c r="AJ441" s="4">
        <v>3</v>
      </c>
      <c r="AK441" s="4">
        <v>5</v>
      </c>
      <c r="AL441" s="4">
        <v>11</v>
      </c>
      <c r="AM441" s="4">
        <v>15</v>
      </c>
      <c r="AN441" s="4">
        <v>2</v>
      </c>
      <c r="AO441" s="4">
        <v>3</v>
      </c>
      <c r="AP441" s="4">
        <v>0</v>
      </c>
      <c r="AQ441" s="4">
        <v>0</v>
      </c>
      <c r="AR441" s="3" t="s">
        <v>62</v>
      </c>
      <c r="AS441" s="3" t="s">
        <v>84</v>
      </c>
      <c r="AT441" s="6" t="str">
        <f>HYPERLINK("http://catalog.hathitrust.org/Record/001391550","HathiTrust Record")</f>
        <v>HathiTrust Record</v>
      </c>
      <c r="AU441" s="6" t="str">
        <f>HYPERLINK("https://creighton-primo.hosted.exlibrisgroup.com/primo-explore/search?tab=default_tab&amp;search_scope=EVERYTHING&amp;vid=01CRU&amp;lang=en_US&amp;offset=0&amp;query=any,contains,991005356829702656","Catalog Record")</f>
        <v>Catalog Record</v>
      </c>
      <c r="AV441" s="6" t="str">
        <f>HYPERLINK("http://www.worldcat.org/oclc/792970","WorldCat Record")</f>
        <v>WorldCat Record</v>
      </c>
      <c r="AW441" s="3" t="s">
        <v>5690</v>
      </c>
      <c r="AX441" s="3" t="s">
        <v>5691</v>
      </c>
      <c r="AY441" s="3" t="s">
        <v>5692</v>
      </c>
      <c r="AZ441" s="3" t="s">
        <v>5692</v>
      </c>
      <c r="BA441" s="3" t="s">
        <v>5693</v>
      </c>
      <c r="BB441" s="3" t="s">
        <v>77</v>
      </c>
      <c r="BD441" s="3" t="s">
        <v>5694</v>
      </c>
      <c r="BE441" s="3" t="s">
        <v>5695</v>
      </c>
      <c r="BF441" s="3" t="s">
        <v>5696</v>
      </c>
    </row>
    <row r="442" spans="1:58" ht="41.25" customHeight="1" x14ac:dyDescent="0.25">
      <c r="A442" s="7" t="s">
        <v>62</v>
      </c>
      <c r="B442" s="2" t="s">
        <v>57</v>
      </c>
      <c r="C442" s="2" t="s">
        <v>58</v>
      </c>
      <c r="D442" s="2" t="s">
        <v>5697</v>
      </c>
      <c r="E442" s="2" t="s">
        <v>5698</v>
      </c>
      <c r="F442" s="2" t="s">
        <v>5699</v>
      </c>
      <c r="H442" s="3" t="s">
        <v>62</v>
      </c>
      <c r="I442" s="3" t="s">
        <v>63</v>
      </c>
      <c r="J442" s="3" t="s">
        <v>62</v>
      </c>
      <c r="K442" s="3" t="s">
        <v>62</v>
      </c>
      <c r="L442" s="3" t="s">
        <v>64</v>
      </c>
      <c r="M442" s="2" t="s">
        <v>5700</v>
      </c>
      <c r="N442" s="2" t="s">
        <v>5701</v>
      </c>
      <c r="O442" s="3" t="s">
        <v>218</v>
      </c>
      <c r="Q442" s="3" t="s">
        <v>68</v>
      </c>
      <c r="R442" s="3" t="s">
        <v>166</v>
      </c>
      <c r="S442" s="2" t="s">
        <v>5702</v>
      </c>
      <c r="T442" s="3" t="s">
        <v>70</v>
      </c>
      <c r="U442" s="4">
        <v>3</v>
      </c>
      <c r="V442" s="4">
        <v>3</v>
      </c>
      <c r="W442" s="5" t="s">
        <v>5703</v>
      </c>
      <c r="X442" s="5" t="s">
        <v>5703</v>
      </c>
      <c r="Y442" s="5" t="s">
        <v>5427</v>
      </c>
      <c r="Z442" s="5" t="s">
        <v>5427</v>
      </c>
      <c r="AA442" s="4">
        <v>623</v>
      </c>
      <c r="AB442" s="4">
        <v>546</v>
      </c>
      <c r="AC442" s="4">
        <v>552</v>
      </c>
      <c r="AD442" s="4">
        <v>5</v>
      </c>
      <c r="AE442" s="4">
        <v>5</v>
      </c>
      <c r="AF442" s="4">
        <v>23</v>
      </c>
      <c r="AG442" s="4">
        <v>23</v>
      </c>
      <c r="AH442" s="4">
        <v>10</v>
      </c>
      <c r="AI442" s="4">
        <v>10</v>
      </c>
      <c r="AJ442" s="4">
        <v>4</v>
      </c>
      <c r="AK442" s="4">
        <v>4</v>
      </c>
      <c r="AL442" s="4">
        <v>11</v>
      </c>
      <c r="AM442" s="4">
        <v>11</v>
      </c>
      <c r="AN442" s="4">
        <v>4</v>
      </c>
      <c r="AO442" s="4">
        <v>4</v>
      </c>
      <c r="AP442" s="4">
        <v>0</v>
      </c>
      <c r="AQ442" s="4">
        <v>0</v>
      </c>
      <c r="AR442" s="3" t="s">
        <v>62</v>
      </c>
      <c r="AS442" s="3" t="s">
        <v>84</v>
      </c>
      <c r="AT442" s="6" t="str">
        <f>HYPERLINK("http://catalog.hathitrust.org/Record/000751913","HathiTrust Record")</f>
        <v>HathiTrust Record</v>
      </c>
      <c r="AU442" s="6" t="str">
        <f>HYPERLINK("https://creighton-primo.hosted.exlibrisgroup.com/primo-explore/search?tab=default_tab&amp;search_scope=EVERYTHING&amp;vid=01CRU&amp;lang=en_US&amp;offset=0&amp;query=any,contains,991004429149702656","Catalog Record")</f>
        <v>Catalog Record</v>
      </c>
      <c r="AV442" s="6" t="str">
        <f>HYPERLINK("http://www.worldcat.org/oclc/3414690","WorldCat Record")</f>
        <v>WorldCat Record</v>
      </c>
      <c r="AW442" s="3" t="s">
        <v>5704</v>
      </c>
      <c r="AX442" s="3" t="s">
        <v>5705</v>
      </c>
      <c r="AY442" s="3" t="s">
        <v>5706</v>
      </c>
      <c r="AZ442" s="3" t="s">
        <v>5706</v>
      </c>
      <c r="BA442" s="3" t="s">
        <v>5707</v>
      </c>
      <c r="BB442" s="3" t="s">
        <v>77</v>
      </c>
      <c r="BD442" s="3" t="s">
        <v>5708</v>
      </c>
      <c r="BE442" s="3" t="s">
        <v>5709</v>
      </c>
      <c r="BF442" s="3" t="s">
        <v>5710</v>
      </c>
    </row>
    <row r="443" spans="1:58" ht="41.25" customHeight="1" x14ac:dyDescent="0.25">
      <c r="A443" s="7" t="s">
        <v>62</v>
      </c>
      <c r="B443" s="2" t="s">
        <v>57</v>
      </c>
      <c r="C443" s="2" t="s">
        <v>58</v>
      </c>
      <c r="D443" s="2" t="s">
        <v>5711</v>
      </c>
      <c r="E443" s="2" t="s">
        <v>5712</v>
      </c>
      <c r="F443" s="2" t="s">
        <v>5713</v>
      </c>
      <c r="H443" s="3" t="s">
        <v>62</v>
      </c>
      <c r="I443" s="3" t="s">
        <v>63</v>
      </c>
      <c r="J443" s="3" t="s">
        <v>62</v>
      </c>
      <c r="K443" s="3" t="s">
        <v>62</v>
      </c>
      <c r="L443" s="3" t="s">
        <v>64</v>
      </c>
      <c r="M443" s="2" t="s">
        <v>5714</v>
      </c>
      <c r="N443" s="2" t="s">
        <v>5715</v>
      </c>
      <c r="O443" s="3" t="s">
        <v>902</v>
      </c>
      <c r="Q443" s="3" t="s">
        <v>68</v>
      </c>
      <c r="R443" s="3" t="s">
        <v>69</v>
      </c>
      <c r="T443" s="3" t="s">
        <v>70</v>
      </c>
      <c r="U443" s="4">
        <v>3</v>
      </c>
      <c r="V443" s="4">
        <v>3</v>
      </c>
      <c r="W443" s="5" t="s">
        <v>89</v>
      </c>
      <c r="X443" s="5" t="s">
        <v>89</v>
      </c>
      <c r="Y443" s="5" t="s">
        <v>5427</v>
      </c>
      <c r="Z443" s="5" t="s">
        <v>5427</v>
      </c>
      <c r="AA443" s="4">
        <v>911</v>
      </c>
      <c r="AB443" s="4">
        <v>757</v>
      </c>
      <c r="AC443" s="4">
        <v>783</v>
      </c>
      <c r="AD443" s="4">
        <v>7</v>
      </c>
      <c r="AE443" s="4">
        <v>7</v>
      </c>
      <c r="AF443" s="4">
        <v>36</v>
      </c>
      <c r="AG443" s="4">
        <v>37</v>
      </c>
      <c r="AH443" s="4">
        <v>17</v>
      </c>
      <c r="AI443" s="4">
        <v>18</v>
      </c>
      <c r="AJ443" s="4">
        <v>8</v>
      </c>
      <c r="AK443" s="4">
        <v>8</v>
      </c>
      <c r="AL443" s="4">
        <v>18</v>
      </c>
      <c r="AM443" s="4">
        <v>18</v>
      </c>
      <c r="AN443" s="4">
        <v>5</v>
      </c>
      <c r="AO443" s="4">
        <v>5</v>
      </c>
      <c r="AP443" s="4">
        <v>0</v>
      </c>
      <c r="AQ443" s="4">
        <v>0</v>
      </c>
      <c r="AR443" s="3" t="s">
        <v>62</v>
      </c>
      <c r="AS443" s="3" t="s">
        <v>84</v>
      </c>
      <c r="AT443" s="6" t="str">
        <f>HYPERLINK("http://catalog.hathitrust.org/Record/001391552","HathiTrust Record")</f>
        <v>HathiTrust Record</v>
      </c>
      <c r="AU443" s="6" t="str">
        <f>HYPERLINK("https://creighton-primo.hosted.exlibrisgroup.com/primo-explore/search?tab=default_tab&amp;search_scope=EVERYTHING&amp;vid=01CRU&amp;lang=en_US&amp;offset=0&amp;query=any,contains,991002045549702656","Catalog Record")</f>
        <v>Catalog Record</v>
      </c>
      <c r="AV443" s="6" t="str">
        <f>HYPERLINK("http://www.worldcat.org/oclc/261290","WorldCat Record")</f>
        <v>WorldCat Record</v>
      </c>
      <c r="AW443" s="3" t="s">
        <v>5716</v>
      </c>
      <c r="AX443" s="3" t="s">
        <v>5717</v>
      </c>
      <c r="AY443" s="3" t="s">
        <v>5718</v>
      </c>
      <c r="AZ443" s="3" t="s">
        <v>5718</v>
      </c>
      <c r="BA443" s="3" t="s">
        <v>5719</v>
      </c>
      <c r="BB443" s="3" t="s">
        <v>77</v>
      </c>
      <c r="BE443" s="3" t="s">
        <v>5720</v>
      </c>
      <c r="BF443" s="3" t="s">
        <v>5721</v>
      </c>
    </row>
    <row r="444" spans="1:58" ht="41.25" customHeight="1" x14ac:dyDescent="0.25">
      <c r="A444" s="7" t="s">
        <v>62</v>
      </c>
      <c r="B444" s="2" t="s">
        <v>57</v>
      </c>
      <c r="C444" s="2" t="s">
        <v>58</v>
      </c>
      <c r="D444" s="2" t="s">
        <v>5722</v>
      </c>
      <c r="E444" s="2" t="s">
        <v>5723</v>
      </c>
      <c r="F444" s="2" t="s">
        <v>5724</v>
      </c>
      <c r="H444" s="3" t="s">
        <v>62</v>
      </c>
      <c r="I444" s="3" t="s">
        <v>63</v>
      </c>
      <c r="J444" s="3" t="s">
        <v>62</v>
      </c>
      <c r="K444" s="3" t="s">
        <v>62</v>
      </c>
      <c r="L444" s="3" t="s">
        <v>64</v>
      </c>
      <c r="M444" s="2" t="s">
        <v>5725</v>
      </c>
      <c r="N444" s="2" t="s">
        <v>5726</v>
      </c>
      <c r="O444" s="3" t="s">
        <v>67</v>
      </c>
      <c r="Q444" s="3" t="s">
        <v>68</v>
      </c>
      <c r="R444" s="3" t="s">
        <v>5727</v>
      </c>
      <c r="T444" s="3" t="s">
        <v>70</v>
      </c>
      <c r="U444" s="4">
        <v>3</v>
      </c>
      <c r="V444" s="4">
        <v>3</v>
      </c>
      <c r="W444" s="5" t="s">
        <v>5728</v>
      </c>
      <c r="X444" s="5" t="s">
        <v>5728</v>
      </c>
      <c r="Y444" s="5" t="s">
        <v>5196</v>
      </c>
      <c r="Z444" s="5" t="s">
        <v>5196</v>
      </c>
      <c r="AA444" s="4">
        <v>257</v>
      </c>
      <c r="AB444" s="4">
        <v>180</v>
      </c>
      <c r="AC444" s="4">
        <v>190</v>
      </c>
      <c r="AD444" s="4">
        <v>2</v>
      </c>
      <c r="AE444" s="4">
        <v>2</v>
      </c>
      <c r="AF444" s="4">
        <v>8</v>
      </c>
      <c r="AG444" s="4">
        <v>8</v>
      </c>
      <c r="AH444" s="4">
        <v>1</v>
      </c>
      <c r="AI444" s="4">
        <v>1</v>
      </c>
      <c r="AJ444" s="4">
        <v>4</v>
      </c>
      <c r="AK444" s="4">
        <v>4</v>
      </c>
      <c r="AL444" s="4">
        <v>6</v>
      </c>
      <c r="AM444" s="4">
        <v>6</v>
      </c>
      <c r="AN444" s="4">
        <v>1</v>
      </c>
      <c r="AO444" s="4">
        <v>1</v>
      </c>
      <c r="AP444" s="4">
        <v>0</v>
      </c>
      <c r="AQ444" s="4">
        <v>0</v>
      </c>
      <c r="AR444" s="3" t="s">
        <v>62</v>
      </c>
      <c r="AS444" s="3" t="s">
        <v>84</v>
      </c>
      <c r="AT444" s="6" t="str">
        <f>HYPERLINK("http://catalog.hathitrust.org/Record/001922281","HathiTrust Record")</f>
        <v>HathiTrust Record</v>
      </c>
      <c r="AU444" s="6" t="str">
        <f>HYPERLINK("https://creighton-primo.hosted.exlibrisgroup.com/primo-explore/search?tab=default_tab&amp;search_scope=EVERYTHING&amp;vid=01CRU&amp;lang=en_US&amp;offset=0&amp;query=any,contains,991000800879702656","Catalog Record")</f>
        <v>Catalog Record</v>
      </c>
      <c r="AV444" s="6" t="str">
        <f>HYPERLINK("http://www.worldcat.org/oclc/138862","WorldCat Record")</f>
        <v>WorldCat Record</v>
      </c>
      <c r="AW444" s="3" t="s">
        <v>5729</v>
      </c>
      <c r="AX444" s="3" t="s">
        <v>5730</v>
      </c>
      <c r="AY444" s="3" t="s">
        <v>5731</v>
      </c>
      <c r="AZ444" s="3" t="s">
        <v>5731</v>
      </c>
      <c r="BA444" s="3" t="s">
        <v>5732</v>
      </c>
      <c r="BB444" s="3" t="s">
        <v>77</v>
      </c>
      <c r="BE444" s="3" t="s">
        <v>5733</v>
      </c>
      <c r="BF444" s="3" t="s">
        <v>5734</v>
      </c>
    </row>
    <row r="445" spans="1:58" ht="41.25" customHeight="1" x14ac:dyDescent="0.25">
      <c r="A445" s="7" t="s">
        <v>62</v>
      </c>
      <c r="B445" s="2" t="s">
        <v>57</v>
      </c>
      <c r="C445" s="2" t="s">
        <v>58</v>
      </c>
      <c r="D445" s="2" t="s">
        <v>5735</v>
      </c>
      <c r="E445" s="2" t="s">
        <v>5736</v>
      </c>
      <c r="F445" s="2" t="s">
        <v>5737</v>
      </c>
      <c r="H445" s="3" t="s">
        <v>62</v>
      </c>
      <c r="I445" s="3" t="s">
        <v>63</v>
      </c>
      <c r="J445" s="3" t="s">
        <v>62</v>
      </c>
      <c r="K445" s="3" t="s">
        <v>62</v>
      </c>
      <c r="L445" s="3" t="s">
        <v>64</v>
      </c>
      <c r="M445" s="2" t="s">
        <v>5738</v>
      </c>
      <c r="N445" s="2" t="s">
        <v>5739</v>
      </c>
      <c r="O445" s="3" t="s">
        <v>629</v>
      </c>
      <c r="P445" s="2" t="s">
        <v>5740</v>
      </c>
      <c r="Q445" s="3" t="s">
        <v>68</v>
      </c>
      <c r="R445" s="3" t="s">
        <v>69</v>
      </c>
      <c r="T445" s="3" t="s">
        <v>70</v>
      </c>
      <c r="U445" s="4">
        <v>1</v>
      </c>
      <c r="V445" s="4">
        <v>1</v>
      </c>
      <c r="W445" s="5" t="s">
        <v>5741</v>
      </c>
      <c r="X445" s="5" t="s">
        <v>5741</v>
      </c>
      <c r="Y445" s="5" t="s">
        <v>5742</v>
      </c>
      <c r="Z445" s="5" t="s">
        <v>5742</v>
      </c>
      <c r="AA445" s="4">
        <v>35</v>
      </c>
      <c r="AB445" s="4">
        <v>34</v>
      </c>
      <c r="AC445" s="4">
        <v>35</v>
      </c>
      <c r="AD445" s="4">
        <v>1</v>
      </c>
      <c r="AE445" s="4">
        <v>1</v>
      </c>
      <c r="AF445" s="4">
        <v>3</v>
      </c>
      <c r="AG445" s="4">
        <v>3</v>
      </c>
      <c r="AH445" s="4">
        <v>1</v>
      </c>
      <c r="AI445" s="4">
        <v>1</v>
      </c>
      <c r="AJ445" s="4">
        <v>1</v>
      </c>
      <c r="AK445" s="4">
        <v>1</v>
      </c>
      <c r="AL445" s="4">
        <v>3</v>
      </c>
      <c r="AM445" s="4">
        <v>3</v>
      </c>
      <c r="AN445" s="4">
        <v>0</v>
      </c>
      <c r="AO445" s="4">
        <v>0</v>
      </c>
      <c r="AP445" s="4">
        <v>0</v>
      </c>
      <c r="AQ445" s="4">
        <v>0</v>
      </c>
      <c r="AR445" s="3" t="s">
        <v>62</v>
      </c>
      <c r="AS445" s="3" t="s">
        <v>62</v>
      </c>
      <c r="AU445" s="6" t="str">
        <f>HYPERLINK("https://creighton-primo.hosted.exlibrisgroup.com/primo-explore/search?tab=default_tab&amp;search_scope=EVERYTHING&amp;vid=01CRU&amp;lang=en_US&amp;offset=0&amp;query=any,contains,991004262139702656","Catalog Record")</f>
        <v>Catalog Record</v>
      </c>
      <c r="AV445" s="6" t="str">
        <f>HYPERLINK("http://www.worldcat.org/oclc/2849654","WorldCat Record")</f>
        <v>WorldCat Record</v>
      </c>
      <c r="AW445" s="3" t="s">
        <v>5743</v>
      </c>
      <c r="AX445" s="3" t="s">
        <v>5744</v>
      </c>
      <c r="AY445" s="3" t="s">
        <v>5745</v>
      </c>
      <c r="AZ445" s="3" t="s">
        <v>5745</v>
      </c>
      <c r="BA445" s="3" t="s">
        <v>5746</v>
      </c>
      <c r="BB445" s="3" t="s">
        <v>77</v>
      </c>
      <c r="BE445" s="3" t="s">
        <v>5747</v>
      </c>
      <c r="BF445" s="3" t="s">
        <v>5748</v>
      </c>
    </row>
    <row r="446" spans="1:58" ht="41.25" customHeight="1" x14ac:dyDescent="0.25">
      <c r="A446" s="7" t="s">
        <v>62</v>
      </c>
      <c r="B446" s="2" t="s">
        <v>57</v>
      </c>
      <c r="C446" s="2" t="s">
        <v>58</v>
      </c>
      <c r="D446" s="2" t="s">
        <v>5749</v>
      </c>
      <c r="E446" s="2" t="s">
        <v>5750</v>
      </c>
      <c r="F446" s="2" t="s">
        <v>5751</v>
      </c>
      <c r="H446" s="3" t="s">
        <v>62</v>
      </c>
      <c r="I446" s="3" t="s">
        <v>63</v>
      </c>
      <c r="J446" s="3" t="s">
        <v>62</v>
      </c>
      <c r="K446" s="3" t="s">
        <v>62</v>
      </c>
      <c r="L446" s="3" t="s">
        <v>64</v>
      </c>
      <c r="M446" s="2" t="s">
        <v>5752</v>
      </c>
      <c r="N446" s="2" t="s">
        <v>5753</v>
      </c>
      <c r="O446" s="3" t="s">
        <v>5754</v>
      </c>
      <c r="Q446" s="3" t="s">
        <v>68</v>
      </c>
      <c r="R446" s="3" t="s">
        <v>297</v>
      </c>
      <c r="S446" s="2" t="s">
        <v>5755</v>
      </c>
      <c r="T446" s="3" t="s">
        <v>70</v>
      </c>
      <c r="U446" s="4">
        <v>0</v>
      </c>
      <c r="V446" s="4">
        <v>0</v>
      </c>
      <c r="W446" s="5" t="s">
        <v>5756</v>
      </c>
      <c r="X446" s="5" t="s">
        <v>5756</v>
      </c>
      <c r="Y446" s="5" t="s">
        <v>5757</v>
      </c>
      <c r="Z446" s="5" t="s">
        <v>5757</v>
      </c>
      <c r="AA446" s="4">
        <v>528</v>
      </c>
      <c r="AB446" s="4">
        <v>362</v>
      </c>
      <c r="AC446" s="4">
        <v>483</v>
      </c>
      <c r="AD446" s="4">
        <v>2</v>
      </c>
      <c r="AE446" s="4">
        <v>2</v>
      </c>
      <c r="AF446" s="4">
        <v>24</v>
      </c>
      <c r="AG446" s="4">
        <v>30</v>
      </c>
      <c r="AH446" s="4">
        <v>10</v>
      </c>
      <c r="AI446" s="4">
        <v>14</v>
      </c>
      <c r="AJ446" s="4">
        <v>6</v>
      </c>
      <c r="AK446" s="4">
        <v>7</v>
      </c>
      <c r="AL446" s="4">
        <v>14</v>
      </c>
      <c r="AM446" s="4">
        <v>16</v>
      </c>
      <c r="AN446" s="4">
        <v>1</v>
      </c>
      <c r="AO446" s="4">
        <v>1</v>
      </c>
      <c r="AP446" s="4">
        <v>0</v>
      </c>
      <c r="AQ446" s="4">
        <v>0</v>
      </c>
      <c r="AR446" s="3" t="s">
        <v>62</v>
      </c>
      <c r="AS446" s="3" t="s">
        <v>62</v>
      </c>
      <c r="AU446" s="6" t="str">
        <f>HYPERLINK("https://creighton-primo.hosted.exlibrisgroup.com/primo-explore/search?tab=default_tab&amp;search_scope=EVERYTHING&amp;vid=01CRU&amp;lang=en_US&amp;offset=0&amp;query=any,contains,991002747939702656","Catalog Record")</f>
        <v>Catalog Record</v>
      </c>
      <c r="AV446" s="6" t="str">
        <f>HYPERLINK("http://www.worldcat.org/oclc/36059973","WorldCat Record")</f>
        <v>WorldCat Record</v>
      </c>
      <c r="AW446" s="3" t="s">
        <v>5758</v>
      </c>
      <c r="AX446" s="3" t="s">
        <v>5759</v>
      </c>
      <c r="AY446" s="3" t="s">
        <v>5760</v>
      </c>
      <c r="AZ446" s="3" t="s">
        <v>5760</v>
      </c>
      <c r="BA446" s="3" t="s">
        <v>5761</v>
      </c>
      <c r="BB446" s="3" t="s">
        <v>77</v>
      </c>
      <c r="BD446" s="3" t="s">
        <v>5762</v>
      </c>
      <c r="BE446" s="3" t="s">
        <v>5763</v>
      </c>
      <c r="BF446" s="3" t="s">
        <v>5764</v>
      </c>
    </row>
    <row r="447" spans="1:58" ht="41.25" customHeight="1" x14ac:dyDescent="0.25">
      <c r="A447" s="7" t="s">
        <v>62</v>
      </c>
      <c r="B447" s="2" t="s">
        <v>57</v>
      </c>
      <c r="C447" s="2" t="s">
        <v>58</v>
      </c>
      <c r="D447" s="2" t="s">
        <v>5765</v>
      </c>
      <c r="E447" s="2" t="s">
        <v>5766</v>
      </c>
      <c r="F447" s="2" t="s">
        <v>5767</v>
      </c>
      <c r="H447" s="3" t="s">
        <v>62</v>
      </c>
      <c r="I447" s="3" t="s">
        <v>63</v>
      </c>
      <c r="J447" s="3" t="s">
        <v>62</v>
      </c>
      <c r="K447" s="3" t="s">
        <v>62</v>
      </c>
      <c r="L447" s="3" t="s">
        <v>64</v>
      </c>
      <c r="M447" s="2" t="s">
        <v>5768</v>
      </c>
      <c r="N447" s="2" t="s">
        <v>5769</v>
      </c>
      <c r="O447" s="3" t="s">
        <v>67</v>
      </c>
      <c r="P447" s="2" t="s">
        <v>268</v>
      </c>
      <c r="Q447" s="3" t="s">
        <v>68</v>
      </c>
      <c r="R447" s="3" t="s">
        <v>5770</v>
      </c>
      <c r="T447" s="3" t="s">
        <v>70</v>
      </c>
      <c r="U447" s="4">
        <v>8</v>
      </c>
      <c r="V447" s="4">
        <v>8</v>
      </c>
      <c r="W447" s="5" t="s">
        <v>5771</v>
      </c>
      <c r="X447" s="5" t="s">
        <v>5771</v>
      </c>
      <c r="Y447" s="5" t="s">
        <v>5196</v>
      </c>
      <c r="Z447" s="5" t="s">
        <v>5196</v>
      </c>
      <c r="AA447" s="4">
        <v>544</v>
      </c>
      <c r="AB447" s="4">
        <v>452</v>
      </c>
      <c r="AC447" s="4">
        <v>455</v>
      </c>
      <c r="AD447" s="4">
        <v>5</v>
      </c>
      <c r="AE447" s="4">
        <v>5</v>
      </c>
      <c r="AF447" s="4">
        <v>31</v>
      </c>
      <c r="AG447" s="4">
        <v>31</v>
      </c>
      <c r="AH447" s="4">
        <v>10</v>
      </c>
      <c r="AI447" s="4">
        <v>10</v>
      </c>
      <c r="AJ447" s="4">
        <v>8</v>
      </c>
      <c r="AK447" s="4">
        <v>8</v>
      </c>
      <c r="AL447" s="4">
        <v>18</v>
      </c>
      <c r="AM447" s="4">
        <v>18</v>
      </c>
      <c r="AN447" s="4">
        <v>4</v>
      </c>
      <c r="AO447" s="4">
        <v>4</v>
      </c>
      <c r="AP447" s="4">
        <v>0</v>
      </c>
      <c r="AQ447" s="4">
        <v>0</v>
      </c>
      <c r="AR447" s="3" t="s">
        <v>62</v>
      </c>
      <c r="AS447" s="3" t="s">
        <v>84</v>
      </c>
      <c r="AT447" s="6" t="str">
        <f>HYPERLINK("http://catalog.hathitrust.org/Record/001922291","HathiTrust Record")</f>
        <v>HathiTrust Record</v>
      </c>
      <c r="AU447" s="6" t="str">
        <f>HYPERLINK("https://creighton-primo.hosted.exlibrisgroup.com/primo-explore/search?tab=default_tab&amp;search_scope=EVERYTHING&amp;vid=01CRU&amp;lang=en_US&amp;offset=0&amp;query=any,contains,991000563769702656","Catalog Record")</f>
        <v>Catalog Record</v>
      </c>
      <c r="AV447" s="6" t="str">
        <f>HYPERLINK("http://www.worldcat.org/oclc/93687","WorldCat Record")</f>
        <v>WorldCat Record</v>
      </c>
      <c r="AW447" s="3" t="s">
        <v>5772</v>
      </c>
      <c r="AX447" s="3" t="s">
        <v>5773</v>
      </c>
      <c r="AY447" s="3" t="s">
        <v>5774</v>
      </c>
      <c r="AZ447" s="3" t="s">
        <v>5774</v>
      </c>
      <c r="BA447" s="3" t="s">
        <v>5775</v>
      </c>
      <c r="BB447" s="3" t="s">
        <v>77</v>
      </c>
      <c r="BD447" s="3" t="s">
        <v>5776</v>
      </c>
      <c r="BE447" s="3" t="s">
        <v>5777</v>
      </c>
      <c r="BF447" s="3" t="s">
        <v>5778</v>
      </c>
    </row>
    <row r="448" spans="1:58" ht="41.25" customHeight="1" x14ac:dyDescent="0.25">
      <c r="A448" s="7" t="s">
        <v>62</v>
      </c>
      <c r="B448" s="2" t="s">
        <v>57</v>
      </c>
      <c r="C448" s="2" t="s">
        <v>58</v>
      </c>
      <c r="D448" s="2" t="s">
        <v>5779</v>
      </c>
      <c r="E448" s="2" t="s">
        <v>5780</v>
      </c>
      <c r="F448" s="2" t="s">
        <v>5781</v>
      </c>
      <c r="H448" s="3" t="s">
        <v>62</v>
      </c>
      <c r="I448" s="3" t="s">
        <v>63</v>
      </c>
      <c r="J448" s="3" t="s">
        <v>62</v>
      </c>
      <c r="K448" s="3" t="s">
        <v>62</v>
      </c>
      <c r="L448" s="3" t="s">
        <v>64</v>
      </c>
      <c r="M448" s="2" t="s">
        <v>5782</v>
      </c>
      <c r="N448" s="2" t="s">
        <v>5783</v>
      </c>
      <c r="O448" s="3" t="s">
        <v>267</v>
      </c>
      <c r="Q448" s="3" t="s">
        <v>68</v>
      </c>
      <c r="R448" s="3" t="s">
        <v>1184</v>
      </c>
      <c r="T448" s="3" t="s">
        <v>70</v>
      </c>
      <c r="U448" s="4">
        <v>5</v>
      </c>
      <c r="V448" s="4">
        <v>5</v>
      </c>
      <c r="W448" s="5" t="s">
        <v>5784</v>
      </c>
      <c r="X448" s="5" t="s">
        <v>5784</v>
      </c>
      <c r="Y448" s="5" t="s">
        <v>5196</v>
      </c>
      <c r="Z448" s="5" t="s">
        <v>5196</v>
      </c>
      <c r="AA448" s="4">
        <v>286</v>
      </c>
      <c r="AB448" s="4">
        <v>261</v>
      </c>
      <c r="AC448" s="4">
        <v>596</v>
      </c>
      <c r="AD448" s="4">
        <v>2</v>
      </c>
      <c r="AE448" s="4">
        <v>5</v>
      </c>
      <c r="AF448" s="4">
        <v>5</v>
      </c>
      <c r="AG448" s="4">
        <v>17</v>
      </c>
      <c r="AH448" s="4">
        <v>0</v>
      </c>
      <c r="AI448" s="4">
        <v>2</v>
      </c>
      <c r="AJ448" s="4">
        <v>0</v>
      </c>
      <c r="AK448" s="4">
        <v>2</v>
      </c>
      <c r="AL448" s="4">
        <v>4</v>
      </c>
      <c r="AM448" s="4">
        <v>10</v>
      </c>
      <c r="AN448" s="4">
        <v>1</v>
      </c>
      <c r="AO448" s="4">
        <v>4</v>
      </c>
      <c r="AP448" s="4">
        <v>0</v>
      </c>
      <c r="AQ448" s="4">
        <v>0</v>
      </c>
      <c r="AR448" s="3" t="s">
        <v>62</v>
      </c>
      <c r="AS448" s="3" t="s">
        <v>84</v>
      </c>
      <c r="AT448" s="6" t="str">
        <f>HYPERLINK("http://catalog.hathitrust.org/Record/001922293","HathiTrust Record")</f>
        <v>HathiTrust Record</v>
      </c>
      <c r="AU448" s="6" t="str">
        <f>HYPERLINK("https://creighton-primo.hosted.exlibrisgroup.com/primo-explore/search?tab=default_tab&amp;search_scope=EVERYTHING&amp;vid=01CRU&amp;lang=en_US&amp;offset=0&amp;query=any,contains,991002605839702656","Catalog Record")</f>
        <v>Catalog Record</v>
      </c>
      <c r="AV448" s="6" t="str">
        <f>HYPERLINK("http://www.worldcat.org/oclc/377381","WorldCat Record")</f>
        <v>WorldCat Record</v>
      </c>
      <c r="AW448" s="3" t="s">
        <v>5785</v>
      </c>
      <c r="AX448" s="3" t="s">
        <v>5786</v>
      </c>
      <c r="AY448" s="3" t="s">
        <v>5787</v>
      </c>
      <c r="AZ448" s="3" t="s">
        <v>5787</v>
      </c>
      <c r="BA448" s="3" t="s">
        <v>5788</v>
      </c>
      <c r="BB448" s="3" t="s">
        <v>77</v>
      </c>
      <c r="BE448" s="3" t="s">
        <v>5789</v>
      </c>
      <c r="BF448" s="3" t="s">
        <v>5790</v>
      </c>
    </row>
    <row r="449" spans="1:58" ht="41.25" customHeight="1" x14ac:dyDescent="0.25">
      <c r="A449" s="7" t="s">
        <v>62</v>
      </c>
      <c r="B449" s="2" t="s">
        <v>57</v>
      </c>
      <c r="C449" s="2" t="s">
        <v>58</v>
      </c>
      <c r="D449" s="2" t="s">
        <v>5791</v>
      </c>
      <c r="E449" s="2" t="s">
        <v>5792</v>
      </c>
      <c r="F449" s="2" t="s">
        <v>5793</v>
      </c>
      <c r="G449" s="3" t="s">
        <v>5794</v>
      </c>
      <c r="H449" s="3" t="s">
        <v>84</v>
      </c>
      <c r="I449" s="3" t="s">
        <v>63</v>
      </c>
      <c r="J449" s="3" t="s">
        <v>62</v>
      </c>
      <c r="K449" s="3" t="s">
        <v>62</v>
      </c>
      <c r="L449" s="3" t="s">
        <v>64</v>
      </c>
      <c r="N449" s="2" t="s">
        <v>5795</v>
      </c>
      <c r="O449" s="3" t="s">
        <v>295</v>
      </c>
      <c r="Q449" s="3" t="s">
        <v>68</v>
      </c>
      <c r="R449" s="3" t="s">
        <v>69</v>
      </c>
      <c r="S449" s="2" t="s">
        <v>5796</v>
      </c>
      <c r="T449" s="3" t="s">
        <v>70</v>
      </c>
      <c r="U449" s="4">
        <v>6</v>
      </c>
      <c r="V449" s="4">
        <v>23</v>
      </c>
      <c r="W449" s="5" t="s">
        <v>5797</v>
      </c>
      <c r="X449" s="5" t="s">
        <v>5798</v>
      </c>
      <c r="Y449" s="5" t="s">
        <v>5799</v>
      </c>
      <c r="Z449" s="5" t="s">
        <v>5799</v>
      </c>
      <c r="AA449" s="4">
        <v>597</v>
      </c>
      <c r="AB449" s="4">
        <v>443</v>
      </c>
      <c r="AC449" s="4">
        <v>448</v>
      </c>
      <c r="AD449" s="4">
        <v>3</v>
      </c>
      <c r="AE449" s="4">
        <v>3</v>
      </c>
      <c r="AF449" s="4">
        <v>21</v>
      </c>
      <c r="AG449" s="4">
        <v>21</v>
      </c>
      <c r="AH449" s="4">
        <v>4</v>
      </c>
      <c r="AI449" s="4">
        <v>4</v>
      </c>
      <c r="AJ449" s="4">
        <v>7</v>
      </c>
      <c r="AK449" s="4">
        <v>7</v>
      </c>
      <c r="AL449" s="4">
        <v>13</v>
      </c>
      <c r="AM449" s="4">
        <v>13</v>
      </c>
      <c r="AN449" s="4">
        <v>2</v>
      </c>
      <c r="AO449" s="4">
        <v>2</v>
      </c>
      <c r="AP449" s="4">
        <v>0</v>
      </c>
      <c r="AQ449" s="4">
        <v>0</v>
      </c>
      <c r="AR449" s="3" t="s">
        <v>62</v>
      </c>
      <c r="AS449" s="3" t="s">
        <v>84</v>
      </c>
      <c r="AT449" s="6" t="str">
        <f>HYPERLINK("http://catalog.hathitrust.org/Record/002442977","HathiTrust Record")</f>
        <v>HathiTrust Record</v>
      </c>
      <c r="AU449" s="6" t="str">
        <f>HYPERLINK("https://creighton-primo.hosted.exlibrisgroup.com/primo-explore/search?tab=default_tab&amp;search_scope=EVERYTHING&amp;vid=01CRU&amp;lang=en_US&amp;offset=0&amp;query=any,contains,991005410709702656","Catalog Record")</f>
        <v>Catalog Record</v>
      </c>
      <c r="AV449" s="6" t="str">
        <f>HYPERLINK("http://www.worldcat.org/oclc/19488060","WorldCat Record")</f>
        <v>WorldCat Record</v>
      </c>
      <c r="AW449" s="3" t="s">
        <v>5800</v>
      </c>
      <c r="AX449" s="3" t="s">
        <v>5801</v>
      </c>
      <c r="AY449" s="3" t="s">
        <v>5802</v>
      </c>
      <c r="AZ449" s="3" t="s">
        <v>5802</v>
      </c>
      <c r="BA449" s="3" t="s">
        <v>5803</v>
      </c>
      <c r="BB449" s="3" t="s">
        <v>77</v>
      </c>
      <c r="BD449" s="3" t="s">
        <v>5804</v>
      </c>
      <c r="BE449" s="3" t="s">
        <v>5805</v>
      </c>
      <c r="BF449" s="3" t="s">
        <v>5806</v>
      </c>
    </row>
    <row r="450" spans="1:58" ht="41.25" customHeight="1" x14ac:dyDescent="0.25">
      <c r="A450" s="7" t="s">
        <v>62</v>
      </c>
      <c r="B450" s="2" t="s">
        <v>57</v>
      </c>
      <c r="C450" s="2" t="s">
        <v>58</v>
      </c>
      <c r="D450" s="2" t="s">
        <v>5807</v>
      </c>
      <c r="E450" s="2" t="s">
        <v>5808</v>
      </c>
      <c r="F450" s="2" t="s">
        <v>5793</v>
      </c>
      <c r="G450" s="3" t="s">
        <v>5809</v>
      </c>
      <c r="H450" s="3" t="s">
        <v>84</v>
      </c>
      <c r="I450" s="3" t="s">
        <v>63</v>
      </c>
      <c r="J450" s="3" t="s">
        <v>62</v>
      </c>
      <c r="K450" s="3" t="s">
        <v>62</v>
      </c>
      <c r="L450" s="3" t="s">
        <v>64</v>
      </c>
      <c r="N450" s="2" t="s">
        <v>5795</v>
      </c>
      <c r="O450" s="3" t="s">
        <v>295</v>
      </c>
      <c r="Q450" s="3" t="s">
        <v>68</v>
      </c>
      <c r="R450" s="3" t="s">
        <v>69</v>
      </c>
      <c r="S450" s="2" t="s">
        <v>5796</v>
      </c>
      <c r="T450" s="3" t="s">
        <v>70</v>
      </c>
      <c r="U450" s="4">
        <v>9</v>
      </c>
      <c r="V450" s="4">
        <v>23</v>
      </c>
      <c r="W450" s="5" t="s">
        <v>5797</v>
      </c>
      <c r="X450" s="5" t="s">
        <v>5798</v>
      </c>
      <c r="Y450" s="5" t="s">
        <v>5810</v>
      </c>
      <c r="Z450" s="5" t="s">
        <v>5799</v>
      </c>
      <c r="AA450" s="4">
        <v>597</v>
      </c>
      <c r="AB450" s="4">
        <v>443</v>
      </c>
      <c r="AC450" s="4">
        <v>448</v>
      </c>
      <c r="AD450" s="4">
        <v>3</v>
      </c>
      <c r="AE450" s="4">
        <v>3</v>
      </c>
      <c r="AF450" s="4">
        <v>21</v>
      </c>
      <c r="AG450" s="4">
        <v>21</v>
      </c>
      <c r="AH450" s="4">
        <v>4</v>
      </c>
      <c r="AI450" s="4">
        <v>4</v>
      </c>
      <c r="AJ450" s="4">
        <v>7</v>
      </c>
      <c r="AK450" s="4">
        <v>7</v>
      </c>
      <c r="AL450" s="4">
        <v>13</v>
      </c>
      <c r="AM450" s="4">
        <v>13</v>
      </c>
      <c r="AN450" s="4">
        <v>2</v>
      </c>
      <c r="AO450" s="4">
        <v>2</v>
      </c>
      <c r="AP450" s="4">
        <v>0</v>
      </c>
      <c r="AQ450" s="4">
        <v>0</v>
      </c>
      <c r="AR450" s="3" t="s">
        <v>62</v>
      </c>
      <c r="AS450" s="3" t="s">
        <v>84</v>
      </c>
      <c r="AT450" s="6" t="str">
        <f>HYPERLINK("http://catalog.hathitrust.org/Record/002442977","HathiTrust Record")</f>
        <v>HathiTrust Record</v>
      </c>
      <c r="AU450" s="6" t="str">
        <f>HYPERLINK("https://creighton-primo.hosted.exlibrisgroup.com/primo-explore/search?tab=default_tab&amp;search_scope=EVERYTHING&amp;vid=01CRU&amp;lang=en_US&amp;offset=0&amp;query=any,contains,991005410709702656","Catalog Record")</f>
        <v>Catalog Record</v>
      </c>
      <c r="AV450" s="6" t="str">
        <f>HYPERLINK("http://www.worldcat.org/oclc/19488060","WorldCat Record")</f>
        <v>WorldCat Record</v>
      </c>
      <c r="AW450" s="3" t="s">
        <v>5800</v>
      </c>
      <c r="AX450" s="3" t="s">
        <v>5801</v>
      </c>
      <c r="AY450" s="3" t="s">
        <v>5802</v>
      </c>
      <c r="AZ450" s="3" t="s">
        <v>5802</v>
      </c>
      <c r="BA450" s="3" t="s">
        <v>5803</v>
      </c>
      <c r="BB450" s="3" t="s">
        <v>77</v>
      </c>
      <c r="BD450" s="3" t="s">
        <v>5804</v>
      </c>
      <c r="BE450" s="3" t="s">
        <v>5811</v>
      </c>
      <c r="BF450" s="3" t="s">
        <v>5812</v>
      </c>
    </row>
    <row r="451" spans="1:58" ht="41.25" customHeight="1" x14ac:dyDescent="0.25">
      <c r="A451" s="7" t="s">
        <v>62</v>
      </c>
      <c r="B451" s="2" t="s">
        <v>57</v>
      </c>
      <c r="C451" s="2" t="s">
        <v>58</v>
      </c>
      <c r="D451" s="2" t="s">
        <v>5813</v>
      </c>
      <c r="E451" s="2" t="s">
        <v>5814</v>
      </c>
      <c r="F451" s="2" t="s">
        <v>5815</v>
      </c>
      <c r="H451" s="3" t="s">
        <v>62</v>
      </c>
      <c r="I451" s="3" t="s">
        <v>63</v>
      </c>
      <c r="J451" s="3" t="s">
        <v>62</v>
      </c>
      <c r="K451" s="3" t="s">
        <v>62</v>
      </c>
      <c r="L451" s="3" t="s">
        <v>64</v>
      </c>
      <c r="M451" s="2" t="s">
        <v>5816</v>
      </c>
      <c r="N451" s="2" t="s">
        <v>5143</v>
      </c>
      <c r="O451" s="3" t="s">
        <v>1251</v>
      </c>
      <c r="Q451" s="3" t="s">
        <v>68</v>
      </c>
      <c r="R451" s="3" t="s">
        <v>297</v>
      </c>
      <c r="S451" s="2" t="s">
        <v>5817</v>
      </c>
      <c r="T451" s="3" t="s">
        <v>70</v>
      </c>
      <c r="U451" s="4">
        <v>4</v>
      </c>
      <c r="V451" s="4">
        <v>4</v>
      </c>
      <c r="W451" s="5" t="s">
        <v>5818</v>
      </c>
      <c r="X451" s="5" t="s">
        <v>5818</v>
      </c>
      <c r="Y451" s="5" t="s">
        <v>5819</v>
      </c>
      <c r="Z451" s="5" t="s">
        <v>5819</v>
      </c>
      <c r="AA451" s="4">
        <v>379</v>
      </c>
      <c r="AB451" s="4">
        <v>280</v>
      </c>
      <c r="AC451" s="4">
        <v>290</v>
      </c>
      <c r="AD451" s="4">
        <v>2</v>
      </c>
      <c r="AE451" s="4">
        <v>2</v>
      </c>
      <c r="AF451" s="4">
        <v>14</v>
      </c>
      <c r="AG451" s="4">
        <v>14</v>
      </c>
      <c r="AH451" s="4">
        <v>4</v>
      </c>
      <c r="AI451" s="4">
        <v>4</v>
      </c>
      <c r="AJ451" s="4">
        <v>4</v>
      </c>
      <c r="AK451" s="4">
        <v>4</v>
      </c>
      <c r="AL451" s="4">
        <v>9</v>
      </c>
      <c r="AM451" s="4">
        <v>9</v>
      </c>
      <c r="AN451" s="4">
        <v>1</v>
      </c>
      <c r="AO451" s="4">
        <v>1</v>
      </c>
      <c r="AP451" s="4">
        <v>0</v>
      </c>
      <c r="AQ451" s="4">
        <v>0</v>
      </c>
      <c r="AR451" s="3" t="s">
        <v>62</v>
      </c>
      <c r="AS451" s="3" t="s">
        <v>62</v>
      </c>
      <c r="AU451" s="6" t="str">
        <f>HYPERLINK("https://creighton-primo.hosted.exlibrisgroup.com/primo-explore/search?tab=default_tab&amp;search_scope=EVERYTHING&amp;vid=01CRU&amp;lang=en_US&amp;offset=0&amp;query=any,contains,991005408399702656","Catalog Record")</f>
        <v>Catalog Record</v>
      </c>
      <c r="AV451" s="6" t="str">
        <f>HYPERLINK("http://www.worldcat.org/oclc/16756263","WorldCat Record")</f>
        <v>WorldCat Record</v>
      </c>
      <c r="AW451" s="3" t="s">
        <v>5820</v>
      </c>
      <c r="AX451" s="3" t="s">
        <v>5821</v>
      </c>
      <c r="AY451" s="3" t="s">
        <v>5822</v>
      </c>
      <c r="AZ451" s="3" t="s">
        <v>5822</v>
      </c>
      <c r="BA451" s="3" t="s">
        <v>5823</v>
      </c>
      <c r="BB451" s="3" t="s">
        <v>77</v>
      </c>
      <c r="BD451" s="3" t="s">
        <v>5824</v>
      </c>
      <c r="BE451" s="3" t="s">
        <v>5825</v>
      </c>
      <c r="BF451" s="3" t="s">
        <v>5826</v>
      </c>
    </row>
    <row r="452" spans="1:58" ht="41.25" customHeight="1" x14ac:dyDescent="0.25">
      <c r="A452" s="7" t="s">
        <v>62</v>
      </c>
      <c r="B452" s="2" t="s">
        <v>57</v>
      </c>
      <c r="C452" s="2" t="s">
        <v>58</v>
      </c>
      <c r="D452" s="2" t="s">
        <v>5827</v>
      </c>
      <c r="E452" s="2" t="s">
        <v>5828</v>
      </c>
      <c r="F452" s="2" t="s">
        <v>5793</v>
      </c>
      <c r="H452" s="3" t="s">
        <v>84</v>
      </c>
      <c r="I452" s="3" t="s">
        <v>63</v>
      </c>
      <c r="J452" s="3" t="s">
        <v>84</v>
      </c>
      <c r="K452" s="3" t="s">
        <v>62</v>
      </c>
      <c r="L452" s="3" t="s">
        <v>64</v>
      </c>
      <c r="N452" s="2" t="s">
        <v>5795</v>
      </c>
      <c r="O452" s="3" t="s">
        <v>295</v>
      </c>
      <c r="Q452" s="3" t="s">
        <v>68</v>
      </c>
      <c r="R452" s="3" t="s">
        <v>69</v>
      </c>
      <c r="S452" s="2" t="s">
        <v>5796</v>
      </c>
      <c r="T452" s="3" t="s">
        <v>70</v>
      </c>
      <c r="U452" s="4">
        <v>8</v>
      </c>
      <c r="V452" s="4">
        <v>23</v>
      </c>
      <c r="W452" s="5" t="s">
        <v>5798</v>
      </c>
      <c r="X452" s="5" t="s">
        <v>5798</v>
      </c>
      <c r="Y452" s="5" t="s">
        <v>5829</v>
      </c>
      <c r="Z452" s="5" t="s">
        <v>5799</v>
      </c>
      <c r="AA452" s="4">
        <v>597</v>
      </c>
      <c r="AB452" s="4">
        <v>443</v>
      </c>
      <c r="AC452" s="4">
        <v>448</v>
      </c>
      <c r="AD452" s="4">
        <v>3</v>
      </c>
      <c r="AE452" s="4">
        <v>3</v>
      </c>
      <c r="AF452" s="4">
        <v>21</v>
      </c>
      <c r="AG452" s="4">
        <v>21</v>
      </c>
      <c r="AH452" s="4">
        <v>4</v>
      </c>
      <c r="AI452" s="4">
        <v>4</v>
      </c>
      <c r="AJ452" s="4">
        <v>7</v>
      </c>
      <c r="AK452" s="4">
        <v>7</v>
      </c>
      <c r="AL452" s="4">
        <v>13</v>
      </c>
      <c r="AM452" s="4">
        <v>13</v>
      </c>
      <c r="AN452" s="4">
        <v>2</v>
      </c>
      <c r="AO452" s="4">
        <v>2</v>
      </c>
      <c r="AP452" s="4">
        <v>0</v>
      </c>
      <c r="AQ452" s="4">
        <v>0</v>
      </c>
      <c r="AR452" s="3" t="s">
        <v>62</v>
      </c>
      <c r="AS452" s="3" t="s">
        <v>84</v>
      </c>
      <c r="AT452" s="6" t="str">
        <f>HYPERLINK("http://catalog.hathitrust.org/Record/002442977","HathiTrust Record")</f>
        <v>HathiTrust Record</v>
      </c>
      <c r="AU452" s="6" t="str">
        <f>HYPERLINK("https://creighton-primo.hosted.exlibrisgroup.com/primo-explore/search?tab=default_tab&amp;search_scope=EVERYTHING&amp;vid=01CRU&amp;lang=en_US&amp;offset=0&amp;query=any,contains,991005410709702656","Catalog Record")</f>
        <v>Catalog Record</v>
      </c>
      <c r="AV452" s="6" t="str">
        <f>HYPERLINK("http://www.worldcat.org/oclc/19488060","WorldCat Record")</f>
        <v>WorldCat Record</v>
      </c>
      <c r="AW452" s="3" t="s">
        <v>5800</v>
      </c>
      <c r="AX452" s="3" t="s">
        <v>5801</v>
      </c>
      <c r="AY452" s="3" t="s">
        <v>5802</v>
      </c>
      <c r="AZ452" s="3" t="s">
        <v>5802</v>
      </c>
      <c r="BA452" s="3" t="s">
        <v>5803</v>
      </c>
      <c r="BB452" s="3" t="s">
        <v>77</v>
      </c>
      <c r="BD452" s="3" t="s">
        <v>5804</v>
      </c>
      <c r="BE452" s="3" t="s">
        <v>5830</v>
      </c>
      <c r="BF452" s="3" t="s">
        <v>5831</v>
      </c>
    </row>
    <row r="453" spans="1:58" ht="41.25" customHeight="1" x14ac:dyDescent="0.25">
      <c r="A453" s="7" t="s">
        <v>62</v>
      </c>
      <c r="B453" s="2" t="s">
        <v>57</v>
      </c>
      <c r="C453" s="2" t="s">
        <v>58</v>
      </c>
      <c r="D453" s="2" t="s">
        <v>5832</v>
      </c>
      <c r="E453" s="2" t="s">
        <v>5833</v>
      </c>
      <c r="F453" s="2" t="s">
        <v>5834</v>
      </c>
      <c r="H453" s="3" t="s">
        <v>62</v>
      </c>
      <c r="I453" s="3" t="s">
        <v>63</v>
      </c>
      <c r="J453" s="3" t="s">
        <v>62</v>
      </c>
      <c r="K453" s="3" t="s">
        <v>62</v>
      </c>
      <c r="L453" s="3" t="s">
        <v>64</v>
      </c>
      <c r="M453" s="2" t="s">
        <v>2663</v>
      </c>
      <c r="N453" s="2" t="s">
        <v>5835</v>
      </c>
      <c r="O453" s="3" t="s">
        <v>124</v>
      </c>
      <c r="Q453" s="3" t="s">
        <v>68</v>
      </c>
      <c r="R453" s="3" t="s">
        <v>88</v>
      </c>
      <c r="S453" s="2" t="s">
        <v>5836</v>
      </c>
      <c r="T453" s="3" t="s">
        <v>70</v>
      </c>
      <c r="U453" s="4">
        <v>9</v>
      </c>
      <c r="V453" s="4">
        <v>9</v>
      </c>
      <c r="W453" s="5" t="s">
        <v>5837</v>
      </c>
      <c r="X453" s="5" t="s">
        <v>5837</v>
      </c>
      <c r="Y453" s="5" t="s">
        <v>5196</v>
      </c>
      <c r="Z453" s="5" t="s">
        <v>5196</v>
      </c>
      <c r="AA453" s="4">
        <v>620</v>
      </c>
      <c r="AB453" s="4">
        <v>523</v>
      </c>
      <c r="AC453" s="4">
        <v>926</v>
      </c>
      <c r="AD453" s="4">
        <v>4</v>
      </c>
      <c r="AE453" s="4">
        <v>9</v>
      </c>
      <c r="AF453" s="4">
        <v>37</v>
      </c>
      <c r="AG453" s="4">
        <v>51</v>
      </c>
      <c r="AH453" s="4">
        <v>16</v>
      </c>
      <c r="AI453" s="4">
        <v>21</v>
      </c>
      <c r="AJ453" s="4">
        <v>7</v>
      </c>
      <c r="AK453" s="4">
        <v>9</v>
      </c>
      <c r="AL453" s="4">
        <v>22</v>
      </c>
      <c r="AM453" s="4">
        <v>26</v>
      </c>
      <c r="AN453" s="4">
        <v>2</v>
      </c>
      <c r="AO453" s="4">
        <v>7</v>
      </c>
      <c r="AP453" s="4">
        <v>0</v>
      </c>
      <c r="AQ453" s="4">
        <v>0</v>
      </c>
      <c r="AR453" s="3" t="s">
        <v>62</v>
      </c>
      <c r="AS453" s="3" t="s">
        <v>84</v>
      </c>
      <c r="AT453" s="6" t="str">
        <f>HYPERLINK("http://catalog.hathitrust.org/Record/001922320","HathiTrust Record")</f>
        <v>HathiTrust Record</v>
      </c>
      <c r="AU453" s="6" t="str">
        <f>HYPERLINK("https://creighton-primo.hosted.exlibrisgroup.com/primo-explore/search?tab=default_tab&amp;search_scope=EVERYTHING&amp;vid=01CRU&amp;lang=en_US&amp;offset=0&amp;query=any,contains,991002626389702656","Catalog Record")</f>
        <v>Catalog Record</v>
      </c>
      <c r="AV453" s="6" t="str">
        <f>HYPERLINK("http://www.worldcat.org/oclc/6807770","WorldCat Record")</f>
        <v>WorldCat Record</v>
      </c>
      <c r="AW453" s="3" t="s">
        <v>5838</v>
      </c>
      <c r="AX453" s="3" t="s">
        <v>5839</v>
      </c>
      <c r="AY453" s="3" t="s">
        <v>5840</v>
      </c>
      <c r="AZ453" s="3" t="s">
        <v>5840</v>
      </c>
      <c r="BA453" s="3" t="s">
        <v>5841</v>
      </c>
      <c r="BB453" s="3" t="s">
        <v>77</v>
      </c>
      <c r="BE453" s="3" t="s">
        <v>5842</v>
      </c>
      <c r="BF453" s="3" t="s">
        <v>5843</v>
      </c>
    </row>
    <row r="454" spans="1:58" ht="41.25" customHeight="1" x14ac:dyDescent="0.25">
      <c r="A454" s="7" t="s">
        <v>62</v>
      </c>
      <c r="B454" s="2" t="s">
        <v>57</v>
      </c>
      <c r="C454" s="2" t="s">
        <v>58</v>
      </c>
      <c r="D454" s="2" t="s">
        <v>5844</v>
      </c>
      <c r="E454" s="2" t="s">
        <v>5845</v>
      </c>
      <c r="F454" s="2" t="s">
        <v>5846</v>
      </c>
      <c r="H454" s="3" t="s">
        <v>62</v>
      </c>
      <c r="I454" s="3" t="s">
        <v>63</v>
      </c>
      <c r="J454" s="3" t="s">
        <v>62</v>
      </c>
      <c r="K454" s="3" t="s">
        <v>62</v>
      </c>
      <c r="L454" s="3" t="s">
        <v>64</v>
      </c>
      <c r="M454" s="2" t="s">
        <v>5847</v>
      </c>
      <c r="N454" s="2" t="s">
        <v>5848</v>
      </c>
      <c r="O454" s="3" t="s">
        <v>1750</v>
      </c>
      <c r="P454" s="2" t="s">
        <v>5849</v>
      </c>
      <c r="Q454" s="3" t="s">
        <v>68</v>
      </c>
      <c r="R454" s="3" t="s">
        <v>69</v>
      </c>
      <c r="T454" s="3" t="s">
        <v>70</v>
      </c>
      <c r="U454" s="4">
        <v>1</v>
      </c>
      <c r="V454" s="4">
        <v>1</v>
      </c>
      <c r="W454" s="5" t="s">
        <v>5850</v>
      </c>
      <c r="X454" s="5" t="s">
        <v>5850</v>
      </c>
      <c r="Y454" s="5" t="s">
        <v>5850</v>
      </c>
      <c r="Z454" s="5" t="s">
        <v>5850</v>
      </c>
      <c r="AA454" s="4">
        <v>84</v>
      </c>
      <c r="AB454" s="4">
        <v>80</v>
      </c>
      <c r="AC454" s="4">
        <v>773</v>
      </c>
      <c r="AD454" s="4">
        <v>2</v>
      </c>
      <c r="AE454" s="4">
        <v>6</v>
      </c>
      <c r="AF454" s="4">
        <v>3</v>
      </c>
      <c r="AG454" s="4">
        <v>10</v>
      </c>
      <c r="AH454" s="4">
        <v>0</v>
      </c>
      <c r="AI454" s="4">
        <v>4</v>
      </c>
      <c r="AJ454" s="4">
        <v>1</v>
      </c>
      <c r="AK454" s="4">
        <v>2</v>
      </c>
      <c r="AL454" s="4">
        <v>2</v>
      </c>
      <c r="AM454" s="4">
        <v>7</v>
      </c>
      <c r="AN454" s="4">
        <v>0</v>
      </c>
      <c r="AO454" s="4">
        <v>0</v>
      </c>
      <c r="AP454" s="4">
        <v>0</v>
      </c>
      <c r="AQ454" s="4">
        <v>0</v>
      </c>
      <c r="AR454" s="3" t="s">
        <v>62</v>
      </c>
      <c r="AS454" s="3" t="s">
        <v>62</v>
      </c>
      <c r="AU454" s="6" t="str">
        <f>HYPERLINK("https://creighton-primo.hosted.exlibrisgroup.com/primo-explore/search?tab=default_tab&amp;search_scope=EVERYTHING&amp;vid=01CRU&amp;lang=en_US&amp;offset=0&amp;query=any,contains,991003856019702656","Catalog Record")</f>
        <v>Catalog Record</v>
      </c>
      <c r="AV454" s="6" t="str">
        <f>HYPERLINK("http://www.worldcat.org/oclc/25987651","WorldCat Record")</f>
        <v>WorldCat Record</v>
      </c>
      <c r="AW454" s="3" t="s">
        <v>5851</v>
      </c>
      <c r="AX454" s="3" t="s">
        <v>5852</v>
      </c>
      <c r="AY454" s="3" t="s">
        <v>5853</v>
      </c>
      <c r="AZ454" s="3" t="s">
        <v>5853</v>
      </c>
      <c r="BA454" s="3" t="s">
        <v>5854</v>
      </c>
      <c r="BB454" s="3" t="s">
        <v>77</v>
      </c>
      <c r="BD454" s="3" t="s">
        <v>5855</v>
      </c>
      <c r="BE454" s="3" t="s">
        <v>5856</v>
      </c>
      <c r="BF454" s="3" t="s">
        <v>5857</v>
      </c>
    </row>
    <row r="455" spans="1:58" ht="41.25" customHeight="1" x14ac:dyDescent="0.25">
      <c r="A455" s="7" t="s">
        <v>62</v>
      </c>
      <c r="B455" s="2" t="s">
        <v>57</v>
      </c>
      <c r="C455" s="2" t="s">
        <v>58</v>
      </c>
      <c r="D455" s="2" t="s">
        <v>5858</v>
      </c>
      <c r="E455" s="2" t="s">
        <v>5859</v>
      </c>
      <c r="F455" s="2" t="s">
        <v>5860</v>
      </c>
      <c r="H455" s="3" t="s">
        <v>62</v>
      </c>
      <c r="I455" s="3" t="s">
        <v>63</v>
      </c>
      <c r="J455" s="3" t="s">
        <v>62</v>
      </c>
      <c r="K455" s="3" t="s">
        <v>62</v>
      </c>
      <c r="L455" s="3" t="s">
        <v>64</v>
      </c>
      <c r="M455" s="2" t="s">
        <v>5861</v>
      </c>
      <c r="N455" s="2" t="s">
        <v>5862</v>
      </c>
      <c r="O455" s="3" t="s">
        <v>4061</v>
      </c>
      <c r="Q455" s="3" t="s">
        <v>68</v>
      </c>
      <c r="R455" s="3" t="s">
        <v>69</v>
      </c>
      <c r="T455" s="3" t="s">
        <v>70</v>
      </c>
      <c r="U455" s="4">
        <v>4</v>
      </c>
      <c r="V455" s="4">
        <v>4</v>
      </c>
      <c r="W455" s="5" t="s">
        <v>5863</v>
      </c>
      <c r="X455" s="5" t="s">
        <v>5863</v>
      </c>
      <c r="Y455" s="5" t="s">
        <v>5864</v>
      </c>
      <c r="Z455" s="5" t="s">
        <v>5864</v>
      </c>
      <c r="AA455" s="4">
        <v>705</v>
      </c>
      <c r="AB455" s="4">
        <v>655</v>
      </c>
      <c r="AC455" s="4">
        <v>770</v>
      </c>
      <c r="AD455" s="4">
        <v>8</v>
      </c>
      <c r="AE455" s="4">
        <v>9</v>
      </c>
      <c r="AF455" s="4">
        <v>11</v>
      </c>
      <c r="AG455" s="4">
        <v>17</v>
      </c>
      <c r="AH455" s="4">
        <v>2</v>
      </c>
      <c r="AI455" s="4">
        <v>5</v>
      </c>
      <c r="AJ455" s="4">
        <v>4</v>
      </c>
      <c r="AK455" s="4">
        <v>5</v>
      </c>
      <c r="AL455" s="4">
        <v>5</v>
      </c>
      <c r="AM455" s="4">
        <v>9</v>
      </c>
      <c r="AN455" s="4">
        <v>2</v>
      </c>
      <c r="AO455" s="4">
        <v>3</v>
      </c>
      <c r="AP455" s="4">
        <v>0</v>
      </c>
      <c r="AQ455" s="4">
        <v>0</v>
      </c>
      <c r="AR455" s="3" t="s">
        <v>62</v>
      </c>
      <c r="AS455" s="3" t="s">
        <v>62</v>
      </c>
      <c r="AU455" s="6" t="str">
        <f>HYPERLINK("https://creighton-primo.hosted.exlibrisgroup.com/primo-explore/search?tab=default_tab&amp;search_scope=EVERYTHING&amp;vid=01CRU&amp;lang=en_US&amp;offset=0&amp;query=any,contains,991002661529702656","Catalog Record")</f>
        <v>Catalog Record</v>
      </c>
      <c r="AV455" s="6" t="str">
        <f>HYPERLINK("http://www.worldcat.org/oclc/34782666","WorldCat Record")</f>
        <v>WorldCat Record</v>
      </c>
      <c r="AW455" s="3" t="s">
        <v>5865</v>
      </c>
      <c r="AX455" s="3" t="s">
        <v>5866</v>
      </c>
      <c r="AY455" s="3" t="s">
        <v>5867</v>
      </c>
      <c r="AZ455" s="3" t="s">
        <v>5867</v>
      </c>
      <c r="BA455" s="3" t="s">
        <v>5868</v>
      </c>
      <c r="BB455" s="3" t="s">
        <v>77</v>
      </c>
      <c r="BD455" s="3" t="s">
        <v>5869</v>
      </c>
      <c r="BE455" s="3" t="s">
        <v>5870</v>
      </c>
      <c r="BF455" s="3" t="s">
        <v>5871</v>
      </c>
    </row>
    <row r="456" spans="1:58" ht="41.25" customHeight="1" x14ac:dyDescent="0.25">
      <c r="A456" s="7" t="s">
        <v>62</v>
      </c>
      <c r="B456" s="2" t="s">
        <v>57</v>
      </c>
      <c r="C456" s="2" t="s">
        <v>58</v>
      </c>
      <c r="D456" s="2" t="s">
        <v>5872</v>
      </c>
      <c r="E456" s="2" t="s">
        <v>5873</v>
      </c>
      <c r="F456" s="2" t="s">
        <v>5874</v>
      </c>
      <c r="H456" s="3" t="s">
        <v>62</v>
      </c>
      <c r="I456" s="3" t="s">
        <v>63</v>
      </c>
      <c r="J456" s="3" t="s">
        <v>62</v>
      </c>
      <c r="K456" s="3" t="s">
        <v>62</v>
      </c>
      <c r="L456" s="3" t="s">
        <v>64</v>
      </c>
      <c r="M456" s="2" t="s">
        <v>5875</v>
      </c>
      <c r="N456" s="2" t="s">
        <v>5876</v>
      </c>
      <c r="O456" s="3" t="s">
        <v>165</v>
      </c>
      <c r="Q456" s="3" t="s">
        <v>68</v>
      </c>
      <c r="R456" s="3" t="s">
        <v>69</v>
      </c>
      <c r="T456" s="3" t="s">
        <v>70</v>
      </c>
      <c r="U456" s="4">
        <v>2</v>
      </c>
      <c r="V456" s="4">
        <v>2</v>
      </c>
      <c r="W456" s="5" t="s">
        <v>5877</v>
      </c>
      <c r="X456" s="5" t="s">
        <v>5877</v>
      </c>
      <c r="Y456" s="5" t="s">
        <v>5196</v>
      </c>
      <c r="Z456" s="5" t="s">
        <v>5196</v>
      </c>
      <c r="AA456" s="4">
        <v>384</v>
      </c>
      <c r="AB456" s="4">
        <v>356</v>
      </c>
      <c r="AC456" s="4">
        <v>361</v>
      </c>
      <c r="AD456" s="4">
        <v>6</v>
      </c>
      <c r="AE456" s="4">
        <v>6</v>
      </c>
      <c r="AF456" s="4">
        <v>12</v>
      </c>
      <c r="AG456" s="4">
        <v>12</v>
      </c>
      <c r="AH456" s="4">
        <v>2</v>
      </c>
      <c r="AI456" s="4">
        <v>2</v>
      </c>
      <c r="AJ456" s="4">
        <v>4</v>
      </c>
      <c r="AK456" s="4">
        <v>4</v>
      </c>
      <c r="AL456" s="4">
        <v>6</v>
      </c>
      <c r="AM456" s="4">
        <v>6</v>
      </c>
      <c r="AN456" s="4">
        <v>2</v>
      </c>
      <c r="AO456" s="4">
        <v>2</v>
      </c>
      <c r="AP456" s="4">
        <v>0</v>
      </c>
      <c r="AQ456" s="4">
        <v>0</v>
      </c>
      <c r="AR456" s="3" t="s">
        <v>62</v>
      </c>
      <c r="AS456" s="3" t="s">
        <v>62</v>
      </c>
      <c r="AU456" s="6" t="str">
        <f>HYPERLINK("https://creighton-primo.hosted.exlibrisgroup.com/primo-explore/search?tab=default_tab&amp;search_scope=EVERYTHING&amp;vid=01CRU&amp;lang=en_US&amp;offset=0&amp;query=any,contains,991004321089702656","Catalog Record")</f>
        <v>Catalog Record</v>
      </c>
      <c r="AV456" s="6" t="str">
        <f>HYPERLINK("http://www.worldcat.org/oclc/3017894","WorldCat Record")</f>
        <v>WorldCat Record</v>
      </c>
      <c r="AW456" s="3" t="s">
        <v>5878</v>
      </c>
      <c r="AX456" s="3" t="s">
        <v>5879</v>
      </c>
      <c r="AY456" s="3" t="s">
        <v>5880</v>
      </c>
      <c r="AZ456" s="3" t="s">
        <v>5880</v>
      </c>
      <c r="BA456" s="3" t="s">
        <v>5881</v>
      </c>
      <c r="BB456" s="3" t="s">
        <v>77</v>
      </c>
      <c r="BD456" s="3" t="s">
        <v>5882</v>
      </c>
      <c r="BE456" s="3" t="s">
        <v>5883</v>
      </c>
      <c r="BF456" s="3" t="s">
        <v>5884</v>
      </c>
    </row>
    <row r="457" spans="1:58" ht="41.25" customHeight="1" x14ac:dyDescent="0.25">
      <c r="A457" s="7" t="s">
        <v>62</v>
      </c>
      <c r="B457" s="2" t="s">
        <v>57</v>
      </c>
      <c r="C457" s="2" t="s">
        <v>58</v>
      </c>
      <c r="D457" s="2" t="s">
        <v>5885</v>
      </c>
      <c r="E457" s="2" t="s">
        <v>5886</v>
      </c>
      <c r="F457" s="2" t="s">
        <v>5887</v>
      </c>
      <c r="H457" s="3" t="s">
        <v>62</v>
      </c>
      <c r="I457" s="3" t="s">
        <v>63</v>
      </c>
      <c r="J457" s="3" t="s">
        <v>62</v>
      </c>
      <c r="K457" s="3" t="s">
        <v>62</v>
      </c>
      <c r="L457" s="3" t="s">
        <v>64</v>
      </c>
      <c r="M457" s="2" t="s">
        <v>5888</v>
      </c>
      <c r="N457" s="2" t="s">
        <v>5889</v>
      </c>
      <c r="O457" s="3" t="s">
        <v>561</v>
      </c>
      <c r="Q457" s="3" t="s">
        <v>68</v>
      </c>
      <c r="R457" s="3" t="s">
        <v>69</v>
      </c>
      <c r="T457" s="3" t="s">
        <v>70</v>
      </c>
      <c r="U457" s="4">
        <v>8</v>
      </c>
      <c r="V457" s="4">
        <v>8</v>
      </c>
      <c r="W457" s="5" t="s">
        <v>3358</v>
      </c>
      <c r="X457" s="5" t="s">
        <v>3358</v>
      </c>
      <c r="Y457" s="5" t="s">
        <v>5196</v>
      </c>
      <c r="Z457" s="5" t="s">
        <v>5196</v>
      </c>
      <c r="AA457" s="4">
        <v>170</v>
      </c>
      <c r="AB457" s="4">
        <v>156</v>
      </c>
      <c r="AC457" s="4">
        <v>156</v>
      </c>
      <c r="AD457" s="4">
        <v>3</v>
      </c>
      <c r="AE457" s="4">
        <v>3</v>
      </c>
      <c r="AF457" s="4">
        <v>11</v>
      </c>
      <c r="AG457" s="4">
        <v>11</v>
      </c>
      <c r="AH457" s="4">
        <v>3</v>
      </c>
      <c r="AI457" s="4">
        <v>3</v>
      </c>
      <c r="AJ457" s="4">
        <v>3</v>
      </c>
      <c r="AK457" s="4">
        <v>3</v>
      </c>
      <c r="AL457" s="4">
        <v>8</v>
      </c>
      <c r="AM457" s="4">
        <v>8</v>
      </c>
      <c r="AN457" s="4">
        <v>1</v>
      </c>
      <c r="AO457" s="4">
        <v>1</v>
      </c>
      <c r="AP457" s="4">
        <v>0</v>
      </c>
      <c r="AQ457" s="4">
        <v>0</v>
      </c>
      <c r="AR457" s="3" t="s">
        <v>62</v>
      </c>
      <c r="AS457" s="3" t="s">
        <v>62</v>
      </c>
      <c r="AU457" s="6" t="str">
        <f>HYPERLINK("https://creighton-primo.hosted.exlibrisgroup.com/primo-explore/search?tab=default_tab&amp;search_scope=EVERYTHING&amp;vid=01CRU&amp;lang=en_US&amp;offset=0&amp;query=any,contains,991000808669702656","Catalog Record")</f>
        <v>Catalog Record</v>
      </c>
      <c r="AV457" s="6" t="str">
        <f>HYPERLINK("http://www.worldcat.org/oclc/13328424","WorldCat Record")</f>
        <v>WorldCat Record</v>
      </c>
      <c r="AW457" s="3" t="s">
        <v>5890</v>
      </c>
      <c r="AX457" s="3" t="s">
        <v>5891</v>
      </c>
      <c r="AY457" s="3" t="s">
        <v>5892</v>
      </c>
      <c r="AZ457" s="3" t="s">
        <v>5892</v>
      </c>
      <c r="BA457" s="3" t="s">
        <v>5893</v>
      </c>
      <c r="BB457" s="3" t="s">
        <v>77</v>
      </c>
      <c r="BD457" s="3" t="s">
        <v>5894</v>
      </c>
      <c r="BE457" s="3" t="s">
        <v>5895</v>
      </c>
      <c r="BF457" s="3" t="s">
        <v>5896</v>
      </c>
    </row>
    <row r="458" spans="1:58" ht="41.25" customHeight="1" x14ac:dyDescent="0.25">
      <c r="A458" s="7" t="s">
        <v>62</v>
      </c>
      <c r="B458" s="2" t="s">
        <v>57</v>
      </c>
      <c r="C458" s="2" t="s">
        <v>58</v>
      </c>
      <c r="D458" s="2" t="s">
        <v>5897</v>
      </c>
      <c r="E458" s="2" t="s">
        <v>5898</v>
      </c>
      <c r="F458" s="2" t="s">
        <v>5899</v>
      </c>
      <c r="H458" s="3" t="s">
        <v>62</v>
      </c>
      <c r="I458" s="3" t="s">
        <v>63</v>
      </c>
      <c r="J458" s="3" t="s">
        <v>62</v>
      </c>
      <c r="K458" s="3" t="s">
        <v>62</v>
      </c>
      <c r="L458" s="3" t="s">
        <v>64</v>
      </c>
      <c r="M458" s="2" t="s">
        <v>5900</v>
      </c>
      <c r="N458" s="2" t="s">
        <v>5901</v>
      </c>
      <c r="O458" s="3" t="s">
        <v>383</v>
      </c>
      <c r="Q458" s="3" t="s">
        <v>68</v>
      </c>
      <c r="R458" s="3" t="s">
        <v>88</v>
      </c>
      <c r="T458" s="3" t="s">
        <v>70</v>
      </c>
      <c r="U458" s="4">
        <v>2</v>
      </c>
      <c r="V458" s="4">
        <v>2</v>
      </c>
      <c r="W458" s="5" t="s">
        <v>5902</v>
      </c>
      <c r="X458" s="5" t="s">
        <v>5902</v>
      </c>
      <c r="Y458" s="5" t="s">
        <v>5196</v>
      </c>
      <c r="Z458" s="5" t="s">
        <v>5196</v>
      </c>
      <c r="AA458" s="4">
        <v>63</v>
      </c>
      <c r="AB458" s="4">
        <v>28</v>
      </c>
      <c r="AC458" s="4">
        <v>659</v>
      </c>
      <c r="AD458" s="4">
        <v>2</v>
      </c>
      <c r="AE458" s="4">
        <v>8</v>
      </c>
      <c r="AF458" s="4">
        <v>2</v>
      </c>
      <c r="AG458" s="4">
        <v>33</v>
      </c>
      <c r="AH458" s="4">
        <v>0</v>
      </c>
      <c r="AI458" s="4">
        <v>15</v>
      </c>
      <c r="AJ458" s="4">
        <v>1</v>
      </c>
      <c r="AK458" s="4">
        <v>8</v>
      </c>
      <c r="AL458" s="4">
        <v>0</v>
      </c>
      <c r="AM458" s="4">
        <v>14</v>
      </c>
      <c r="AN458" s="4">
        <v>1</v>
      </c>
      <c r="AO458" s="4">
        <v>5</v>
      </c>
      <c r="AP458" s="4">
        <v>0</v>
      </c>
      <c r="AQ458" s="4">
        <v>0</v>
      </c>
      <c r="AR458" s="3" t="s">
        <v>62</v>
      </c>
      <c r="AS458" s="3" t="s">
        <v>62</v>
      </c>
      <c r="AU458" s="6" t="str">
        <f>HYPERLINK("https://creighton-primo.hosted.exlibrisgroup.com/primo-explore/search?tab=default_tab&amp;search_scope=EVERYTHING&amp;vid=01CRU&amp;lang=en_US&amp;offset=0&amp;query=any,contains,991002850989702656","Catalog Record")</f>
        <v>Catalog Record</v>
      </c>
      <c r="AV458" s="6" t="str">
        <f>HYPERLINK("http://www.worldcat.org/oclc/486864","WorldCat Record")</f>
        <v>WorldCat Record</v>
      </c>
      <c r="AW458" s="3" t="s">
        <v>5903</v>
      </c>
      <c r="AX458" s="3" t="s">
        <v>5904</v>
      </c>
      <c r="AY458" s="3" t="s">
        <v>5905</v>
      </c>
      <c r="AZ458" s="3" t="s">
        <v>5905</v>
      </c>
      <c r="BA458" s="3" t="s">
        <v>5906</v>
      </c>
      <c r="BB458" s="3" t="s">
        <v>77</v>
      </c>
      <c r="BE458" s="3" t="s">
        <v>5907</v>
      </c>
      <c r="BF458" s="3" t="s">
        <v>5908</v>
      </c>
    </row>
    <row r="459" spans="1:58" ht="41.25" customHeight="1" x14ac:dyDescent="0.25">
      <c r="A459" s="7" t="s">
        <v>62</v>
      </c>
      <c r="B459" s="2" t="s">
        <v>57</v>
      </c>
      <c r="C459" s="2" t="s">
        <v>58</v>
      </c>
      <c r="D459" s="2" t="s">
        <v>5909</v>
      </c>
      <c r="E459" s="2" t="s">
        <v>5910</v>
      </c>
      <c r="F459" s="2" t="s">
        <v>5911</v>
      </c>
      <c r="H459" s="3" t="s">
        <v>62</v>
      </c>
      <c r="I459" s="3" t="s">
        <v>63</v>
      </c>
      <c r="J459" s="3" t="s">
        <v>62</v>
      </c>
      <c r="K459" s="3" t="s">
        <v>62</v>
      </c>
      <c r="L459" s="3" t="s">
        <v>64</v>
      </c>
      <c r="N459" s="2" t="s">
        <v>5912</v>
      </c>
      <c r="O459" s="3" t="s">
        <v>1682</v>
      </c>
      <c r="Q459" s="3" t="s">
        <v>68</v>
      </c>
      <c r="R459" s="3" t="s">
        <v>69</v>
      </c>
      <c r="S459" s="2" t="s">
        <v>5913</v>
      </c>
      <c r="T459" s="3" t="s">
        <v>70</v>
      </c>
      <c r="U459" s="4">
        <v>1</v>
      </c>
      <c r="V459" s="4">
        <v>1</v>
      </c>
      <c r="W459" s="5" t="s">
        <v>5914</v>
      </c>
      <c r="X459" s="5" t="s">
        <v>5914</v>
      </c>
      <c r="Y459" s="5" t="s">
        <v>5915</v>
      </c>
      <c r="Z459" s="5" t="s">
        <v>5915</v>
      </c>
      <c r="AA459" s="4">
        <v>436</v>
      </c>
      <c r="AB459" s="4">
        <v>364</v>
      </c>
      <c r="AC459" s="4">
        <v>387</v>
      </c>
      <c r="AD459" s="4">
        <v>3</v>
      </c>
      <c r="AE459" s="4">
        <v>3</v>
      </c>
      <c r="AF459" s="4">
        <v>30</v>
      </c>
      <c r="AG459" s="4">
        <v>31</v>
      </c>
      <c r="AH459" s="4">
        <v>15</v>
      </c>
      <c r="AI459" s="4">
        <v>15</v>
      </c>
      <c r="AJ459" s="4">
        <v>6</v>
      </c>
      <c r="AK459" s="4">
        <v>6</v>
      </c>
      <c r="AL459" s="4">
        <v>18</v>
      </c>
      <c r="AM459" s="4">
        <v>19</v>
      </c>
      <c r="AN459" s="4">
        <v>1</v>
      </c>
      <c r="AO459" s="4">
        <v>1</v>
      </c>
      <c r="AP459" s="4">
        <v>0</v>
      </c>
      <c r="AQ459" s="4">
        <v>0</v>
      </c>
      <c r="AR459" s="3" t="s">
        <v>62</v>
      </c>
      <c r="AS459" s="3" t="s">
        <v>84</v>
      </c>
      <c r="AT459" s="6" t="str">
        <f>HYPERLINK("http://catalog.hathitrust.org/Record/002619716","HathiTrust Record")</f>
        <v>HathiTrust Record</v>
      </c>
      <c r="AU459" s="6" t="str">
        <f>HYPERLINK("https://creighton-primo.hosted.exlibrisgroup.com/primo-explore/search?tab=default_tab&amp;search_scope=EVERYTHING&amp;vid=01CRU&amp;lang=en_US&amp;offset=0&amp;query=any,contains,991002018879702656","Catalog Record")</f>
        <v>Catalog Record</v>
      </c>
      <c r="AV459" s="6" t="str">
        <f>HYPERLINK("http://www.worldcat.org/oclc/25675934","WorldCat Record")</f>
        <v>WorldCat Record</v>
      </c>
      <c r="AW459" s="3" t="s">
        <v>5916</v>
      </c>
      <c r="AX459" s="3" t="s">
        <v>5917</v>
      </c>
      <c r="AY459" s="3" t="s">
        <v>5918</v>
      </c>
      <c r="AZ459" s="3" t="s">
        <v>5918</v>
      </c>
      <c r="BA459" s="3" t="s">
        <v>5919</v>
      </c>
      <c r="BB459" s="3" t="s">
        <v>77</v>
      </c>
      <c r="BD459" s="3" t="s">
        <v>5920</v>
      </c>
      <c r="BE459" s="3" t="s">
        <v>5921</v>
      </c>
      <c r="BF459" s="3" t="s">
        <v>5922</v>
      </c>
    </row>
    <row r="460" spans="1:58" ht="41.25" customHeight="1" x14ac:dyDescent="0.25">
      <c r="A460" s="7" t="s">
        <v>62</v>
      </c>
      <c r="B460" s="2" t="s">
        <v>57</v>
      </c>
      <c r="C460" s="2" t="s">
        <v>58</v>
      </c>
      <c r="D460" s="2" t="s">
        <v>5923</v>
      </c>
      <c r="E460" s="2" t="s">
        <v>5924</v>
      </c>
      <c r="F460" s="2" t="s">
        <v>5925</v>
      </c>
      <c r="H460" s="3" t="s">
        <v>62</v>
      </c>
      <c r="I460" s="3" t="s">
        <v>63</v>
      </c>
      <c r="J460" s="3" t="s">
        <v>62</v>
      </c>
      <c r="K460" s="3" t="s">
        <v>62</v>
      </c>
      <c r="L460" s="3" t="s">
        <v>64</v>
      </c>
      <c r="M460" s="2" t="s">
        <v>5926</v>
      </c>
      <c r="N460" s="2" t="s">
        <v>5927</v>
      </c>
      <c r="O460" s="3" t="s">
        <v>218</v>
      </c>
      <c r="Q460" s="3" t="s">
        <v>68</v>
      </c>
      <c r="R460" s="3" t="s">
        <v>69</v>
      </c>
      <c r="T460" s="3" t="s">
        <v>70</v>
      </c>
      <c r="U460" s="4">
        <v>3</v>
      </c>
      <c r="V460" s="4">
        <v>3</v>
      </c>
      <c r="W460" s="5" t="s">
        <v>5928</v>
      </c>
      <c r="X460" s="5" t="s">
        <v>5928</v>
      </c>
      <c r="Y460" s="5" t="s">
        <v>5196</v>
      </c>
      <c r="Z460" s="5" t="s">
        <v>5196</v>
      </c>
      <c r="AA460" s="4">
        <v>426</v>
      </c>
      <c r="AB460" s="4">
        <v>389</v>
      </c>
      <c r="AC460" s="4">
        <v>507</v>
      </c>
      <c r="AD460" s="4">
        <v>3</v>
      </c>
      <c r="AE460" s="4">
        <v>5</v>
      </c>
      <c r="AF460" s="4">
        <v>21</v>
      </c>
      <c r="AG460" s="4">
        <v>24</v>
      </c>
      <c r="AH460" s="4">
        <v>6</v>
      </c>
      <c r="AI460" s="4">
        <v>7</v>
      </c>
      <c r="AJ460" s="4">
        <v>4</v>
      </c>
      <c r="AK460" s="4">
        <v>4</v>
      </c>
      <c r="AL460" s="4">
        <v>15</v>
      </c>
      <c r="AM460" s="4">
        <v>15</v>
      </c>
      <c r="AN460" s="4">
        <v>2</v>
      </c>
      <c r="AO460" s="4">
        <v>4</v>
      </c>
      <c r="AP460" s="4">
        <v>0</v>
      </c>
      <c r="AQ460" s="4">
        <v>0</v>
      </c>
      <c r="AR460" s="3" t="s">
        <v>62</v>
      </c>
      <c r="AS460" s="3" t="s">
        <v>62</v>
      </c>
      <c r="AU460" s="6" t="str">
        <f>HYPERLINK("https://creighton-primo.hosted.exlibrisgroup.com/primo-explore/search?tab=default_tab&amp;search_scope=EVERYTHING&amp;vid=01CRU&amp;lang=en_US&amp;offset=0&amp;query=any,contains,991004635049702656","Catalog Record")</f>
        <v>Catalog Record</v>
      </c>
      <c r="AV460" s="6" t="str">
        <f>HYPERLINK("http://www.worldcat.org/oclc/4402385","WorldCat Record")</f>
        <v>WorldCat Record</v>
      </c>
      <c r="AW460" s="3" t="s">
        <v>5929</v>
      </c>
      <c r="AX460" s="3" t="s">
        <v>5930</v>
      </c>
      <c r="AY460" s="3" t="s">
        <v>5931</v>
      </c>
      <c r="AZ460" s="3" t="s">
        <v>5931</v>
      </c>
      <c r="BA460" s="3" t="s">
        <v>5932</v>
      </c>
      <c r="BB460" s="3" t="s">
        <v>77</v>
      </c>
      <c r="BD460" s="3" t="s">
        <v>5933</v>
      </c>
      <c r="BE460" s="3" t="s">
        <v>5934</v>
      </c>
      <c r="BF460" s="3" t="s">
        <v>5935</v>
      </c>
    </row>
    <row r="461" spans="1:58" ht="41.25" customHeight="1" x14ac:dyDescent="0.25">
      <c r="A461" s="7" t="s">
        <v>62</v>
      </c>
      <c r="B461" s="2" t="s">
        <v>57</v>
      </c>
      <c r="C461" s="2" t="s">
        <v>58</v>
      </c>
      <c r="D461" s="2" t="s">
        <v>5936</v>
      </c>
      <c r="E461" s="2" t="s">
        <v>5937</v>
      </c>
      <c r="F461" s="2" t="s">
        <v>5938</v>
      </c>
      <c r="H461" s="3" t="s">
        <v>62</v>
      </c>
      <c r="I461" s="3" t="s">
        <v>63</v>
      </c>
      <c r="J461" s="3" t="s">
        <v>62</v>
      </c>
      <c r="K461" s="3" t="s">
        <v>62</v>
      </c>
      <c r="L461" s="3" t="s">
        <v>64</v>
      </c>
      <c r="M461" s="2" t="s">
        <v>5939</v>
      </c>
      <c r="N461" s="2" t="s">
        <v>5940</v>
      </c>
      <c r="O461" s="3" t="s">
        <v>561</v>
      </c>
      <c r="Q461" s="3" t="s">
        <v>68</v>
      </c>
      <c r="R461" s="3" t="s">
        <v>1653</v>
      </c>
      <c r="T461" s="3" t="s">
        <v>70</v>
      </c>
      <c r="U461" s="4">
        <v>1</v>
      </c>
      <c r="V461" s="4">
        <v>1</v>
      </c>
      <c r="W461" s="5" t="s">
        <v>5941</v>
      </c>
      <c r="X461" s="5" t="s">
        <v>5941</v>
      </c>
      <c r="Y461" s="5" t="s">
        <v>5196</v>
      </c>
      <c r="Z461" s="5" t="s">
        <v>5196</v>
      </c>
      <c r="AA461" s="4">
        <v>286</v>
      </c>
      <c r="AB461" s="4">
        <v>261</v>
      </c>
      <c r="AC461" s="4">
        <v>280</v>
      </c>
      <c r="AD461" s="4">
        <v>4</v>
      </c>
      <c r="AE461" s="4">
        <v>4</v>
      </c>
      <c r="AF461" s="4">
        <v>18</v>
      </c>
      <c r="AG461" s="4">
        <v>19</v>
      </c>
      <c r="AH461" s="4">
        <v>4</v>
      </c>
      <c r="AI461" s="4">
        <v>5</v>
      </c>
      <c r="AJ461" s="4">
        <v>4</v>
      </c>
      <c r="AK461" s="4">
        <v>4</v>
      </c>
      <c r="AL461" s="4">
        <v>11</v>
      </c>
      <c r="AM461" s="4">
        <v>11</v>
      </c>
      <c r="AN461" s="4">
        <v>3</v>
      </c>
      <c r="AO461" s="4">
        <v>3</v>
      </c>
      <c r="AP461" s="4">
        <v>0</v>
      </c>
      <c r="AQ461" s="4">
        <v>0</v>
      </c>
      <c r="AR461" s="3" t="s">
        <v>62</v>
      </c>
      <c r="AS461" s="3" t="s">
        <v>84</v>
      </c>
      <c r="AT461" s="6" t="str">
        <f>HYPERLINK("http://catalog.hathitrust.org/Record/102107318","HathiTrust Record")</f>
        <v>HathiTrust Record</v>
      </c>
      <c r="AU461" s="6" t="str">
        <f>HYPERLINK("https://creighton-primo.hosted.exlibrisgroup.com/primo-explore/search?tab=default_tab&amp;search_scope=EVERYTHING&amp;vid=01CRU&amp;lang=en_US&amp;offset=0&amp;query=any,contains,991000881089702656","Catalog Record")</f>
        <v>Catalog Record</v>
      </c>
      <c r="AV461" s="6" t="str">
        <f>HYPERLINK("http://www.worldcat.org/oclc/13827984","WorldCat Record")</f>
        <v>WorldCat Record</v>
      </c>
      <c r="AW461" s="3" t="s">
        <v>5942</v>
      </c>
      <c r="AX461" s="3" t="s">
        <v>5943</v>
      </c>
      <c r="AY461" s="3" t="s">
        <v>5944</v>
      </c>
      <c r="AZ461" s="3" t="s">
        <v>5944</v>
      </c>
      <c r="BA461" s="3" t="s">
        <v>5945</v>
      </c>
      <c r="BB461" s="3" t="s">
        <v>77</v>
      </c>
      <c r="BD461" s="3" t="s">
        <v>5946</v>
      </c>
      <c r="BE461" s="3" t="s">
        <v>5947</v>
      </c>
      <c r="BF461" s="3" t="s">
        <v>5948</v>
      </c>
    </row>
    <row r="462" spans="1:58" ht="41.25" customHeight="1" x14ac:dyDescent="0.25">
      <c r="A462" s="7" t="s">
        <v>62</v>
      </c>
      <c r="B462" s="2" t="s">
        <v>57</v>
      </c>
      <c r="C462" s="2" t="s">
        <v>58</v>
      </c>
      <c r="D462" s="2" t="s">
        <v>5949</v>
      </c>
      <c r="E462" s="2" t="s">
        <v>5950</v>
      </c>
      <c r="F462" s="2" t="s">
        <v>5951</v>
      </c>
      <c r="H462" s="3" t="s">
        <v>62</v>
      </c>
      <c r="I462" s="3" t="s">
        <v>63</v>
      </c>
      <c r="J462" s="3" t="s">
        <v>62</v>
      </c>
      <c r="K462" s="3" t="s">
        <v>62</v>
      </c>
      <c r="L462" s="3" t="s">
        <v>64</v>
      </c>
      <c r="M462" s="2" t="s">
        <v>5952</v>
      </c>
      <c r="N462" s="2" t="s">
        <v>5953</v>
      </c>
      <c r="O462" s="3" t="s">
        <v>253</v>
      </c>
      <c r="Q462" s="3" t="s">
        <v>68</v>
      </c>
      <c r="R462" s="3" t="s">
        <v>69</v>
      </c>
      <c r="T462" s="3" t="s">
        <v>70</v>
      </c>
      <c r="U462" s="4">
        <v>3</v>
      </c>
      <c r="V462" s="4">
        <v>3</v>
      </c>
      <c r="W462" s="5" t="s">
        <v>5954</v>
      </c>
      <c r="X462" s="5" t="s">
        <v>5954</v>
      </c>
      <c r="Y462" s="5" t="s">
        <v>5196</v>
      </c>
      <c r="Z462" s="5" t="s">
        <v>5196</v>
      </c>
      <c r="AA462" s="4">
        <v>343</v>
      </c>
      <c r="AB462" s="4">
        <v>305</v>
      </c>
      <c r="AC462" s="4">
        <v>312</v>
      </c>
      <c r="AD462" s="4">
        <v>1</v>
      </c>
      <c r="AE462" s="4">
        <v>1</v>
      </c>
      <c r="AF462" s="4">
        <v>16</v>
      </c>
      <c r="AG462" s="4">
        <v>16</v>
      </c>
      <c r="AH462" s="4">
        <v>7</v>
      </c>
      <c r="AI462" s="4">
        <v>7</v>
      </c>
      <c r="AJ462" s="4">
        <v>3</v>
      </c>
      <c r="AK462" s="4">
        <v>3</v>
      </c>
      <c r="AL462" s="4">
        <v>11</v>
      </c>
      <c r="AM462" s="4">
        <v>11</v>
      </c>
      <c r="AN462" s="4">
        <v>0</v>
      </c>
      <c r="AO462" s="4">
        <v>0</v>
      </c>
      <c r="AP462" s="4">
        <v>0</v>
      </c>
      <c r="AQ462" s="4">
        <v>0</v>
      </c>
      <c r="AR462" s="3" t="s">
        <v>62</v>
      </c>
      <c r="AS462" s="3" t="s">
        <v>84</v>
      </c>
      <c r="AT462" s="6" t="str">
        <f>HYPERLINK("http://catalog.hathitrust.org/Record/009490516","HathiTrust Record")</f>
        <v>HathiTrust Record</v>
      </c>
      <c r="AU462" s="6" t="str">
        <f>HYPERLINK("https://creighton-primo.hosted.exlibrisgroup.com/primo-explore/search?tab=default_tab&amp;search_scope=EVERYTHING&amp;vid=01CRU&amp;lang=en_US&amp;offset=0&amp;query=any,contains,991000336189702656","Catalog Record")</f>
        <v>Catalog Record</v>
      </c>
      <c r="AV462" s="6" t="str">
        <f>HYPERLINK("http://www.worldcat.org/oclc/10229934","WorldCat Record")</f>
        <v>WorldCat Record</v>
      </c>
      <c r="AW462" s="3" t="s">
        <v>5955</v>
      </c>
      <c r="AX462" s="3" t="s">
        <v>5956</v>
      </c>
      <c r="AY462" s="3" t="s">
        <v>5957</v>
      </c>
      <c r="AZ462" s="3" t="s">
        <v>5957</v>
      </c>
      <c r="BA462" s="3" t="s">
        <v>5958</v>
      </c>
      <c r="BB462" s="3" t="s">
        <v>77</v>
      </c>
      <c r="BD462" s="3" t="s">
        <v>5959</v>
      </c>
      <c r="BE462" s="3" t="s">
        <v>5960</v>
      </c>
      <c r="BF462" s="3" t="s">
        <v>5961</v>
      </c>
    </row>
    <row r="463" spans="1:58" ht="41.25" customHeight="1" x14ac:dyDescent="0.25">
      <c r="A463" s="7" t="s">
        <v>62</v>
      </c>
      <c r="B463" s="2" t="s">
        <v>57</v>
      </c>
      <c r="C463" s="2" t="s">
        <v>58</v>
      </c>
      <c r="D463" s="2" t="s">
        <v>5962</v>
      </c>
      <c r="E463" s="2" t="s">
        <v>5963</v>
      </c>
      <c r="F463" s="2" t="s">
        <v>5964</v>
      </c>
      <c r="H463" s="3" t="s">
        <v>62</v>
      </c>
      <c r="I463" s="3" t="s">
        <v>63</v>
      </c>
      <c r="J463" s="3" t="s">
        <v>62</v>
      </c>
      <c r="K463" s="3" t="s">
        <v>62</v>
      </c>
      <c r="L463" s="3" t="s">
        <v>64</v>
      </c>
      <c r="M463" s="2" t="s">
        <v>5965</v>
      </c>
      <c r="N463" s="2" t="s">
        <v>5966</v>
      </c>
      <c r="O463" s="3" t="s">
        <v>1805</v>
      </c>
      <c r="Q463" s="3" t="s">
        <v>68</v>
      </c>
      <c r="R463" s="3" t="s">
        <v>420</v>
      </c>
      <c r="T463" s="3" t="s">
        <v>70</v>
      </c>
      <c r="U463" s="4">
        <v>2</v>
      </c>
      <c r="V463" s="4">
        <v>2</v>
      </c>
      <c r="W463" s="5" t="s">
        <v>5967</v>
      </c>
      <c r="X463" s="5" t="s">
        <v>5967</v>
      </c>
      <c r="Y463" s="5" t="s">
        <v>5968</v>
      </c>
      <c r="Z463" s="5" t="s">
        <v>5968</v>
      </c>
      <c r="AA463" s="4">
        <v>93</v>
      </c>
      <c r="AB463" s="4">
        <v>80</v>
      </c>
      <c r="AC463" s="4">
        <v>80</v>
      </c>
      <c r="AD463" s="4">
        <v>2</v>
      </c>
      <c r="AE463" s="4">
        <v>2</v>
      </c>
      <c r="AF463" s="4">
        <v>5</v>
      </c>
      <c r="AG463" s="4">
        <v>5</v>
      </c>
      <c r="AH463" s="4">
        <v>1</v>
      </c>
      <c r="AI463" s="4">
        <v>1</v>
      </c>
      <c r="AJ463" s="4">
        <v>1</v>
      </c>
      <c r="AK463" s="4">
        <v>1</v>
      </c>
      <c r="AL463" s="4">
        <v>3</v>
      </c>
      <c r="AM463" s="4">
        <v>3</v>
      </c>
      <c r="AN463" s="4">
        <v>1</v>
      </c>
      <c r="AO463" s="4">
        <v>1</v>
      </c>
      <c r="AP463" s="4">
        <v>0</v>
      </c>
      <c r="AQ463" s="4">
        <v>0</v>
      </c>
      <c r="AR463" s="3" t="s">
        <v>62</v>
      </c>
      <c r="AS463" s="3" t="s">
        <v>62</v>
      </c>
      <c r="AU463" s="6" t="str">
        <f>HYPERLINK("https://creighton-primo.hosted.exlibrisgroup.com/primo-explore/search?tab=default_tab&amp;search_scope=EVERYTHING&amp;vid=01CRU&amp;lang=en_US&amp;offset=0&amp;query=any,contains,991005215989702656","Catalog Record")</f>
        <v>Catalog Record</v>
      </c>
      <c r="AV463" s="6" t="str">
        <f>HYPERLINK("http://www.worldcat.org/oclc/8194349","WorldCat Record")</f>
        <v>WorldCat Record</v>
      </c>
      <c r="AW463" s="3" t="s">
        <v>5969</v>
      </c>
      <c r="AX463" s="3" t="s">
        <v>5970</v>
      </c>
      <c r="AY463" s="3" t="s">
        <v>5971</v>
      </c>
      <c r="AZ463" s="3" t="s">
        <v>5971</v>
      </c>
      <c r="BA463" s="3" t="s">
        <v>5972</v>
      </c>
      <c r="BB463" s="3" t="s">
        <v>77</v>
      </c>
      <c r="BD463" s="3" t="s">
        <v>5973</v>
      </c>
      <c r="BE463" s="3" t="s">
        <v>5974</v>
      </c>
      <c r="BF463" s="3" t="s">
        <v>5975</v>
      </c>
    </row>
    <row r="464" spans="1:58" ht="41.25" customHeight="1" x14ac:dyDescent="0.25">
      <c r="A464" s="7" t="s">
        <v>62</v>
      </c>
      <c r="B464" s="2" t="s">
        <v>57</v>
      </c>
      <c r="C464" s="2" t="s">
        <v>58</v>
      </c>
      <c r="D464" s="2" t="s">
        <v>5976</v>
      </c>
      <c r="E464" s="2" t="s">
        <v>5977</v>
      </c>
      <c r="F464" s="2" t="s">
        <v>5978</v>
      </c>
      <c r="H464" s="3" t="s">
        <v>62</v>
      </c>
      <c r="I464" s="3" t="s">
        <v>63</v>
      </c>
      <c r="J464" s="3" t="s">
        <v>62</v>
      </c>
      <c r="K464" s="3" t="s">
        <v>62</v>
      </c>
      <c r="L464" s="3" t="s">
        <v>64</v>
      </c>
      <c r="M464" s="2" t="s">
        <v>5979</v>
      </c>
      <c r="N464" s="2" t="s">
        <v>5980</v>
      </c>
      <c r="O464" s="3" t="s">
        <v>561</v>
      </c>
      <c r="Q464" s="3" t="s">
        <v>68</v>
      </c>
      <c r="R464" s="3" t="s">
        <v>69</v>
      </c>
      <c r="T464" s="3" t="s">
        <v>70</v>
      </c>
      <c r="U464" s="4">
        <v>3</v>
      </c>
      <c r="V464" s="4">
        <v>3</v>
      </c>
      <c r="W464" s="5" t="s">
        <v>5981</v>
      </c>
      <c r="X464" s="5" t="s">
        <v>5981</v>
      </c>
      <c r="Y464" s="5" t="s">
        <v>5982</v>
      </c>
      <c r="Z464" s="5" t="s">
        <v>5982</v>
      </c>
      <c r="AA464" s="4">
        <v>398</v>
      </c>
      <c r="AB464" s="4">
        <v>367</v>
      </c>
      <c r="AC464" s="4">
        <v>395</v>
      </c>
      <c r="AD464" s="4">
        <v>4</v>
      </c>
      <c r="AE464" s="4">
        <v>5</v>
      </c>
      <c r="AF464" s="4">
        <v>22</v>
      </c>
      <c r="AG464" s="4">
        <v>23</v>
      </c>
      <c r="AH464" s="4">
        <v>9</v>
      </c>
      <c r="AI464" s="4">
        <v>9</v>
      </c>
      <c r="AJ464" s="4">
        <v>3</v>
      </c>
      <c r="AK464" s="4">
        <v>3</v>
      </c>
      <c r="AL464" s="4">
        <v>15</v>
      </c>
      <c r="AM464" s="4">
        <v>15</v>
      </c>
      <c r="AN464" s="4">
        <v>3</v>
      </c>
      <c r="AO464" s="4">
        <v>4</v>
      </c>
      <c r="AP464" s="4">
        <v>0</v>
      </c>
      <c r="AQ464" s="4">
        <v>0</v>
      </c>
      <c r="AR464" s="3" t="s">
        <v>62</v>
      </c>
      <c r="AS464" s="3" t="s">
        <v>84</v>
      </c>
      <c r="AT464" s="6" t="str">
        <f>HYPERLINK("http://catalog.hathitrust.org/Record/000557072","HathiTrust Record")</f>
        <v>HathiTrust Record</v>
      </c>
      <c r="AU464" s="6" t="str">
        <f>HYPERLINK("https://creighton-primo.hosted.exlibrisgroup.com/primo-explore/search?tab=default_tab&amp;search_scope=EVERYTHING&amp;vid=01CRU&amp;lang=en_US&amp;offset=0&amp;query=any,contains,991000758949702656","Catalog Record")</f>
        <v>Catalog Record</v>
      </c>
      <c r="AV464" s="6" t="str">
        <f>HYPERLINK("http://www.worldcat.org/oclc/12970327","WorldCat Record")</f>
        <v>WorldCat Record</v>
      </c>
      <c r="AW464" s="3" t="s">
        <v>5983</v>
      </c>
      <c r="AX464" s="3" t="s">
        <v>5984</v>
      </c>
      <c r="AY464" s="3" t="s">
        <v>5985</v>
      </c>
      <c r="AZ464" s="3" t="s">
        <v>5985</v>
      </c>
      <c r="BA464" s="3" t="s">
        <v>5986</v>
      </c>
      <c r="BB464" s="3" t="s">
        <v>77</v>
      </c>
      <c r="BD464" s="3" t="s">
        <v>5987</v>
      </c>
      <c r="BE464" s="3" t="s">
        <v>5988</v>
      </c>
      <c r="BF464" s="3" t="s">
        <v>5989</v>
      </c>
    </row>
    <row r="465" spans="1:58" ht="41.25" customHeight="1" x14ac:dyDescent="0.25">
      <c r="A465" s="7" t="s">
        <v>62</v>
      </c>
      <c r="B465" s="2" t="s">
        <v>57</v>
      </c>
      <c r="C465" s="2" t="s">
        <v>58</v>
      </c>
      <c r="D465" s="2" t="s">
        <v>5990</v>
      </c>
      <c r="E465" s="2" t="s">
        <v>5991</v>
      </c>
      <c r="F465" s="2" t="s">
        <v>5992</v>
      </c>
      <c r="H465" s="3" t="s">
        <v>62</v>
      </c>
      <c r="I465" s="3" t="s">
        <v>63</v>
      </c>
      <c r="J465" s="3" t="s">
        <v>62</v>
      </c>
      <c r="K465" s="3" t="s">
        <v>62</v>
      </c>
      <c r="L465" s="3" t="s">
        <v>64</v>
      </c>
      <c r="M465" s="2" t="s">
        <v>5993</v>
      </c>
      <c r="N465" s="2" t="s">
        <v>5994</v>
      </c>
      <c r="O465" s="3" t="s">
        <v>218</v>
      </c>
      <c r="Q465" s="3" t="s">
        <v>68</v>
      </c>
      <c r="R465" s="3" t="s">
        <v>531</v>
      </c>
      <c r="T465" s="3" t="s">
        <v>70</v>
      </c>
      <c r="U465" s="4">
        <v>1</v>
      </c>
      <c r="V465" s="4">
        <v>1</v>
      </c>
      <c r="W465" s="5" t="s">
        <v>1724</v>
      </c>
      <c r="X465" s="5" t="s">
        <v>1724</v>
      </c>
      <c r="Y465" s="5" t="s">
        <v>2594</v>
      </c>
      <c r="Z465" s="5" t="s">
        <v>2594</v>
      </c>
      <c r="AA465" s="4">
        <v>672</v>
      </c>
      <c r="AB465" s="4">
        <v>585</v>
      </c>
      <c r="AC465" s="4">
        <v>588</v>
      </c>
      <c r="AD465" s="4">
        <v>4</v>
      </c>
      <c r="AE465" s="4">
        <v>4</v>
      </c>
      <c r="AF465" s="4">
        <v>30</v>
      </c>
      <c r="AG465" s="4">
        <v>30</v>
      </c>
      <c r="AH465" s="4">
        <v>13</v>
      </c>
      <c r="AI465" s="4">
        <v>13</v>
      </c>
      <c r="AJ465" s="4">
        <v>5</v>
      </c>
      <c r="AK465" s="4">
        <v>5</v>
      </c>
      <c r="AL465" s="4">
        <v>17</v>
      </c>
      <c r="AM465" s="4">
        <v>17</v>
      </c>
      <c r="AN465" s="4">
        <v>3</v>
      </c>
      <c r="AO465" s="4">
        <v>3</v>
      </c>
      <c r="AP465" s="4">
        <v>0</v>
      </c>
      <c r="AQ465" s="4">
        <v>0</v>
      </c>
      <c r="AR465" s="3" t="s">
        <v>62</v>
      </c>
      <c r="AS465" s="3" t="s">
        <v>84</v>
      </c>
      <c r="AT465" s="6" t="str">
        <f>HYPERLINK("http://catalog.hathitrust.org/Record/000176365","HathiTrust Record")</f>
        <v>HathiTrust Record</v>
      </c>
      <c r="AU465" s="6" t="str">
        <f>HYPERLINK("https://creighton-primo.hosted.exlibrisgroup.com/primo-explore/search?tab=default_tab&amp;search_scope=EVERYTHING&amp;vid=01CRU&amp;lang=en_US&amp;offset=0&amp;query=any,contains,991004561649702656","Catalog Record")</f>
        <v>Catalog Record</v>
      </c>
      <c r="AV465" s="6" t="str">
        <f>HYPERLINK("http://www.worldcat.org/oclc/4003421","WorldCat Record")</f>
        <v>WorldCat Record</v>
      </c>
      <c r="AW465" s="3" t="s">
        <v>5995</v>
      </c>
      <c r="AX465" s="3" t="s">
        <v>5996</v>
      </c>
      <c r="AY465" s="3" t="s">
        <v>5997</v>
      </c>
      <c r="AZ465" s="3" t="s">
        <v>5997</v>
      </c>
      <c r="BA465" s="3" t="s">
        <v>5998</v>
      </c>
      <c r="BB465" s="3" t="s">
        <v>77</v>
      </c>
      <c r="BD465" s="3" t="s">
        <v>5999</v>
      </c>
      <c r="BE465" s="3" t="s">
        <v>6000</v>
      </c>
      <c r="BF465" s="3" t="s">
        <v>6001</v>
      </c>
    </row>
    <row r="466" spans="1:58" ht="41.25" customHeight="1" x14ac:dyDescent="0.25">
      <c r="A466" s="7" t="s">
        <v>62</v>
      </c>
      <c r="B466" s="2" t="s">
        <v>57</v>
      </c>
      <c r="C466" s="2" t="s">
        <v>58</v>
      </c>
      <c r="D466" s="2" t="s">
        <v>6002</v>
      </c>
      <c r="E466" s="2" t="s">
        <v>6003</v>
      </c>
      <c r="F466" s="2" t="s">
        <v>6004</v>
      </c>
      <c r="H466" s="3" t="s">
        <v>62</v>
      </c>
      <c r="I466" s="3" t="s">
        <v>63</v>
      </c>
      <c r="J466" s="3" t="s">
        <v>62</v>
      </c>
      <c r="K466" s="3" t="s">
        <v>62</v>
      </c>
      <c r="L466" s="3" t="s">
        <v>64</v>
      </c>
      <c r="M466" s="2" t="s">
        <v>6005</v>
      </c>
      <c r="N466" s="2" t="s">
        <v>6006</v>
      </c>
      <c r="O466" s="3" t="s">
        <v>67</v>
      </c>
      <c r="P466" s="2" t="s">
        <v>268</v>
      </c>
      <c r="Q466" s="3" t="s">
        <v>68</v>
      </c>
      <c r="R466" s="3" t="s">
        <v>69</v>
      </c>
      <c r="T466" s="3" t="s">
        <v>70</v>
      </c>
      <c r="U466" s="4">
        <v>4</v>
      </c>
      <c r="V466" s="4">
        <v>4</v>
      </c>
      <c r="W466" s="5" t="s">
        <v>6007</v>
      </c>
      <c r="X466" s="5" t="s">
        <v>6007</v>
      </c>
      <c r="Y466" s="5" t="s">
        <v>5196</v>
      </c>
      <c r="Z466" s="5" t="s">
        <v>5196</v>
      </c>
      <c r="AA466" s="4">
        <v>833</v>
      </c>
      <c r="AB466" s="4">
        <v>775</v>
      </c>
      <c r="AC466" s="4">
        <v>805</v>
      </c>
      <c r="AD466" s="4">
        <v>2</v>
      </c>
      <c r="AE466" s="4">
        <v>2</v>
      </c>
      <c r="AF466" s="4">
        <v>30</v>
      </c>
      <c r="AG466" s="4">
        <v>32</v>
      </c>
      <c r="AH466" s="4">
        <v>11</v>
      </c>
      <c r="AI466" s="4">
        <v>12</v>
      </c>
      <c r="AJ466" s="4">
        <v>9</v>
      </c>
      <c r="AK466" s="4">
        <v>9</v>
      </c>
      <c r="AL466" s="4">
        <v>19</v>
      </c>
      <c r="AM466" s="4">
        <v>20</v>
      </c>
      <c r="AN466" s="4">
        <v>1</v>
      </c>
      <c r="AO466" s="4">
        <v>1</v>
      </c>
      <c r="AP466" s="4">
        <v>0</v>
      </c>
      <c r="AQ466" s="4">
        <v>0</v>
      </c>
      <c r="AR466" s="3" t="s">
        <v>62</v>
      </c>
      <c r="AS466" s="3" t="s">
        <v>84</v>
      </c>
      <c r="AT466" s="6" t="str">
        <f>HYPERLINK("http://catalog.hathitrust.org/Record/001392366","HathiTrust Record")</f>
        <v>HathiTrust Record</v>
      </c>
      <c r="AU466" s="6" t="str">
        <f>HYPERLINK("https://creighton-primo.hosted.exlibrisgroup.com/primo-explore/search?tab=default_tab&amp;search_scope=EVERYTHING&amp;vid=01CRU&amp;lang=en_US&amp;offset=0&amp;query=any,contains,991000529999702656","Catalog Record")</f>
        <v>Catalog Record</v>
      </c>
      <c r="AV466" s="6" t="str">
        <f>HYPERLINK("http://www.worldcat.org/oclc/89470","WorldCat Record")</f>
        <v>WorldCat Record</v>
      </c>
      <c r="AW466" s="3" t="s">
        <v>6008</v>
      </c>
      <c r="AX466" s="3" t="s">
        <v>6009</v>
      </c>
      <c r="AY466" s="3" t="s">
        <v>6010</v>
      </c>
      <c r="AZ466" s="3" t="s">
        <v>6010</v>
      </c>
      <c r="BA466" s="3" t="s">
        <v>6011</v>
      </c>
      <c r="BB466" s="3" t="s">
        <v>77</v>
      </c>
      <c r="BE466" s="3" t="s">
        <v>6012</v>
      </c>
      <c r="BF466" s="3" t="s">
        <v>6013</v>
      </c>
    </row>
    <row r="467" spans="1:58" ht="41.25" customHeight="1" x14ac:dyDescent="0.25">
      <c r="A467" s="7" t="s">
        <v>62</v>
      </c>
      <c r="B467" s="2" t="s">
        <v>57</v>
      </c>
      <c r="C467" s="2" t="s">
        <v>58</v>
      </c>
      <c r="D467" s="2" t="s">
        <v>6014</v>
      </c>
      <c r="E467" s="2" t="s">
        <v>6015</v>
      </c>
      <c r="F467" s="2" t="s">
        <v>6016</v>
      </c>
      <c r="H467" s="3" t="s">
        <v>62</v>
      </c>
      <c r="I467" s="3" t="s">
        <v>63</v>
      </c>
      <c r="J467" s="3" t="s">
        <v>62</v>
      </c>
      <c r="K467" s="3" t="s">
        <v>62</v>
      </c>
      <c r="L467" s="3" t="s">
        <v>64</v>
      </c>
      <c r="M467" s="2" t="s">
        <v>6017</v>
      </c>
      <c r="N467" s="2" t="s">
        <v>6018</v>
      </c>
      <c r="O467" s="3" t="s">
        <v>253</v>
      </c>
      <c r="P467" s="2" t="s">
        <v>834</v>
      </c>
      <c r="Q467" s="3" t="s">
        <v>68</v>
      </c>
      <c r="R467" s="3" t="s">
        <v>204</v>
      </c>
      <c r="T467" s="3" t="s">
        <v>70</v>
      </c>
      <c r="U467" s="4">
        <v>2</v>
      </c>
      <c r="V467" s="4">
        <v>2</v>
      </c>
      <c r="W467" s="5" t="s">
        <v>6019</v>
      </c>
      <c r="X467" s="5" t="s">
        <v>6019</v>
      </c>
      <c r="Y467" s="5" t="s">
        <v>6020</v>
      </c>
      <c r="Z467" s="5" t="s">
        <v>6020</v>
      </c>
      <c r="AA467" s="4">
        <v>573</v>
      </c>
      <c r="AB467" s="4">
        <v>524</v>
      </c>
      <c r="AC467" s="4">
        <v>579</v>
      </c>
      <c r="AD467" s="4">
        <v>4</v>
      </c>
      <c r="AE467" s="4">
        <v>4</v>
      </c>
      <c r="AF467" s="4">
        <v>24</v>
      </c>
      <c r="AG467" s="4">
        <v>28</v>
      </c>
      <c r="AH467" s="4">
        <v>9</v>
      </c>
      <c r="AI467" s="4">
        <v>12</v>
      </c>
      <c r="AJ467" s="4">
        <v>5</v>
      </c>
      <c r="AK467" s="4">
        <v>6</v>
      </c>
      <c r="AL467" s="4">
        <v>15</v>
      </c>
      <c r="AM467" s="4">
        <v>15</v>
      </c>
      <c r="AN467" s="4">
        <v>3</v>
      </c>
      <c r="AO467" s="4">
        <v>3</v>
      </c>
      <c r="AP467" s="4">
        <v>0</v>
      </c>
      <c r="AQ467" s="4">
        <v>0</v>
      </c>
      <c r="AR467" s="3" t="s">
        <v>62</v>
      </c>
      <c r="AS467" s="3" t="s">
        <v>84</v>
      </c>
      <c r="AT467" s="6" t="str">
        <f>HYPERLINK("http://catalog.hathitrust.org/Record/000574975","HathiTrust Record")</f>
        <v>HathiTrust Record</v>
      </c>
      <c r="AU467" s="6" t="str">
        <f>HYPERLINK("https://creighton-primo.hosted.exlibrisgroup.com/primo-explore/search?tab=default_tab&amp;search_scope=EVERYTHING&amp;vid=01CRU&amp;lang=en_US&amp;offset=0&amp;query=any,contains,991000618279702656","Catalog Record")</f>
        <v>Catalog Record</v>
      </c>
      <c r="AV467" s="6" t="str">
        <f>HYPERLINK("http://www.worldcat.org/oclc/11969974","WorldCat Record")</f>
        <v>WorldCat Record</v>
      </c>
      <c r="AW467" s="3" t="s">
        <v>6021</v>
      </c>
      <c r="AX467" s="3" t="s">
        <v>6022</v>
      </c>
      <c r="AY467" s="3" t="s">
        <v>6023</v>
      </c>
      <c r="AZ467" s="3" t="s">
        <v>6023</v>
      </c>
      <c r="BA467" s="3" t="s">
        <v>6024</v>
      </c>
      <c r="BB467" s="3" t="s">
        <v>77</v>
      </c>
      <c r="BD467" s="3" t="s">
        <v>6025</v>
      </c>
      <c r="BE467" s="3" t="s">
        <v>6026</v>
      </c>
      <c r="BF467" s="3" t="s">
        <v>6027</v>
      </c>
    </row>
    <row r="468" spans="1:58" ht="41.25" customHeight="1" x14ac:dyDescent="0.25">
      <c r="A468" s="7" t="s">
        <v>62</v>
      </c>
      <c r="B468" s="2" t="s">
        <v>57</v>
      </c>
      <c r="C468" s="2" t="s">
        <v>58</v>
      </c>
      <c r="D468" s="2" t="s">
        <v>6028</v>
      </c>
      <c r="E468" s="2" t="s">
        <v>6029</v>
      </c>
      <c r="F468" s="2" t="s">
        <v>6030</v>
      </c>
      <c r="H468" s="3" t="s">
        <v>62</v>
      </c>
      <c r="I468" s="3" t="s">
        <v>63</v>
      </c>
      <c r="J468" s="3" t="s">
        <v>62</v>
      </c>
      <c r="K468" s="3" t="s">
        <v>62</v>
      </c>
      <c r="L468" s="3" t="s">
        <v>64</v>
      </c>
      <c r="M468" s="2" t="s">
        <v>6031</v>
      </c>
      <c r="N468" s="2" t="s">
        <v>6032</v>
      </c>
      <c r="O468" s="3" t="s">
        <v>165</v>
      </c>
      <c r="Q468" s="3" t="s">
        <v>68</v>
      </c>
      <c r="R468" s="3" t="s">
        <v>2263</v>
      </c>
      <c r="T468" s="3" t="s">
        <v>70</v>
      </c>
      <c r="U468" s="4">
        <v>2</v>
      </c>
      <c r="V468" s="4">
        <v>2</v>
      </c>
      <c r="W468" s="5" t="s">
        <v>6033</v>
      </c>
      <c r="X468" s="5" t="s">
        <v>6033</v>
      </c>
      <c r="Y468" s="5" t="s">
        <v>407</v>
      </c>
      <c r="Z468" s="5" t="s">
        <v>407</v>
      </c>
      <c r="AA468" s="4">
        <v>485</v>
      </c>
      <c r="AB468" s="4">
        <v>433</v>
      </c>
      <c r="AC468" s="4">
        <v>435</v>
      </c>
      <c r="AD468" s="4">
        <v>3</v>
      </c>
      <c r="AE468" s="4">
        <v>3</v>
      </c>
      <c r="AF468" s="4">
        <v>24</v>
      </c>
      <c r="AG468" s="4">
        <v>24</v>
      </c>
      <c r="AH468" s="4">
        <v>12</v>
      </c>
      <c r="AI468" s="4">
        <v>12</v>
      </c>
      <c r="AJ468" s="4">
        <v>4</v>
      </c>
      <c r="AK468" s="4">
        <v>4</v>
      </c>
      <c r="AL468" s="4">
        <v>11</v>
      </c>
      <c r="AM468" s="4">
        <v>11</v>
      </c>
      <c r="AN468" s="4">
        <v>2</v>
      </c>
      <c r="AO468" s="4">
        <v>2</v>
      </c>
      <c r="AP468" s="4">
        <v>0</v>
      </c>
      <c r="AQ468" s="4">
        <v>0</v>
      </c>
      <c r="AR468" s="3" t="s">
        <v>62</v>
      </c>
      <c r="AS468" s="3" t="s">
        <v>84</v>
      </c>
      <c r="AT468" s="6" t="str">
        <f>HYPERLINK("http://catalog.hathitrust.org/Record/000130177","HathiTrust Record")</f>
        <v>HathiTrust Record</v>
      </c>
      <c r="AU468" s="6" t="str">
        <f>HYPERLINK("https://creighton-primo.hosted.exlibrisgroup.com/primo-explore/search?tab=default_tab&amp;search_scope=EVERYTHING&amp;vid=01CRU&amp;lang=en_US&amp;offset=0&amp;query=any,contains,991004198909702656","Catalog Record")</f>
        <v>Catalog Record</v>
      </c>
      <c r="AV468" s="6" t="str">
        <f>HYPERLINK("http://www.worldcat.org/oclc/2646284","WorldCat Record")</f>
        <v>WorldCat Record</v>
      </c>
      <c r="AW468" s="3" t="s">
        <v>6034</v>
      </c>
      <c r="AX468" s="3" t="s">
        <v>6035</v>
      </c>
      <c r="AY468" s="3" t="s">
        <v>6036</v>
      </c>
      <c r="AZ468" s="3" t="s">
        <v>6036</v>
      </c>
      <c r="BA468" s="3" t="s">
        <v>6037</v>
      </c>
      <c r="BB468" s="3" t="s">
        <v>77</v>
      </c>
      <c r="BD468" s="3" t="s">
        <v>6038</v>
      </c>
      <c r="BE468" s="3" t="s">
        <v>6039</v>
      </c>
      <c r="BF468" s="3" t="s">
        <v>6040</v>
      </c>
    </row>
    <row r="469" spans="1:58" ht="41.25" customHeight="1" x14ac:dyDescent="0.25">
      <c r="A469" s="7" t="s">
        <v>62</v>
      </c>
      <c r="B469" s="2" t="s">
        <v>57</v>
      </c>
      <c r="C469" s="2" t="s">
        <v>58</v>
      </c>
      <c r="D469" s="2" t="s">
        <v>6041</v>
      </c>
      <c r="E469" s="2" t="s">
        <v>6042</v>
      </c>
      <c r="F469" s="2" t="s">
        <v>6043</v>
      </c>
      <c r="H469" s="3" t="s">
        <v>62</v>
      </c>
      <c r="I469" s="3" t="s">
        <v>63</v>
      </c>
      <c r="J469" s="3" t="s">
        <v>62</v>
      </c>
      <c r="K469" s="3" t="s">
        <v>62</v>
      </c>
      <c r="L469" s="3" t="s">
        <v>64</v>
      </c>
      <c r="M469" s="2" t="s">
        <v>6044</v>
      </c>
      <c r="N469" s="2" t="s">
        <v>6045</v>
      </c>
      <c r="O469" s="3" t="s">
        <v>2094</v>
      </c>
      <c r="Q469" s="3" t="s">
        <v>68</v>
      </c>
      <c r="R469" s="3" t="s">
        <v>69</v>
      </c>
      <c r="T469" s="3" t="s">
        <v>70</v>
      </c>
      <c r="U469" s="4">
        <v>1</v>
      </c>
      <c r="V469" s="4">
        <v>1</v>
      </c>
      <c r="W469" s="5" t="s">
        <v>5850</v>
      </c>
      <c r="X469" s="5" t="s">
        <v>5850</v>
      </c>
      <c r="Y469" s="5" t="s">
        <v>5850</v>
      </c>
      <c r="Z469" s="5" t="s">
        <v>5850</v>
      </c>
      <c r="AA469" s="4">
        <v>48</v>
      </c>
      <c r="AB469" s="4">
        <v>42</v>
      </c>
      <c r="AC469" s="4">
        <v>42</v>
      </c>
      <c r="AD469" s="4">
        <v>2</v>
      </c>
      <c r="AE469" s="4">
        <v>2</v>
      </c>
      <c r="AF469" s="4">
        <v>8</v>
      </c>
      <c r="AG469" s="4">
        <v>8</v>
      </c>
      <c r="AH469" s="4">
        <v>0</v>
      </c>
      <c r="AI469" s="4">
        <v>0</v>
      </c>
      <c r="AJ469" s="4">
        <v>3</v>
      </c>
      <c r="AK469" s="4">
        <v>3</v>
      </c>
      <c r="AL469" s="4">
        <v>5</v>
      </c>
      <c r="AM469" s="4">
        <v>5</v>
      </c>
      <c r="AN469" s="4">
        <v>1</v>
      </c>
      <c r="AO469" s="4">
        <v>1</v>
      </c>
      <c r="AP469" s="4">
        <v>0</v>
      </c>
      <c r="AQ469" s="4">
        <v>0</v>
      </c>
      <c r="AR469" s="3" t="s">
        <v>62</v>
      </c>
      <c r="AS469" s="3" t="s">
        <v>62</v>
      </c>
      <c r="AU469" s="6" t="str">
        <f>HYPERLINK("https://creighton-primo.hosted.exlibrisgroup.com/primo-explore/search?tab=default_tab&amp;search_scope=EVERYTHING&amp;vid=01CRU&amp;lang=en_US&amp;offset=0&amp;query=any,contains,991003856079702656","Catalog Record")</f>
        <v>Catalog Record</v>
      </c>
      <c r="AV469" s="6" t="str">
        <f>HYPERLINK("http://www.worldcat.org/oclc/39169957","WorldCat Record")</f>
        <v>WorldCat Record</v>
      </c>
      <c r="AW469" s="3" t="s">
        <v>6046</v>
      </c>
      <c r="AX469" s="3" t="s">
        <v>6047</v>
      </c>
      <c r="AY469" s="3" t="s">
        <v>6048</v>
      </c>
      <c r="AZ469" s="3" t="s">
        <v>6048</v>
      </c>
      <c r="BA469" s="3" t="s">
        <v>6049</v>
      </c>
      <c r="BB469" s="3" t="s">
        <v>77</v>
      </c>
      <c r="BD469" s="3" t="s">
        <v>6050</v>
      </c>
      <c r="BE469" s="3" t="s">
        <v>6051</v>
      </c>
      <c r="BF469" s="3" t="s">
        <v>6052</v>
      </c>
    </row>
    <row r="470" spans="1:58" ht="41.25" customHeight="1" x14ac:dyDescent="0.25">
      <c r="A470" s="7" t="s">
        <v>62</v>
      </c>
      <c r="B470" s="2" t="s">
        <v>57</v>
      </c>
      <c r="C470" s="2" t="s">
        <v>58</v>
      </c>
      <c r="D470" s="2" t="s">
        <v>6053</v>
      </c>
      <c r="E470" s="2" t="s">
        <v>6054</v>
      </c>
      <c r="F470" s="2" t="s">
        <v>6055</v>
      </c>
      <c r="H470" s="3" t="s">
        <v>62</v>
      </c>
      <c r="I470" s="3" t="s">
        <v>63</v>
      </c>
      <c r="J470" s="3" t="s">
        <v>62</v>
      </c>
      <c r="K470" s="3" t="s">
        <v>62</v>
      </c>
      <c r="L470" s="3" t="s">
        <v>64</v>
      </c>
      <c r="M470" s="2" t="s">
        <v>6056</v>
      </c>
      <c r="N470" s="2" t="s">
        <v>6057</v>
      </c>
      <c r="O470" s="3" t="s">
        <v>218</v>
      </c>
      <c r="Q470" s="3" t="s">
        <v>68</v>
      </c>
      <c r="R470" s="3" t="s">
        <v>204</v>
      </c>
      <c r="T470" s="3" t="s">
        <v>70</v>
      </c>
      <c r="U470" s="4">
        <v>2</v>
      </c>
      <c r="V470" s="4">
        <v>2</v>
      </c>
      <c r="W470" s="5" t="s">
        <v>1403</v>
      </c>
      <c r="X470" s="5" t="s">
        <v>1403</v>
      </c>
      <c r="Y470" s="5" t="s">
        <v>6058</v>
      </c>
      <c r="Z470" s="5" t="s">
        <v>6058</v>
      </c>
      <c r="AA470" s="4">
        <v>397</v>
      </c>
      <c r="AB470" s="4">
        <v>385</v>
      </c>
      <c r="AC470" s="4">
        <v>1297</v>
      </c>
      <c r="AD470" s="4">
        <v>3</v>
      </c>
      <c r="AE470" s="4">
        <v>7</v>
      </c>
      <c r="AF470" s="4">
        <v>20</v>
      </c>
      <c r="AG470" s="4">
        <v>47</v>
      </c>
      <c r="AH470" s="4">
        <v>6</v>
      </c>
      <c r="AI470" s="4">
        <v>19</v>
      </c>
      <c r="AJ470" s="4">
        <v>6</v>
      </c>
      <c r="AK470" s="4">
        <v>11</v>
      </c>
      <c r="AL470" s="4">
        <v>15</v>
      </c>
      <c r="AM470" s="4">
        <v>26</v>
      </c>
      <c r="AN470" s="4">
        <v>1</v>
      </c>
      <c r="AO470" s="4">
        <v>5</v>
      </c>
      <c r="AP470" s="4">
        <v>0</v>
      </c>
      <c r="AQ470" s="4">
        <v>0</v>
      </c>
      <c r="AR470" s="3" t="s">
        <v>62</v>
      </c>
      <c r="AS470" s="3" t="s">
        <v>84</v>
      </c>
      <c r="AT470" s="6" t="str">
        <f>HYPERLINK("http://catalog.hathitrust.org/Record/102013129","HathiTrust Record")</f>
        <v>HathiTrust Record</v>
      </c>
      <c r="AU470" s="6" t="str">
        <f>HYPERLINK("https://creighton-primo.hosted.exlibrisgroup.com/primo-explore/search?tab=default_tab&amp;search_scope=EVERYTHING&amp;vid=01CRU&amp;lang=en_US&amp;offset=0&amp;query=any,contains,991004541209702656","Catalog Record")</f>
        <v>Catalog Record</v>
      </c>
      <c r="AV470" s="6" t="str">
        <f>HYPERLINK("http://www.worldcat.org/oclc/3893820","WorldCat Record")</f>
        <v>WorldCat Record</v>
      </c>
      <c r="AW470" s="3" t="s">
        <v>6059</v>
      </c>
      <c r="AX470" s="3" t="s">
        <v>6060</v>
      </c>
      <c r="AY470" s="3" t="s">
        <v>6061</v>
      </c>
      <c r="AZ470" s="3" t="s">
        <v>6061</v>
      </c>
      <c r="BA470" s="3" t="s">
        <v>6062</v>
      </c>
      <c r="BB470" s="3" t="s">
        <v>77</v>
      </c>
      <c r="BD470" s="3" t="s">
        <v>6063</v>
      </c>
      <c r="BE470" s="3" t="s">
        <v>6064</v>
      </c>
      <c r="BF470" s="3" t="s">
        <v>6065</v>
      </c>
    </row>
    <row r="471" spans="1:58" ht="41.25" customHeight="1" x14ac:dyDescent="0.25">
      <c r="A471" s="7" t="s">
        <v>62</v>
      </c>
      <c r="B471" s="2" t="s">
        <v>57</v>
      </c>
      <c r="C471" s="2" t="s">
        <v>58</v>
      </c>
      <c r="D471" s="2" t="s">
        <v>6066</v>
      </c>
      <c r="E471" s="2" t="s">
        <v>6067</v>
      </c>
      <c r="F471" s="2" t="s">
        <v>6068</v>
      </c>
      <c r="H471" s="3" t="s">
        <v>62</v>
      </c>
      <c r="I471" s="3" t="s">
        <v>63</v>
      </c>
      <c r="J471" s="3" t="s">
        <v>62</v>
      </c>
      <c r="K471" s="3" t="s">
        <v>62</v>
      </c>
      <c r="L471" s="3" t="s">
        <v>64</v>
      </c>
      <c r="M471" s="2" t="s">
        <v>6069</v>
      </c>
      <c r="N471" s="2" t="s">
        <v>6070</v>
      </c>
      <c r="O471" s="3" t="s">
        <v>590</v>
      </c>
      <c r="Q471" s="3" t="s">
        <v>68</v>
      </c>
      <c r="R471" s="3" t="s">
        <v>69</v>
      </c>
      <c r="T471" s="3" t="s">
        <v>70</v>
      </c>
      <c r="U471" s="4">
        <v>6</v>
      </c>
      <c r="V471" s="4">
        <v>6</v>
      </c>
      <c r="W471" s="5" t="s">
        <v>6071</v>
      </c>
      <c r="X471" s="5" t="s">
        <v>6071</v>
      </c>
      <c r="Y471" s="5" t="s">
        <v>6058</v>
      </c>
      <c r="Z471" s="5" t="s">
        <v>6058</v>
      </c>
      <c r="AA471" s="4">
        <v>377</v>
      </c>
      <c r="AB471" s="4">
        <v>336</v>
      </c>
      <c r="AC471" s="4">
        <v>525</v>
      </c>
      <c r="AD471" s="4">
        <v>3</v>
      </c>
      <c r="AE471" s="4">
        <v>4</v>
      </c>
      <c r="AF471" s="4">
        <v>29</v>
      </c>
      <c r="AG471" s="4">
        <v>44</v>
      </c>
      <c r="AH471" s="4">
        <v>13</v>
      </c>
      <c r="AI471" s="4">
        <v>19</v>
      </c>
      <c r="AJ471" s="4">
        <v>7</v>
      </c>
      <c r="AK471" s="4">
        <v>10</v>
      </c>
      <c r="AL471" s="4">
        <v>14</v>
      </c>
      <c r="AM471" s="4">
        <v>26</v>
      </c>
      <c r="AN471" s="4">
        <v>2</v>
      </c>
      <c r="AO471" s="4">
        <v>3</v>
      </c>
      <c r="AP471" s="4">
        <v>0</v>
      </c>
      <c r="AQ471" s="4">
        <v>0</v>
      </c>
      <c r="AR471" s="3" t="s">
        <v>62</v>
      </c>
      <c r="AS471" s="3" t="s">
        <v>84</v>
      </c>
      <c r="AT471" s="6" t="str">
        <f>HYPERLINK("http://catalog.hathitrust.org/Record/008321298","HathiTrust Record")</f>
        <v>HathiTrust Record</v>
      </c>
      <c r="AU471" s="6" t="str">
        <f>HYPERLINK("https://creighton-primo.hosted.exlibrisgroup.com/primo-explore/search?tab=default_tab&amp;search_scope=EVERYTHING&amp;vid=01CRU&amp;lang=en_US&amp;offset=0&amp;query=any,contains,991003266739702656","Catalog Record")</f>
        <v>Catalog Record</v>
      </c>
      <c r="AV471" s="6" t="str">
        <f>HYPERLINK("http://www.worldcat.org/oclc/793144","WorldCat Record")</f>
        <v>WorldCat Record</v>
      </c>
      <c r="AW471" s="3" t="s">
        <v>6072</v>
      </c>
      <c r="AX471" s="3" t="s">
        <v>6073</v>
      </c>
      <c r="AY471" s="3" t="s">
        <v>6074</v>
      </c>
      <c r="AZ471" s="3" t="s">
        <v>6074</v>
      </c>
      <c r="BA471" s="3" t="s">
        <v>6075</v>
      </c>
      <c r="BB471" s="3" t="s">
        <v>77</v>
      </c>
      <c r="BE471" s="3" t="s">
        <v>6076</v>
      </c>
      <c r="BF471" s="3" t="s">
        <v>6077</v>
      </c>
    </row>
    <row r="472" spans="1:58" ht="41.25" customHeight="1" x14ac:dyDescent="0.25">
      <c r="A472" s="7" t="s">
        <v>62</v>
      </c>
      <c r="B472" s="2" t="s">
        <v>57</v>
      </c>
      <c r="C472" s="2" t="s">
        <v>58</v>
      </c>
      <c r="D472" s="2" t="s">
        <v>6078</v>
      </c>
      <c r="E472" s="2" t="s">
        <v>6079</v>
      </c>
      <c r="F472" s="2" t="s">
        <v>6080</v>
      </c>
      <c r="H472" s="3" t="s">
        <v>62</v>
      </c>
      <c r="I472" s="3" t="s">
        <v>63</v>
      </c>
      <c r="J472" s="3" t="s">
        <v>62</v>
      </c>
      <c r="K472" s="3" t="s">
        <v>62</v>
      </c>
      <c r="L472" s="3" t="s">
        <v>64</v>
      </c>
      <c r="N472" s="2" t="s">
        <v>6081</v>
      </c>
      <c r="O472" s="3" t="s">
        <v>295</v>
      </c>
      <c r="Q472" s="3" t="s">
        <v>68</v>
      </c>
      <c r="R472" s="3" t="s">
        <v>69</v>
      </c>
      <c r="T472" s="3" t="s">
        <v>70</v>
      </c>
      <c r="U472" s="4">
        <v>1</v>
      </c>
      <c r="V472" s="4">
        <v>1</v>
      </c>
      <c r="W472" s="5" t="s">
        <v>6082</v>
      </c>
      <c r="X472" s="5" t="s">
        <v>6082</v>
      </c>
      <c r="Y472" s="5" t="s">
        <v>6083</v>
      </c>
      <c r="Z472" s="5" t="s">
        <v>6083</v>
      </c>
      <c r="AA472" s="4">
        <v>203</v>
      </c>
      <c r="AB472" s="4">
        <v>174</v>
      </c>
      <c r="AC472" s="4">
        <v>176</v>
      </c>
      <c r="AD472" s="4">
        <v>2</v>
      </c>
      <c r="AE472" s="4">
        <v>2</v>
      </c>
      <c r="AF472" s="4">
        <v>13</v>
      </c>
      <c r="AG472" s="4">
        <v>13</v>
      </c>
      <c r="AH472" s="4">
        <v>4</v>
      </c>
      <c r="AI472" s="4">
        <v>4</v>
      </c>
      <c r="AJ472" s="4">
        <v>4</v>
      </c>
      <c r="AK472" s="4">
        <v>4</v>
      </c>
      <c r="AL472" s="4">
        <v>9</v>
      </c>
      <c r="AM472" s="4">
        <v>9</v>
      </c>
      <c r="AN472" s="4">
        <v>1</v>
      </c>
      <c r="AO472" s="4">
        <v>1</v>
      </c>
      <c r="AP472" s="4">
        <v>0</v>
      </c>
      <c r="AQ472" s="4">
        <v>0</v>
      </c>
      <c r="AR472" s="3" t="s">
        <v>62</v>
      </c>
      <c r="AS472" s="3" t="s">
        <v>84</v>
      </c>
      <c r="AT472" s="6" t="str">
        <f>HYPERLINK("http://catalog.hathitrust.org/Record/001821992","HathiTrust Record")</f>
        <v>HathiTrust Record</v>
      </c>
      <c r="AU472" s="6" t="str">
        <f>HYPERLINK("https://creighton-primo.hosted.exlibrisgroup.com/primo-explore/search?tab=default_tab&amp;search_scope=EVERYTHING&amp;vid=01CRU&amp;lang=en_US&amp;offset=0&amp;query=any,contains,991001310329702656","Catalog Record")</f>
        <v>Catalog Record</v>
      </c>
      <c r="AV472" s="6" t="str">
        <f>HYPERLINK("http://www.worldcat.org/oclc/18135941","WorldCat Record")</f>
        <v>WorldCat Record</v>
      </c>
      <c r="AW472" s="3" t="s">
        <v>6084</v>
      </c>
      <c r="AX472" s="3" t="s">
        <v>6085</v>
      </c>
      <c r="AY472" s="3" t="s">
        <v>6086</v>
      </c>
      <c r="AZ472" s="3" t="s">
        <v>6086</v>
      </c>
      <c r="BA472" s="3" t="s">
        <v>6087</v>
      </c>
      <c r="BB472" s="3" t="s">
        <v>77</v>
      </c>
      <c r="BD472" s="3" t="s">
        <v>6088</v>
      </c>
      <c r="BE472" s="3" t="s">
        <v>6089</v>
      </c>
      <c r="BF472" s="3" t="s">
        <v>6090</v>
      </c>
    </row>
    <row r="473" spans="1:58" ht="41.25" customHeight="1" x14ac:dyDescent="0.25">
      <c r="A473" s="7" t="s">
        <v>62</v>
      </c>
      <c r="B473" s="2" t="s">
        <v>57</v>
      </c>
      <c r="C473" s="2" t="s">
        <v>58</v>
      </c>
      <c r="D473" s="2" t="s">
        <v>6091</v>
      </c>
      <c r="E473" s="2" t="s">
        <v>6092</v>
      </c>
      <c r="F473" s="2" t="s">
        <v>6093</v>
      </c>
      <c r="H473" s="3" t="s">
        <v>62</v>
      </c>
      <c r="I473" s="3" t="s">
        <v>63</v>
      </c>
      <c r="J473" s="3" t="s">
        <v>62</v>
      </c>
      <c r="K473" s="3" t="s">
        <v>62</v>
      </c>
      <c r="L473" s="3" t="s">
        <v>64</v>
      </c>
      <c r="M473" s="2" t="s">
        <v>4768</v>
      </c>
      <c r="N473" s="2" t="s">
        <v>6094</v>
      </c>
      <c r="O473" s="3" t="s">
        <v>629</v>
      </c>
      <c r="Q473" s="3" t="s">
        <v>68</v>
      </c>
      <c r="R473" s="3" t="s">
        <v>69</v>
      </c>
      <c r="T473" s="3" t="s">
        <v>70</v>
      </c>
      <c r="U473" s="4">
        <v>7</v>
      </c>
      <c r="V473" s="4">
        <v>7</v>
      </c>
      <c r="W473" s="5" t="s">
        <v>6095</v>
      </c>
      <c r="X473" s="5" t="s">
        <v>6095</v>
      </c>
      <c r="Y473" s="5" t="s">
        <v>6058</v>
      </c>
      <c r="Z473" s="5" t="s">
        <v>6058</v>
      </c>
      <c r="AA473" s="4">
        <v>513</v>
      </c>
      <c r="AB473" s="4">
        <v>484</v>
      </c>
      <c r="AC473" s="4">
        <v>724</v>
      </c>
      <c r="AD473" s="4">
        <v>2</v>
      </c>
      <c r="AE473" s="4">
        <v>5</v>
      </c>
      <c r="AF473" s="4">
        <v>26</v>
      </c>
      <c r="AG473" s="4">
        <v>39</v>
      </c>
      <c r="AH473" s="4">
        <v>7</v>
      </c>
      <c r="AI473" s="4">
        <v>14</v>
      </c>
      <c r="AJ473" s="4">
        <v>6</v>
      </c>
      <c r="AK473" s="4">
        <v>9</v>
      </c>
      <c r="AL473" s="4">
        <v>19</v>
      </c>
      <c r="AM473" s="4">
        <v>23</v>
      </c>
      <c r="AN473" s="4">
        <v>0</v>
      </c>
      <c r="AO473" s="4">
        <v>3</v>
      </c>
      <c r="AP473" s="4">
        <v>0</v>
      </c>
      <c r="AQ473" s="4">
        <v>0</v>
      </c>
      <c r="AR473" s="3" t="s">
        <v>62</v>
      </c>
      <c r="AS473" s="3" t="s">
        <v>84</v>
      </c>
      <c r="AT473" s="6" t="str">
        <f>HYPERLINK("http://catalog.hathitrust.org/Record/102036155","HathiTrust Record")</f>
        <v>HathiTrust Record</v>
      </c>
      <c r="AU473" s="6" t="str">
        <f>HYPERLINK("https://creighton-primo.hosted.exlibrisgroup.com/primo-explore/search?tab=default_tab&amp;search_scope=EVERYTHING&amp;vid=01CRU&amp;lang=en_US&amp;offset=0&amp;query=any,contains,991004229109702656","Catalog Record")</f>
        <v>Catalog Record</v>
      </c>
      <c r="AV473" s="6" t="str">
        <f>HYPERLINK("http://www.worldcat.org/oclc/2740711","WorldCat Record")</f>
        <v>WorldCat Record</v>
      </c>
      <c r="AW473" s="3" t="s">
        <v>6096</v>
      </c>
      <c r="AX473" s="3" t="s">
        <v>6097</v>
      </c>
      <c r="AY473" s="3" t="s">
        <v>6098</v>
      </c>
      <c r="AZ473" s="3" t="s">
        <v>6098</v>
      </c>
      <c r="BA473" s="3" t="s">
        <v>6099</v>
      </c>
      <c r="BB473" s="3" t="s">
        <v>77</v>
      </c>
      <c r="BD473" s="3" t="s">
        <v>6100</v>
      </c>
      <c r="BE473" s="3" t="s">
        <v>6101</v>
      </c>
      <c r="BF473" s="3" t="s">
        <v>6102</v>
      </c>
    </row>
    <row r="474" spans="1:58" ht="41.25" customHeight="1" x14ac:dyDescent="0.25">
      <c r="A474" s="7" t="s">
        <v>62</v>
      </c>
      <c r="B474" s="2" t="s">
        <v>57</v>
      </c>
      <c r="C474" s="2" t="s">
        <v>58</v>
      </c>
      <c r="D474" s="2" t="s">
        <v>6103</v>
      </c>
      <c r="E474" s="2" t="s">
        <v>6104</v>
      </c>
      <c r="F474" s="2" t="s">
        <v>6105</v>
      </c>
      <c r="H474" s="3" t="s">
        <v>62</v>
      </c>
      <c r="I474" s="3" t="s">
        <v>63</v>
      </c>
      <c r="J474" s="3" t="s">
        <v>62</v>
      </c>
      <c r="K474" s="3" t="s">
        <v>62</v>
      </c>
      <c r="L474" s="3" t="s">
        <v>64</v>
      </c>
      <c r="M474" s="2" t="s">
        <v>6106</v>
      </c>
      <c r="N474" s="2" t="s">
        <v>6107</v>
      </c>
      <c r="O474" s="3" t="s">
        <v>312</v>
      </c>
      <c r="Q474" s="3" t="s">
        <v>68</v>
      </c>
      <c r="R474" s="3" t="s">
        <v>888</v>
      </c>
      <c r="S474" s="2" t="s">
        <v>6108</v>
      </c>
      <c r="T474" s="3" t="s">
        <v>70</v>
      </c>
      <c r="U474" s="4">
        <v>2</v>
      </c>
      <c r="V474" s="4">
        <v>2</v>
      </c>
      <c r="W474" s="5" t="s">
        <v>6109</v>
      </c>
      <c r="X474" s="5" t="s">
        <v>6109</v>
      </c>
      <c r="Y474" s="5" t="s">
        <v>6110</v>
      </c>
      <c r="Z474" s="5" t="s">
        <v>6110</v>
      </c>
      <c r="AA474" s="4">
        <v>170</v>
      </c>
      <c r="AB474" s="4">
        <v>141</v>
      </c>
      <c r="AC474" s="4">
        <v>504</v>
      </c>
      <c r="AD474" s="4">
        <v>2</v>
      </c>
      <c r="AE474" s="4">
        <v>4</v>
      </c>
      <c r="AF474" s="4">
        <v>12</v>
      </c>
      <c r="AG474" s="4">
        <v>29</v>
      </c>
      <c r="AH474" s="4">
        <v>5</v>
      </c>
      <c r="AI474" s="4">
        <v>12</v>
      </c>
      <c r="AJ474" s="4">
        <v>3</v>
      </c>
      <c r="AK474" s="4">
        <v>6</v>
      </c>
      <c r="AL474" s="4">
        <v>6</v>
      </c>
      <c r="AM474" s="4">
        <v>16</v>
      </c>
      <c r="AN474" s="4">
        <v>1</v>
      </c>
      <c r="AO474" s="4">
        <v>2</v>
      </c>
      <c r="AP474" s="4">
        <v>0</v>
      </c>
      <c r="AQ474" s="4">
        <v>0</v>
      </c>
      <c r="AR474" s="3" t="s">
        <v>62</v>
      </c>
      <c r="AS474" s="3" t="s">
        <v>62</v>
      </c>
      <c r="AT474" s="6" t="str">
        <f>HYPERLINK("http://catalog.hathitrust.org/Record/102069127","HathiTrust Record")</f>
        <v>HathiTrust Record</v>
      </c>
      <c r="AU474" s="6" t="str">
        <f>HYPERLINK("https://creighton-primo.hosted.exlibrisgroup.com/primo-explore/search?tab=default_tab&amp;search_scope=EVERYTHING&amp;vid=01CRU&amp;lang=en_US&amp;offset=0&amp;query=any,contains,991000790099702656","Catalog Record")</f>
        <v>Catalog Record</v>
      </c>
      <c r="AV474" s="6" t="str">
        <f>HYPERLINK("http://www.worldcat.org/oclc/136201","WorldCat Record")</f>
        <v>WorldCat Record</v>
      </c>
      <c r="AW474" s="3" t="s">
        <v>6111</v>
      </c>
      <c r="AX474" s="3" t="s">
        <v>6112</v>
      </c>
      <c r="AY474" s="3" t="s">
        <v>6113</v>
      </c>
      <c r="AZ474" s="3" t="s">
        <v>6113</v>
      </c>
      <c r="BA474" s="3" t="s">
        <v>6114</v>
      </c>
      <c r="BB474" s="3" t="s">
        <v>77</v>
      </c>
      <c r="BE474" s="3" t="s">
        <v>6115</v>
      </c>
      <c r="BF474" s="3" t="s">
        <v>6116</v>
      </c>
    </row>
    <row r="475" spans="1:58" ht="41.25" customHeight="1" x14ac:dyDescent="0.25">
      <c r="A475" s="7" t="s">
        <v>62</v>
      </c>
      <c r="B475" s="2" t="s">
        <v>57</v>
      </c>
      <c r="C475" s="2" t="s">
        <v>58</v>
      </c>
      <c r="D475" s="2" t="s">
        <v>6117</v>
      </c>
      <c r="E475" s="2" t="s">
        <v>6118</v>
      </c>
      <c r="F475" s="2" t="s">
        <v>6119</v>
      </c>
      <c r="H475" s="3" t="s">
        <v>62</v>
      </c>
      <c r="I475" s="3" t="s">
        <v>63</v>
      </c>
      <c r="J475" s="3" t="s">
        <v>62</v>
      </c>
      <c r="K475" s="3" t="s">
        <v>62</v>
      </c>
      <c r="L475" s="3" t="s">
        <v>64</v>
      </c>
      <c r="M475" s="2" t="s">
        <v>6120</v>
      </c>
      <c r="N475" s="2" t="s">
        <v>3252</v>
      </c>
      <c r="O475" s="3" t="s">
        <v>1158</v>
      </c>
      <c r="Q475" s="3" t="s">
        <v>68</v>
      </c>
      <c r="R475" s="3" t="s">
        <v>69</v>
      </c>
      <c r="S475" s="2" t="s">
        <v>6121</v>
      </c>
      <c r="T475" s="3" t="s">
        <v>70</v>
      </c>
      <c r="U475" s="4">
        <v>3</v>
      </c>
      <c r="V475" s="4">
        <v>3</v>
      </c>
      <c r="W475" s="5" t="s">
        <v>6122</v>
      </c>
      <c r="X475" s="5" t="s">
        <v>6122</v>
      </c>
      <c r="Y475" s="5" t="s">
        <v>480</v>
      </c>
      <c r="Z475" s="5" t="s">
        <v>480</v>
      </c>
      <c r="AA475" s="4">
        <v>279</v>
      </c>
      <c r="AB475" s="4">
        <v>251</v>
      </c>
      <c r="AC475" s="4">
        <v>252</v>
      </c>
      <c r="AD475" s="4">
        <v>2</v>
      </c>
      <c r="AE475" s="4">
        <v>2</v>
      </c>
      <c r="AF475" s="4">
        <v>25</v>
      </c>
      <c r="AG475" s="4">
        <v>25</v>
      </c>
      <c r="AH475" s="4">
        <v>9</v>
      </c>
      <c r="AI475" s="4">
        <v>9</v>
      </c>
      <c r="AJ475" s="4">
        <v>4</v>
      </c>
      <c r="AK475" s="4">
        <v>4</v>
      </c>
      <c r="AL475" s="4">
        <v>18</v>
      </c>
      <c r="AM475" s="4">
        <v>18</v>
      </c>
      <c r="AN475" s="4">
        <v>1</v>
      </c>
      <c r="AO475" s="4">
        <v>1</v>
      </c>
      <c r="AP475" s="4">
        <v>0</v>
      </c>
      <c r="AQ475" s="4">
        <v>0</v>
      </c>
      <c r="AR475" s="3" t="s">
        <v>62</v>
      </c>
      <c r="AS475" s="3" t="s">
        <v>84</v>
      </c>
      <c r="AT475" s="6" t="str">
        <f>HYPERLINK("http://catalog.hathitrust.org/Record/006014328","HathiTrust Record")</f>
        <v>HathiTrust Record</v>
      </c>
      <c r="AU475" s="6" t="str">
        <f>HYPERLINK("https://creighton-primo.hosted.exlibrisgroup.com/primo-explore/search?tab=default_tab&amp;search_scope=EVERYTHING&amp;vid=01CRU&amp;lang=en_US&amp;offset=0&amp;query=any,contains,991003239479702656","Catalog Record")</f>
        <v>Catalog Record</v>
      </c>
      <c r="AV475" s="6" t="str">
        <f>HYPERLINK("http://www.worldcat.org/oclc/762818","WorldCat Record")</f>
        <v>WorldCat Record</v>
      </c>
      <c r="AW475" s="3" t="s">
        <v>6123</v>
      </c>
      <c r="AX475" s="3" t="s">
        <v>6124</v>
      </c>
      <c r="AY475" s="3" t="s">
        <v>6125</v>
      </c>
      <c r="AZ475" s="3" t="s">
        <v>6125</v>
      </c>
      <c r="BA475" s="3" t="s">
        <v>6126</v>
      </c>
      <c r="BB475" s="3" t="s">
        <v>77</v>
      </c>
      <c r="BD475" s="3" t="s">
        <v>6127</v>
      </c>
      <c r="BE475" s="3" t="s">
        <v>6128</v>
      </c>
      <c r="BF475" s="3" t="s">
        <v>6129</v>
      </c>
    </row>
    <row r="476" spans="1:58" ht="41.25" customHeight="1" x14ac:dyDescent="0.25">
      <c r="A476" s="7" t="s">
        <v>62</v>
      </c>
      <c r="B476" s="2" t="s">
        <v>57</v>
      </c>
      <c r="C476" s="2" t="s">
        <v>58</v>
      </c>
      <c r="D476" s="2" t="s">
        <v>6130</v>
      </c>
      <c r="E476" s="2" t="s">
        <v>6131</v>
      </c>
      <c r="F476" s="2" t="s">
        <v>6132</v>
      </c>
      <c r="H476" s="3" t="s">
        <v>62</v>
      </c>
      <c r="I476" s="3" t="s">
        <v>63</v>
      </c>
      <c r="J476" s="3" t="s">
        <v>62</v>
      </c>
      <c r="K476" s="3" t="s">
        <v>62</v>
      </c>
      <c r="L476" s="3" t="s">
        <v>64</v>
      </c>
      <c r="M476" s="2" t="s">
        <v>6133</v>
      </c>
      <c r="N476" s="2" t="s">
        <v>6134</v>
      </c>
      <c r="O476" s="3" t="s">
        <v>2303</v>
      </c>
      <c r="Q476" s="3" t="s">
        <v>68</v>
      </c>
      <c r="R476" s="3" t="s">
        <v>69</v>
      </c>
      <c r="T476" s="3" t="s">
        <v>70</v>
      </c>
      <c r="U476" s="4">
        <v>5</v>
      </c>
      <c r="V476" s="4">
        <v>5</v>
      </c>
      <c r="W476" s="5" t="s">
        <v>6135</v>
      </c>
      <c r="X476" s="5" t="s">
        <v>6135</v>
      </c>
      <c r="Y476" s="5" t="s">
        <v>6058</v>
      </c>
      <c r="Z476" s="5" t="s">
        <v>6058</v>
      </c>
      <c r="AA476" s="4">
        <v>330</v>
      </c>
      <c r="AB476" s="4">
        <v>299</v>
      </c>
      <c r="AC476" s="4">
        <v>637</v>
      </c>
      <c r="AD476" s="4">
        <v>1</v>
      </c>
      <c r="AE476" s="4">
        <v>3</v>
      </c>
      <c r="AF476" s="4">
        <v>12</v>
      </c>
      <c r="AG476" s="4">
        <v>26</v>
      </c>
      <c r="AH476" s="4">
        <v>7</v>
      </c>
      <c r="AI476" s="4">
        <v>12</v>
      </c>
      <c r="AJ476" s="4">
        <v>3</v>
      </c>
      <c r="AK476" s="4">
        <v>7</v>
      </c>
      <c r="AL476" s="4">
        <v>4</v>
      </c>
      <c r="AM476" s="4">
        <v>14</v>
      </c>
      <c r="AN476" s="4">
        <v>0</v>
      </c>
      <c r="AO476" s="4">
        <v>2</v>
      </c>
      <c r="AP476" s="4">
        <v>0</v>
      </c>
      <c r="AQ476" s="4">
        <v>0</v>
      </c>
      <c r="AR476" s="3" t="s">
        <v>62</v>
      </c>
      <c r="AS476" s="3" t="s">
        <v>84</v>
      </c>
      <c r="AT476" s="6" t="str">
        <f>HYPERLINK("http://catalog.hathitrust.org/Record/001392382","HathiTrust Record")</f>
        <v>HathiTrust Record</v>
      </c>
      <c r="AU476" s="6" t="str">
        <f>HYPERLINK("https://creighton-primo.hosted.exlibrisgroup.com/primo-explore/search?tab=default_tab&amp;search_scope=EVERYTHING&amp;vid=01CRU&amp;lang=en_US&amp;offset=0&amp;query=any,contains,991002199279702656","Catalog Record")</f>
        <v>Catalog Record</v>
      </c>
      <c r="AV476" s="6" t="str">
        <f>HYPERLINK("http://www.worldcat.org/oclc/283835","WorldCat Record")</f>
        <v>WorldCat Record</v>
      </c>
      <c r="AW476" s="3" t="s">
        <v>6136</v>
      </c>
      <c r="AX476" s="3" t="s">
        <v>6137</v>
      </c>
      <c r="AY476" s="3" t="s">
        <v>6138</v>
      </c>
      <c r="AZ476" s="3" t="s">
        <v>6138</v>
      </c>
      <c r="BA476" s="3" t="s">
        <v>6139</v>
      </c>
      <c r="BB476" s="3" t="s">
        <v>77</v>
      </c>
      <c r="BE476" s="3" t="s">
        <v>6140</v>
      </c>
      <c r="BF476" s="3" t="s">
        <v>6141</v>
      </c>
    </row>
    <row r="477" spans="1:58" ht="41.25" customHeight="1" x14ac:dyDescent="0.25">
      <c r="A477" s="7" t="s">
        <v>62</v>
      </c>
      <c r="B477" s="2" t="s">
        <v>57</v>
      </c>
      <c r="C477" s="2" t="s">
        <v>58</v>
      </c>
      <c r="D477" s="2" t="s">
        <v>6142</v>
      </c>
      <c r="E477" s="2" t="s">
        <v>6143</v>
      </c>
      <c r="F477" s="2" t="s">
        <v>6144</v>
      </c>
      <c r="H477" s="3" t="s">
        <v>62</v>
      </c>
      <c r="I477" s="3" t="s">
        <v>63</v>
      </c>
      <c r="J477" s="3" t="s">
        <v>62</v>
      </c>
      <c r="K477" s="3" t="s">
        <v>62</v>
      </c>
      <c r="L477" s="3" t="s">
        <v>64</v>
      </c>
      <c r="M477" s="2" t="s">
        <v>310</v>
      </c>
      <c r="N477" s="2" t="s">
        <v>6145</v>
      </c>
      <c r="O477" s="3" t="s">
        <v>67</v>
      </c>
      <c r="Q477" s="3" t="s">
        <v>68</v>
      </c>
      <c r="R477" s="3" t="s">
        <v>297</v>
      </c>
      <c r="S477" s="2" t="s">
        <v>6146</v>
      </c>
      <c r="T477" s="3" t="s">
        <v>70</v>
      </c>
      <c r="U477" s="4">
        <v>2</v>
      </c>
      <c r="V477" s="4">
        <v>2</v>
      </c>
      <c r="W477" s="5" t="s">
        <v>6071</v>
      </c>
      <c r="X477" s="5" t="s">
        <v>6071</v>
      </c>
      <c r="Y477" s="5" t="s">
        <v>6058</v>
      </c>
      <c r="Z477" s="5" t="s">
        <v>6058</v>
      </c>
      <c r="AA477" s="4">
        <v>650</v>
      </c>
      <c r="AB477" s="4">
        <v>502</v>
      </c>
      <c r="AC477" s="4">
        <v>503</v>
      </c>
      <c r="AD477" s="4">
        <v>5</v>
      </c>
      <c r="AE477" s="4">
        <v>5</v>
      </c>
      <c r="AF477" s="4">
        <v>34</v>
      </c>
      <c r="AG477" s="4">
        <v>34</v>
      </c>
      <c r="AH477" s="4">
        <v>11</v>
      </c>
      <c r="AI477" s="4">
        <v>11</v>
      </c>
      <c r="AJ477" s="4">
        <v>7</v>
      </c>
      <c r="AK477" s="4">
        <v>7</v>
      </c>
      <c r="AL477" s="4">
        <v>22</v>
      </c>
      <c r="AM477" s="4">
        <v>22</v>
      </c>
      <c r="AN477" s="4">
        <v>4</v>
      </c>
      <c r="AO477" s="4">
        <v>4</v>
      </c>
      <c r="AP477" s="4">
        <v>0</v>
      </c>
      <c r="AQ477" s="4">
        <v>0</v>
      </c>
      <c r="AR477" s="3" t="s">
        <v>62</v>
      </c>
      <c r="AS477" s="3" t="s">
        <v>84</v>
      </c>
      <c r="AT477" s="6" t="str">
        <f>HYPERLINK("http://catalog.hathitrust.org/Record/001392383","HathiTrust Record")</f>
        <v>HathiTrust Record</v>
      </c>
      <c r="AU477" s="6" t="str">
        <f>HYPERLINK("https://creighton-primo.hosted.exlibrisgroup.com/primo-explore/search?tab=default_tab&amp;search_scope=EVERYTHING&amp;vid=01CRU&amp;lang=en_US&amp;offset=0&amp;query=any,contains,991000714089702656","Catalog Record")</f>
        <v>Catalog Record</v>
      </c>
      <c r="AV477" s="6" t="str">
        <f>HYPERLINK("http://www.worldcat.org/oclc/125082","WorldCat Record")</f>
        <v>WorldCat Record</v>
      </c>
      <c r="AW477" s="3" t="s">
        <v>6147</v>
      </c>
      <c r="AX477" s="3" t="s">
        <v>6148</v>
      </c>
      <c r="AY477" s="3" t="s">
        <v>6149</v>
      </c>
      <c r="AZ477" s="3" t="s">
        <v>6149</v>
      </c>
      <c r="BA477" s="3" t="s">
        <v>6150</v>
      </c>
      <c r="BB477" s="3" t="s">
        <v>77</v>
      </c>
      <c r="BD477" s="3" t="s">
        <v>6151</v>
      </c>
      <c r="BE477" s="3" t="s">
        <v>6152</v>
      </c>
      <c r="BF477" s="3" t="s">
        <v>6153</v>
      </c>
    </row>
    <row r="478" spans="1:58" ht="41.25" customHeight="1" x14ac:dyDescent="0.25">
      <c r="A478" s="7" t="s">
        <v>62</v>
      </c>
      <c r="B478" s="2" t="s">
        <v>57</v>
      </c>
      <c r="C478" s="2" t="s">
        <v>58</v>
      </c>
      <c r="D478" s="2" t="s">
        <v>6154</v>
      </c>
      <c r="E478" s="2" t="s">
        <v>6155</v>
      </c>
      <c r="F478" s="2" t="s">
        <v>6156</v>
      </c>
      <c r="H478" s="3" t="s">
        <v>62</v>
      </c>
      <c r="I478" s="3" t="s">
        <v>63</v>
      </c>
      <c r="J478" s="3" t="s">
        <v>62</v>
      </c>
      <c r="K478" s="3" t="s">
        <v>62</v>
      </c>
      <c r="L478" s="3" t="s">
        <v>64</v>
      </c>
      <c r="M478" s="2" t="s">
        <v>310</v>
      </c>
      <c r="N478" s="2" t="s">
        <v>6157</v>
      </c>
      <c r="O478" s="3" t="s">
        <v>1012</v>
      </c>
      <c r="Q478" s="3" t="s">
        <v>68</v>
      </c>
      <c r="R478" s="3" t="s">
        <v>88</v>
      </c>
      <c r="T478" s="3" t="s">
        <v>70</v>
      </c>
      <c r="U478" s="4">
        <v>5</v>
      </c>
      <c r="V478" s="4">
        <v>5</v>
      </c>
      <c r="W478" s="5" t="s">
        <v>6071</v>
      </c>
      <c r="X478" s="5" t="s">
        <v>6071</v>
      </c>
      <c r="Y478" s="5" t="s">
        <v>6058</v>
      </c>
      <c r="Z478" s="5" t="s">
        <v>6058</v>
      </c>
      <c r="AA478" s="4">
        <v>346</v>
      </c>
      <c r="AB478" s="4">
        <v>304</v>
      </c>
      <c r="AC478" s="4">
        <v>729</v>
      </c>
      <c r="AD478" s="4">
        <v>3</v>
      </c>
      <c r="AE478" s="4">
        <v>4</v>
      </c>
      <c r="AF478" s="4">
        <v>18</v>
      </c>
      <c r="AG478" s="4">
        <v>39</v>
      </c>
      <c r="AH478" s="4">
        <v>3</v>
      </c>
      <c r="AI478" s="4">
        <v>17</v>
      </c>
      <c r="AJ478" s="4">
        <v>6</v>
      </c>
      <c r="AK478" s="4">
        <v>9</v>
      </c>
      <c r="AL478" s="4">
        <v>9</v>
      </c>
      <c r="AM478" s="4">
        <v>21</v>
      </c>
      <c r="AN478" s="4">
        <v>2</v>
      </c>
      <c r="AO478" s="4">
        <v>3</v>
      </c>
      <c r="AP478" s="4">
        <v>0</v>
      </c>
      <c r="AQ478" s="4">
        <v>0</v>
      </c>
      <c r="AR478" s="3" t="s">
        <v>62</v>
      </c>
      <c r="AS478" s="3" t="s">
        <v>84</v>
      </c>
      <c r="AT478" s="6" t="str">
        <f>HYPERLINK("http://catalog.hathitrust.org/Record/101992091","HathiTrust Record")</f>
        <v>HathiTrust Record</v>
      </c>
      <c r="AU478" s="6" t="str">
        <f>HYPERLINK("https://creighton-primo.hosted.exlibrisgroup.com/primo-explore/search?tab=default_tab&amp;search_scope=EVERYTHING&amp;vid=01CRU&amp;lang=en_US&amp;offset=0&amp;query=any,contains,991001180689702656","Catalog Record")</f>
        <v>Catalog Record</v>
      </c>
      <c r="AV478" s="6" t="str">
        <f>HYPERLINK("http://www.worldcat.org/oclc/4577225","WorldCat Record")</f>
        <v>WorldCat Record</v>
      </c>
      <c r="AW478" s="3" t="s">
        <v>6158</v>
      </c>
      <c r="AX478" s="3" t="s">
        <v>6159</v>
      </c>
      <c r="AY478" s="3" t="s">
        <v>6160</v>
      </c>
      <c r="AZ478" s="3" t="s">
        <v>6160</v>
      </c>
      <c r="BA478" s="3" t="s">
        <v>6161</v>
      </c>
      <c r="BB478" s="3" t="s">
        <v>77</v>
      </c>
      <c r="BE478" s="3" t="s">
        <v>6162</v>
      </c>
      <c r="BF478" s="3" t="s">
        <v>6163</v>
      </c>
    </row>
    <row r="479" spans="1:58" ht="41.25" customHeight="1" x14ac:dyDescent="0.25">
      <c r="A479" s="7" t="s">
        <v>62</v>
      </c>
      <c r="B479" s="2" t="s">
        <v>57</v>
      </c>
      <c r="C479" s="2" t="s">
        <v>58</v>
      </c>
      <c r="D479" s="2" t="s">
        <v>6164</v>
      </c>
      <c r="E479" s="2" t="s">
        <v>6165</v>
      </c>
      <c r="F479" s="2" t="s">
        <v>6166</v>
      </c>
      <c r="H479" s="3" t="s">
        <v>62</v>
      </c>
      <c r="I479" s="3" t="s">
        <v>63</v>
      </c>
      <c r="J479" s="3" t="s">
        <v>62</v>
      </c>
      <c r="K479" s="3" t="s">
        <v>62</v>
      </c>
      <c r="L479" s="3" t="s">
        <v>64</v>
      </c>
      <c r="M479" s="2" t="s">
        <v>6167</v>
      </c>
      <c r="N479" s="2" t="s">
        <v>6168</v>
      </c>
      <c r="O479" s="3" t="s">
        <v>940</v>
      </c>
      <c r="P479" s="2" t="s">
        <v>834</v>
      </c>
      <c r="Q479" s="3" t="s">
        <v>68</v>
      </c>
      <c r="R479" s="3" t="s">
        <v>69</v>
      </c>
      <c r="T479" s="3" t="s">
        <v>70</v>
      </c>
      <c r="U479" s="4">
        <v>4</v>
      </c>
      <c r="V479" s="4">
        <v>4</v>
      </c>
      <c r="W479" s="5" t="s">
        <v>6169</v>
      </c>
      <c r="X479" s="5" t="s">
        <v>6169</v>
      </c>
      <c r="Y479" s="5" t="s">
        <v>6170</v>
      </c>
      <c r="Z479" s="5" t="s">
        <v>6170</v>
      </c>
      <c r="AA479" s="4">
        <v>884</v>
      </c>
      <c r="AB479" s="4">
        <v>845</v>
      </c>
      <c r="AC479" s="4">
        <v>918</v>
      </c>
      <c r="AD479" s="4">
        <v>4</v>
      </c>
      <c r="AE479" s="4">
        <v>4</v>
      </c>
      <c r="AF479" s="4">
        <v>2</v>
      </c>
      <c r="AG479" s="4">
        <v>3</v>
      </c>
      <c r="AH479" s="4">
        <v>1</v>
      </c>
      <c r="AI479" s="4">
        <v>2</v>
      </c>
      <c r="AJ479" s="4">
        <v>1</v>
      </c>
      <c r="AK479" s="4">
        <v>1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3" t="s">
        <v>62</v>
      </c>
      <c r="AS479" s="3" t="s">
        <v>62</v>
      </c>
      <c r="AU479" s="6" t="str">
        <f>HYPERLINK("https://creighton-primo.hosted.exlibrisgroup.com/primo-explore/search?tab=default_tab&amp;search_scope=EVERYTHING&amp;vid=01CRU&amp;lang=en_US&amp;offset=0&amp;query=any,contains,991002108929702656","Catalog Record")</f>
        <v>Catalog Record</v>
      </c>
      <c r="AV479" s="6" t="str">
        <f>HYPERLINK("http://www.worldcat.org/oclc/27035210","WorldCat Record")</f>
        <v>WorldCat Record</v>
      </c>
      <c r="AW479" s="3" t="s">
        <v>6171</v>
      </c>
      <c r="AX479" s="3" t="s">
        <v>6172</v>
      </c>
      <c r="AY479" s="3" t="s">
        <v>6173</v>
      </c>
      <c r="AZ479" s="3" t="s">
        <v>6173</v>
      </c>
      <c r="BA479" s="3" t="s">
        <v>6174</v>
      </c>
      <c r="BB479" s="3" t="s">
        <v>77</v>
      </c>
      <c r="BD479" s="3" t="s">
        <v>6175</v>
      </c>
      <c r="BE479" s="3" t="s">
        <v>6176</v>
      </c>
      <c r="BF479" s="3" t="s">
        <v>6177</v>
      </c>
    </row>
    <row r="480" spans="1:58" ht="41.25" customHeight="1" x14ac:dyDescent="0.25">
      <c r="A480" s="7" t="s">
        <v>62</v>
      </c>
      <c r="B480" s="2" t="s">
        <v>57</v>
      </c>
      <c r="C480" s="2" t="s">
        <v>58</v>
      </c>
      <c r="D480" s="2" t="s">
        <v>6178</v>
      </c>
      <c r="E480" s="2" t="s">
        <v>6179</v>
      </c>
      <c r="F480" s="2" t="s">
        <v>6180</v>
      </c>
      <c r="H480" s="3" t="s">
        <v>62</v>
      </c>
      <c r="I480" s="3" t="s">
        <v>63</v>
      </c>
      <c r="J480" s="3" t="s">
        <v>62</v>
      </c>
      <c r="K480" s="3" t="s">
        <v>62</v>
      </c>
      <c r="L480" s="3" t="s">
        <v>64</v>
      </c>
      <c r="M480" s="2" t="s">
        <v>6181</v>
      </c>
      <c r="N480" s="2" t="s">
        <v>6182</v>
      </c>
      <c r="O480" s="3" t="s">
        <v>1533</v>
      </c>
      <c r="Q480" s="3" t="s">
        <v>68</v>
      </c>
      <c r="R480" s="3" t="s">
        <v>166</v>
      </c>
      <c r="S480" s="2" t="s">
        <v>6183</v>
      </c>
      <c r="T480" s="3" t="s">
        <v>70</v>
      </c>
      <c r="U480" s="4">
        <v>3</v>
      </c>
      <c r="V480" s="4">
        <v>3</v>
      </c>
      <c r="W480" s="5" t="s">
        <v>6184</v>
      </c>
      <c r="X480" s="5" t="s">
        <v>6184</v>
      </c>
      <c r="Y480" s="5" t="s">
        <v>6058</v>
      </c>
      <c r="Z480" s="5" t="s">
        <v>6058</v>
      </c>
      <c r="AA480" s="4">
        <v>503</v>
      </c>
      <c r="AB480" s="4">
        <v>420</v>
      </c>
      <c r="AC480" s="4">
        <v>421</v>
      </c>
      <c r="AD480" s="4">
        <v>4</v>
      </c>
      <c r="AE480" s="4">
        <v>4</v>
      </c>
      <c r="AF480" s="4">
        <v>24</v>
      </c>
      <c r="AG480" s="4">
        <v>24</v>
      </c>
      <c r="AH480" s="4">
        <v>7</v>
      </c>
      <c r="AI480" s="4">
        <v>7</v>
      </c>
      <c r="AJ480" s="4">
        <v>8</v>
      </c>
      <c r="AK480" s="4">
        <v>8</v>
      </c>
      <c r="AL480" s="4">
        <v>12</v>
      </c>
      <c r="AM480" s="4">
        <v>12</v>
      </c>
      <c r="AN480" s="4">
        <v>3</v>
      </c>
      <c r="AO480" s="4">
        <v>3</v>
      </c>
      <c r="AP480" s="4">
        <v>0</v>
      </c>
      <c r="AQ480" s="4">
        <v>0</v>
      </c>
      <c r="AR480" s="3" t="s">
        <v>62</v>
      </c>
      <c r="AS480" s="3" t="s">
        <v>84</v>
      </c>
      <c r="AT480" s="6" t="str">
        <f>HYPERLINK("http://catalog.hathitrust.org/Record/010606759","HathiTrust Record")</f>
        <v>HathiTrust Record</v>
      </c>
      <c r="AU480" s="6" t="str">
        <f>HYPERLINK("https://creighton-primo.hosted.exlibrisgroup.com/primo-explore/search?tab=default_tab&amp;search_scope=EVERYTHING&amp;vid=01CRU&amp;lang=en_US&amp;offset=0&amp;query=any,contains,991003272649702656","Catalog Record")</f>
        <v>Catalog Record</v>
      </c>
      <c r="AV480" s="6" t="str">
        <f>HYPERLINK("http://www.worldcat.org/oclc/797832","WorldCat Record")</f>
        <v>WorldCat Record</v>
      </c>
      <c r="AW480" s="3" t="s">
        <v>6185</v>
      </c>
      <c r="AX480" s="3" t="s">
        <v>6186</v>
      </c>
      <c r="AY480" s="3" t="s">
        <v>6187</v>
      </c>
      <c r="AZ480" s="3" t="s">
        <v>6187</v>
      </c>
      <c r="BA480" s="3" t="s">
        <v>6188</v>
      </c>
      <c r="BB480" s="3" t="s">
        <v>77</v>
      </c>
      <c r="BD480" s="3" t="s">
        <v>6189</v>
      </c>
      <c r="BE480" s="3" t="s">
        <v>6190</v>
      </c>
      <c r="BF480" s="3" t="s">
        <v>6191</v>
      </c>
    </row>
    <row r="481" spans="1:58" ht="41.25" customHeight="1" x14ac:dyDescent="0.25">
      <c r="A481" s="7" t="s">
        <v>62</v>
      </c>
      <c r="B481" s="2" t="s">
        <v>57</v>
      </c>
      <c r="C481" s="2" t="s">
        <v>58</v>
      </c>
      <c r="D481" s="2" t="s">
        <v>6192</v>
      </c>
      <c r="E481" s="2" t="s">
        <v>6193</v>
      </c>
      <c r="F481" s="2" t="s">
        <v>6194</v>
      </c>
      <c r="H481" s="3" t="s">
        <v>62</v>
      </c>
      <c r="I481" s="3" t="s">
        <v>63</v>
      </c>
      <c r="J481" s="3" t="s">
        <v>62</v>
      </c>
      <c r="K481" s="3" t="s">
        <v>84</v>
      </c>
      <c r="L481" s="3" t="s">
        <v>64</v>
      </c>
      <c r="M481" s="2" t="s">
        <v>6195</v>
      </c>
      <c r="N481" s="2" t="s">
        <v>6196</v>
      </c>
      <c r="O481" s="3" t="s">
        <v>312</v>
      </c>
      <c r="Q481" s="3" t="s">
        <v>68</v>
      </c>
      <c r="R481" s="3" t="s">
        <v>297</v>
      </c>
      <c r="S481" s="2" t="s">
        <v>6197</v>
      </c>
      <c r="T481" s="3" t="s">
        <v>70</v>
      </c>
      <c r="U481" s="4">
        <v>11</v>
      </c>
      <c r="V481" s="4">
        <v>11</v>
      </c>
      <c r="W481" s="5" t="s">
        <v>6198</v>
      </c>
      <c r="X481" s="5" t="s">
        <v>6198</v>
      </c>
      <c r="Y481" s="5" t="s">
        <v>6058</v>
      </c>
      <c r="Z481" s="5" t="s">
        <v>6058</v>
      </c>
      <c r="AA481" s="4">
        <v>615</v>
      </c>
      <c r="AB481" s="4">
        <v>425</v>
      </c>
      <c r="AC481" s="4">
        <v>1522</v>
      </c>
      <c r="AD481" s="4">
        <v>4</v>
      </c>
      <c r="AE481" s="4">
        <v>32</v>
      </c>
      <c r="AF481" s="4">
        <v>17</v>
      </c>
      <c r="AG481" s="4">
        <v>58</v>
      </c>
      <c r="AH481" s="4">
        <v>5</v>
      </c>
      <c r="AI481" s="4">
        <v>23</v>
      </c>
      <c r="AJ481" s="4">
        <v>2</v>
      </c>
      <c r="AK481" s="4">
        <v>10</v>
      </c>
      <c r="AL481" s="4">
        <v>9</v>
      </c>
      <c r="AM481" s="4">
        <v>22</v>
      </c>
      <c r="AN481" s="4">
        <v>3</v>
      </c>
      <c r="AO481" s="4">
        <v>16</v>
      </c>
      <c r="AP481" s="4">
        <v>0</v>
      </c>
      <c r="AQ481" s="4">
        <v>0</v>
      </c>
      <c r="AR481" s="3" t="s">
        <v>62</v>
      </c>
      <c r="AS481" s="3" t="s">
        <v>84</v>
      </c>
      <c r="AT481" s="6" t="str">
        <f>HYPERLINK("http://catalog.hathitrust.org/Record/000002269","HathiTrust Record")</f>
        <v>HathiTrust Record</v>
      </c>
      <c r="AU481" s="6" t="str">
        <f>HYPERLINK("https://creighton-primo.hosted.exlibrisgroup.com/primo-explore/search?tab=default_tab&amp;search_scope=EVERYTHING&amp;vid=01CRU&amp;lang=en_US&amp;offset=0&amp;query=any,contains,991000876059702656","Catalog Record")</f>
        <v>Catalog Record</v>
      </c>
      <c r="AV481" s="6" t="str">
        <f>HYPERLINK("http://www.worldcat.org/oclc/151740","WorldCat Record")</f>
        <v>WorldCat Record</v>
      </c>
      <c r="AW481" s="3" t="s">
        <v>6199</v>
      </c>
      <c r="AX481" s="3" t="s">
        <v>6200</v>
      </c>
      <c r="AY481" s="3" t="s">
        <v>6201</v>
      </c>
      <c r="AZ481" s="3" t="s">
        <v>6201</v>
      </c>
      <c r="BA481" s="3" t="s">
        <v>6202</v>
      </c>
      <c r="BB481" s="3" t="s">
        <v>77</v>
      </c>
      <c r="BD481" s="3" t="s">
        <v>6203</v>
      </c>
      <c r="BE481" s="3" t="s">
        <v>6204</v>
      </c>
      <c r="BF481" s="3" t="s">
        <v>6205</v>
      </c>
    </row>
    <row r="482" spans="1:58" ht="41.25" customHeight="1" x14ac:dyDescent="0.25">
      <c r="A482" s="7" t="s">
        <v>62</v>
      </c>
      <c r="B482" s="2" t="s">
        <v>57</v>
      </c>
      <c r="C482" s="2" t="s">
        <v>58</v>
      </c>
      <c r="D482" s="2" t="s">
        <v>6206</v>
      </c>
      <c r="E482" s="2" t="s">
        <v>6207</v>
      </c>
      <c r="F482" s="2" t="s">
        <v>6208</v>
      </c>
      <c r="H482" s="3" t="s">
        <v>62</v>
      </c>
      <c r="I482" s="3" t="s">
        <v>63</v>
      </c>
      <c r="J482" s="3" t="s">
        <v>62</v>
      </c>
      <c r="K482" s="3" t="s">
        <v>62</v>
      </c>
      <c r="L482" s="3" t="s">
        <v>64</v>
      </c>
      <c r="M482" s="2" t="s">
        <v>6209</v>
      </c>
      <c r="N482" s="2" t="s">
        <v>6210</v>
      </c>
      <c r="O482" s="3" t="s">
        <v>820</v>
      </c>
      <c r="Q482" s="3" t="s">
        <v>68</v>
      </c>
      <c r="R482" s="3" t="s">
        <v>69</v>
      </c>
      <c r="T482" s="3" t="s">
        <v>70</v>
      </c>
      <c r="U482" s="4">
        <v>10</v>
      </c>
      <c r="V482" s="4">
        <v>10</v>
      </c>
      <c r="W482" s="5" t="s">
        <v>6211</v>
      </c>
      <c r="X482" s="5" t="s">
        <v>6211</v>
      </c>
      <c r="Y482" s="5" t="s">
        <v>6058</v>
      </c>
      <c r="Z482" s="5" t="s">
        <v>6058</v>
      </c>
      <c r="AA482" s="4">
        <v>1513</v>
      </c>
      <c r="AB482" s="4">
        <v>1428</v>
      </c>
      <c r="AC482" s="4">
        <v>1577</v>
      </c>
      <c r="AD482" s="4">
        <v>7</v>
      </c>
      <c r="AE482" s="4">
        <v>10</v>
      </c>
      <c r="AF482" s="4">
        <v>26</v>
      </c>
      <c r="AG482" s="4">
        <v>29</v>
      </c>
      <c r="AH482" s="4">
        <v>10</v>
      </c>
      <c r="AI482" s="4">
        <v>11</v>
      </c>
      <c r="AJ482" s="4">
        <v>7</v>
      </c>
      <c r="AK482" s="4">
        <v>7</v>
      </c>
      <c r="AL482" s="4">
        <v>12</v>
      </c>
      <c r="AM482" s="4">
        <v>14</v>
      </c>
      <c r="AN482" s="4">
        <v>3</v>
      </c>
      <c r="AO482" s="4">
        <v>4</v>
      </c>
      <c r="AP482" s="4">
        <v>0</v>
      </c>
      <c r="AQ482" s="4">
        <v>0</v>
      </c>
      <c r="AR482" s="3" t="s">
        <v>62</v>
      </c>
      <c r="AS482" s="3" t="s">
        <v>84</v>
      </c>
      <c r="AT482" s="6" t="str">
        <f>HYPERLINK("http://catalog.hathitrust.org/Record/001392386","HathiTrust Record")</f>
        <v>HathiTrust Record</v>
      </c>
      <c r="AU482" s="6" t="str">
        <f>HYPERLINK("https://creighton-primo.hosted.exlibrisgroup.com/primo-explore/search?tab=default_tab&amp;search_scope=EVERYTHING&amp;vid=01CRU&amp;lang=en_US&amp;offset=0&amp;query=any,contains,991003496839702656","Catalog Record")</f>
        <v>Catalog Record</v>
      </c>
      <c r="AV482" s="6" t="str">
        <f>HYPERLINK("http://www.worldcat.org/oclc/1047008","WorldCat Record")</f>
        <v>WorldCat Record</v>
      </c>
      <c r="AW482" s="3" t="s">
        <v>6212</v>
      </c>
      <c r="AX482" s="3" t="s">
        <v>6213</v>
      </c>
      <c r="AY482" s="3" t="s">
        <v>6214</v>
      </c>
      <c r="AZ482" s="3" t="s">
        <v>6214</v>
      </c>
      <c r="BA482" s="3" t="s">
        <v>6215</v>
      </c>
      <c r="BB482" s="3" t="s">
        <v>77</v>
      </c>
      <c r="BD482" s="3" t="s">
        <v>6216</v>
      </c>
      <c r="BE482" s="3" t="s">
        <v>6217</v>
      </c>
      <c r="BF482" s="3" t="s">
        <v>6218</v>
      </c>
    </row>
    <row r="483" spans="1:58" ht="41.25" customHeight="1" x14ac:dyDescent="0.25">
      <c r="A483" s="7" t="s">
        <v>62</v>
      </c>
      <c r="B483" s="2" t="s">
        <v>57</v>
      </c>
      <c r="C483" s="2" t="s">
        <v>58</v>
      </c>
      <c r="D483" s="2" t="s">
        <v>6219</v>
      </c>
      <c r="E483" s="2" t="s">
        <v>6220</v>
      </c>
      <c r="F483" s="2" t="s">
        <v>6221</v>
      </c>
      <c r="H483" s="3" t="s">
        <v>62</v>
      </c>
      <c r="I483" s="3" t="s">
        <v>63</v>
      </c>
      <c r="J483" s="3" t="s">
        <v>62</v>
      </c>
      <c r="K483" s="3" t="s">
        <v>62</v>
      </c>
      <c r="L483" s="3" t="s">
        <v>64</v>
      </c>
      <c r="M483" s="2" t="s">
        <v>6222</v>
      </c>
      <c r="N483" s="2" t="s">
        <v>6223</v>
      </c>
      <c r="O483" s="3" t="s">
        <v>295</v>
      </c>
      <c r="Q483" s="3" t="s">
        <v>68</v>
      </c>
      <c r="R483" s="3" t="s">
        <v>219</v>
      </c>
      <c r="T483" s="3" t="s">
        <v>70</v>
      </c>
      <c r="U483" s="4">
        <v>8</v>
      </c>
      <c r="V483" s="4">
        <v>8</v>
      </c>
      <c r="W483" s="5" t="s">
        <v>6224</v>
      </c>
      <c r="X483" s="5" t="s">
        <v>6224</v>
      </c>
      <c r="Y483" s="5" t="s">
        <v>6225</v>
      </c>
      <c r="Z483" s="5" t="s">
        <v>6225</v>
      </c>
      <c r="AA483" s="4">
        <v>372</v>
      </c>
      <c r="AB483" s="4">
        <v>307</v>
      </c>
      <c r="AC483" s="4">
        <v>315</v>
      </c>
      <c r="AD483" s="4">
        <v>4</v>
      </c>
      <c r="AE483" s="4">
        <v>4</v>
      </c>
      <c r="AF483" s="4">
        <v>25</v>
      </c>
      <c r="AG483" s="4">
        <v>25</v>
      </c>
      <c r="AH483" s="4">
        <v>8</v>
      </c>
      <c r="AI483" s="4">
        <v>8</v>
      </c>
      <c r="AJ483" s="4">
        <v>6</v>
      </c>
      <c r="AK483" s="4">
        <v>6</v>
      </c>
      <c r="AL483" s="4">
        <v>15</v>
      </c>
      <c r="AM483" s="4">
        <v>15</v>
      </c>
      <c r="AN483" s="4">
        <v>3</v>
      </c>
      <c r="AO483" s="4">
        <v>3</v>
      </c>
      <c r="AP483" s="4">
        <v>0</v>
      </c>
      <c r="AQ483" s="4">
        <v>0</v>
      </c>
      <c r="AR483" s="3" t="s">
        <v>62</v>
      </c>
      <c r="AS483" s="3" t="s">
        <v>84</v>
      </c>
      <c r="AT483" s="6" t="str">
        <f>HYPERLINK("http://catalog.hathitrust.org/Record/001103327","HathiTrust Record")</f>
        <v>HathiTrust Record</v>
      </c>
      <c r="AU483" s="6" t="str">
        <f>HYPERLINK("https://creighton-primo.hosted.exlibrisgroup.com/primo-explore/search?tab=default_tab&amp;search_scope=EVERYTHING&amp;vid=01CRU&amp;lang=en_US&amp;offset=0&amp;query=any,contains,991001302789702656","Catalog Record")</f>
        <v>Catalog Record</v>
      </c>
      <c r="AV483" s="6" t="str">
        <f>HYPERLINK("http://www.worldcat.org/oclc/18072041","WorldCat Record")</f>
        <v>WorldCat Record</v>
      </c>
      <c r="AW483" s="3" t="s">
        <v>6226</v>
      </c>
      <c r="AX483" s="3" t="s">
        <v>6227</v>
      </c>
      <c r="AY483" s="3" t="s">
        <v>6228</v>
      </c>
      <c r="AZ483" s="3" t="s">
        <v>6228</v>
      </c>
      <c r="BA483" s="3" t="s">
        <v>6229</v>
      </c>
      <c r="BB483" s="3" t="s">
        <v>77</v>
      </c>
      <c r="BD483" s="3" t="s">
        <v>6230</v>
      </c>
      <c r="BE483" s="3" t="s">
        <v>6231</v>
      </c>
      <c r="BF483" s="3" t="s">
        <v>6232</v>
      </c>
    </row>
    <row r="484" spans="1:58" ht="41.25" customHeight="1" x14ac:dyDescent="0.25">
      <c r="A484" s="7" t="s">
        <v>62</v>
      </c>
      <c r="B484" s="2" t="s">
        <v>57</v>
      </c>
      <c r="C484" s="2" t="s">
        <v>58</v>
      </c>
      <c r="D484" s="2" t="s">
        <v>6233</v>
      </c>
      <c r="E484" s="2" t="s">
        <v>6234</v>
      </c>
      <c r="F484" s="2" t="s">
        <v>6235</v>
      </c>
      <c r="H484" s="3" t="s">
        <v>62</v>
      </c>
      <c r="I484" s="3" t="s">
        <v>63</v>
      </c>
      <c r="J484" s="3" t="s">
        <v>62</v>
      </c>
      <c r="K484" s="3" t="s">
        <v>62</v>
      </c>
      <c r="L484" s="3" t="s">
        <v>64</v>
      </c>
      <c r="N484" s="2" t="s">
        <v>6236</v>
      </c>
      <c r="O484" s="3" t="s">
        <v>1805</v>
      </c>
      <c r="Q484" s="3" t="s">
        <v>68</v>
      </c>
      <c r="R484" s="3" t="s">
        <v>69</v>
      </c>
      <c r="T484" s="3" t="s">
        <v>70</v>
      </c>
      <c r="U484" s="4">
        <v>8</v>
      </c>
      <c r="V484" s="4">
        <v>8</v>
      </c>
      <c r="W484" s="5" t="s">
        <v>6237</v>
      </c>
      <c r="X484" s="5" t="s">
        <v>6237</v>
      </c>
      <c r="Y484" s="5" t="s">
        <v>6058</v>
      </c>
      <c r="Z484" s="5" t="s">
        <v>6058</v>
      </c>
      <c r="AA484" s="4">
        <v>321</v>
      </c>
      <c r="AB484" s="4">
        <v>283</v>
      </c>
      <c r="AC484" s="4">
        <v>284</v>
      </c>
      <c r="AD484" s="4">
        <v>2</v>
      </c>
      <c r="AE484" s="4">
        <v>2</v>
      </c>
      <c r="AF484" s="4">
        <v>20</v>
      </c>
      <c r="AG484" s="4">
        <v>20</v>
      </c>
      <c r="AH484" s="4">
        <v>4</v>
      </c>
      <c r="AI484" s="4">
        <v>4</v>
      </c>
      <c r="AJ484" s="4">
        <v>7</v>
      </c>
      <c r="AK484" s="4">
        <v>7</v>
      </c>
      <c r="AL484" s="4">
        <v>16</v>
      </c>
      <c r="AM484" s="4">
        <v>16</v>
      </c>
      <c r="AN484" s="4">
        <v>1</v>
      </c>
      <c r="AO484" s="4">
        <v>1</v>
      </c>
      <c r="AP484" s="4">
        <v>0</v>
      </c>
      <c r="AQ484" s="4">
        <v>0</v>
      </c>
      <c r="AR484" s="3" t="s">
        <v>62</v>
      </c>
      <c r="AS484" s="3" t="s">
        <v>84</v>
      </c>
      <c r="AT484" s="6" t="str">
        <f>HYPERLINK("http://catalog.hathitrust.org/Record/002737448","HathiTrust Record")</f>
        <v>HathiTrust Record</v>
      </c>
      <c r="AU484" s="6" t="str">
        <f>HYPERLINK("https://creighton-primo.hosted.exlibrisgroup.com/primo-explore/search?tab=default_tab&amp;search_scope=EVERYTHING&amp;vid=01CRU&amp;lang=en_US&amp;offset=0&amp;query=any,contains,991005244389702656","Catalog Record")</f>
        <v>Catalog Record</v>
      </c>
      <c r="AV484" s="6" t="str">
        <f>HYPERLINK("http://www.worldcat.org/oclc/8451399","WorldCat Record")</f>
        <v>WorldCat Record</v>
      </c>
      <c r="AW484" s="3" t="s">
        <v>6238</v>
      </c>
      <c r="AX484" s="3" t="s">
        <v>6239</v>
      </c>
      <c r="AY484" s="3" t="s">
        <v>6240</v>
      </c>
      <c r="AZ484" s="3" t="s">
        <v>6240</v>
      </c>
      <c r="BA484" s="3" t="s">
        <v>6241</v>
      </c>
      <c r="BB484" s="3" t="s">
        <v>77</v>
      </c>
      <c r="BD484" s="3" t="s">
        <v>6242</v>
      </c>
      <c r="BE484" s="3" t="s">
        <v>6243</v>
      </c>
      <c r="BF484" s="3" t="s">
        <v>6244</v>
      </c>
    </row>
    <row r="485" spans="1:58" ht="41.25" customHeight="1" x14ac:dyDescent="0.25">
      <c r="A485" s="7" t="s">
        <v>62</v>
      </c>
      <c r="B485" s="2" t="s">
        <v>57</v>
      </c>
      <c r="C485" s="2" t="s">
        <v>58</v>
      </c>
      <c r="D485" s="2" t="s">
        <v>6245</v>
      </c>
      <c r="E485" s="2" t="s">
        <v>6246</v>
      </c>
      <c r="F485" s="2" t="s">
        <v>6247</v>
      </c>
      <c r="H485" s="3" t="s">
        <v>62</v>
      </c>
      <c r="I485" s="3" t="s">
        <v>63</v>
      </c>
      <c r="J485" s="3" t="s">
        <v>62</v>
      </c>
      <c r="K485" s="3" t="s">
        <v>62</v>
      </c>
      <c r="L485" s="3" t="s">
        <v>64</v>
      </c>
      <c r="M485" s="2" t="s">
        <v>6248</v>
      </c>
      <c r="N485" s="2" t="s">
        <v>6249</v>
      </c>
      <c r="O485" s="3" t="s">
        <v>340</v>
      </c>
      <c r="Q485" s="3" t="s">
        <v>68</v>
      </c>
      <c r="R485" s="3" t="s">
        <v>297</v>
      </c>
      <c r="T485" s="3" t="s">
        <v>70</v>
      </c>
      <c r="U485" s="4">
        <v>3</v>
      </c>
      <c r="V485" s="4">
        <v>3</v>
      </c>
      <c r="W485" s="5" t="s">
        <v>6250</v>
      </c>
      <c r="X485" s="5" t="s">
        <v>6250</v>
      </c>
      <c r="Y485" s="5" t="s">
        <v>6058</v>
      </c>
      <c r="Z485" s="5" t="s">
        <v>6058</v>
      </c>
      <c r="AA485" s="4">
        <v>338</v>
      </c>
      <c r="AB485" s="4">
        <v>254</v>
      </c>
      <c r="AC485" s="4">
        <v>283</v>
      </c>
      <c r="AD485" s="4">
        <v>1</v>
      </c>
      <c r="AE485" s="4">
        <v>1</v>
      </c>
      <c r="AF485" s="4">
        <v>17</v>
      </c>
      <c r="AG485" s="4">
        <v>18</v>
      </c>
      <c r="AH485" s="4">
        <v>4</v>
      </c>
      <c r="AI485" s="4">
        <v>5</v>
      </c>
      <c r="AJ485" s="4">
        <v>5</v>
      </c>
      <c r="AK485" s="4">
        <v>5</v>
      </c>
      <c r="AL485" s="4">
        <v>11</v>
      </c>
      <c r="AM485" s="4">
        <v>12</v>
      </c>
      <c r="AN485" s="4">
        <v>0</v>
      </c>
      <c r="AO485" s="4">
        <v>0</v>
      </c>
      <c r="AP485" s="4">
        <v>0</v>
      </c>
      <c r="AQ485" s="4">
        <v>0</v>
      </c>
      <c r="AR485" s="3" t="s">
        <v>62</v>
      </c>
      <c r="AS485" s="3" t="s">
        <v>84</v>
      </c>
      <c r="AT485" s="6" t="str">
        <f>HYPERLINK("http://catalog.hathitrust.org/Record/001397213","HathiTrust Record")</f>
        <v>HathiTrust Record</v>
      </c>
      <c r="AU485" s="6" t="str">
        <f>HYPERLINK("https://creighton-primo.hosted.exlibrisgroup.com/primo-explore/search?tab=default_tab&amp;search_scope=EVERYTHING&amp;vid=01CRU&amp;lang=en_US&amp;offset=0&amp;query=any,contains,991003566119702656","Catalog Record")</f>
        <v>Catalog Record</v>
      </c>
      <c r="AV485" s="6" t="str">
        <f>HYPERLINK("http://www.worldcat.org/oclc/1138648","WorldCat Record")</f>
        <v>WorldCat Record</v>
      </c>
      <c r="AW485" s="3" t="s">
        <v>6251</v>
      </c>
      <c r="AX485" s="3" t="s">
        <v>6252</v>
      </c>
      <c r="AY485" s="3" t="s">
        <v>6253</v>
      </c>
      <c r="AZ485" s="3" t="s">
        <v>6253</v>
      </c>
      <c r="BA485" s="3" t="s">
        <v>6254</v>
      </c>
      <c r="BB485" s="3" t="s">
        <v>77</v>
      </c>
      <c r="BE485" s="3" t="s">
        <v>6255</v>
      </c>
      <c r="BF485" s="3" t="s">
        <v>6256</v>
      </c>
    </row>
    <row r="486" spans="1:58" ht="41.25" customHeight="1" x14ac:dyDescent="0.25">
      <c r="A486" s="7" t="s">
        <v>62</v>
      </c>
      <c r="B486" s="2" t="s">
        <v>57</v>
      </c>
      <c r="C486" s="2" t="s">
        <v>58</v>
      </c>
      <c r="D486" s="2" t="s">
        <v>6257</v>
      </c>
      <c r="E486" s="2" t="s">
        <v>6258</v>
      </c>
      <c r="F486" s="2" t="s">
        <v>6259</v>
      </c>
      <c r="H486" s="3" t="s">
        <v>62</v>
      </c>
      <c r="I486" s="3" t="s">
        <v>63</v>
      </c>
      <c r="J486" s="3" t="s">
        <v>62</v>
      </c>
      <c r="K486" s="3" t="s">
        <v>62</v>
      </c>
      <c r="L486" s="3" t="s">
        <v>64</v>
      </c>
      <c r="M486" s="2" t="s">
        <v>6260</v>
      </c>
      <c r="N486" s="2" t="s">
        <v>6261</v>
      </c>
      <c r="O486" s="3" t="s">
        <v>3663</v>
      </c>
      <c r="Q486" s="3" t="s">
        <v>68</v>
      </c>
      <c r="R486" s="3" t="s">
        <v>69</v>
      </c>
      <c r="T486" s="3" t="s">
        <v>70</v>
      </c>
      <c r="U486" s="4">
        <v>3</v>
      </c>
      <c r="V486" s="4">
        <v>3</v>
      </c>
      <c r="W486" s="5" t="s">
        <v>4302</v>
      </c>
      <c r="X486" s="5" t="s">
        <v>4302</v>
      </c>
      <c r="Y486" s="5" t="s">
        <v>6058</v>
      </c>
      <c r="Z486" s="5" t="s">
        <v>6058</v>
      </c>
      <c r="AA486" s="4">
        <v>389</v>
      </c>
      <c r="AB486" s="4">
        <v>351</v>
      </c>
      <c r="AC486" s="4">
        <v>461</v>
      </c>
      <c r="AD486" s="4">
        <v>3</v>
      </c>
      <c r="AE486" s="4">
        <v>3</v>
      </c>
      <c r="AF486" s="4">
        <v>21</v>
      </c>
      <c r="AG486" s="4">
        <v>27</v>
      </c>
      <c r="AH486" s="4">
        <v>11</v>
      </c>
      <c r="AI486" s="4">
        <v>13</v>
      </c>
      <c r="AJ486" s="4">
        <v>4</v>
      </c>
      <c r="AK486" s="4">
        <v>5</v>
      </c>
      <c r="AL486" s="4">
        <v>9</v>
      </c>
      <c r="AM486" s="4">
        <v>14</v>
      </c>
      <c r="AN486" s="4">
        <v>2</v>
      </c>
      <c r="AO486" s="4">
        <v>2</v>
      </c>
      <c r="AP486" s="4">
        <v>0</v>
      </c>
      <c r="AQ486" s="4">
        <v>0</v>
      </c>
      <c r="AR486" s="3" t="s">
        <v>62</v>
      </c>
      <c r="AS486" s="3" t="s">
        <v>62</v>
      </c>
      <c r="AT486" s="6" t="str">
        <f>HYPERLINK("http://catalog.hathitrust.org/Record/001392398","HathiTrust Record")</f>
        <v>HathiTrust Record</v>
      </c>
      <c r="AU486" s="6" t="str">
        <f>HYPERLINK("https://creighton-primo.hosted.exlibrisgroup.com/primo-explore/search?tab=default_tab&amp;search_scope=EVERYTHING&amp;vid=01CRU&amp;lang=en_US&amp;offset=0&amp;query=any,contains,991002607399702656","Catalog Record")</f>
        <v>Catalog Record</v>
      </c>
      <c r="AV486" s="6" t="str">
        <f>HYPERLINK("http://www.worldcat.org/oclc/377402","WorldCat Record")</f>
        <v>WorldCat Record</v>
      </c>
      <c r="AW486" s="3" t="s">
        <v>6262</v>
      </c>
      <c r="AX486" s="3" t="s">
        <v>6263</v>
      </c>
      <c r="AY486" s="3" t="s">
        <v>6264</v>
      </c>
      <c r="AZ486" s="3" t="s">
        <v>6264</v>
      </c>
      <c r="BA486" s="3" t="s">
        <v>6265</v>
      </c>
      <c r="BB486" s="3" t="s">
        <v>77</v>
      </c>
      <c r="BE486" s="3" t="s">
        <v>6266</v>
      </c>
      <c r="BF486" s="3" t="s">
        <v>6267</v>
      </c>
    </row>
    <row r="487" spans="1:58" ht="41.25" customHeight="1" x14ac:dyDescent="0.25">
      <c r="A487" s="7" t="s">
        <v>62</v>
      </c>
      <c r="B487" s="2" t="s">
        <v>57</v>
      </c>
      <c r="C487" s="2" t="s">
        <v>58</v>
      </c>
      <c r="D487" s="2" t="s">
        <v>6268</v>
      </c>
      <c r="E487" s="2" t="s">
        <v>6269</v>
      </c>
      <c r="F487" s="2" t="s">
        <v>6270</v>
      </c>
      <c r="H487" s="3" t="s">
        <v>62</v>
      </c>
      <c r="I487" s="3" t="s">
        <v>63</v>
      </c>
      <c r="J487" s="3" t="s">
        <v>62</v>
      </c>
      <c r="K487" s="3" t="s">
        <v>62</v>
      </c>
      <c r="L487" s="3" t="s">
        <v>64</v>
      </c>
      <c r="M487" s="2" t="s">
        <v>6271</v>
      </c>
      <c r="N487" s="2" t="s">
        <v>6272</v>
      </c>
      <c r="O487" s="3" t="s">
        <v>6273</v>
      </c>
      <c r="Q487" s="3" t="s">
        <v>68</v>
      </c>
      <c r="R487" s="3" t="s">
        <v>110</v>
      </c>
      <c r="T487" s="3" t="s">
        <v>70</v>
      </c>
      <c r="U487" s="4">
        <v>1</v>
      </c>
      <c r="V487" s="4">
        <v>1</v>
      </c>
      <c r="W487" s="5" t="s">
        <v>6274</v>
      </c>
      <c r="X487" s="5" t="s">
        <v>6274</v>
      </c>
      <c r="Y487" s="5" t="s">
        <v>6275</v>
      </c>
      <c r="Z487" s="5" t="s">
        <v>6275</v>
      </c>
      <c r="AA487" s="4">
        <v>77</v>
      </c>
      <c r="AB487" s="4">
        <v>69</v>
      </c>
      <c r="AC487" s="4">
        <v>497</v>
      </c>
      <c r="AD487" s="4">
        <v>2</v>
      </c>
      <c r="AE487" s="4">
        <v>3</v>
      </c>
      <c r="AF487" s="4">
        <v>4</v>
      </c>
      <c r="AG487" s="4">
        <v>27</v>
      </c>
      <c r="AH487" s="4">
        <v>1</v>
      </c>
      <c r="AI487" s="4">
        <v>11</v>
      </c>
      <c r="AJ487" s="4">
        <v>2</v>
      </c>
      <c r="AK487" s="4">
        <v>6</v>
      </c>
      <c r="AL487" s="4">
        <v>2</v>
      </c>
      <c r="AM487" s="4">
        <v>14</v>
      </c>
      <c r="AN487" s="4">
        <v>1</v>
      </c>
      <c r="AO487" s="4">
        <v>1</v>
      </c>
      <c r="AP487" s="4">
        <v>0</v>
      </c>
      <c r="AQ487" s="4">
        <v>0</v>
      </c>
      <c r="AR487" s="3" t="s">
        <v>62</v>
      </c>
      <c r="AS487" s="3" t="s">
        <v>62</v>
      </c>
      <c r="AU487" s="6" t="str">
        <f>HYPERLINK("https://creighton-primo.hosted.exlibrisgroup.com/primo-explore/search?tab=default_tab&amp;search_scope=EVERYTHING&amp;vid=01CRU&amp;lang=en_US&amp;offset=0&amp;query=any,contains,991004485099702656","Catalog Record")</f>
        <v>Catalog Record</v>
      </c>
      <c r="AV487" s="6" t="str">
        <f>HYPERLINK("http://www.worldcat.org/oclc/3638030","WorldCat Record")</f>
        <v>WorldCat Record</v>
      </c>
      <c r="AW487" s="3" t="s">
        <v>6276</v>
      </c>
      <c r="AX487" s="3" t="s">
        <v>6277</v>
      </c>
      <c r="AY487" s="3" t="s">
        <v>6278</v>
      </c>
      <c r="AZ487" s="3" t="s">
        <v>6278</v>
      </c>
      <c r="BA487" s="3" t="s">
        <v>6279</v>
      </c>
      <c r="BB487" s="3" t="s">
        <v>77</v>
      </c>
      <c r="BE487" s="3" t="s">
        <v>6280</v>
      </c>
      <c r="BF487" s="3" t="s">
        <v>6281</v>
      </c>
    </row>
    <row r="488" spans="1:58" ht="41.25" customHeight="1" x14ac:dyDescent="0.25">
      <c r="A488" s="7" t="s">
        <v>62</v>
      </c>
      <c r="B488" s="2" t="s">
        <v>57</v>
      </c>
      <c r="C488" s="2" t="s">
        <v>58</v>
      </c>
      <c r="D488" s="2" t="s">
        <v>6282</v>
      </c>
      <c r="E488" s="2" t="s">
        <v>6283</v>
      </c>
      <c r="F488" s="2" t="s">
        <v>6284</v>
      </c>
      <c r="H488" s="3" t="s">
        <v>62</v>
      </c>
      <c r="I488" s="3" t="s">
        <v>63</v>
      </c>
      <c r="J488" s="3" t="s">
        <v>62</v>
      </c>
      <c r="K488" s="3" t="s">
        <v>62</v>
      </c>
      <c r="L488" s="3" t="s">
        <v>64</v>
      </c>
      <c r="M488" s="2" t="s">
        <v>6285</v>
      </c>
      <c r="N488" s="2" t="s">
        <v>6286</v>
      </c>
      <c r="O488" s="3" t="s">
        <v>1158</v>
      </c>
      <c r="Q488" s="3" t="s">
        <v>68</v>
      </c>
      <c r="R488" s="3" t="s">
        <v>698</v>
      </c>
      <c r="S488" s="2" t="s">
        <v>6287</v>
      </c>
      <c r="T488" s="3" t="s">
        <v>70</v>
      </c>
      <c r="U488" s="4">
        <v>1</v>
      </c>
      <c r="V488" s="4">
        <v>1</v>
      </c>
      <c r="W488" s="5" t="s">
        <v>6274</v>
      </c>
      <c r="X488" s="5" t="s">
        <v>6274</v>
      </c>
      <c r="Y488" s="5" t="s">
        <v>6058</v>
      </c>
      <c r="Z488" s="5" t="s">
        <v>6058</v>
      </c>
      <c r="AA488" s="4">
        <v>368</v>
      </c>
      <c r="AB488" s="4">
        <v>265</v>
      </c>
      <c r="AC488" s="4">
        <v>272</v>
      </c>
      <c r="AD488" s="4">
        <v>2</v>
      </c>
      <c r="AE488" s="4">
        <v>2</v>
      </c>
      <c r="AF488" s="4">
        <v>18</v>
      </c>
      <c r="AG488" s="4">
        <v>18</v>
      </c>
      <c r="AH488" s="4">
        <v>3</v>
      </c>
      <c r="AI488" s="4">
        <v>3</v>
      </c>
      <c r="AJ488" s="4">
        <v>5</v>
      </c>
      <c r="AK488" s="4">
        <v>5</v>
      </c>
      <c r="AL488" s="4">
        <v>13</v>
      </c>
      <c r="AM488" s="4">
        <v>13</v>
      </c>
      <c r="AN488" s="4">
        <v>1</v>
      </c>
      <c r="AO488" s="4">
        <v>1</v>
      </c>
      <c r="AP488" s="4">
        <v>0</v>
      </c>
      <c r="AQ488" s="4">
        <v>0</v>
      </c>
      <c r="AR488" s="3" t="s">
        <v>62</v>
      </c>
      <c r="AS488" s="3" t="s">
        <v>84</v>
      </c>
      <c r="AT488" s="6" t="str">
        <f>HYPERLINK("http://catalog.hathitrust.org/Record/001679701","HathiTrust Record")</f>
        <v>HathiTrust Record</v>
      </c>
      <c r="AU488" s="6" t="str">
        <f>HYPERLINK("https://creighton-primo.hosted.exlibrisgroup.com/primo-explore/search?tab=default_tab&amp;search_scope=EVERYTHING&amp;vid=01CRU&amp;lang=en_US&amp;offset=0&amp;query=any,contains,991003226049702656","Catalog Record")</f>
        <v>Catalog Record</v>
      </c>
      <c r="AV488" s="6" t="str">
        <f>HYPERLINK("http://www.worldcat.org/oclc/750307","WorldCat Record")</f>
        <v>WorldCat Record</v>
      </c>
      <c r="AW488" s="3" t="s">
        <v>6288</v>
      </c>
      <c r="AX488" s="3" t="s">
        <v>6289</v>
      </c>
      <c r="AY488" s="3" t="s">
        <v>6290</v>
      </c>
      <c r="AZ488" s="3" t="s">
        <v>6290</v>
      </c>
      <c r="BA488" s="3" t="s">
        <v>6291</v>
      </c>
      <c r="BB488" s="3" t="s">
        <v>77</v>
      </c>
      <c r="BD488" s="3" t="s">
        <v>6292</v>
      </c>
      <c r="BE488" s="3" t="s">
        <v>6293</v>
      </c>
      <c r="BF488" s="3" t="s">
        <v>6294</v>
      </c>
    </row>
    <row r="489" spans="1:58" ht="41.25" customHeight="1" x14ac:dyDescent="0.25">
      <c r="A489" s="7" t="s">
        <v>62</v>
      </c>
      <c r="B489" s="2" t="s">
        <v>57</v>
      </c>
      <c r="C489" s="2" t="s">
        <v>58</v>
      </c>
      <c r="D489" s="2" t="s">
        <v>6295</v>
      </c>
      <c r="E489" s="2" t="s">
        <v>6296</v>
      </c>
      <c r="F489" s="2" t="s">
        <v>6297</v>
      </c>
      <c r="H489" s="3" t="s">
        <v>62</v>
      </c>
      <c r="I489" s="3" t="s">
        <v>63</v>
      </c>
      <c r="J489" s="3" t="s">
        <v>62</v>
      </c>
      <c r="K489" s="3" t="s">
        <v>62</v>
      </c>
      <c r="L489" s="3" t="s">
        <v>64</v>
      </c>
      <c r="N489" s="2" t="s">
        <v>3058</v>
      </c>
      <c r="O489" s="3" t="s">
        <v>1682</v>
      </c>
      <c r="Q489" s="3" t="s">
        <v>68</v>
      </c>
      <c r="R489" s="3" t="s">
        <v>1653</v>
      </c>
      <c r="T489" s="3" t="s">
        <v>70</v>
      </c>
      <c r="U489" s="4">
        <v>6</v>
      </c>
      <c r="V489" s="4">
        <v>6</v>
      </c>
      <c r="W489" s="5" t="s">
        <v>6298</v>
      </c>
      <c r="X489" s="5" t="s">
        <v>6298</v>
      </c>
      <c r="Y489" s="5" t="s">
        <v>2800</v>
      </c>
      <c r="Z489" s="5" t="s">
        <v>2800</v>
      </c>
      <c r="AA489" s="4">
        <v>354</v>
      </c>
      <c r="AB489" s="4">
        <v>284</v>
      </c>
      <c r="AC489" s="4">
        <v>284</v>
      </c>
      <c r="AD489" s="4">
        <v>3</v>
      </c>
      <c r="AE489" s="4">
        <v>3</v>
      </c>
      <c r="AF489" s="4">
        <v>22</v>
      </c>
      <c r="AG489" s="4">
        <v>22</v>
      </c>
      <c r="AH489" s="4">
        <v>9</v>
      </c>
      <c r="AI489" s="4">
        <v>9</v>
      </c>
      <c r="AJ489" s="4">
        <v>5</v>
      </c>
      <c r="AK489" s="4">
        <v>5</v>
      </c>
      <c r="AL489" s="4">
        <v>13</v>
      </c>
      <c r="AM489" s="4">
        <v>13</v>
      </c>
      <c r="AN489" s="4">
        <v>2</v>
      </c>
      <c r="AO489" s="4">
        <v>2</v>
      </c>
      <c r="AP489" s="4">
        <v>0</v>
      </c>
      <c r="AQ489" s="4">
        <v>0</v>
      </c>
      <c r="AR489" s="3" t="s">
        <v>62</v>
      </c>
      <c r="AS489" s="3" t="s">
        <v>62</v>
      </c>
      <c r="AU489" s="6" t="str">
        <f>HYPERLINK("https://creighton-primo.hosted.exlibrisgroup.com/primo-explore/search?tab=default_tab&amp;search_scope=EVERYTHING&amp;vid=01CRU&amp;lang=en_US&amp;offset=0&amp;query=any,contains,991002010989702656","Catalog Record")</f>
        <v>Catalog Record</v>
      </c>
      <c r="AV489" s="6" t="str">
        <f>HYPERLINK("http://www.worldcat.org/oclc/25552776","WorldCat Record")</f>
        <v>WorldCat Record</v>
      </c>
      <c r="AW489" s="3" t="s">
        <v>6299</v>
      </c>
      <c r="AX489" s="3" t="s">
        <v>6300</v>
      </c>
      <c r="AY489" s="3" t="s">
        <v>6301</v>
      </c>
      <c r="AZ489" s="3" t="s">
        <v>6301</v>
      </c>
      <c r="BA489" s="3" t="s">
        <v>6302</v>
      </c>
      <c r="BB489" s="3" t="s">
        <v>77</v>
      </c>
      <c r="BD489" s="3" t="s">
        <v>6303</v>
      </c>
      <c r="BE489" s="3" t="s">
        <v>6304</v>
      </c>
      <c r="BF489" s="3" t="s">
        <v>6305</v>
      </c>
    </row>
    <row r="490" spans="1:58" ht="41.25" customHeight="1" x14ac:dyDescent="0.25">
      <c r="A490" s="7" t="s">
        <v>62</v>
      </c>
      <c r="B490" s="2" t="s">
        <v>57</v>
      </c>
      <c r="C490" s="2" t="s">
        <v>58</v>
      </c>
      <c r="D490" s="2" t="s">
        <v>6306</v>
      </c>
      <c r="E490" s="2" t="s">
        <v>6307</v>
      </c>
      <c r="F490" s="2" t="s">
        <v>6308</v>
      </c>
      <c r="H490" s="3" t="s">
        <v>62</v>
      </c>
      <c r="I490" s="3" t="s">
        <v>63</v>
      </c>
      <c r="J490" s="3" t="s">
        <v>62</v>
      </c>
      <c r="K490" s="3" t="s">
        <v>62</v>
      </c>
      <c r="L490" s="3" t="s">
        <v>64</v>
      </c>
      <c r="N490" s="2" t="s">
        <v>6309</v>
      </c>
      <c r="O490" s="3" t="s">
        <v>295</v>
      </c>
      <c r="Q490" s="3" t="s">
        <v>68</v>
      </c>
      <c r="R490" s="3" t="s">
        <v>69</v>
      </c>
      <c r="T490" s="3" t="s">
        <v>70</v>
      </c>
      <c r="U490" s="4">
        <v>6</v>
      </c>
      <c r="V490" s="4">
        <v>6</v>
      </c>
      <c r="W490" s="5" t="s">
        <v>6310</v>
      </c>
      <c r="X490" s="5" t="s">
        <v>6310</v>
      </c>
      <c r="Y490" s="5" t="s">
        <v>6311</v>
      </c>
      <c r="Z490" s="5" t="s">
        <v>6311</v>
      </c>
      <c r="AA490" s="4">
        <v>243</v>
      </c>
      <c r="AB490" s="4">
        <v>188</v>
      </c>
      <c r="AC490" s="4">
        <v>210</v>
      </c>
      <c r="AD490" s="4">
        <v>3</v>
      </c>
      <c r="AE490" s="4">
        <v>3</v>
      </c>
      <c r="AF490" s="4">
        <v>13</v>
      </c>
      <c r="AG490" s="4">
        <v>13</v>
      </c>
      <c r="AH490" s="4">
        <v>5</v>
      </c>
      <c r="AI490" s="4">
        <v>5</v>
      </c>
      <c r="AJ490" s="4">
        <v>1</v>
      </c>
      <c r="AK490" s="4">
        <v>1</v>
      </c>
      <c r="AL490" s="4">
        <v>6</v>
      </c>
      <c r="AM490" s="4">
        <v>6</v>
      </c>
      <c r="AN490" s="4">
        <v>2</v>
      </c>
      <c r="AO490" s="4">
        <v>2</v>
      </c>
      <c r="AP490" s="4">
        <v>0</v>
      </c>
      <c r="AQ490" s="4">
        <v>0</v>
      </c>
      <c r="AR490" s="3" t="s">
        <v>62</v>
      </c>
      <c r="AS490" s="3" t="s">
        <v>62</v>
      </c>
      <c r="AU490" s="6" t="str">
        <f>HYPERLINK("https://creighton-primo.hosted.exlibrisgroup.com/primo-explore/search?tab=default_tab&amp;search_scope=EVERYTHING&amp;vid=01CRU&amp;lang=en_US&amp;offset=0&amp;query=any,contains,991001296479702656","Catalog Record")</f>
        <v>Catalog Record</v>
      </c>
      <c r="AV490" s="6" t="str">
        <f>HYPERLINK("http://www.worldcat.org/oclc/18048960","WorldCat Record")</f>
        <v>WorldCat Record</v>
      </c>
      <c r="AW490" s="3" t="s">
        <v>6312</v>
      </c>
      <c r="AX490" s="3" t="s">
        <v>6313</v>
      </c>
      <c r="AY490" s="3" t="s">
        <v>6314</v>
      </c>
      <c r="AZ490" s="3" t="s">
        <v>6314</v>
      </c>
      <c r="BA490" s="3" t="s">
        <v>6315</v>
      </c>
      <c r="BB490" s="3" t="s">
        <v>77</v>
      </c>
      <c r="BD490" s="3" t="s">
        <v>6316</v>
      </c>
      <c r="BE490" s="3" t="s">
        <v>6317</v>
      </c>
      <c r="BF490" s="3" t="s">
        <v>6318</v>
      </c>
    </row>
    <row r="491" spans="1:58" ht="41.25" customHeight="1" x14ac:dyDescent="0.25">
      <c r="A491" s="7" t="s">
        <v>62</v>
      </c>
      <c r="B491" s="2" t="s">
        <v>57</v>
      </c>
      <c r="C491" s="2" t="s">
        <v>58</v>
      </c>
      <c r="D491" s="2" t="s">
        <v>6319</v>
      </c>
      <c r="E491" s="2" t="s">
        <v>6320</v>
      </c>
      <c r="F491" s="2" t="s">
        <v>6321</v>
      </c>
      <c r="H491" s="3" t="s">
        <v>62</v>
      </c>
      <c r="I491" s="3" t="s">
        <v>63</v>
      </c>
      <c r="J491" s="3" t="s">
        <v>62</v>
      </c>
      <c r="K491" s="3" t="s">
        <v>62</v>
      </c>
      <c r="L491" s="3" t="s">
        <v>64</v>
      </c>
      <c r="N491" s="2" t="s">
        <v>6322</v>
      </c>
      <c r="O491" s="3" t="s">
        <v>1251</v>
      </c>
      <c r="Q491" s="3" t="s">
        <v>68</v>
      </c>
      <c r="R491" s="3" t="s">
        <v>1653</v>
      </c>
      <c r="S491" s="2" t="s">
        <v>6323</v>
      </c>
      <c r="T491" s="3" t="s">
        <v>70</v>
      </c>
      <c r="U491" s="4">
        <v>3</v>
      </c>
      <c r="V491" s="4">
        <v>3</v>
      </c>
      <c r="W491" s="5" t="s">
        <v>6324</v>
      </c>
      <c r="X491" s="5" t="s">
        <v>6324</v>
      </c>
      <c r="Y491" s="5" t="s">
        <v>6325</v>
      </c>
      <c r="Z491" s="5" t="s">
        <v>6325</v>
      </c>
      <c r="AA491" s="4">
        <v>624</v>
      </c>
      <c r="AB491" s="4">
        <v>518</v>
      </c>
      <c r="AC491" s="4">
        <v>520</v>
      </c>
      <c r="AD491" s="4">
        <v>3</v>
      </c>
      <c r="AE491" s="4">
        <v>3</v>
      </c>
      <c r="AF491" s="4">
        <v>38</v>
      </c>
      <c r="AG491" s="4">
        <v>38</v>
      </c>
      <c r="AH491" s="4">
        <v>11</v>
      </c>
      <c r="AI491" s="4">
        <v>11</v>
      </c>
      <c r="AJ491" s="4">
        <v>9</v>
      </c>
      <c r="AK491" s="4">
        <v>9</v>
      </c>
      <c r="AL491" s="4">
        <v>19</v>
      </c>
      <c r="AM491" s="4">
        <v>19</v>
      </c>
      <c r="AN491" s="4">
        <v>2</v>
      </c>
      <c r="AO491" s="4">
        <v>2</v>
      </c>
      <c r="AP491" s="4">
        <v>7</v>
      </c>
      <c r="AQ491" s="4">
        <v>7</v>
      </c>
      <c r="AR491" s="3" t="s">
        <v>62</v>
      </c>
      <c r="AS491" s="3" t="s">
        <v>84</v>
      </c>
      <c r="AT491" s="6" t="str">
        <f>HYPERLINK("http://catalog.hathitrust.org/Record/000949384","HathiTrust Record")</f>
        <v>HathiTrust Record</v>
      </c>
      <c r="AU491" s="6" t="str">
        <f>HYPERLINK("https://creighton-primo.hosted.exlibrisgroup.com/primo-explore/search?tab=default_tab&amp;search_scope=EVERYTHING&amp;vid=01CRU&amp;lang=en_US&amp;offset=0&amp;query=any,contains,991001301139702656","Catalog Record")</f>
        <v>Catalog Record</v>
      </c>
      <c r="AV491" s="6" t="str">
        <f>HYPERLINK("http://www.worldcat.org/oclc/18069677","WorldCat Record")</f>
        <v>WorldCat Record</v>
      </c>
      <c r="AW491" s="3" t="s">
        <v>6326</v>
      </c>
      <c r="AX491" s="3" t="s">
        <v>6327</v>
      </c>
      <c r="AY491" s="3" t="s">
        <v>6328</v>
      </c>
      <c r="AZ491" s="3" t="s">
        <v>6328</v>
      </c>
      <c r="BA491" s="3" t="s">
        <v>6329</v>
      </c>
      <c r="BB491" s="3" t="s">
        <v>77</v>
      </c>
      <c r="BD491" s="3" t="s">
        <v>6330</v>
      </c>
      <c r="BE491" s="3" t="s">
        <v>6331</v>
      </c>
      <c r="BF491" s="3" t="s">
        <v>6332</v>
      </c>
    </row>
    <row r="492" spans="1:58" ht="41.25" customHeight="1" x14ac:dyDescent="0.25">
      <c r="A492" s="7" t="s">
        <v>62</v>
      </c>
      <c r="B492" s="2" t="s">
        <v>57</v>
      </c>
      <c r="C492" s="2" t="s">
        <v>58</v>
      </c>
      <c r="D492" s="2" t="s">
        <v>6333</v>
      </c>
      <c r="E492" s="2" t="s">
        <v>6334</v>
      </c>
      <c r="F492" s="2" t="s">
        <v>6335</v>
      </c>
      <c r="H492" s="3" t="s">
        <v>62</v>
      </c>
      <c r="I492" s="3" t="s">
        <v>63</v>
      </c>
      <c r="J492" s="3" t="s">
        <v>62</v>
      </c>
      <c r="K492" s="3" t="s">
        <v>62</v>
      </c>
      <c r="L492" s="3" t="s">
        <v>64</v>
      </c>
      <c r="N492" s="2" t="s">
        <v>6336</v>
      </c>
      <c r="O492" s="3" t="s">
        <v>137</v>
      </c>
      <c r="Q492" s="3" t="s">
        <v>68</v>
      </c>
      <c r="R492" s="3" t="s">
        <v>204</v>
      </c>
      <c r="S492" s="2" t="s">
        <v>6337</v>
      </c>
      <c r="T492" s="3" t="s">
        <v>70</v>
      </c>
      <c r="U492" s="4">
        <v>4</v>
      </c>
      <c r="V492" s="4">
        <v>4</v>
      </c>
      <c r="W492" s="5" t="s">
        <v>6338</v>
      </c>
      <c r="X492" s="5" t="s">
        <v>6338</v>
      </c>
      <c r="Y492" s="5" t="s">
        <v>5427</v>
      </c>
      <c r="Z492" s="5" t="s">
        <v>5427</v>
      </c>
      <c r="AA492" s="4">
        <v>193</v>
      </c>
      <c r="AB492" s="4">
        <v>174</v>
      </c>
      <c r="AC492" s="4">
        <v>180</v>
      </c>
      <c r="AD492" s="4">
        <v>2</v>
      </c>
      <c r="AE492" s="4">
        <v>2</v>
      </c>
      <c r="AF492" s="4">
        <v>27</v>
      </c>
      <c r="AG492" s="4">
        <v>27</v>
      </c>
      <c r="AH492" s="4">
        <v>7</v>
      </c>
      <c r="AI492" s="4">
        <v>7</v>
      </c>
      <c r="AJ492" s="4">
        <v>9</v>
      </c>
      <c r="AK492" s="4">
        <v>9</v>
      </c>
      <c r="AL492" s="4">
        <v>19</v>
      </c>
      <c r="AM492" s="4">
        <v>19</v>
      </c>
      <c r="AN492" s="4">
        <v>1</v>
      </c>
      <c r="AO492" s="4">
        <v>1</v>
      </c>
      <c r="AP492" s="4">
        <v>0</v>
      </c>
      <c r="AQ492" s="4">
        <v>0</v>
      </c>
      <c r="AR492" s="3" t="s">
        <v>62</v>
      </c>
      <c r="AS492" s="3" t="s">
        <v>84</v>
      </c>
      <c r="AT492" s="6" t="str">
        <f>HYPERLINK("http://catalog.hathitrust.org/Record/000767307","HathiTrust Record")</f>
        <v>HathiTrust Record</v>
      </c>
      <c r="AU492" s="6" t="str">
        <f>HYPERLINK("https://creighton-primo.hosted.exlibrisgroup.com/primo-explore/search?tab=default_tab&amp;search_scope=EVERYTHING&amp;vid=01CRU&amp;lang=en_US&amp;offset=0&amp;query=any,contains,991005123679702656","Catalog Record")</f>
        <v>Catalog Record</v>
      </c>
      <c r="AV492" s="6" t="str">
        <f>HYPERLINK("http://www.worldcat.org/oclc/8242904","WorldCat Record")</f>
        <v>WorldCat Record</v>
      </c>
      <c r="AW492" s="3" t="s">
        <v>6339</v>
      </c>
      <c r="AX492" s="3" t="s">
        <v>6340</v>
      </c>
      <c r="AY492" s="3" t="s">
        <v>6341</v>
      </c>
      <c r="AZ492" s="3" t="s">
        <v>6341</v>
      </c>
      <c r="BA492" s="3" t="s">
        <v>6342</v>
      </c>
      <c r="BB492" s="3" t="s">
        <v>77</v>
      </c>
      <c r="BD492" s="3" t="s">
        <v>6343</v>
      </c>
      <c r="BE492" s="3" t="s">
        <v>6344</v>
      </c>
      <c r="BF492" s="3" t="s">
        <v>6345</v>
      </c>
    </row>
    <row r="493" spans="1:58" ht="41.25" customHeight="1" x14ac:dyDescent="0.25">
      <c r="A493" s="7" t="s">
        <v>62</v>
      </c>
      <c r="B493" s="2" t="s">
        <v>57</v>
      </c>
      <c r="C493" s="2" t="s">
        <v>58</v>
      </c>
      <c r="D493" s="2" t="s">
        <v>6346</v>
      </c>
      <c r="E493" s="2" t="s">
        <v>6347</v>
      </c>
      <c r="F493" s="2" t="s">
        <v>6348</v>
      </c>
      <c r="H493" s="3" t="s">
        <v>62</v>
      </c>
      <c r="I493" s="3" t="s">
        <v>63</v>
      </c>
      <c r="J493" s="3" t="s">
        <v>62</v>
      </c>
      <c r="K493" s="3" t="s">
        <v>62</v>
      </c>
      <c r="L493" s="3" t="s">
        <v>64</v>
      </c>
      <c r="M493" s="2" t="s">
        <v>6349</v>
      </c>
      <c r="N493" s="2" t="s">
        <v>6350</v>
      </c>
      <c r="Q493" s="3" t="s">
        <v>68</v>
      </c>
      <c r="R493" s="3" t="s">
        <v>88</v>
      </c>
      <c r="T493" s="3" t="s">
        <v>70</v>
      </c>
      <c r="U493" s="4">
        <v>2</v>
      </c>
      <c r="V493" s="4">
        <v>2</v>
      </c>
      <c r="W493" s="5" t="s">
        <v>6351</v>
      </c>
      <c r="X493" s="5" t="s">
        <v>6351</v>
      </c>
      <c r="Y493" s="5" t="s">
        <v>5427</v>
      </c>
      <c r="Z493" s="5" t="s">
        <v>5427</v>
      </c>
      <c r="AA493" s="4">
        <v>52</v>
      </c>
      <c r="AB493" s="4">
        <v>49</v>
      </c>
      <c r="AC493" s="4">
        <v>76</v>
      </c>
      <c r="AD493" s="4">
        <v>1</v>
      </c>
      <c r="AE493" s="4">
        <v>1</v>
      </c>
      <c r="AF493" s="4">
        <v>8</v>
      </c>
      <c r="AG493" s="4">
        <v>11</v>
      </c>
      <c r="AH493" s="4">
        <v>2</v>
      </c>
      <c r="AI493" s="4">
        <v>2</v>
      </c>
      <c r="AJ493" s="4">
        <v>2</v>
      </c>
      <c r="AK493" s="4">
        <v>4</v>
      </c>
      <c r="AL493" s="4">
        <v>7</v>
      </c>
      <c r="AM493" s="4">
        <v>9</v>
      </c>
      <c r="AN493" s="4">
        <v>0</v>
      </c>
      <c r="AO493" s="4">
        <v>0</v>
      </c>
      <c r="AP493" s="4">
        <v>0</v>
      </c>
      <c r="AQ493" s="4">
        <v>0</v>
      </c>
      <c r="AR493" s="3" t="s">
        <v>62</v>
      </c>
      <c r="AS493" s="3" t="s">
        <v>62</v>
      </c>
      <c r="AU493" s="6" t="str">
        <f>HYPERLINK("https://creighton-primo.hosted.exlibrisgroup.com/primo-explore/search?tab=default_tab&amp;search_scope=EVERYTHING&amp;vid=01CRU&amp;lang=en_US&amp;offset=0&amp;query=any,contains,991003169719702656","Catalog Record")</f>
        <v>Catalog Record</v>
      </c>
      <c r="AV493" s="6" t="str">
        <f>HYPERLINK("http://www.worldcat.org/oclc/706374","WorldCat Record")</f>
        <v>WorldCat Record</v>
      </c>
      <c r="AW493" s="3" t="s">
        <v>6352</v>
      </c>
      <c r="AX493" s="3" t="s">
        <v>6353</v>
      </c>
      <c r="AY493" s="3" t="s">
        <v>6354</v>
      </c>
      <c r="AZ493" s="3" t="s">
        <v>6354</v>
      </c>
      <c r="BA493" s="3" t="s">
        <v>6355</v>
      </c>
      <c r="BB493" s="3" t="s">
        <v>77</v>
      </c>
      <c r="BE493" s="3" t="s">
        <v>6356</v>
      </c>
      <c r="BF493" s="3" t="s">
        <v>6357</v>
      </c>
    </row>
    <row r="494" spans="1:58" ht="41.25" customHeight="1" x14ac:dyDescent="0.25">
      <c r="A494" s="7" t="s">
        <v>62</v>
      </c>
      <c r="B494" s="2" t="s">
        <v>57</v>
      </c>
      <c r="C494" s="2" t="s">
        <v>58</v>
      </c>
      <c r="D494" s="2" t="s">
        <v>6358</v>
      </c>
      <c r="E494" s="2" t="s">
        <v>6359</v>
      </c>
      <c r="F494" s="2" t="s">
        <v>6360</v>
      </c>
      <c r="H494" s="3" t="s">
        <v>62</v>
      </c>
      <c r="I494" s="3" t="s">
        <v>63</v>
      </c>
      <c r="J494" s="3" t="s">
        <v>62</v>
      </c>
      <c r="K494" s="3" t="s">
        <v>62</v>
      </c>
      <c r="L494" s="3" t="s">
        <v>64</v>
      </c>
      <c r="M494" s="2" t="s">
        <v>1130</v>
      </c>
      <c r="N494" s="2" t="s">
        <v>6361</v>
      </c>
      <c r="O494" s="3" t="s">
        <v>137</v>
      </c>
      <c r="Q494" s="3" t="s">
        <v>68</v>
      </c>
      <c r="R494" s="3" t="s">
        <v>69</v>
      </c>
      <c r="T494" s="3" t="s">
        <v>70</v>
      </c>
      <c r="U494" s="4">
        <v>2</v>
      </c>
      <c r="V494" s="4">
        <v>2</v>
      </c>
      <c r="W494" s="5" t="s">
        <v>6362</v>
      </c>
      <c r="X494" s="5" t="s">
        <v>6362</v>
      </c>
      <c r="Y494" s="5" t="s">
        <v>5427</v>
      </c>
      <c r="Z494" s="5" t="s">
        <v>5427</v>
      </c>
      <c r="AA494" s="4">
        <v>626</v>
      </c>
      <c r="AB494" s="4">
        <v>529</v>
      </c>
      <c r="AC494" s="4">
        <v>536</v>
      </c>
      <c r="AD494" s="4">
        <v>4</v>
      </c>
      <c r="AE494" s="4">
        <v>4</v>
      </c>
      <c r="AF494" s="4">
        <v>37</v>
      </c>
      <c r="AG494" s="4">
        <v>37</v>
      </c>
      <c r="AH494" s="4">
        <v>18</v>
      </c>
      <c r="AI494" s="4">
        <v>18</v>
      </c>
      <c r="AJ494" s="4">
        <v>5</v>
      </c>
      <c r="AK494" s="4">
        <v>5</v>
      </c>
      <c r="AL494" s="4">
        <v>22</v>
      </c>
      <c r="AM494" s="4">
        <v>22</v>
      </c>
      <c r="AN494" s="4">
        <v>3</v>
      </c>
      <c r="AO494" s="4">
        <v>3</v>
      </c>
      <c r="AP494" s="4">
        <v>0</v>
      </c>
      <c r="AQ494" s="4">
        <v>0</v>
      </c>
      <c r="AR494" s="3" t="s">
        <v>62</v>
      </c>
      <c r="AS494" s="3" t="s">
        <v>84</v>
      </c>
      <c r="AT494" s="6" t="str">
        <f>HYPERLINK("http://catalog.hathitrust.org/Record/000185008","HathiTrust Record")</f>
        <v>HathiTrust Record</v>
      </c>
      <c r="AU494" s="6" t="str">
        <f>HYPERLINK("https://creighton-primo.hosted.exlibrisgroup.com/primo-explore/search?tab=default_tab&amp;search_scope=EVERYTHING&amp;vid=01CRU&amp;lang=en_US&amp;offset=0&amp;query=any,contains,991005136689702656","Catalog Record")</f>
        <v>Catalog Record</v>
      </c>
      <c r="AV494" s="6" t="str">
        <f>HYPERLINK("http://www.worldcat.org/oclc/7577921","WorldCat Record")</f>
        <v>WorldCat Record</v>
      </c>
      <c r="AW494" s="3" t="s">
        <v>6363</v>
      </c>
      <c r="AX494" s="3" t="s">
        <v>6364</v>
      </c>
      <c r="AY494" s="3" t="s">
        <v>6365</v>
      </c>
      <c r="AZ494" s="3" t="s">
        <v>6365</v>
      </c>
      <c r="BA494" s="3" t="s">
        <v>6366</v>
      </c>
      <c r="BB494" s="3" t="s">
        <v>77</v>
      </c>
      <c r="BD494" s="3" t="s">
        <v>6367</v>
      </c>
      <c r="BE494" s="3" t="s">
        <v>6368</v>
      </c>
      <c r="BF494" s="3" t="s">
        <v>6369</v>
      </c>
    </row>
    <row r="495" spans="1:58" ht="41.25" customHeight="1" x14ac:dyDescent="0.25">
      <c r="A495" s="7" t="s">
        <v>62</v>
      </c>
      <c r="B495" s="2" t="s">
        <v>57</v>
      </c>
      <c r="C495" s="2" t="s">
        <v>58</v>
      </c>
      <c r="D495" s="2" t="s">
        <v>6370</v>
      </c>
      <c r="E495" s="2" t="s">
        <v>6371</v>
      </c>
      <c r="F495" s="2" t="s">
        <v>6372</v>
      </c>
      <c r="H495" s="3" t="s">
        <v>62</v>
      </c>
      <c r="I495" s="3" t="s">
        <v>63</v>
      </c>
      <c r="J495" s="3" t="s">
        <v>62</v>
      </c>
      <c r="K495" s="3" t="s">
        <v>62</v>
      </c>
      <c r="L495" s="3" t="s">
        <v>64</v>
      </c>
      <c r="M495" s="2" t="s">
        <v>6373</v>
      </c>
      <c r="N495" s="2" t="s">
        <v>6374</v>
      </c>
      <c r="O495" s="3" t="s">
        <v>312</v>
      </c>
      <c r="Q495" s="3" t="s">
        <v>68</v>
      </c>
      <c r="R495" s="3" t="s">
        <v>138</v>
      </c>
      <c r="T495" s="3" t="s">
        <v>70</v>
      </c>
      <c r="U495" s="4">
        <v>5</v>
      </c>
      <c r="V495" s="4">
        <v>5</v>
      </c>
      <c r="W495" s="5" t="s">
        <v>6375</v>
      </c>
      <c r="X495" s="5" t="s">
        <v>6375</v>
      </c>
      <c r="Y495" s="5" t="s">
        <v>5427</v>
      </c>
      <c r="Z495" s="5" t="s">
        <v>5427</v>
      </c>
      <c r="AA495" s="4">
        <v>777</v>
      </c>
      <c r="AB495" s="4">
        <v>682</v>
      </c>
      <c r="AC495" s="4">
        <v>684</v>
      </c>
      <c r="AD495" s="4">
        <v>5</v>
      </c>
      <c r="AE495" s="4">
        <v>5</v>
      </c>
      <c r="AF495" s="4">
        <v>37</v>
      </c>
      <c r="AG495" s="4">
        <v>37</v>
      </c>
      <c r="AH495" s="4">
        <v>11</v>
      </c>
      <c r="AI495" s="4">
        <v>11</v>
      </c>
      <c r="AJ495" s="4">
        <v>9</v>
      </c>
      <c r="AK495" s="4">
        <v>9</v>
      </c>
      <c r="AL495" s="4">
        <v>24</v>
      </c>
      <c r="AM495" s="4">
        <v>24</v>
      </c>
      <c r="AN495" s="4">
        <v>3</v>
      </c>
      <c r="AO495" s="4">
        <v>3</v>
      </c>
      <c r="AP495" s="4">
        <v>0</v>
      </c>
      <c r="AQ495" s="4">
        <v>0</v>
      </c>
      <c r="AR495" s="3" t="s">
        <v>62</v>
      </c>
      <c r="AS495" s="3" t="s">
        <v>84</v>
      </c>
      <c r="AT495" s="6" t="str">
        <f>HYPERLINK("http://catalog.hathitrust.org/Record/001921611","HathiTrust Record")</f>
        <v>HathiTrust Record</v>
      </c>
      <c r="AU495" s="6" t="str">
        <f>HYPERLINK("https://creighton-primo.hosted.exlibrisgroup.com/primo-explore/search?tab=default_tab&amp;search_scope=EVERYTHING&amp;vid=01CRU&amp;lang=en_US&amp;offset=0&amp;query=any,contains,991000706679702656","Catalog Record")</f>
        <v>Catalog Record</v>
      </c>
      <c r="AV495" s="6" t="str">
        <f>HYPERLINK("http://www.worldcat.org/oclc/124567","WorldCat Record")</f>
        <v>WorldCat Record</v>
      </c>
      <c r="AW495" s="3" t="s">
        <v>6376</v>
      </c>
      <c r="AX495" s="3" t="s">
        <v>6377</v>
      </c>
      <c r="AY495" s="3" t="s">
        <v>6378</v>
      </c>
      <c r="AZ495" s="3" t="s">
        <v>6378</v>
      </c>
      <c r="BA495" s="3" t="s">
        <v>6379</v>
      </c>
      <c r="BB495" s="3" t="s">
        <v>77</v>
      </c>
      <c r="BD495" s="3" t="s">
        <v>6380</v>
      </c>
      <c r="BE495" s="3" t="s">
        <v>6381</v>
      </c>
      <c r="BF495" s="3" t="s">
        <v>6382</v>
      </c>
    </row>
    <row r="496" spans="1:58" ht="41.25" customHeight="1" x14ac:dyDescent="0.25">
      <c r="A496" s="7" t="s">
        <v>62</v>
      </c>
      <c r="B496" s="2" t="s">
        <v>57</v>
      </c>
      <c r="C496" s="2" t="s">
        <v>58</v>
      </c>
      <c r="D496" s="2" t="s">
        <v>6383</v>
      </c>
      <c r="E496" s="2" t="s">
        <v>6384</v>
      </c>
      <c r="F496" s="2" t="s">
        <v>6385</v>
      </c>
      <c r="G496" s="3" t="s">
        <v>97</v>
      </c>
      <c r="H496" s="3" t="s">
        <v>62</v>
      </c>
      <c r="I496" s="3" t="s">
        <v>63</v>
      </c>
      <c r="J496" s="3" t="s">
        <v>62</v>
      </c>
      <c r="K496" s="3" t="s">
        <v>62</v>
      </c>
      <c r="L496" s="3" t="s">
        <v>64</v>
      </c>
      <c r="M496" s="2" t="s">
        <v>6386</v>
      </c>
      <c r="N496" s="2" t="s">
        <v>6387</v>
      </c>
      <c r="O496" s="3" t="s">
        <v>1750</v>
      </c>
      <c r="Q496" s="3" t="s">
        <v>68</v>
      </c>
      <c r="R496" s="3" t="s">
        <v>6388</v>
      </c>
      <c r="S496" s="2" t="s">
        <v>6389</v>
      </c>
      <c r="T496" s="3" t="s">
        <v>70</v>
      </c>
      <c r="U496" s="4">
        <v>1</v>
      </c>
      <c r="V496" s="4">
        <v>1</v>
      </c>
      <c r="W496" s="5" t="s">
        <v>6390</v>
      </c>
      <c r="X496" s="5" t="s">
        <v>6390</v>
      </c>
      <c r="Y496" s="5" t="s">
        <v>6391</v>
      </c>
      <c r="Z496" s="5" t="s">
        <v>6391</v>
      </c>
      <c r="AA496" s="4">
        <v>293</v>
      </c>
      <c r="AB496" s="4">
        <v>292</v>
      </c>
      <c r="AC496" s="4">
        <v>293</v>
      </c>
      <c r="AD496" s="4">
        <v>7</v>
      </c>
      <c r="AE496" s="4">
        <v>7</v>
      </c>
      <c r="AF496" s="4">
        <v>17</v>
      </c>
      <c r="AG496" s="4">
        <v>17</v>
      </c>
      <c r="AH496" s="4">
        <v>3</v>
      </c>
      <c r="AI496" s="4">
        <v>3</v>
      </c>
      <c r="AJ496" s="4">
        <v>3</v>
      </c>
      <c r="AK496" s="4">
        <v>3</v>
      </c>
      <c r="AL496" s="4">
        <v>7</v>
      </c>
      <c r="AM496" s="4">
        <v>7</v>
      </c>
      <c r="AN496" s="4">
        <v>6</v>
      </c>
      <c r="AO496" s="4">
        <v>6</v>
      </c>
      <c r="AP496" s="4">
        <v>0</v>
      </c>
      <c r="AQ496" s="4">
        <v>0</v>
      </c>
      <c r="AR496" s="3" t="s">
        <v>62</v>
      </c>
      <c r="AS496" s="3" t="s">
        <v>62</v>
      </c>
      <c r="AU496" s="6" t="str">
        <f>HYPERLINK("https://creighton-primo.hosted.exlibrisgroup.com/primo-explore/search?tab=default_tab&amp;search_scope=EVERYTHING&amp;vid=01CRU&amp;lang=en_US&amp;offset=0&amp;query=any,contains,991001995089702656","Catalog Record")</f>
        <v>Catalog Record</v>
      </c>
      <c r="AV496" s="6" t="str">
        <f>HYPERLINK("http://www.worldcat.org/oclc/25363979","WorldCat Record")</f>
        <v>WorldCat Record</v>
      </c>
      <c r="AW496" s="3" t="s">
        <v>6392</v>
      </c>
      <c r="AX496" s="3" t="s">
        <v>6393</v>
      </c>
      <c r="AY496" s="3" t="s">
        <v>6394</v>
      </c>
      <c r="AZ496" s="3" t="s">
        <v>6394</v>
      </c>
      <c r="BA496" s="3" t="s">
        <v>6395</v>
      </c>
      <c r="BB496" s="3" t="s">
        <v>77</v>
      </c>
      <c r="BE496" s="3" t="s">
        <v>6396</v>
      </c>
      <c r="BF496" s="3" t="s">
        <v>6397</v>
      </c>
    </row>
    <row r="497" spans="1:58" ht="41.25" customHeight="1" x14ac:dyDescent="0.25">
      <c r="A497" s="7" t="s">
        <v>62</v>
      </c>
      <c r="B497" s="2" t="s">
        <v>57</v>
      </c>
      <c r="C497" s="2" t="s">
        <v>58</v>
      </c>
      <c r="D497" s="2" t="s">
        <v>6398</v>
      </c>
      <c r="E497" s="2" t="s">
        <v>6399</v>
      </c>
      <c r="F497" s="2" t="s">
        <v>6400</v>
      </c>
      <c r="H497" s="3" t="s">
        <v>62</v>
      </c>
      <c r="I497" s="3" t="s">
        <v>63</v>
      </c>
      <c r="J497" s="3" t="s">
        <v>62</v>
      </c>
      <c r="K497" s="3" t="s">
        <v>62</v>
      </c>
      <c r="L497" s="3" t="s">
        <v>64</v>
      </c>
      <c r="N497" s="2" t="s">
        <v>6401</v>
      </c>
      <c r="O497" s="3" t="s">
        <v>561</v>
      </c>
      <c r="Q497" s="3" t="s">
        <v>68</v>
      </c>
      <c r="R497" s="3" t="s">
        <v>562</v>
      </c>
      <c r="T497" s="3" t="s">
        <v>70</v>
      </c>
      <c r="U497" s="4">
        <v>10</v>
      </c>
      <c r="V497" s="4">
        <v>10</v>
      </c>
      <c r="W497" s="5" t="s">
        <v>3059</v>
      </c>
      <c r="X497" s="5" t="s">
        <v>3059</v>
      </c>
      <c r="Y497" s="5" t="s">
        <v>5427</v>
      </c>
      <c r="Z497" s="5" t="s">
        <v>5427</v>
      </c>
      <c r="AA497" s="4">
        <v>333</v>
      </c>
      <c r="AB497" s="4">
        <v>244</v>
      </c>
      <c r="AC497" s="4">
        <v>245</v>
      </c>
      <c r="AD497" s="4">
        <v>2</v>
      </c>
      <c r="AE497" s="4">
        <v>2</v>
      </c>
      <c r="AF497" s="4">
        <v>15</v>
      </c>
      <c r="AG497" s="4">
        <v>15</v>
      </c>
      <c r="AH497" s="4">
        <v>5</v>
      </c>
      <c r="AI497" s="4">
        <v>5</v>
      </c>
      <c r="AJ497" s="4">
        <v>2</v>
      </c>
      <c r="AK497" s="4">
        <v>2</v>
      </c>
      <c r="AL497" s="4">
        <v>12</v>
      </c>
      <c r="AM497" s="4">
        <v>12</v>
      </c>
      <c r="AN497" s="4">
        <v>1</v>
      </c>
      <c r="AO497" s="4">
        <v>1</v>
      </c>
      <c r="AP497" s="4">
        <v>0</v>
      </c>
      <c r="AQ497" s="4">
        <v>0</v>
      </c>
      <c r="AR497" s="3" t="s">
        <v>62</v>
      </c>
      <c r="AS497" s="3" t="s">
        <v>84</v>
      </c>
      <c r="AT497" s="6" t="str">
        <f>HYPERLINK("http://catalog.hathitrust.org/Record/000587810","HathiTrust Record")</f>
        <v>HathiTrust Record</v>
      </c>
      <c r="AU497" s="6" t="str">
        <f>HYPERLINK("https://creighton-primo.hosted.exlibrisgroup.com/primo-explore/search?tab=default_tab&amp;search_scope=EVERYTHING&amp;vid=01CRU&amp;lang=en_US&amp;offset=0&amp;query=any,contains,991000934949702656","Catalog Record")</f>
        <v>Catalog Record</v>
      </c>
      <c r="AV497" s="6" t="str">
        <f>HYPERLINK("http://www.worldcat.org/oclc/14358476","WorldCat Record")</f>
        <v>WorldCat Record</v>
      </c>
      <c r="AW497" s="3" t="s">
        <v>6402</v>
      </c>
      <c r="AX497" s="3" t="s">
        <v>6403</v>
      </c>
      <c r="AY497" s="3" t="s">
        <v>6404</v>
      </c>
      <c r="AZ497" s="3" t="s">
        <v>6404</v>
      </c>
      <c r="BA497" s="3" t="s">
        <v>6405</v>
      </c>
      <c r="BB497" s="3" t="s">
        <v>77</v>
      </c>
      <c r="BD497" s="3" t="s">
        <v>6406</v>
      </c>
      <c r="BE497" s="3" t="s">
        <v>6407</v>
      </c>
      <c r="BF497" s="3" t="s">
        <v>6408</v>
      </c>
    </row>
    <row r="498" spans="1:58" ht="41.25" customHeight="1" x14ac:dyDescent="0.25">
      <c r="A498" s="7" t="s">
        <v>62</v>
      </c>
      <c r="B498" s="2" t="s">
        <v>57</v>
      </c>
      <c r="C498" s="2" t="s">
        <v>58</v>
      </c>
      <c r="D498" s="2" t="s">
        <v>6409</v>
      </c>
      <c r="E498" s="2" t="s">
        <v>6410</v>
      </c>
      <c r="F498" s="2" t="s">
        <v>6411</v>
      </c>
      <c r="H498" s="3" t="s">
        <v>62</v>
      </c>
      <c r="I498" s="3" t="s">
        <v>63</v>
      </c>
      <c r="J498" s="3" t="s">
        <v>62</v>
      </c>
      <c r="K498" s="3" t="s">
        <v>62</v>
      </c>
      <c r="L498" s="3" t="s">
        <v>64</v>
      </c>
      <c r="N498" s="2" t="s">
        <v>6412</v>
      </c>
      <c r="O498" s="3" t="s">
        <v>218</v>
      </c>
      <c r="Q498" s="3" t="s">
        <v>68</v>
      </c>
      <c r="R498" s="3" t="s">
        <v>420</v>
      </c>
      <c r="T498" s="3" t="s">
        <v>70</v>
      </c>
      <c r="U498" s="4">
        <v>3</v>
      </c>
      <c r="V498" s="4">
        <v>3</v>
      </c>
      <c r="W498" s="5" t="s">
        <v>6413</v>
      </c>
      <c r="X498" s="5" t="s">
        <v>6413</v>
      </c>
      <c r="Y498" s="5" t="s">
        <v>6414</v>
      </c>
      <c r="Z498" s="5" t="s">
        <v>6414</v>
      </c>
      <c r="AA498" s="4">
        <v>128</v>
      </c>
      <c r="AB498" s="4">
        <v>104</v>
      </c>
      <c r="AC498" s="4">
        <v>104</v>
      </c>
      <c r="AD498" s="4">
        <v>1</v>
      </c>
      <c r="AE498" s="4">
        <v>1</v>
      </c>
      <c r="AF498" s="4">
        <v>16</v>
      </c>
      <c r="AG498" s="4">
        <v>16</v>
      </c>
      <c r="AH498" s="4">
        <v>3</v>
      </c>
      <c r="AI498" s="4">
        <v>3</v>
      </c>
      <c r="AJ498" s="4">
        <v>5</v>
      </c>
      <c r="AK498" s="4">
        <v>5</v>
      </c>
      <c r="AL498" s="4">
        <v>13</v>
      </c>
      <c r="AM498" s="4">
        <v>13</v>
      </c>
      <c r="AN498" s="4">
        <v>0</v>
      </c>
      <c r="AO498" s="4">
        <v>0</v>
      </c>
      <c r="AP498" s="4">
        <v>0</v>
      </c>
      <c r="AQ498" s="4">
        <v>0</v>
      </c>
      <c r="AR498" s="3" t="s">
        <v>62</v>
      </c>
      <c r="AS498" s="3" t="s">
        <v>62</v>
      </c>
      <c r="AU498" s="6" t="str">
        <f>HYPERLINK("https://creighton-primo.hosted.exlibrisgroup.com/primo-explore/search?tab=default_tab&amp;search_scope=EVERYTHING&amp;vid=01CRU&amp;lang=en_US&amp;offset=0&amp;query=any,contains,991004684569702656","Catalog Record")</f>
        <v>Catalog Record</v>
      </c>
      <c r="AV498" s="6" t="str">
        <f>HYPERLINK("http://www.worldcat.org/oclc/4589580","WorldCat Record")</f>
        <v>WorldCat Record</v>
      </c>
      <c r="AW498" s="3" t="s">
        <v>6415</v>
      </c>
      <c r="AX498" s="3" t="s">
        <v>6416</v>
      </c>
      <c r="AY498" s="3" t="s">
        <v>6417</v>
      </c>
      <c r="AZ498" s="3" t="s">
        <v>6417</v>
      </c>
      <c r="BA498" s="3" t="s">
        <v>6418</v>
      </c>
      <c r="BB498" s="3" t="s">
        <v>77</v>
      </c>
      <c r="BE498" s="3" t="s">
        <v>6419</v>
      </c>
      <c r="BF498" s="3" t="s">
        <v>6420</v>
      </c>
    </row>
    <row r="499" spans="1:58" ht="41.25" customHeight="1" x14ac:dyDescent="0.25">
      <c r="A499" s="7" t="s">
        <v>62</v>
      </c>
      <c r="B499" s="2" t="s">
        <v>57</v>
      </c>
      <c r="C499" s="2" t="s">
        <v>58</v>
      </c>
      <c r="D499" s="2" t="s">
        <v>6421</v>
      </c>
      <c r="E499" s="2" t="s">
        <v>6422</v>
      </c>
      <c r="F499" s="2" t="s">
        <v>6423</v>
      </c>
      <c r="H499" s="3" t="s">
        <v>62</v>
      </c>
      <c r="I499" s="3" t="s">
        <v>63</v>
      </c>
      <c r="J499" s="3" t="s">
        <v>62</v>
      </c>
      <c r="K499" s="3" t="s">
        <v>62</v>
      </c>
      <c r="L499" s="3" t="s">
        <v>64</v>
      </c>
      <c r="N499" s="2" t="s">
        <v>4681</v>
      </c>
      <c r="O499" s="3" t="s">
        <v>137</v>
      </c>
      <c r="Q499" s="3" t="s">
        <v>68</v>
      </c>
      <c r="R499" s="3" t="s">
        <v>1653</v>
      </c>
      <c r="S499" s="2" t="s">
        <v>6424</v>
      </c>
      <c r="T499" s="3" t="s">
        <v>70</v>
      </c>
      <c r="U499" s="4">
        <v>2</v>
      </c>
      <c r="V499" s="4">
        <v>2</v>
      </c>
      <c r="W499" s="5" t="s">
        <v>6425</v>
      </c>
      <c r="X499" s="5" t="s">
        <v>6425</v>
      </c>
      <c r="Y499" s="5" t="s">
        <v>407</v>
      </c>
      <c r="Z499" s="5" t="s">
        <v>407</v>
      </c>
      <c r="AA499" s="4">
        <v>498</v>
      </c>
      <c r="AB499" s="4">
        <v>415</v>
      </c>
      <c r="AC499" s="4">
        <v>425</v>
      </c>
      <c r="AD499" s="4">
        <v>3</v>
      </c>
      <c r="AE499" s="4">
        <v>3</v>
      </c>
      <c r="AF499" s="4">
        <v>31</v>
      </c>
      <c r="AG499" s="4">
        <v>31</v>
      </c>
      <c r="AH499" s="4">
        <v>10</v>
      </c>
      <c r="AI499" s="4">
        <v>10</v>
      </c>
      <c r="AJ499" s="4">
        <v>7</v>
      </c>
      <c r="AK499" s="4">
        <v>7</v>
      </c>
      <c r="AL499" s="4">
        <v>22</v>
      </c>
      <c r="AM499" s="4">
        <v>22</v>
      </c>
      <c r="AN499" s="4">
        <v>2</v>
      </c>
      <c r="AO499" s="4">
        <v>2</v>
      </c>
      <c r="AP499" s="4">
        <v>0</v>
      </c>
      <c r="AQ499" s="4">
        <v>0</v>
      </c>
      <c r="AR499" s="3" t="s">
        <v>62</v>
      </c>
      <c r="AS499" s="3" t="s">
        <v>84</v>
      </c>
      <c r="AT499" s="6" t="str">
        <f>HYPERLINK("http://catalog.hathitrust.org/Record/000261499","HathiTrust Record")</f>
        <v>HathiTrust Record</v>
      </c>
      <c r="AU499" s="6" t="str">
        <f>HYPERLINK("https://creighton-primo.hosted.exlibrisgroup.com/primo-explore/search?tab=default_tab&amp;search_scope=EVERYTHING&amp;vid=01CRU&amp;lang=en_US&amp;offset=0&amp;query=any,contains,991005114349702656","Catalog Record")</f>
        <v>Catalog Record</v>
      </c>
      <c r="AV499" s="6" t="str">
        <f>HYPERLINK("http://www.worldcat.org/oclc/7460777","WorldCat Record")</f>
        <v>WorldCat Record</v>
      </c>
      <c r="AW499" s="3" t="s">
        <v>6426</v>
      </c>
      <c r="AX499" s="3" t="s">
        <v>6427</v>
      </c>
      <c r="AY499" s="3" t="s">
        <v>6428</v>
      </c>
      <c r="AZ499" s="3" t="s">
        <v>6428</v>
      </c>
      <c r="BA499" s="3" t="s">
        <v>6429</v>
      </c>
      <c r="BB499" s="3" t="s">
        <v>77</v>
      </c>
      <c r="BD499" s="3" t="s">
        <v>6430</v>
      </c>
      <c r="BE499" s="3" t="s">
        <v>6431</v>
      </c>
      <c r="BF499" s="3" t="s">
        <v>6432</v>
      </c>
    </row>
    <row r="500" spans="1:58" ht="41.25" customHeight="1" x14ac:dyDescent="0.25">
      <c r="A500" s="7" t="s">
        <v>62</v>
      </c>
      <c r="B500" s="2" t="s">
        <v>57</v>
      </c>
      <c r="C500" s="2" t="s">
        <v>58</v>
      </c>
      <c r="D500" s="2" t="s">
        <v>6433</v>
      </c>
      <c r="E500" s="2" t="s">
        <v>6434</v>
      </c>
      <c r="F500" s="2" t="s">
        <v>6435</v>
      </c>
      <c r="H500" s="3" t="s">
        <v>62</v>
      </c>
      <c r="I500" s="3" t="s">
        <v>63</v>
      </c>
      <c r="J500" s="3" t="s">
        <v>62</v>
      </c>
      <c r="K500" s="3" t="s">
        <v>62</v>
      </c>
      <c r="L500" s="3" t="s">
        <v>64</v>
      </c>
      <c r="M500" s="2" t="s">
        <v>3975</v>
      </c>
      <c r="N500" s="2" t="s">
        <v>6436</v>
      </c>
      <c r="O500" s="3" t="s">
        <v>67</v>
      </c>
      <c r="Q500" s="3" t="s">
        <v>68</v>
      </c>
      <c r="R500" s="3" t="s">
        <v>69</v>
      </c>
      <c r="T500" s="3" t="s">
        <v>70</v>
      </c>
      <c r="U500" s="4">
        <v>2</v>
      </c>
      <c r="V500" s="4">
        <v>2</v>
      </c>
      <c r="W500" s="5" t="s">
        <v>4175</v>
      </c>
      <c r="X500" s="5" t="s">
        <v>4175</v>
      </c>
      <c r="Y500" s="5" t="s">
        <v>5427</v>
      </c>
      <c r="Z500" s="5" t="s">
        <v>5427</v>
      </c>
      <c r="AA500" s="4">
        <v>421</v>
      </c>
      <c r="AB500" s="4">
        <v>357</v>
      </c>
      <c r="AC500" s="4">
        <v>363</v>
      </c>
      <c r="AD500" s="4">
        <v>4</v>
      </c>
      <c r="AE500" s="4">
        <v>4</v>
      </c>
      <c r="AF500" s="4">
        <v>25</v>
      </c>
      <c r="AG500" s="4">
        <v>25</v>
      </c>
      <c r="AH500" s="4">
        <v>6</v>
      </c>
      <c r="AI500" s="4">
        <v>6</v>
      </c>
      <c r="AJ500" s="4">
        <v>7</v>
      </c>
      <c r="AK500" s="4">
        <v>7</v>
      </c>
      <c r="AL500" s="4">
        <v>19</v>
      </c>
      <c r="AM500" s="4">
        <v>19</v>
      </c>
      <c r="AN500" s="4">
        <v>2</v>
      </c>
      <c r="AO500" s="4">
        <v>2</v>
      </c>
      <c r="AP500" s="4">
        <v>0</v>
      </c>
      <c r="AQ500" s="4">
        <v>0</v>
      </c>
      <c r="AR500" s="3" t="s">
        <v>62</v>
      </c>
      <c r="AS500" s="3" t="s">
        <v>62</v>
      </c>
      <c r="AU500" s="6" t="str">
        <f>HYPERLINK("https://creighton-primo.hosted.exlibrisgroup.com/primo-explore/search?tab=default_tab&amp;search_scope=EVERYTHING&amp;vid=01CRU&amp;lang=en_US&amp;offset=0&amp;query=any,contains,991000586909702656","Catalog Record")</f>
        <v>Catalog Record</v>
      </c>
      <c r="AV500" s="6" t="str">
        <f>HYPERLINK("http://www.worldcat.org/oclc/96184","WorldCat Record")</f>
        <v>WorldCat Record</v>
      </c>
      <c r="AW500" s="3" t="s">
        <v>6437</v>
      </c>
      <c r="AX500" s="3" t="s">
        <v>6438</v>
      </c>
      <c r="AY500" s="3" t="s">
        <v>6439</v>
      </c>
      <c r="AZ500" s="3" t="s">
        <v>6439</v>
      </c>
      <c r="BA500" s="3" t="s">
        <v>6440</v>
      </c>
      <c r="BB500" s="3" t="s">
        <v>77</v>
      </c>
      <c r="BE500" s="3" t="s">
        <v>6441</v>
      </c>
      <c r="BF500" s="3" t="s">
        <v>6442</v>
      </c>
    </row>
    <row r="501" spans="1:58" ht="41.25" customHeight="1" x14ac:dyDescent="0.25">
      <c r="A501" s="7" t="s">
        <v>62</v>
      </c>
      <c r="B501" s="2" t="s">
        <v>57</v>
      </c>
      <c r="C501" s="2" t="s">
        <v>58</v>
      </c>
      <c r="D501" s="2" t="s">
        <v>6443</v>
      </c>
      <c r="E501" s="2" t="s">
        <v>6444</v>
      </c>
      <c r="F501" s="2" t="s">
        <v>6445</v>
      </c>
      <c r="H501" s="3" t="s">
        <v>62</v>
      </c>
      <c r="I501" s="3" t="s">
        <v>63</v>
      </c>
      <c r="J501" s="3" t="s">
        <v>62</v>
      </c>
      <c r="K501" s="3" t="s">
        <v>62</v>
      </c>
      <c r="L501" s="3" t="s">
        <v>64</v>
      </c>
      <c r="M501" s="2" t="s">
        <v>6446</v>
      </c>
      <c r="N501" s="2" t="s">
        <v>6447</v>
      </c>
      <c r="O501" s="3" t="s">
        <v>1805</v>
      </c>
      <c r="Q501" s="3" t="s">
        <v>68</v>
      </c>
      <c r="R501" s="3" t="s">
        <v>69</v>
      </c>
      <c r="T501" s="3" t="s">
        <v>70</v>
      </c>
      <c r="U501" s="4">
        <v>1</v>
      </c>
      <c r="V501" s="4">
        <v>1</v>
      </c>
      <c r="W501" s="5" t="s">
        <v>6448</v>
      </c>
      <c r="X501" s="5" t="s">
        <v>6448</v>
      </c>
      <c r="Y501" s="5" t="s">
        <v>5427</v>
      </c>
      <c r="Z501" s="5" t="s">
        <v>5427</v>
      </c>
      <c r="AA501" s="4">
        <v>232</v>
      </c>
      <c r="AB501" s="4">
        <v>207</v>
      </c>
      <c r="AC501" s="4">
        <v>244</v>
      </c>
      <c r="AD501" s="4">
        <v>2</v>
      </c>
      <c r="AE501" s="4">
        <v>2</v>
      </c>
      <c r="AF501" s="4">
        <v>15</v>
      </c>
      <c r="AG501" s="4">
        <v>16</v>
      </c>
      <c r="AH501" s="4">
        <v>4</v>
      </c>
      <c r="AI501" s="4">
        <v>4</v>
      </c>
      <c r="AJ501" s="4">
        <v>6</v>
      </c>
      <c r="AK501" s="4">
        <v>7</v>
      </c>
      <c r="AL501" s="4">
        <v>9</v>
      </c>
      <c r="AM501" s="4">
        <v>9</v>
      </c>
      <c r="AN501" s="4">
        <v>1</v>
      </c>
      <c r="AO501" s="4">
        <v>1</v>
      </c>
      <c r="AP501" s="4">
        <v>0</v>
      </c>
      <c r="AQ501" s="4">
        <v>0</v>
      </c>
      <c r="AR501" s="3" t="s">
        <v>62</v>
      </c>
      <c r="AS501" s="3" t="s">
        <v>84</v>
      </c>
      <c r="AT501" s="6" t="str">
        <f>HYPERLINK("http://catalog.hathitrust.org/Record/000765622","HathiTrust Record")</f>
        <v>HathiTrust Record</v>
      </c>
      <c r="AU501" s="6" t="str">
        <f>HYPERLINK("https://creighton-primo.hosted.exlibrisgroup.com/primo-explore/search?tab=default_tab&amp;search_scope=EVERYTHING&amp;vid=01CRU&amp;lang=en_US&amp;offset=0&amp;query=any,contains,991005182869702656","Catalog Record")</f>
        <v>Catalog Record</v>
      </c>
      <c r="AV501" s="6" t="str">
        <f>HYPERLINK("http://www.worldcat.org/oclc/7947453","WorldCat Record")</f>
        <v>WorldCat Record</v>
      </c>
      <c r="AW501" s="3" t="s">
        <v>6449</v>
      </c>
      <c r="AX501" s="3" t="s">
        <v>6450</v>
      </c>
      <c r="AY501" s="3" t="s">
        <v>6451</v>
      </c>
      <c r="AZ501" s="3" t="s">
        <v>6451</v>
      </c>
      <c r="BA501" s="3" t="s">
        <v>6452</v>
      </c>
      <c r="BB501" s="3" t="s">
        <v>77</v>
      </c>
      <c r="BD501" s="3" t="s">
        <v>6453</v>
      </c>
      <c r="BE501" s="3" t="s">
        <v>6454</v>
      </c>
      <c r="BF501" s="3" t="s">
        <v>6455</v>
      </c>
    </row>
    <row r="502" spans="1:58" ht="41.25" customHeight="1" x14ac:dyDescent="0.25">
      <c r="A502" s="7" t="s">
        <v>62</v>
      </c>
      <c r="B502" s="2" t="s">
        <v>57</v>
      </c>
      <c r="C502" s="2" t="s">
        <v>58</v>
      </c>
      <c r="D502" s="2" t="s">
        <v>6456</v>
      </c>
      <c r="E502" s="2" t="s">
        <v>6457</v>
      </c>
      <c r="F502" s="2" t="s">
        <v>6458</v>
      </c>
      <c r="H502" s="3" t="s">
        <v>62</v>
      </c>
      <c r="I502" s="3" t="s">
        <v>63</v>
      </c>
      <c r="J502" s="3" t="s">
        <v>62</v>
      </c>
      <c r="K502" s="3" t="s">
        <v>62</v>
      </c>
      <c r="L502" s="3" t="s">
        <v>64</v>
      </c>
      <c r="M502" s="2" t="s">
        <v>1130</v>
      </c>
      <c r="N502" s="2" t="s">
        <v>6459</v>
      </c>
      <c r="O502" s="3" t="s">
        <v>383</v>
      </c>
      <c r="Q502" s="3" t="s">
        <v>68</v>
      </c>
      <c r="R502" s="3" t="s">
        <v>1653</v>
      </c>
      <c r="T502" s="3" t="s">
        <v>70</v>
      </c>
      <c r="U502" s="4">
        <v>3</v>
      </c>
      <c r="V502" s="4">
        <v>3</v>
      </c>
      <c r="W502" s="5" t="s">
        <v>1549</v>
      </c>
      <c r="X502" s="5" t="s">
        <v>1549</v>
      </c>
      <c r="Y502" s="5" t="s">
        <v>5427</v>
      </c>
      <c r="Z502" s="5" t="s">
        <v>5427</v>
      </c>
      <c r="AA502" s="4">
        <v>1090</v>
      </c>
      <c r="AB502" s="4">
        <v>933</v>
      </c>
      <c r="AC502" s="4">
        <v>945</v>
      </c>
      <c r="AD502" s="4">
        <v>10</v>
      </c>
      <c r="AE502" s="4">
        <v>10</v>
      </c>
      <c r="AF502" s="4">
        <v>50</v>
      </c>
      <c r="AG502" s="4">
        <v>51</v>
      </c>
      <c r="AH502" s="4">
        <v>21</v>
      </c>
      <c r="AI502" s="4">
        <v>22</v>
      </c>
      <c r="AJ502" s="4">
        <v>7</v>
      </c>
      <c r="AK502" s="4">
        <v>7</v>
      </c>
      <c r="AL502" s="4">
        <v>26</v>
      </c>
      <c r="AM502" s="4">
        <v>26</v>
      </c>
      <c r="AN502" s="4">
        <v>8</v>
      </c>
      <c r="AO502" s="4">
        <v>8</v>
      </c>
      <c r="AP502" s="4">
        <v>0</v>
      </c>
      <c r="AQ502" s="4">
        <v>0</v>
      </c>
      <c r="AR502" s="3" t="s">
        <v>62</v>
      </c>
      <c r="AS502" s="3" t="s">
        <v>84</v>
      </c>
      <c r="AT502" s="6" t="str">
        <f>HYPERLINK("http://catalog.hathitrust.org/Record/000630355","HathiTrust Record")</f>
        <v>HathiTrust Record</v>
      </c>
      <c r="AU502" s="6" t="str">
        <f>HYPERLINK("https://creighton-primo.hosted.exlibrisgroup.com/primo-explore/search?tab=default_tab&amp;search_scope=EVERYTHING&amp;vid=01CRU&amp;lang=en_US&amp;offset=0&amp;query=any,contains,991000038589702656","Catalog Record")</f>
        <v>Catalog Record</v>
      </c>
      <c r="AV502" s="6" t="str">
        <f>HYPERLINK("http://www.worldcat.org/oclc/21306","WorldCat Record")</f>
        <v>WorldCat Record</v>
      </c>
      <c r="AW502" s="3" t="s">
        <v>6460</v>
      </c>
      <c r="AX502" s="3" t="s">
        <v>6461</v>
      </c>
      <c r="AY502" s="3" t="s">
        <v>6462</v>
      </c>
      <c r="AZ502" s="3" t="s">
        <v>6462</v>
      </c>
      <c r="BA502" s="3" t="s">
        <v>6463</v>
      </c>
      <c r="BB502" s="3" t="s">
        <v>77</v>
      </c>
      <c r="BE502" s="3" t="s">
        <v>6464</v>
      </c>
      <c r="BF502" s="3" t="s">
        <v>6465</v>
      </c>
    </row>
    <row r="503" spans="1:58" ht="41.25" customHeight="1" x14ac:dyDescent="0.25">
      <c r="A503" s="7" t="s">
        <v>62</v>
      </c>
      <c r="B503" s="2" t="s">
        <v>57</v>
      </c>
      <c r="C503" s="2" t="s">
        <v>58</v>
      </c>
      <c r="D503" s="2" t="s">
        <v>6466</v>
      </c>
      <c r="E503" s="2" t="s">
        <v>6467</v>
      </c>
      <c r="F503" s="2" t="s">
        <v>6468</v>
      </c>
      <c r="H503" s="3" t="s">
        <v>62</v>
      </c>
      <c r="I503" s="3" t="s">
        <v>63</v>
      </c>
      <c r="J503" s="3" t="s">
        <v>62</v>
      </c>
      <c r="K503" s="3" t="s">
        <v>62</v>
      </c>
      <c r="L503" s="3" t="s">
        <v>64</v>
      </c>
      <c r="M503" s="2" t="s">
        <v>6469</v>
      </c>
      <c r="N503" s="2" t="s">
        <v>4403</v>
      </c>
      <c r="O503" s="3" t="s">
        <v>404</v>
      </c>
      <c r="Q503" s="3" t="s">
        <v>68</v>
      </c>
      <c r="R503" s="3" t="s">
        <v>219</v>
      </c>
      <c r="T503" s="3" t="s">
        <v>70</v>
      </c>
      <c r="U503" s="4">
        <v>0</v>
      </c>
      <c r="V503" s="4">
        <v>0</v>
      </c>
      <c r="W503" s="5" t="s">
        <v>6470</v>
      </c>
      <c r="X503" s="5" t="s">
        <v>6470</v>
      </c>
      <c r="Y503" s="5" t="s">
        <v>5427</v>
      </c>
      <c r="Z503" s="5" t="s">
        <v>5427</v>
      </c>
      <c r="AA503" s="4">
        <v>501</v>
      </c>
      <c r="AB503" s="4">
        <v>426</v>
      </c>
      <c r="AC503" s="4">
        <v>432</v>
      </c>
      <c r="AD503" s="4">
        <v>4</v>
      </c>
      <c r="AE503" s="4">
        <v>4</v>
      </c>
      <c r="AF503" s="4">
        <v>27</v>
      </c>
      <c r="AG503" s="4">
        <v>27</v>
      </c>
      <c r="AH503" s="4">
        <v>7</v>
      </c>
      <c r="AI503" s="4">
        <v>7</v>
      </c>
      <c r="AJ503" s="4">
        <v>6</v>
      </c>
      <c r="AK503" s="4">
        <v>6</v>
      </c>
      <c r="AL503" s="4">
        <v>17</v>
      </c>
      <c r="AM503" s="4">
        <v>17</v>
      </c>
      <c r="AN503" s="4">
        <v>3</v>
      </c>
      <c r="AO503" s="4">
        <v>3</v>
      </c>
      <c r="AP503" s="4">
        <v>0</v>
      </c>
      <c r="AQ503" s="4">
        <v>0</v>
      </c>
      <c r="AR503" s="3" t="s">
        <v>62</v>
      </c>
      <c r="AS503" s="3" t="s">
        <v>84</v>
      </c>
      <c r="AT503" s="6" t="str">
        <f>HYPERLINK("http://catalog.hathitrust.org/Record/001391576","HathiTrust Record")</f>
        <v>HathiTrust Record</v>
      </c>
      <c r="AU503" s="6" t="str">
        <f>HYPERLINK("https://creighton-primo.hosted.exlibrisgroup.com/primo-explore/search?tab=default_tab&amp;search_scope=EVERYTHING&amp;vid=01CRU&amp;lang=en_US&amp;offset=0&amp;query=any,contains,991002177189702656","Catalog Record")</f>
        <v>Catalog Record</v>
      </c>
      <c r="AV503" s="6" t="str">
        <f>HYPERLINK("http://www.worldcat.org/oclc/278251","WorldCat Record")</f>
        <v>WorldCat Record</v>
      </c>
      <c r="AW503" s="3" t="s">
        <v>6471</v>
      </c>
      <c r="AX503" s="3" t="s">
        <v>6472</v>
      </c>
      <c r="AY503" s="3" t="s">
        <v>6473</v>
      </c>
      <c r="AZ503" s="3" t="s">
        <v>6473</v>
      </c>
      <c r="BA503" s="3" t="s">
        <v>6474</v>
      </c>
      <c r="BB503" s="3" t="s">
        <v>77</v>
      </c>
      <c r="BD503" s="3" t="s">
        <v>6475</v>
      </c>
      <c r="BE503" s="3" t="s">
        <v>6476</v>
      </c>
      <c r="BF503" s="3" t="s">
        <v>6477</v>
      </c>
    </row>
    <row r="504" spans="1:58" ht="41.25" customHeight="1" x14ac:dyDescent="0.25">
      <c r="A504" s="7" t="s">
        <v>62</v>
      </c>
      <c r="B504" s="2" t="s">
        <v>57</v>
      </c>
      <c r="C504" s="2" t="s">
        <v>58</v>
      </c>
      <c r="D504" s="2" t="s">
        <v>6478</v>
      </c>
      <c r="E504" s="2" t="s">
        <v>6479</v>
      </c>
      <c r="F504" s="2" t="s">
        <v>6480</v>
      </c>
      <c r="H504" s="3" t="s">
        <v>62</v>
      </c>
      <c r="I504" s="3" t="s">
        <v>63</v>
      </c>
      <c r="J504" s="3" t="s">
        <v>62</v>
      </c>
      <c r="K504" s="3" t="s">
        <v>62</v>
      </c>
      <c r="L504" s="3" t="s">
        <v>64</v>
      </c>
      <c r="M504" s="2" t="s">
        <v>6481</v>
      </c>
      <c r="N504" s="2" t="s">
        <v>6482</v>
      </c>
      <c r="O504" s="3" t="s">
        <v>218</v>
      </c>
      <c r="Q504" s="3" t="s">
        <v>68</v>
      </c>
      <c r="R504" s="3" t="s">
        <v>69</v>
      </c>
      <c r="S504" s="2" t="s">
        <v>6483</v>
      </c>
      <c r="T504" s="3" t="s">
        <v>70</v>
      </c>
      <c r="U504" s="4">
        <v>2</v>
      </c>
      <c r="V504" s="4">
        <v>2</v>
      </c>
      <c r="W504" s="5" t="s">
        <v>6425</v>
      </c>
      <c r="X504" s="5" t="s">
        <v>6425</v>
      </c>
      <c r="Y504" s="5" t="s">
        <v>5427</v>
      </c>
      <c r="Z504" s="5" t="s">
        <v>5427</v>
      </c>
      <c r="AA504" s="4">
        <v>391</v>
      </c>
      <c r="AB504" s="4">
        <v>338</v>
      </c>
      <c r="AC504" s="4">
        <v>343</v>
      </c>
      <c r="AD504" s="4">
        <v>5</v>
      </c>
      <c r="AE504" s="4">
        <v>5</v>
      </c>
      <c r="AF504" s="4">
        <v>28</v>
      </c>
      <c r="AG504" s="4">
        <v>28</v>
      </c>
      <c r="AH504" s="4">
        <v>6</v>
      </c>
      <c r="AI504" s="4">
        <v>6</v>
      </c>
      <c r="AJ504" s="4">
        <v>8</v>
      </c>
      <c r="AK504" s="4">
        <v>8</v>
      </c>
      <c r="AL504" s="4">
        <v>18</v>
      </c>
      <c r="AM504" s="4">
        <v>18</v>
      </c>
      <c r="AN504" s="4">
        <v>3</v>
      </c>
      <c r="AO504" s="4">
        <v>3</v>
      </c>
      <c r="AP504" s="4">
        <v>0</v>
      </c>
      <c r="AQ504" s="4">
        <v>0</v>
      </c>
      <c r="AR504" s="3" t="s">
        <v>62</v>
      </c>
      <c r="AS504" s="3" t="s">
        <v>62</v>
      </c>
      <c r="AU504" s="6" t="str">
        <f>HYPERLINK("https://creighton-primo.hosted.exlibrisgroup.com/primo-explore/search?tab=default_tab&amp;search_scope=EVERYTHING&amp;vid=01CRU&amp;lang=en_US&amp;offset=0&amp;query=any,contains,991004572269702656","Catalog Record")</f>
        <v>Catalog Record</v>
      </c>
      <c r="AV504" s="6" t="str">
        <f>HYPERLINK("http://www.worldcat.org/oclc/4036389","WorldCat Record")</f>
        <v>WorldCat Record</v>
      </c>
      <c r="AW504" s="3" t="s">
        <v>6484</v>
      </c>
      <c r="AX504" s="3" t="s">
        <v>6485</v>
      </c>
      <c r="AY504" s="3" t="s">
        <v>6486</v>
      </c>
      <c r="AZ504" s="3" t="s">
        <v>6486</v>
      </c>
      <c r="BA504" s="3" t="s">
        <v>6487</v>
      </c>
      <c r="BB504" s="3" t="s">
        <v>77</v>
      </c>
      <c r="BD504" s="3" t="s">
        <v>6488</v>
      </c>
      <c r="BE504" s="3" t="s">
        <v>6489</v>
      </c>
      <c r="BF504" s="3" t="s">
        <v>6490</v>
      </c>
    </row>
    <row r="505" spans="1:58" ht="41.25" customHeight="1" x14ac:dyDescent="0.25">
      <c r="A505" s="7" t="s">
        <v>62</v>
      </c>
      <c r="B505" s="2" t="s">
        <v>57</v>
      </c>
      <c r="C505" s="2" t="s">
        <v>58</v>
      </c>
      <c r="D505" s="2" t="s">
        <v>6491</v>
      </c>
      <c r="E505" s="2" t="s">
        <v>6492</v>
      </c>
      <c r="F505" s="2" t="s">
        <v>6493</v>
      </c>
      <c r="H505" s="3" t="s">
        <v>62</v>
      </c>
      <c r="I505" s="3" t="s">
        <v>63</v>
      </c>
      <c r="J505" s="3" t="s">
        <v>84</v>
      </c>
      <c r="K505" s="3" t="s">
        <v>62</v>
      </c>
      <c r="L505" s="3" t="s">
        <v>64</v>
      </c>
      <c r="M505" s="2" t="s">
        <v>6494</v>
      </c>
      <c r="N505" s="2" t="s">
        <v>6495</v>
      </c>
      <c r="O505" s="3" t="s">
        <v>1533</v>
      </c>
      <c r="Q505" s="3" t="s">
        <v>68</v>
      </c>
      <c r="R505" s="3" t="s">
        <v>2263</v>
      </c>
      <c r="T505" s="3" t="s">
        <v>70</v>
      </c>
      <c r="U505" s="4">
        <v>2</v>
      </c>
      <c r="V505" s="4">
        <v>3</v>
      </c>
      <c r="W505" s="5" t="s">
        <v>6496</v>
      </c>
      <c r="X505" s="5" t="s">
        <v>6496</v>
      </c>
      <c r="Y505" s="5" t="s">
        <v>6497</v>
      </c>
      <c r="Z505" s="5" t="s">
        <v>6497</v>
      </c>
      <c r="AA505" s="4">
        <v>686</v>
      </c>
      <c r="AB505" s="4">
        <v>609</v>
      </c>
      <c r="AC505" s="4">
        <v>621</v>
      </c>
      <c r="AD505" s="4">
        <v>5</v>
      </c>
      <c r="AE505" s="4">
        <v>5</v>
      </c>
      <c r="AF505" s="4">
        <v>41</v>
      </c>
      <c r="AG505" s="4">
        <v>42</v>
      </c>
      <c r="AH505" s="4">
        <v>9</v>
      </c>
      <c r="AI505" s="4">
        <v>10</v>
      </c>
      <c r="AJ505" s="4">
        <v>4</v>
      </c>
      <c r="AK505" s="4">
        <v>4</v>
      </c>
      <c r="AL505" s="4">
        <v>17</v>
      </c>
      <c r="AM505" s="4">
        <v>18</v>
      </c>
      <c r="AN505" s="4">
        <v>2</v>
      </c>
      <c r="AO505" s="4">
        <v>2</v>
      </c>
      <c r="AP505" s="4">
        <v>16</v>
      </c>
      <c r="AQ505" s="4">
        <v>16</v>
      </c>
      <c r="AR505" s="3" t="s">
        <v>62</v>
      </c>
      <c r="AS505" s="3" t="s">
        <v>84</v>
      </c>
      <c r="AT505" s="6" t="str">
        <f>HYPERLINK("http://catalog.hathitrust.org/Record/102073701","HathiTrust Record")</f>
        <v>HathiTrust Record</v>
      </c>
      <c r="AU505" s="6" t="str">
        <f>HYPERLINK("https://creighton-primo.hosted.exlibrisgroup.com/primo-explore/search?tab=default_tab&amp;search_scope=EVERYTHING&amp;vid=01CRU&amp;lang=en_US&amp;offset=0&amp;query=any,contains,991001672019702656","Catalog Record")</f>
        <v>Catalog Record</v>
      </c>
      <c r="AV505" s="6" t="str">
        <f>HYPERLINK("http://www.worldcat.org/oclc/707318","WorldCat Record")</f>
        <v>WorldCat Record</v>
      </c>
      <c r="AW505" s="3" t="s">
        <v>6498</v>
      </c>
      <c r="AX505" s="3" t="s">
        <v>6499</v>
      </c>
      <c r="AY505" s="3" t="s">
        <v>6500</v>
      </c>
      <c r="AZ505" s="3" t="s">
        <v>6500</v>
      </c>
      <c r="BA505" s="3" t="s">
        <v>6501</v>
      </c>
      <c r="BB505" s="3" t="s">
        <v>77</v>
      </c>
      <c r="BD505" s="3" t="s">
        <v>6502</v>
      </c>
      <c r="BE505" s="3" t="s">
        <v>6503</v>
      </c>
      <c r="BF505" s="3" t="s">
        <v>6504</v>
      </c>
    </row>
    <row r="506" spans="1:58" ht="41.25" customHeight="1" x14ac:dyDescent="0.25">
      <c r="A506" s="7" t="s">
        <v>62</v>
      </c>
      <c r="B506" s="2" t="s">
        <v>57</v>
      </c>
      <c r="C506" s="2" t="s">
        <v>58</v>
      </c>
      <c r="D506" s="2" t="s">
        <v>6505</v>
      </c>
      <c r="E506" s="2" t="s">
        <v>6506</v>
      </c>
      <c r="F506" s="2" t="s">
        <v>6507</v>
      </c>
      <c r="H506" s="3" t="s">
        <v>62</v>
      </c>
      <c r="I506" s="3" t="s">
        <v>63</v>
      </c>
      <c r="J506" s="3" t="s">
        <v>62</v>
      </c>
      <c r="K506" s="3" t="s">
        <v>62</v>
      </c>
      <c r="L506" s="3" t="s">
        <v>64</v>
      </c>
      <c r="M506" s="2" t="s">
        <v>6508</v>
      </c>
      <c r="N506" s="2" t="s">
        <v>6509</v>
      </c>
      <c r="O506" s="3" t="s">
        <v>124</v>
      </c>
      <c r="Q506" s="3" t="s">
        <v>68</v>
      </c>
      <c r="R506" s="3" t="s">
        <v>69</v>
      </c>
      <c r="T506" s="3" t="s">
        <v>70</v>
      </c>
      <c r="U506" s="4">
        <v>1</v>
      </c>
      <c r="V506" s="4">
        <v>1</v>
      </c>
      <c r="W506" s="5" t="s">
        <v>5081</v>
      </c>
      <c r="X506" s="5" t="s">
        <v>5081</v>
      </c>
      <c r="Y506" s="5" t="s">
        <v>5427</v>
      </c>
      <c r="Z506" s="5" t="s">
        <v>5427</v>
      </c>
      <c r="AA506" s="4">
        <v>644</v>
      </c>
      <c r="AB506" s="4">
        <v>542</v>
      </c>
      <c r="AC506" s="4">
        <v>544</v>
      </c>
      <c r="AD506" s="4">
        <v>3</v>
      </c>
      <c r="AE506" s="4">
        <v>3</v>
      </c>
      <c r="AF506" s="4">
        <v>33</v>
      </c>
      <c r="AG506" s="4">
        <v>33</v>
      </c>
      <c r="AH506" s="4">
        <v>13</v>
      </c>
      <c r="AI506" s="4">
        <v>13</v>
      </c>
      <c r="AJ506" s="4">
        <v>8</v>
      </c>
      <c r="AK506" s="4">
        <v>8</v>
      </c>
      <c r="AL506" s="4">
        <v>23</v>
      </c>
      <c r="AM506" s="4">
        <v>23</v>
      </c>
      <c r="AN506" s="4">
        <v>1</v>
      </c>
      <c r="AO506" s="4">
        <v>1</v>
      </c>
      <c r="AP506" s="4">
        <v>0</v>
      </c>
      <c r="AQ506" s="4">
        <v>0</v>
      </c>
      <c r="AR506" s="3" t="s">
        <v>62</v>
      </c>
      <c r="AS506" s="3" t="s">
        <v>84</v>
      </c>
      <c r="AT506" s="6" t="str">
        <f>HYPERLINK("http://catalog.hathitrust.org/Record/001391582","HathiTrust Record")</f>
        <v>HathiTrust Record</v>
      </c>
      <c r="AU506" s="6" t="str">
        <f>HYPERLINK("https://creighton-primo.hosted.exlibrisgroup.com/primo-explore/search?tab=default_tab&amp;search_scope=EVERYTHING&amp;vid=01CRU&amp;lang=en_US&amp;offset=0&amp;query=any,contains,991002326019702656","Catalog Record")</f>
        <v>Catalog Record</v>
      </c>
      <c r="AV506" s="6" t="str">
        <f>HYPERLINK("http://www.worldcat.org/oclc/320905","WorldCat Record")</f>
        <v>WorldCat Record</v>
      </c>
      <c r="AW506" s="3" t="s">
        <v>6510</v>
      </c>
      <c r="AX506" s="3" t="s">
        <v>6511</v>
      </c>
      <c r="AY506" s="3" t="s">
        <v>6512</v>
      </c>
      <c r="AZ506" s="3" t="s">
        <v>6512</v>
      </c>
      <c r="BA506" s="3" t="s">
        <v>6513</v>
      </c>
      <c r="BB506" s="3" t="s">
        <v>77</v>
      </c>
      <c r="BE506" s="3" t="s">
        <v>6514</v>
      </c>
      <c r="BF506" s="3" t="s">
        <v>6515</v>
      </c>
    </row>
    <row r="507" spans="1:58" ht="41.25" customHeight="1" x14ac:dyDescent="0.25">
      <c r="A507" s="7" t="s">
        <v>62</v>
      </c>
      <c r="B507" s="2" t="s">
        <v>57</v>
      </c>
      <c r="C507" s="2" t="s">
        <v>58</v>
      </c>
      <c r="D507" s="2" t="s">
        <v>6516</v>
      </c>
      <c r="E507" s="2" t="s">
        <v>6517</v>
      </c>
      <c r="F507" s="2" t="s">
        <v>6518</v>
      </c>
      <c r="H507" s="3" t="s">
        <v>62</v>
      </c>
      <c r="I507" s="3" t="s">
        <v>63</v>
      </c>
      <c r="J507" s="3" t="s">
        <v>62</v>
      </c>
      <c r="K507" s="3" t="s">
        <v>62</v>
      </c>
      <c r="L507" s="3" t="s">
        <v>64</v>
      </c>
      <c r="N507" s="2" t="s">
        <v>6519</v>
      </c>
      <c r="O507" s="3" t="s">
        <v>561</v>
      </c>
      <c r="Q507" s="3" t="s">
        <v>68</v>
      </c>
      <c r="R507" s="3" t="s">
        <v>69</v>
      </c>
      <c r="T507" s="3" t="s">
        <v>70</v>
      </c>
      <c r="U507" s="4">
        <v>8</v>
      </c>
      <c r="V507" s="4">
        <v>8</v>
      </c>
      <c r="W507" s="5" t="s">
        <v>6520</v>
      </c>
      <c r="X507" s="5" t="s">
        <v>6520</v>
      </c>
      <c r="Y507" s="5" t="s">
        <v>5427</v>
      </c>
      <c r="Z507" s="5" t="s">
        <v>5427</v>
      </c>
      <c r="AA507" s="4">
        <v>718</v>
      </c>
      <c r="AB507" s="4">
        <v>645</v>
      </c>
      <c r="AC507" s="4">
        <v>774</v>
      </c>
      <c r="AD507" s="4">
        <v>6</v>
      </c>
      <c r="AE507" s="4">
        <v>7</v>
      </c>
      <c r="AF507" s="4">
        <v>39</v>
      </c>
      <c r="AG507" s="4">
        <v>45</v>
      </c>
      <c r="AH507" s="4">
        <v>13</v>
      </c>
      <c r="AI507" s="4">
        <v>16</v>
      </c>
      <c r="AJ507" s="4">
        <v>7</v>
      </c>
      <c r="AK507" s="4">
        <v>8</v>
      </c>
      <c r="AL507" s="4">
        <v>20</v>
      </c>
      <c r="AM507" s="4">
        <v>23</v>
      </c>
      <c r="AN507" s="4">
        <v>5</v>
      </c>
      <c r="AO507" s="4">
        <v>5</v>
      </c>
      <c r="AP507" s="4">
        <v>2</v>
      </c>
      <c r="AQ507" s="4">
        <v>2</v>
      </c>
      <c r="AR507" s="3" t="s">
        <v>62</v>
      </c>
      <c r="AS507" s="3" t="s">
        <v>84</v>
      </c>
      <c r="AT507" s="6" t="str">
        <f>HYPERLINK("http://catalog.hathitrust.org/Record/000832301","HathiTrust Record")</f>
        <v>HathiTrust Record</v>
      </c>
      <c r="AU507" s="6" t="str">
        <f>HYPERLINK("https://creighton-primo.hosted.exlibrisgroup.com/primo-explore/search?tab=default_tab&amp;search_scope=EVERYTHING&amp;vid=01CRU&amp;lang=en_US&amp;offset=0&amp;query=any,contains,991000808369702656","Catalog Record")</f>
        <v>Catalog Record</v>
      </c>
      <c r="AV507" s="6" t="str">
        <f>HYPERLINK("http://www.worldcat.org/oclc/13328058","WorldCat Record")</f>
        <v>WorldCat Record</v>
      </c>
      <c r="AW507" s="3" t="s">
        <v>6521</v>
      </c>
      <c r="AX507" s="3" t="s">
        <v>6522</v>
      </c>
      <c r="AY507" s="3" t="s">
        <v>6523</v>
      </c>
      <c r="AZ507" s="3" t="s">
        <v>6523</v>
      </c>
      <c r="BA507" s="3" t="s">
        <v>6524</v>
      </c>
      <c r="BB507" s="3" t="s">
        <v>77</v>
      </c>
      <c r="BD507" s="3" t="s">
        <v>6525</v>
      </c>
      <c r="BE507" s="3" t="s">
        <v>6526</v>
      </c>
      <c r="BF507" s="3" t="s">
        <v>6527</v>
      </c>
    </row>
    <row r="508" spans="1:58" ht="41.25" customHeight="1" x14ac:dyDescent="0.25">
      <c r="A508" s="7" t="s">
        <v>62</v>
      </c>
      <c r="B508" s="2" t="s">
        <v>57</v>
      </c>
      <c r="C508" s="2" t="s">
        <v>58</v>
      </c>
      <c r="D508" s="2" t="s">
        <v>6528</v>
      </c>
      <c r="E508" s="2" t="s">
        <v>6529</v>
      </c>
      <c r="F508" s="2" t="s">
        <v>6530</v>
      </c>
      <c r="H508" s="3" t="s">
        <v>62</v>
      </c>
      <c r="I508" s="3" t="s">
        <v>63</v>
      </c>
      <c r="J508" s="3" t="s">
        <v>62</v>
      </c>
      <c r="K508" s="3" t="s">
        <v>62</v>
      </c>
      <c r="L508" s="3" t="s">
        <v>64</v>
      </c>
      <c r="M508" s="2" t="s">
        <v>6531</v>
      </c>
      <c r="N508" s="2" t="s">
        <v>4378</v>
      </c>
      <c r="O508" s="3" t="s">
        <v>137</v>
      </c>
      <c r="Q508" s="3" t="s">
        <v>68</v>
      </c>
      <c r="R508" s="3" t="s">
        <v>69</v>
      </c>
      <c r="T508" s="3" t="s">
        <v>70</v>
      </c>
      <c r="U508" s="4">
        <v>2</v>
      </c>
      <c r="V508" s="4">
        <v>2</v>
      </c>
      <c r="W508" s="5" t="s">
        <v>6532</v>
      </c>
      <c r="X508" s="5" t="s">
        <v>6532</v>
      </c>
      <c r="Y508" s="5" t="s">
        <v>5427</v>
      </c>
      <c r="Z508" s="5" t="s">
        <v>5427</v>
      </c>
      <c r="AA508" s="4">
        <v>368</v>
      </c>
      <c r="AB508" s="4">
        <v>325</v>
      </c>
      <c r="AC508" s="4">
        <v>329</v>
      </c>
      <c r="AD508" s="4">
        <v>3</v>
      </c>
      <c r="AE508" s="4">
        <v>3</v>
      </c>
      <c r="AF508" s="4">
        <v>28</v>
      </c>
      <c r="AG508" s="4">
        <v>28</v>
      </c>
      <c r="AH508" s="4">
        <v>9</v>
      </c>
      <c r="AI508" s="4">
        <v>9</v>
      </c>
      <c r="AJ508" s="4">
        <v>6</v>
      </c>
      <c r="AK508" s="4">
        <v>6</v>
      </c>
      <c r="AL508" s="4">
        <v>20</v>
      </c>
      <c r="AM508" s="4">
        <v>20</v>
      </c>
      <c r="AN508" s="4">
        <v>2</v>
      </c>
      <c r="AO508" s="4">
        <v>2</v>
      </c>
      <c r="AP508" s="4">
        <v>0</v>
      </c>
      <c r="AQ508" s="4">
        <v>0</v>
      </c>
      <c r="AR508" s="3" t="s">
        <v>62</v>
      </c>
      <c r="AS508" s="3" t="s">
        <v>62</v>
      </c>
      <c r="AU508" s="6" t="str">
        <f>HYPERLINK("https://creighton-primo.hosted.exlibrisgroup.com/primo-explore/search?tab=default_tab&amp;search_scope=EVERYTHING&amp;vid=01CRU&amp;lang=en_US&amp;offset=0&amp;query=any,contains,991005128389702656","Catalog Record")</f>
        <v>Catalog Record</v>
      </c>
      <c r="AV508" s="6" t="str">
        <f>HYPERLINK("http://www.worldcat.org/oclc/7555129","WorldCat Record")</f>
        <v>WorldCat Record</v>
      </c>
      <c r="AW508" s="3" t="s">
        <v>6533</v>
      </c>
      <c r="AX508" s="3" t="s">
        <v>6534</v>
      </c>
      <c r="AY508" s="3" t="s">
        <v>6535</v>
      </c>
      <c r="AZ508" s="3" t="s">
        <v>6535</v>
      </c>
      <c r="BA508" s="3" t="s">
        <v>6536</v>
      </c>
      <c r="BB508" s="3" t="s">
        <v>77</v>
      </c>
      <c r="BD508" s="3" t="s">
        <v>6537</v>
      </c>
      <c r="BE508" s="3" t="s">
        <v>6538</v>
      </c>
      <c r="BF508" s="3" t="s">
        <v>6539</v>
      </c>
    </row>
    <row r="509" spans="1:58" ht="41.25" customHeight="1" x14ac:dyDescent="0.25">
      <c r="A509" s="7" t="s">
        <v>62</v>
      </c>
      <c r="B509" s="2" t="s">
        <v>57</v>
      </c>
      <c r="C509" s="2" t="s">
        <v>58</v>
      </c>
      <c r="D509" s="2" t="s">
        <v>6540</v>
      </c>
      <c r="E509" s="2" t="s">
        <v>6541</v>
      </c>
      <c r="F509" s="2" t="s">
        <v>6542</v>
      </c>
      <c r="H509" s="3" t="s">
        <v>62</v>
      </c>
      <c r="I509" s="3" t="s">
        <v>63</v>
      </c>
      <c r="J509" s="3" t="s">
        <v>62</v>
      </c>
      <c r="K509" s="3" t="s">
        <v>62</v>
      </c>
      <c r="L509" s="3" t="s">
        <v>64</v>
      </c>
      <c r="M509" s="2" t="s">
        <v>6543</v>
      </c>
      <c r="N509" s="2" t="s">
        <v>5221</v>
      </c>
      <c r="O509" s="3" t="s">
        <v>165</v>
      </c>
      <c r="Q509" s="3" t="s">
        <v>68</v>
      </c>
      <c r="R509" s="3" t="s">
        <v>69</v>
      </c>
      <c r="T509" s="3" t="s">
        <v>70</v>
      </c>
      <c r="U509" s="4">
        <v>3</v>
      </c>
      <c r="V509" s="4">
        <v>3</v>
      </c>
      <c r="W509" s="5" t="s">
        <v>6544</v>
      </c>
      <c r="X509" s="5" t="s">
        <v>6544</v>
      </c>
      <c r="Y509" s="5" t="s">
        <v>5427</v>
      </c>
      <c r="Z509" s="5" t="s">
        <v>5427</v>
      </c>
      <c r="AA509" s="4">
        <v>601</v>
      </c>
      <c r="AB509" s="4">
        <v>520</v>
      </c>
      <c r="AC509" s="4">
        <v>534</v>
      </c>
      <c r="AD509" s="4">
        <v>3</v>
      </c>
      <c r="AE509" s="4">
        <v>3</v>
      </c>
      <c r="AF509" s="4">
        <v>29</v>
      </c>
      <c r="AG509" s="4">
        <v>30</v>
      </c>
      <c r="AH509" s="4">
        <v>12</v>
      </c>
      <c r="AI509" s="4">
        <v>13</v>
      </c>
      <c r="AJ509" s="4">
        <v>5</v>
      </c>
      <c r="AK509" s="4">
        <v>5</v>
      </c>
      <c r="AL509" s="4">
        <v>19</v>
      </c>
      <c r="AM509" s="4">
        <v>19</v>
      </c>
      <c r="AN509" s="4">
        <v>2</v>
      </c>
      <c r="AO509" s="4">
        <v>2</v>
      </c>
      <c r="AP509" s="4">
        <v>0</v>
      </c>
      <c r="AQ509" s="4">
        <v>0</v>
      </c>
      <c r="AR509" s="3" t="s">
        <v>62</v>
      </c>
      <c r="AS509" s="3" t="s">
        <v>84</v>
      </c>
      <c r="AT509" s="6" t="str">
        <f>HYPERLINK("http://catalog.hathitrust.org/Record/010666375","HathiTrust Record")</f>
        <v>HathiTrust Record</v>
      </c>
      <c r="AU509" s="6" t="str">
        <f>HYPERLINK("https://creighton-primo.hosted.exlibrisgroup.com/primo-explore/search?tab=default_tab&amp;search_scope=EVERYTHING&amp;vid=01CRU&amp;lang=en_US&amp;offset=0&amp;query=any,contains,991004482749702656","Catalog Record")</f>
        <v>Catalog Record</v>
      </c>
      <c r="AV509" s="6" t="str">
        <f>HYPERLINK("http://www.worldcat.org/oclc/3630494","WorldCat Record")</f>
        <v>WorldCat Record</v>
      </c>
      <c r="AW509" s="3" t="s">
        <v>6545</v>
      </c>
      <c r="AX509" s="3" t="s">
        <v>6546</v>
      </c>
      <c r="AY509" s="3" t="s">
        <v>6547</v>
      </c>
      <c r="AZ509" s="3" t="s">
        <v>6547</v>
      </c>
      <c r="BA509" s="3" t="s">
        <v>6548</v>
      </c>
      <c r="BB509" s="3" t="s">
        <v>77</v>
      </c>
      <c r="BD509" s="3" t="s">
        <v>6549</v>
      </c>
      <c r="BE509" s="3" t="s">
        <v>6550</v>
      </c>
      <c r="BF509" s="3" t="s">
        <v>6551</v>
      </c>
    </row>
    <row r="510" spans="1:58" ht="41.25" customHeight="1" x14ac:dyDescent="0.25">
      <c r="A510" s="7" t="s">
        <v>62</v>
      </c>
      <c r="B510" s="2" t="s">
        <v>57</v>
      </c>
      <c r="C510" s="2" t="s">
        <v>58</v>
      </c>
      <c r="D510" s="2" t="s">
        <v>6552</v>
      </c>
      <c r="E510" s="2" t="s">
        <v>6553</v>
      </c>
      <c r="F510" s="2" t="s">
        <v>6554</v>
      </c>
      <c r="H510" s="3" t="s">
        <v>62</v>
      </c>
      <c r="I510" s="3" t="s">
        <v>63</v>
      </c>
      <c r="J510" s="3" t="s">
        <v>62</v>
      </c>
      <c r="K510" s="3" t="s">
        <v>62</v>
      </c>
      <c r="L510" s="3" t="s">
        <v>64</v>
      </c>
      <c r="N510" s="2" t="s">
        <v>6555</v>
      </c>
      <c r="O510" s="3" t="s">
        <v>1820</v>
      </c>
      <c r="P510" s="2" t="s">
        <v>834</v>
      </c>
      <c r="Q510" s="3" t="s">
        <v>68</v>
      </c>
      <c r="R510" s="3" t="s">
        <v>531</v>
      </c>
      <c r="S510" s="2" t="s">
        <v>6556</v>
      </c>
      <c r="T510" s="3" t="s">
        <v>70</v>
      </c>
      <c r="U510" s="4">
        <v>3</v>
      </c>
      <c r="V510" s="4">
        <v>3</v>
      </c>
      <c r="W510" s="5" t="s">
        <v>6557</v>
      </c>
      <c r="X510" s="5" t="s">
        <v>6557</v>
      </c>
      <c r="Y510" s="5" t="s">
        <v>5427</v>
      </c>
      <c r="Z510" s="5" t="s">
        <v>5427</v>
      </c>
      <c r="AA510" s="4">
        <v>58</v>
      </c>
      <c r="AB510" s="4">
        <v>49</v>
      </c>
      <c r="AC510" s="4">
        <v>58</v>
      </c>
      <c r="AD510" s="4">
        <v>1</v>
      </c>
      <c r="AE510" s="4">
        <v>1</v>
      </c>
      <c r="AF510" s="4">
        <v>1</v>
      </c>
      <c r="AG510" s="4">
        <v>1</v>
      </c>
      <c r="AH510" s="4">
        <v>1</v>
      </c>
      <c r="AI510" s="4">
        <v>1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3" t="s">
        <v>62</v>
      </c>
      <c r="AS510" s="3" t="s">
        <v>62</v>
      </c>
      <c r="AU510" s="6" t="str">
        <f>HYPERLINK("https://creighton-primo.hosted.exlibrisgroup.com/primo-explore/search?tab=default_tab&amp;search_scope=EVERYTHING&amp;vid=01CRU&amp;lang=en_US&amp;offset=0&amp;query=any,contains,991004854029702656","Catalog Record")</f>
        <v>Catalog Record</v>
      </c>
      <c r="AV510" s="6" t="str">
        <f>HYPERLINK("http://www.worldcat.org/oclc/5657392","WorldCat Record")</f>
        <v>WorldCat Record</v>
      </c>
      <c r="AW510" s="3" t="s">
        <v>6558</v>
      </c>
      <c r="AX510" s="3" t="s">
        <v>6559</v>
      </c>
      <c r="AY510" s="3" t="s">
        <v>6560</v>
      </c>
      <c r="AZ510" s="3" t="s">
        <v>6560</v>
      </c>
      <c r="BA510" s="3" t="s">
        <v>6561</v>
      </c>
      <c r="BB510" s="3" t="s">
        <v>77</v>
      </c>
      <c r="BE510" s="3" t="s">
        <v>6562</v>
      </c>
      <c r="BF510" s="3" t="s">
        <v>6563</v>
      </c>
    </row>
    <row r="511" spans="1:58" ht="41.25" customHeight="1" x14ac:dyDescent="0.25">
      <c r="A511" s="7" t="s">
        <v>62</v>
      </c>
      <c r="B511" s="2" t="s">
        <v>57</v>
      </c>
      <c r="C511" s="2" t="s">
        <v>58</v>
      </c>
      <c r="D511" s="2" t="s">
        <v>6564</v>
      </c>
      <c r="E511" s="2" t="s">
        <v>6565</v>
      </c>
      <c r="F511" s="2" t="s">
        <v>6566</v>
      </c>
      <c r="H511" s="3" t="s">
        <v>62</v>
      </c>
      <c r="I511" s="3" t="s">
        <v>63</v>
      </c>
      <c r="J511" s="3" t="s">
        <v>62</v>
      </c>
      <c r="K511" s="3" t="s">
        <v>62</v>
      </c>
      <c r="L511" s="3" t="s">
        <v>64</v>
      </c>
      <c r="M511" s="2" t="s">
        <v>6567</v>
      </c>
      <c r="N511" s="2" t="s">
        <v>6568</v>
      </c>
      <c r="O511" s="3" t="s">
        <v>340</v>
      </c>
      <c r="Q511" s="3" t="s">
        <v>68</v>
      </c>
      <c r="R511" s="3" t="s">
        <v>630</v>
      </c>
      <c r="T511" s="3" t="s">
        <v>70</v>
      </c>
      <c r="U511" s="4">
        <v>2</v>
      </c>
      <c r="V511" s="4">
        <v>2</v>
      </c>
      <c r="W511" s="5" t="s">
        <v>6569</v>
      </c>
      <c r="X511" s="5" t="s">
        <v>6569</v>
      </c>
      <c r="Y511" s="5" t="s">
        <v>5427</v>
      </c>
      <c r="Z511" s="5" t="s">
        <v>5427</v>
      </c>
      <c r="AA511" s="4">
        <v>809</v>
      </c>
      <c r="AB511" s="4">
        <v>688</v>
      </c>
      <c r="AC511" s="4">
        <v>785</v>
      </c>
      <c r="AD511" s="4">
        <v>6</v>
      </c>
      <c r="AE511" s="4">
        <v>6</v>
      </c>
      <c r="AF511" s="4">
        <v>34</v>
      </c>
      <c r="AG511" s="4">
        <v>41</v>
      </c>
      <c r="AH511" s="4">
        <v>14</v>
      </c>
      <c r="AI511" s="4">
        <v>19</v>
      </c>
      <c r="AJ511" s="4">
        <v>8</v>
      </c>
      <c r="AK511" s="4">
        <v>9</v>
      </c>
      <c r="AL511" s="4">
        <v>17</v>
      </c>
      <c r="AM511" s="4">
        <v>20</v>
      </c>
      <c r="AN511" s="4">
        <v>4</v>
      </c>
      <c r="AO511" s="4">
        <v>4</v>
      </c>
      <c r="AP511" s="4">
        <v>0</v>
      </c>
      <c r="AQ511" s="4">
        <v>0</v>
      </c>
      <c r="AR511" s="3" t="s">
        <v>84</v>
      </c>
      <c r="AS511" s="3" t="s">
        <v>62</v>
      </c>
      <c r="AT511" s="6" t="str">
        <f>HYPERLINK("http://catalog.hathitrust.org/Record/001267016","HathiTrust Record")</f>
        <v>HathiTrust Record</v>
      </c>
      <c r="AU511" s="6" t="str">
        <f>HYPERLINK("https://creighton-primo.hosted.exlibrisgroup.com/primo-explore/search?tab=default_tab&amp;search_scope=EVERYTHING&amp;vid=01CRU&amp;lang=en_US&amp;offset=0&amp;query=any,contains,991002570069702656","Catalog Record")</f>
        <v>Catalog Record</v>
      </c>
      <c r="AV511" s="6" t="str">
        <f>HYPERLINK("http://www.worldcat.org/oclc/373439","WorldCat Record")</f>
        <v>WorldCat Record</v>
      </c>
      <c r="AW511" s="3" t="s">
        <v>6570</v>
      </c>
      <c r="AX511" s="3" t="s">
        <v>6571</v>
      </c>
      <c r="AY511" s="3" t="s">
        <v>6572</v>
      </c>
      <c r="AZ511" s="3" t="s">
        <v>6572</v>
      </c>
      <c r="BA511" s="3" t="s">
        <v>6573</v>
      </c>
      <c r="BB511" s="3" t="s">
        <v>77</v>
      </c>
      <c r="BE511" s="3" t="s">
        <v>6574</v>
      </c>
      <c r="BF511" s="3" t="s">
        <v>6575</v>
      </c>
    </row>
    <row r="512" spans="1:58" ht="41.25" customHeight="1" x14ac:dyDescent="0.25">
      <c r="A512" s="7" t="s">
        <v>62</v>
      </c>
      <c r="B512" s="2" t="s">
        <v>57</v>
      </c>
      <c r="C512" s="2" t="s">
        <v>58</v>
      </c>
      <c r="D512" s="2" t="s">
        <v>6576</v>
      </c>
      <c r="E512" s="2" t="s">
        <v>6577</v>
      </c>
      <c r="F512" s="2" t="s">
        <v>6578</v>
      </c>
      <c r="H512" s="3" t="s">
        <v>62</v>
      </c>
      <c r="I512" s="3" t="s">
        <v>63</v>
      </c>
      <c r="J512" s="3" t="s">
        <v>62</v>
      </c>
      <c r="K512" s="3" t="s">
        <v>62</v>
      </c>
      <c r="L512" s="3" t="s">
        <v>64</v>
      </c>
      <c r="M512" s="2" t="s">
        <v>6579</v>
      </c>
      <c r="N512" s="2" t="s">
        <v>5029</v>
      </c>
      <c r="O512" s="3" t="s">
        <v>312</v>
      </c>
      <c r="Q512" s="3" t="s">
        <v>68</v>
      </c>
      <c r="R512" s="3" t="s">
        <v>219</v>
      </c>
      <c r="T512" s="3" t="s">
        <v>70</v>
      </c>
      <c r="U512" s="4">
        <v>4</v>
      </c>
      <c r="V512" s="4">
        <v>4</v>
      </c>
      <c r="W512" s="5" t="s">
        <v>6580</v>
      </c>
      <c r="X512" s="5" t="s">
        <v>6580</v>
      </c>
      <c r="Y512" s="5" t="s">
        <v>5427</v>
      </c>
      <c r="Z512" s="5" t="s">
        <v>5427</v>
      </c>
      <c r="AA512" s="4">
        <v>318</v>
      </c>
      <c r="AB512" s="4">
        <v>289</v>
      </c>
      <c r="AC512" s="4">
        <v>290</v>
      </c>
      <c r="AD512" s="4">
        <v>2</v>
      </c>
      <c r="AE512" s="4">
        <v>2</v>
      </c>
      <c r="AF512" s="4">
        <v>14</v>
      </c>
      <c r="AG512" s="4">
        <v>14</v>
      </c>
      <c r="AH512" s="4">
        <v>5</v>
      </c>
      <c r="AI512" s="4">
        <v>5</v>
      </c>
      <c r="AJ512" s="4">
        <v>2</v>
      </c>
      <c r="AK512" s="4">
        <v>2</v>
      </c>
      <c r="AL512" s="4">
        <v>11</v>
      </c>
      <c r="AM512" s="4">
        <v>11</v>
      </c>
      <c r="AN512" s="4">
        <v>0</v>
      </c>
      <c r="AO512" s="4">
        <v>0</v>
      </c>
      <c r="AP512" s="4">
        <v>0</v>
      </c>
      <c r="AQ512" s="4">
        <v>0</v>
      </c>
      <c r="AR512" s="3" t="s">
        <v>62</v>
      </c>
      <c r="AS512" s="3" t="s">
        <v>62</v>
      </c>
      <c r="AU512" s="6" t="str">
        <f>HYPERLINK("https://creighton-primo.hosted.exlibrisgroup.com/primo-explore/search?tab=default_tab&amp;search_scope=EVERYTHING&amp;vid=01CRU&amp;lang=en_US&amp;offset=0&amp;query=any,contains,991000935029702656","Catalog Record")</f>
        <v>Catalog Record</v>
      </c>
      <c r="AV512" s="6" t="str">
        <f>HYPERLINK("http://www.worldcat.org/oclc/164177","WorldCat Record")</f>
        <v>WorldCat Record</v>
      </c>
      <c r="AW512" s="3" t="s">
        <v>6581</v>
      </c>
      <c r="AX512" s="3" t="s">
        <v>6582</v>
      </c>
      <c r="AY512" s="3" t="s">
        <v>6583</v>
      </c>
      <c r="AZ512" s="3" t="s">
        <v>6583</v>
      </c>
      <c r="BA512" s="3" t="s">
        <v>6584</v>
      </c>
      <c r="BB512" s="3" t="s">
        <v>77</v>
      </c>
      <c r="BD512" s="3" t="s">
        <v>6585</v>
      </c>
      <c r="BE512" s="3" t="s">
        <v>6586</v>
      </c>
      <c r="BF512" s="3" t="s">
        <v>6587</v>
      </c>
    </row>
    <row r="513" spans="1:58" ht="41.25" customHeight="1" x14ac:dyDescent="0.25">
      <c r="A513" s="7" t="s">
        <v>62</v>
      </c>
      <c r="B513" s="2" t="s">
        <v>57</v>
      </c>
      <c r="C513" s="2" t="s">
        <v>58</v>
      </c>
      <c r="D513" s="2" t="s">
        <v>6588</v>
      </c>
      <c r="E513" s="2" t="s">
        <v>6589</v>
      </c>
      <c r="F513" s="2" t="s">
        <v>6590</v>
      </c>
      <c r="H513" s="3" t="s">
        <v>62</v>
      </c>
      <c r="I513" s="3" t="s">
        <v>63</v>
      </c>
      <c r="J513" s="3" t="s">
        <v>62</v>
      </c>
      <c r="K513" s="3" t="s">
        <v>62</v>
      </c>
      <c r="L513" s="3" t="s">
        <v>64</v>
      </c>
      <c r="N513" s="2" t="s">
        <v>6591</v>
      </c>
      <c r="O513" s="3" t="s">
        <v>1750</v>
      </c>
      <c r="Q513" s="3" t="s">
        <v>68</v>
      </c>
      <c r="R513" s="3" t="s">
        <v>420</v>
      </c>
      <c r="T513" s="3" t="s">
        <v>70</v>
      </c>
      <c r="U513" s="4">
        <v>1</v>
      </c>
      <c r="V513" s="4">
        <v>1</v>
      </c>
      <c r="W513" s="5" t="s">
        <v>6592</v>
      </c>
      <c r="X513" s="5" t="s">
        <v>6592</v>
      </c>
      <c r="Y513" s="5" t="s">
        <v>6592</v>
      </c>
      <c r="Z513" s="5" t="s">
        <v>6592</v>
      </c>
      <c r="AA513" s="4">
        <v>235</v>
      </c>
      <c r="AB513" s="4">
        <v>209</v>
      </c>
      <c r="AC513" s="4">
        <v>209</v>
      </c>
      <c r="AD513" s="4">
        <v>2</v>
      </c>
      <c r="AE513" s="4">
        <v>2</v>
      </c>
      <c r="AF513" s="4">
        <v>22</v>
      </c>
      <c r="AG513" s="4">
        <v>22</v>
      </c>
      <c r="AH513" s="4">
        <v>10</v>
      </c>
      <c r="AI513" s="4">
        <v>10</v>
      </c>
      <c r="AJ513" s="4">
        <v>6</v>
      </c>
      <c r="AK513" s="4">
        <v>6</v>
      </c>
      <c r="AL513" s="4">
        <v>11</v>
      </c>
      <c r="AM513" s="4">
        <v>11</v>
      </c>
      <c r="AN513" s="4">
        <v>1</v>
      </c>
      <c r="AO513" s="4">
        <v>1</v>
      </c>
      <c r="AP513" s="4">
        <v>1</v>
      </c>
      <c r="AQ513" s="4">
        <v>1</v>
      </c>
      <c r="AR513" s="3" t="s">
        <v>62</v>
      </c>
      <c r="AS513" s="3" t="s">
        <v>62</v>
      </c>
      <c r="AU513" s="6" t="str">
        <f>HYPERLINK("https://creighton-primo.hosted.exlibrisgroup.com/primo-explore/search?tab=default_tab&amp;search_scope=EVERYTHING&amp;vid=01CRU&amp;lang=en_US&amp;offset=0&amp;query=any,contains,991005174319702656","Catalog Record")</f>
        <v>Catalog Record</v>
      </c>
      <c r="AV513" s="6" t="str">
        <f>HYPERLINK("http://www.worldcat.org/oclc/22887843","WorldCat Record")</f>
        <v>WorldCat Record</v>
      </c>
      <c r="AW513" s="3" t="s">
        <v>6593</v>
      </c>
      <c r="AX513" s="3" t="s">
        <v>6594</v>
      </c>
      <c r="AY513" s="3" t="s">
        <v>6595</v>
      </c>
      <c r="AZ513" s="3" t="s">
        <v>6595</v>
      </c>
      <c r="BA513" s="3" t="s">
        <v>6596</v>
      </c>
      <c r="BB513" s="3" t="s">
        <v>77</v>
      </c>
      <c r="BD513" s="3" t="s">
        <v>6597</v>
      </c>
      <c r="BE513" s="3" t="s">
        <v>6598</v>
      </c>
      <c r="BF513" s="3" t="s">
        <v>6599</v>
      </c>
    </row>
    <row r="514" spans="1:58" ht="41.25" customHeight="1" x14ac:dyDescent="0.25">
      <c r="A514" s="7" t="s">
        <v>62</v>
      </c>
      <c r="B514" s="2" t="s">
        <v>57</v>
      </c>
      <c r="C514" s="2" t="s">
        <v>58</v>
      </c>
      <c r="D514" s="2" t="s">
        <v>6600</v>
      </c>
      <c r="E514" s="2" t="s">
        <v>6601</v>
      </c>
      <c r="F514" s="2" t="s">
        <v>6602</v>
      </c>
      <c r="H514" s="3" t="s">
        <v>62</v>
      </c>
      <c r="I514" s="3" t="s">
        <v>63</v>
      </c>
      <c r="J514" s="3" t="s">
        <v>62</v>
      </c>
      <c r="K514" s="3" t="s">
        <v>62</v>
      </c>
      <c r="L514" s="3" t="s">
        <v>64</v>
      </c>
      <c r="M514" s="2" t="s">
        <v>6603</v>
      </c>
      <c r="N514" s="2" t="s">
        <v>6604</v>
      </c>
      <c r="O514" s="3" t="s">
        <v>67</v>
      </c>
      <c r="Q514" s="3" t="s">
        <v>68</v>
      </c>
      <c r="R514" s="3" t="s">
        <v>888</v>
      </c>
      <c r="S514" s="2" t="s">
        <v>6605</v>
      </c>
      <c r="T514" s="3" t="s">
        <v>70</v>
      </c>
      <c r="U514" s="4">
        <v>3</v>
      </c>
      <c r="V514" s="4">
        <v>3</v>
      </c>
      <c r="W514" s="5" t="s">
        <v>6606</v>
      </c>
      <c r="X514" s="5" t="s">
        <v>6606</v>
      </c>
      <c r="Y514" s="5" t="s">
        <v>5427</v>
      </c>
      <c r="Z514" s="5" t="s">
        <v>5427</v>
      </c>
      <c r="AA514" s="4">
        <v>394</v>
      </c>
      <c r="AB514" s="4">
        <v>317</v>
      </c>
      <c r="AC514" s="4">
        <v>319</v>
      </c>
      <c r="AD514" s="4">
        <v>1</v>
      </c>
      <c r="AE514" s="4">
        <v>1</v>
      </c>
      <c r="AF514" s="4">
        <v>15</v>
      </c>
      <c r="AG514" s="4">
        <v>15</v>
      </c>
      <c r="AH514" s="4">
        <v>4</v>
      </c>
      <c r="AI514" s="4">
        <v>4</v>
      </c>
      <c r="AJ514" s="4">
        <v>6</v>
      </c>
      <c r="AK514" s="4">
        <v>6</v>
      </c>
      <c r="AL514" s="4">
        <v>13</v>
      </c>
      <c r="AM514" s="4">
        <v>13</v>
      </c>
      <c r="AN514" s="4">
        <v>0</v>
      </c>
      <c r="AO514" s="4">
        <v>0</v>
      </c>
      <c r="AP514" s="4">
        <v>0</v>
      </c>
      <c r="AQ514" s="4">
        <v>0</v>
      </c>
      <c r="AR514" s="3" t="s">
        <v>62</v>
      </c>
      <c r="AS514" s="3" t="s">
        <v>84</v>
      </c>
      <c r="AT514" s="6" t="str">
        <f>HYPERLINK("http://catalog.hathitrust.org/Record/001391598","HathiTrust Record")</f>
        <v>HathiTrust Record</v>
      </c>
      <c r="AU514" s="6" t="str">
        <f>HYPERLINK("https://creighton-primo.hosted.exlibrisgroup.com/primo-explore/search?tab=default_tab&amp;search_scope=EVERYTHING&amp;vid=01CRU&amp;lang=en_US&amp;offset=0&amp;query=any,contains,991000592449702656","Catalog Record")</f>
        <v>Catalog Record</v>
      </c>
      <c r="AV514" s="6" t="str">
        <f>HYPERLINK("http://www.worldcat.org/oclc/96830","WorldCat Record")</f>
        <v>WorldCat Record</v>
      </c>
      <c r="AW514" s="3" t="s">
        <v>6607</v>
      </c>
      <c r="AX514" s="3" t="s">
        <v>6608</v>
      </c>
      <c r="AY514" s="3" t="s">
        <v>6609</v>
      </c>
      <c r="AZ514" s="3" t="s">
        <v>6609</v>
      </c>
      <c r="BA514" s="3" t="s">
        <v>6610</v>
      </c>
      <c r="BB514" s="3" t="s">
        <v>77</v>
      </c>
      <c r="BE514" s="3" t="s">
        <v>6611</v>
      </c>
      <c r="BF514" s="3" t="s">
        <v>6612</v>
      </c>
    </row>
    <row r="515" spans="1:58" ht="41.25" customHeight="1" x14ac:dyDescent="0.25">
      <c r="A515" s="7" t="s">
        <v>62</v>
      </c>
      <c r="B515" s="2" t="s">
        <v>57</v>
      </c>
      <c r="C515" s="2" t="s">
        <v>58</v>
      </c>
      <c r="D515" s="2" t="s">
        <v>6613</v>
      </c>
      <c r="E515" s="2" t="s">
        <v>6614</v>
      </c>
      <c r="F515" s="2" t="s">
        <v>6615</v>
      </c>
      <c r="H515" s="3" t="s">
        <v>62</v>
      </c>
      <c r="I515" s="3" t="s">
        <v>63</v>
      </c>
      <c r="J515" s="3" t="s">
        <v>62</v>
      </c>
      <c r="K515" s="3" t="s">
        <v>62</v>
      </c>
      <c r="L515" s="3" t="s">
        <v>64</v>
      </c>
      <c r="N515" s="2" t="s">
        <v>6616</v>
      </c>
      <c r="O515" s="3" t="s">
        <v>253</v>
      </c>
      <c r="Q515" s="3" t="s">
        <v>68</v>
      </c>
      <c r="R515" s="3" t="s">
        <v>69</v>
      </c>
      <c r="T515" s="3" t="s">
        <v>70</v>
      </c>
      <c r="U515" s="4">
        <v>1</v>
      </c>
      <c r="V515" s="4">
        <v>1</v>
      </c>
      <c r="W515" s="5" t="s">
        <v>6606</v>
      </c>
      <c r="X515" s="5" t="s">
        <v>6606</v>
      </c>
      <c r="Y515" s="5" t="s">
        <v>5427</v>
      </c>
      <c r="Z515" s="5" t="s">
        <v>5427</v>
      </c>
      <c r="AA515" s="4">
        <v>297</v>
      </c>
      <c r="AB515" s="4">
        <v>262</v>
      </c>
      <c r="AC515" s="4">
        <v>331</v>
      </c>
      <c r="AD515" s="4">
        <v>2</v>
      </c>
      <c r="AE515" s="4">
        <v>2</v>
      </c>
      <c r="AF515" s="4">
        <v>17</v>
      </c>
      <c r="AG515" s="4">
        <v>17</v>
      </c>
      <c r="AH515" s="4">
        <v>7</v>
      </c>
      <c r="AI515" s="4">
        <v>7</v>
      </c>
      <c r="AJ515" s="4">
        <v>5</v>
      </c>
      <c r="AK515" s="4">
        <v>5</v>
      </c>
      <c r="AL515" s="4">
        <v>10</v>
      </c>
      <c r="AM515" s="4">
        <v>10</v>
      </c>
      <c r="AN515" s="4">
        <v>1</v>
      </c>
      <c r="AO515" s="4">
        <v>1</v>
      </c>
      <c r="AP515" s="4">
        <v>0</v>
      </c>
      <c r="AQ515" s="4">
        <v>0</v>
      </c>
      <c r="AR515" s="3" t="s">
        <v>62</v>
      </c>
      <c r="AS515" s="3" t="s">
        <v>62</v>
      </c>
      <c r="AU515" s="6" t="str">
        <f>HYPERLINK("https://creighton-primo.hosted.exlibrisgroup.com/primo-explore/search?tab=default_tab&amp;search_scope=EVERYTHING&amp;vid=01CRU&amp;lang=en_US&amp;offset=0&amp;query=any,contains,991000584289702656","Catalog Record")</f>
        <v>Catalog Record</v>
      </c>
      <c r="AV515" s="6" t="str">
        <f>HYPERLINK("http://www.worldcat.org/oclc/11755715","WorldCat Record")</f>
        <v>WorldCat Record</v>
      </c>
      <c r="AW515" s="3" t="s">
        <v>6617</v>
      </c>
      <c r="AX515" s="3" t="s">
        <v>6618</v>
      </c>
      <c r="AY515" s="3" t="s">
        <v>6619</v>
      </c>
      <c r="AZ515" s="3" t="s">
        <v>6619</v>
      </c>
      <c r="BA515" s="3" t="s">
        <v>6620</v>
      </c>
      <c r="BB515" s="3" t="s">
        <v>77</v>
      </c>
      <c r="BD515" s="3" t="s">
        <v>6621</v>
      </c>
      <c r="BE515" s="3" t="s">
        <v>6622</v>
      </c>
      <c r="BF515" s="3" t="s">
        <v>6623</v>
      </c>
    </row>
    <row r="516" spans="1:58" ht="41.25" customHeight="1" x14ac:dyDescent="0.25">
      <c r="A516" s="7" t="s">
        <v>62</v>
      </c>
      <c r="B516" s="2" t="s">
        <v>57</v>
      </c>
      <c r="C516" s="2" t="s">
        <v>58</v>
      </c>
      <c r="D516" s="2" t="s">
        <v>6624</v>
      </c>
      <c r="E516" s="2" t="s">
        <v>6625</v>
      </c>
      <c r="F516" s="2" t="s">
        <v>6626</v>
      </c>
      <c r="H516" s="3" t="s">
        <v>62</v>
      </c>
      <c r="I516" s="3" t="s">
        <v>63</v>
      </c>
      <c r="J516" s="3" t="s">
        <v>62</v>
      </c>
      <c r="K516" s="3" t="s">
        <v>62</v>
      </c>
      <c r="L516" s="3" t="s">
        <v>64</v>
      </c>
      <c r="N516" s="2" t="s">
        <v>6627</v>
      </c>
      <c r="O516" s="3" t="s">
        <v>804</v>
      </c>
      <c r="Q516" s="3" t="s">
        <v>68</v>
      </c>
      <c r="R516" s="3" t="s">
        <v>69</v>
      </c>
      <c r="T516" s="3" t="s">
        <v>70</v>
      </c>
      <c r="U516" s="4">
        <v>5</v>
      </c>
      <c r="V516" s="4">
        <v>5</v>
      </c>
      <c r="W516" s="5" t="s">
        <v>6628</v>
      </c>
      <c r="X516" s="5" t="s">
        <v>6628</v>
      </c>
      <c r="Y516" s="5" t="s">
        <v>6629</v>
      </c>
      <c r="Z516" s="5" t="s">
        <v>6629</v>
      </c>
      <c r="AA516" s="4">
        <v>325</v>
      </c>
      <c r="AB516" s="4">
        <v>303</v>
      </c>
      <c r="AC516" s="4">
        <v>323</v>
      </c>
      <c r="AD516" s="4">
        <v>4</v>
      </c>
      <c r="AE516" s="4">
        <v>4</v>
      </c>
      <c r="AF516" s="4">
        <v>13</v>
      </c>
      <c r="AG516" s="4">
        <v>14</v>
      </c>
      <c r="AH516" s="4">
        <v>2</v>
      </c>
      <c r="AI516" s="4">
        <v>2</v>
      </c>
      <c r="AJ516" s="4">
        <v>2</v>
      </c>
      <c r="AK516" s="4">
        <v>3</v>
      </c>
      <c r="AL516" s="4">
        <v>9</v>
      </c>
      <c r="AM516" s="4">
        <v>10</v>
      </c>
      <c r="AN516" s="4">
        <v>3</v>
      </c>
      <c r="AO516" s="4">
        <v>3</v>
      </c>
      <c r="AP516" s="4">
        <v>0</v>
      </c>
      <c r="AQ516" s="4">
        <v>0</v>
      </c>
      <c r="AR516" s="3" t="s">
        <v>62</v>
      </c>
      <c r="AS516" s="3" t="s">
        <v>84</v>
      </c>
      <c r="AT516" s="6" t="str">
        <f>HYPERLINK("http://catalog.hathitrust.org/Record/000922904","HathiTrust Record")</f>
        <v>HathiTrust Record</v>
      </c>
      <c r="AU516" s="6" t="str">
        <f>HYPERLINK("https://creighton-primo.hosted.exlibrisgroup.com/primo-explore/search?tab=default_tab&amp;search_scope=EVERYTHING&amp;vid=01CRU&amp;lang=en_US&amp;offset=0&amp;query=any,contains,991000937989702656","Catalog Record")</f>
        <v>Catalog Record</v>
      </c>
      <c r="AV516" s="6" t="str">
        <f>HYPERLINK("http://www.worldcat.org/oclc/14377306","WorldCat Record")</f>
        <v>WorldCat Record</v>
      </c>
      <c r="AW516" s="3" t="s">
        <v>6630</v>
      </c>
      <c r="AX516" s="3" t="s">
        <v>6631</v>
      </c>
      <c r="AY516" s="3" t="s">
        <v>6632</v>
      </c>
      <c r="AZ516" s="3" t="s">
        <v>6632</v>
      </c>
      <c r="BA516" s="3" t="s">
        <v>6633</v>
      </c>
      <c r="BB516" s="3" t="s">
        <v>77</v>
      </c>
      <c r="BD516" s="3" t="s">
        <v>6634</v>
      </c>
      <c r="BE516" s="3" t="s">
        <v>6635</v>
      </c>
      <c r="BF516" s="3" t="s">
        <v>6636</v>
      </c>
    </row>
    <row r="517" spans="1:58" ht="41.25" customHeight="1" x14ac:dyDescent="0.25">
      <c r="A517" s="7" t="s">
        <v>62</v>
      </c>
      <c r="B517" s="2" t="s">
        <v>57</v>
      </c>
      <c r="C517" s="2" t="s">
        <v>58</v>
      </c>
      <c r="D517" s="2" t="s">
        <v>6637</v>
      </c>
      <c r="E517" s="2" t="s">
        <v>6638</v>
      </c>
      <c r="F517" s="2" t="s">
        <v>6639</v>
      </c>
      <c r="H517" s="3" t="s">
        <v>62</v>
      </c>
      <c r="I517" s="3" t="s">
        <v>63</v>
      </c>
      <c r="J517" s="3" t="s">
        <v>62</v>
      </c>
      <c r="K517" s="3" t="s">
        <v>62</v>
      </c>
      <c r="L517" s="3" t="s">
        <v>64</v>
      </c>
      <c r="M517" s="2" t="s">
        <v>6640</v>
      </c>
      <c r="N517" s="2" t="s">
        <v>6641</v>
      </c>
      <c r="O517" s="3" t="s">
        <v>4624</v>
      </c>
      <c r="Q517" s="3" t="s">
        <v>68</v>
      </c>
      <c r="R517" s="3" t="s">
        <v>88</v>
      </c>
      <c r="T517" s="3" t="s">
        <v>70</v>
      </c>
      <c r="U517" s="4">
        <v>6</v>
      </c>
      <c r="V517" s="4">
        <v>6</v>
      </c>
      <c r="W517" s="5" t="s">
        <v>6642</v>
      </c>
      <c r="X517" s="5" t="s">
        <v>6642</v>
      </c>
      <c r="Y517" s="5" t="s">
        <v>5427</v>
      </c>
      <c r="Z517" s="5" t="s">
        <v>5427</v>
      </c>
      <c r="AA517" s="4">
        <v>30</v>
      </c>
      <c r="AB517" s="4">
        <v>30</v>
      </c>
      <c r="AC517" s="4">
        <v>73</v>
      </c>
      <c r="AD517" s="4">
        <v>1</v>
      </c>
      <c r="AE517" s="4">
        <v>1</v>
      </c>
      <c r="AF517" s="4">
        <v>11</v>
      </c>
      <c r="AG517" s="4">
        <v>14</v>
      </c>
      <c r="AH517" s="4">
        <v>0</v>
      </c>
      <c r="AI517" s="4">
        <v>2</v>
      </c>
      <c r="AJ517" s="4">
        <v>4</v>
      </c>
      <c r="AK517" s="4">
        <v>4</v>
      </c>
      <c r="AL517" s="4">
        <v>9</v>
      </c>
      <c r="AM517" s="4">
        <v>11</v>
      </c>
      <c r="AN517" s="4">
        <v>0</v>
      </c>
      <c r="AO517" s="4">
        <v>0</v>
      </c>
      <c r="AP517" s="4">
        <v>0</v>
      </c>
      <c r="AQ517" s="4">
        <v>0</v>
      </c>
      <c r="AR517" s="3" t="s">
        <v>62</v>
      </c>
      <c r="AS517" s="3" t="s">
        <v>62</v>
      </c>
      <c r="AU517" s="6" t="str">
        <f>HYPERLINK("https://creighton-primo.hosted.exlibrisgroup.com/primo-explore/search?tab=default_tab&amp;search_scope=EVERYTHING&amp;vid=01CRU&amp;lang=en_US&amp;offset=0&amp;query=any,contains,991003668579702656","Catalog Record")</f>
        <v>Catalog Record</v>
      </c>
      <c r="AV517" s="6" t="str">
        <f>HYPERLINK("http://www.worldcat.org/oclc/1284170","WorldCat Record")</f>
        <v>WorldCat Record</v>
      </c>
      <c r="AW517" s="3" t="s">
        <v>6643</v>
      </c>
      <c r="AX517" s="3" t="s">
        <v>6644</v>
      </c>
      <c r="AY517" s="3" t="s">
        <v>6645</v>
      </c>
      <c r="AZ517" s="3" t="s">
        <v>6645</v>
      </c>
      <c r="BA517" s="3" t="s">
        <v>6646</v>
      </c>
      <c r="BB517" s="3" t="s">
        <v>77</v>
      </c>
      <c r="BE517" s="3" t="s">
        <v>6647</v>
      </c>
      <c r="BF517" s="3" t="s">
        <v>6648</v>
      </c>
    </row>
    <row r="518" spans="1:58" ht="41.25" customHeight="1" x14ac:dyDescent="0.25">
      <c r="A518" s="7" t="s">
        <v>62</v>
      </c>
      <c r="B518" s="2" t="s">
        <v>57</v>
      </c>
      <c r="C518" s="2" t="s">
        <v>58</v>
      </c>
      <c r="D518" s="2" t="s">
        <v>6649</v>
      </c>
      <c r="E518" s="2" t="s">
        <v>6650</v>
      </c>
      <c r="F518" s="2" t="s">
        <v>6651</v>
      </c>
      <c r="H518" s="3" t="s">
        <v>62</v>
      </c>
      <c r="I518" s="3" t="s">
        <v>63</v>
      </c>
      <c r="J518" s="3" t="s">
        <v>62</v>
      </c>
      <c r="K518" s="3" t="s">
        <v>62</v>
      </c>
      <c r="L518" s="3" t="s">
        <v>64</v>
      </c>
      <c r="M518" s="2" t="s">
        <v>6652</v>
      </c>
      <c r="N518" s="2" t="s">
        <v>6653</v>
      </c>
      <c r="O518" s="3" t="s">
        <v>218</v>
      </c>
      <c r="Q518" s="3" t="s">
        <v>68</v>
      </c>
      <c r="R518" s="3" t="s">
        <v>110</v>
      </c>
      <c r="S518" s="2" t="s">
        <v>6654</v>
      </c>
      <c r="T518" s="3" t="s">
        <v>70</v>
      </c>
      <c r="U518" s="4">
        <v>4</v>
      </c>
      <c r="V518" s="4">
        <v>4</v>
      </c>
      <c r="W518" s="5" t="s">
        <v>6655</v>
      </c>
      <c r="X518" s="5" t="s">
        <v>6655</v>
      </c>
      <c r="Y518" s="5" t="s">
        <v>6656</v>
      </c>
      <c r="Z518" s="5" t="s">
        <v>6656</v>
      </c>
      <c r="AA518" s="4">
        <v>32</v>
      </c>
      <c r="AB518" s="4">
        <v>30</v>
      </c>
      <c r="AC518" s="4">
        <v>394</v>
      </c>
      <c r="AD518" s="4">
        <v>1</v>
      </c>
      <c r="AE518" s="4">
        <v>3</v>
      </c>
      <c r="AF518" s="4">
        <v>1</v>
      </c>
      <c r="AG518" s="4">
        <v>33</v>
      </c>
      <c r="AH518" s="4">
        <v>0</v>
      </c>
      <c r="AI518" s="4">
        <v>13</v>
      </c>
      <c r="AJ518" s="4">
        <v>0</v>
      </c>
      <c r="AK518" s="4">
        <v>8</v>
      </c>
      <c r="AL518" s="4">
        <v>1</v>
      </c>
      <c r="AM518" s="4">
        <v>24</v>
      </c>
      <c r="AN518" s="4">
        <v>0</v>
      </c>
      <c r="AO518" s="4">
        <v>1</v>
      </c>
      <c r="AP518" s="4">
        <v>0</v>
      </c>
      <c r="AQ518" s="4">
        <v>0</v>
      </c>
      <c r="AR518" s="3" t="s">
        <v>62</v>
      </c>
      <c r="AS518" s="3" t="s">
        <v>62</v>
      </c>
      <c r="AU518" s="6" t="str">
        <f>HYPERLINK("https://creighton-primo.hosted.exlibrisgroup.com/primo-explore/search?tab=default_tab&amp;search_scope=EVERYTHING&amp;vid=01CRU&amp;lang=en_US&amp;offset=0&amp;query=any,contains,991004627209702656","Catalog Record")</f>
        <v>Catalog Record</v>
      </c>
      <c r="AV518" s="6" t="str">
        <f>HYPERLINK("http://www.worldcat.org/oclc/4348035","WorldCat Record")</f>
        <v>WorldCat Record</v>
      </c>
      <c r="AW518" s="3" t="s">
        <v>6657</v>
      </c>
      <c r="AX518" s="3" t="s">
        <v>6658</v>
      </c>
      <c r="AY518" s="3" t="s">
        <v>6659</v>
      </c>
      <c r="AZ518" s="3" t="s">
        <v>6659</v>
      </c>
      <c r="BA518" s="3" t="s">
        <v>6660</v>
      </c>
      <c r="BB518" s="3" t="s">
        <v>77</v>
      </c>
      <c r="BE518" s="3" t="s">
        <v>6661</v>
      </c>
      <c r="BF518" s="3" t="s">
        <v>6662</v>
      </c>
    </row>
    <row r="519" spans="1:58" ht="41.25" customHeight="1" x14ac:dyDescent="0.25">
      <c r="A519" s="7" t="s">
        <v>62</v>
      </c>
      <c r="B519" s="2" t="s">
        <v>57</v>
      </c>
      <c r="C519" s="2" t="s">
        <v>58</v>
      </c>
      <c r="D519" s="2" t="s">
        <v>6663</v>
      </c>
      <c r="E519" s="2" t="s">
        <v>6664</v>
      </c>
      <c r="F519" s="2" t="s">
        <v>6665</v>
      </c>
      <c r="H519" s="3" t="s">
        <v>62</v>
      </c>
      <c r="I519" s="3" t="s">
        <v>63</v>
      </c>
      <c r="J519" s="3" t="s">
        <v>62</v>
      </c>
      <c r="K519" s="3" t="s">
        <v>62</v>
      </c>
      <c r="L519" s="3" t="s">
        <v>64</v>
      </c>
      <c r="M519" s="2" t="s">
        <v>4768</v>
      </c>
      <c r="N519" s="2" t="s">
        <v>6666</v>
      </c>
      <c r="O519" s="3" t="s">
        <v>233</v>
      </c>
      <c r="Q519" s="3" t="s">
        <v>68</v>
      </c>
      <c r="R519" s="3" t="s">
        <v>69</v>
      </c>
      <c r="T519" s="3" t="s">
        <v>70</v>
      </c>
      <c r="U519" s="4">
        <v>6</v>
      </c>
      <c r="V519" s="4">
        <v>6</v>
      </c>
      <c r="W519" s="5" t="s">
        <v>6667</v>
      </c>
      <c r="X519" s="5" t="s">
        <v>6667</v>
      </c>
      <c r="Y519" s="5" t="s">
        <v>5427</v>
      </c>
      <c r="Z519" s="5" t="s">
        <v>5427</v>
      </c>
      <c r="AA519" s="4">
        <v>567</v>
      </c>
      <c r="AB519" s="4">
        <v>547</v>
      </c>
      <c r="AC519" s="4">
        <v>607</v>
      </c>
      <c r="AD519" s="4">
        <v>4</v>
      </c>
      <c r="AE519" s="4">
        <v>4</v>
      </c>
      <c r="AF519" s="4">
        <v>29</v>
      </c>
      <c r="AG519" s="4">
        <v>29</v>
      </c>
      <c r="AH519" s="4">
        <v>9</v>
      </c>
      <c r="AI519" s="4">
        <v>9</v>
      </c>
      <c r="AJ519" s="4">
        <v>7</v>
      </c>
      <c r="AK519" s="4">
        <v>7</v>
      </c>
      <c r="AL519" s="4">
        <v>16</v>
      </c>
      <c r="AM519" s="4">
        <v>16</v>
      </c>
      <c r="AN519" s="4">
        <v>3</v>
      </c>
      <c r="AO519" s="4">
        <v>3</v>
      </c>
      <c r="AP519" s="4">
        <v>0</v>
      </c>
      <c r="AQ519" s="4">
        <v>0</v>
      </c>
      <c r="AR519" s="3" t="s">
        <v>62</v>
      </c>
      <c r="AS519" s="3" t="s">
        <v>84</v>
      </c>
      <c r="AT519" s="6" t="str">
        <f>HYPERLINK("http://catalog.hathitrust.org/Record/000709821","HathiTrust Record")</f>
        <v>HathiTrust Record</v>
      </c>
      <c r="AU519" s="6" t="str">
        <f>HYPERLINK("https://creighton-primo.hosted.exlibrisgroup.com/primo-explore/search?tab=default_tab&amp;search_scope=EVERYTHING&amp;vid=01CRU&amp;lang=en_US&amp;offset=0&amp;query=any,contains,991004996219702656","Catalog Record")</f>
        <v>Catalog Record</v>
      </c>
      <c r="AV519" s="6" t="str">
        <f>HYPERLINK("http://www.worldcat.org/oclc/6518887","WorldCat Record")</f>
        <v>WorldCat Record</v>
      </c>
      <c r="AW519" s="3" t="s">
        <v>6668</v>
      </c>
      <c r="AX519" s="3" t="s">
        <v>6669</v>
      </c>
      <c r="AY519" s="3" t="s">
        <v>6670</v>
      </c>
      <c r="AZ519" s="3" t="s">
        <v>6670</v>
      </c>
      <c r="BA519" s="3" t="s">
        <v>6671</v>
      </c>
      <c r="BB519" s="3" t="s">
        <v>77</v>
      </c>
      <c r="BD519" s="3" t="s">
        <v>6672</v>
      </c>
      <c r="BE519" s="3" t="s">
        <v>6673</v>
      </c>
      <c r="BF519" s="3" t="s">
        <v>6674</v>
      </c>
    </row>
    <row r="520" spans="1:58" ht="41.25" customHeight="1" x14ac:dyDescent="0.25">
      <c r="A520" s="7" t="s">
        <v>62</v>
      </c>
      <c r="B520" s="2" t="s">
        <v>57</v>
      </c>
      <c r="C520" s="2" t="s">
        <v>58</v>
      </c>
      <c r="D520" s="2" t="s">
        <v>6675</v>
      </c>
      <c r="E520" s="2" t="s">
        <v>6676</v>
      </c>
      <c r="F520" s="2" t="s">
        <v>6677</v>
      </c>
      <c r="H520" s="3" t="s">
        <v>62</v>
      </c>
      <c r="I520" s="3" t="s">
        <v>63</v>
      </c>
      <c r="J520" s="3" t="s">
        <v>62</v>
      </c>
      <c r="K520" s="3" t="s">
        <v>62</v>
      </c>
      <c r="L520" s="3" t="s">
        <v>64</v>
      </c>
      <c r="M520" s="2" t="s">
        <v>6678</v>
      </c>
      <c r="N520" s="2" t="s">
        <v>6679</v>
      </c>
      <c r="O520" s="3" t="s">
        <v>516</v>
      </c>
      <c r="Q520" s="3" t="s">
        <v>68</v>
      </c>
      <c r="R520" s="3" t="s">
        <v>166</v>
      </c>
      <c r="T520" s="3" t="s">
        <v>70</v>
      </c>
      <c r="U520" s="4">
        <v>4</v>
      </c>
      <c r="V520" s="4">
        <v>4</v>
      </c>
      <c r="W520" s="5" t="s">
        <v>6680</v>
      </c>
      <c r="X520" s="5" t="s">
        <v>6680</v>
      </c>
      <c r="Y520" s="5" t="s">
        <v>5427</v>
      </c>
      <c r="Z520" s="5" t="s">
        <v>5427</v>
      </c>
      <c r="AA520" s="4">
        <v>701</v>
      </c>
      <c r="AB520" s="4">
        <v>578</v>
      </c>
      <c r="AC520" s="4">
        <v>754</v>
      </c>
      <c r="AD520" s="4">
        <v>2</v>
      </c>
      <c r="AE520" s="4">
        <v>2</v>
      </c>
      <c r="AF520" s="4">
        <v>24</v>
      </c>
      <c r="AG520" s="4">
        <v>30</v>
      </c>
      <c r="AH520" s="4">
        <v>7</v>
      </c>
      <c r="AI520" s="4">
        <v>12</v>
      </c>
      <c r="AJ520" s="4">
        <v>6</v>
      </c>
      <c r="AK520" s="4">
        <v>8</v>
      </c>
      <c r="AL520" s="4">
        <v>13</v>
      </c>
      <c r="AM520" s="4">
        <v>15</v>
      </c>
      <c r="AN520" s="4">
        <v>1</v>
      </c>
      <c r="AO520" s="4">
        <v>1</v>
      </c>
      <c r="AP520" s="4">
        <v>0</v>
      </c>
      <c r="AQ520" s="4">
        <v>0</v>
      </c>
      <c r="AR520" s="3" t="s">
        <v>62</v>
      </c>
      <c r="AS520" s="3" t="s">
        <v>84</v>
      </c>
      <c r="AT520" s="6" t="str">
        <f>HYPERLINK("http://catalog.hathitrust.org/Record/001391609","HathiTrust Record")</f>
        <v>HathiTrust Record</v>
      </c>
      <c r="AU520" s="6" t="str">
        <f>HYPERLINK("https://creighton-primo.hosted.exlibrisgroup.com/primo-explore/search?tab=default_tab&amp;search_scope=EVERYTHING&amp;vid=01CRU&amp;lang=en_US&amp;offset=0&amp;query=any,contains,991002571719702656","Catalog Record")</f>
        <v>Catalog Record</v>
      </c>
      <c r="AV520" s="6" t="str">
        <f>HYPERLINK("http://www.worldcat.org/oclc/373859","WorldCat Record")</f>
        <v>WorldCat Record</v>
      </c>
      <c r="AW520" s="3" t="s">
        <v>6681</v>
      </c>
      <c r="AX520" s="3" t="s">
        <v>6682</v>
      </c>
      <c r="AY520" s="3" t="s">
        <v>6683</v>
      </c>
      <c r="AZ520" s="3" t="s">
        <v>6683</v>
      </c>
      <c r="BA520" s="3" t="s">
        <v>6684</v>
      </c>
      <c r="BB520" s="3" t="s">
        <v>77</v>
      </c>
      <c r="BE520" s="3" t="s">
        <v>6685</v>
      </c>
      <c r="BF520" s="3" t="s">
        <v>6686</v>
      </c>
    </row>
    <row r="521" spans="1:58" ht="41.25" customHeight="1" x14ac:dyDescent="0.25">
      <c r="A521" s="7" t="s">
        <v>62</v>
      </c>
      <c r="B521" s="2" t="s">
        <v>57</v>
      </c>
      <c r="C521" s="2" t="s">
        <v>58</v>
      </c>
      <c r="D521" s="2" t="s">
        <v>6687</v>
      </c>
      <c r="E521" s="2" t="s">
        <v>6688</v>
      </c>
      <c r="F521" s="2" t="s">
        <v>6689</v>
      </c>
      <c r="H521" s="3" t="s">
        <v>62</v>
      </c>
      <c r="I521" s="3" t="s">
        <v>63</v>
      </c>
      <c r="J521" s="3" t="s">
        <v>62</v>
      </c>
      <c r="K521" s="3" t="s">
        <v>62</v>
      </c>
      <c r="L521" s="3" t="s">
        <v>64</v>
      </c>
      <c r="M521" s="2" t="s">
        <v>6690</v>
      </c>
      <c r="N521" s="2" t="s">
        <v>136</v>
      </c>
      <c r="O521" s="3" t="s">
        <v>137</v>
      </c>
      <c r="Q521" s="3" t="s">
        <v>68</v>
      </c>
      <c r="R521" s="3" t="s">
        <v>138</v>
      </c>
      <c r="S521" s="2" t="s">
        <v>6691</v>
      </c>
      <c r="T521" s="3" t="s">
        <v>70</v>
      </c>
      <c r="U521" s="4">
        <v>4</v>
      </c>
      <c r="V521" s="4">
        <v>4</v>
      </c>
      <c r="W521" s="5" t="s">
        <v>6692</v>
      </c>
      <c r="X521" s="5" t="s">
        <v>6692</v>
      </c>
      <c r="Y521" s="5" t="s">
        <v>5427</v>
      </c>
      <c r="Z521" s="5" t="s">
        <v>5427</v>
      </c>
      <c r="AA521" s="4">
        <v>441</v>
      </c>
      <c r="AB521" s="4">
        <v>384</v>
      </c>
      <c r="AC521" s="4">
        <v>386</v>
      </c>
      <c r="AD521" s="4">
        <v>2</v>
      </c>
      <c r="AE521" s="4">
        <v>2</v>
      </c>
      <c r="AF521" s="4">
        <v>17</v>
      </c>
      <c r="AG521" s="4">
        <v>17</v>
      </c>
      <c r="AH521" s="4">
        <v>5</v>
      </c>
      <c r="AI521" s="4">
        <v>5</v>
      </c>
      <c r="AJ521" s="4">
        <v>4</v>
      </c>
      <c r="AK521" s="4">
        <v>4</v>
      </c>
      <c r="AL521" s="4">
        <v>12</v>
      </c>
      <c r="AM521" s="4">
        <v>12</v>
      </c>
      <c r="AN521" s="4">
        <v>1</v>
      </c>
      <c r="AO521" s="4">
        <v>1</v>
      </c>
      <c r="AP521" s="4">
        <v>0</v>
      </c>
      <c r="AQ521" s="4">
        <v>0</v>
      </c>
      <c r="AR521" s="3" t="s">
        <v>62</v>
      </c>
      <c r="AS521" s="3" t="s">
        <v>84</v>
      </c>
      <c r="AT521" s="6" t="str">
        <f>HYPERLINK("http://catalog.hathitrust.org/Record/000144636","HathiTrust Record")</f>
        <v>HathiTrust Record</v>
      </c>
      <c r="AU521" s="6" t="str">
        <f>HYPERLINK("https://creighton-primo.hosted.exlibrisgroup.com/primo-explore/search?tab=default_tab&amp;search_scope=EVERYTHING&amp;vid=01CRU&amp;lang=en_US&amp;offset=0&amp;query=any,contains,991005032309702656","Catalog Record")</f>
        <v>Catalog Record</v>
      </c>
      <c r="AV521" s="6" t="str">
        <f>HYPERLINK("http://www.worldcat.org/oclc/6734327","WorldCat Record")</f>
        <v>WorldCat Record</v>
      </c>
      <c r="AW521" s="3" t="s">
        <v>6693</v>
      </c>
      <c r="AX521" s="3" t="s">
        <v>6694</v>
      </c>
      <c r="AY521" s="3" t="s">
        <v>6695</v>
      </c>
      <c r="AZ521" s="3" t="s">
        <v>6695</v>
      </c>
      <c r="BA521" s="3" t="s">
        <v>6696</v>
      </c>
      <c r="BB521" s="3" t="s">
        <v>77</v>
      </c>
      <c r="BD521" s="3" t="s">
        <v>6697</v>
      </c>
      <c r="BE521" s="3" t="s">
        <v>6698</v>
      </c>
      <c r="BF521" s="3" t="s">
        <v>6699</v>
      </c>
    </row>
    <row r="522" spans="1:58" ht="41.25" customHeight="1" x14ac:dyDescent="0.25">
      <c r="A522" s="7" t="s">
        <v>62</v>
      </c>
      <c r="B522" s="2" t="s">
        <v>57</v>
      </c>
      <c r="C522" s="2" t="s">
        <v>58</v>
      </c>
      <c r="D522" s="2" t="s">
        <v>6700</v>
      </c>
      <c r="E522" s="2" t="s">
        <v>6701</v>
      </c>
      <c r="F522" s="2" t="s">
        <v>6702</v>
      </c>
      <c r="H522" s="3" t="s">
        <v>62</v>
      </c>
      <c r="I522" s="3" t="s">
        <v>63</v>
      </c>
      <c r="J522" s="3" t="s">
        <v>62</v>
      </c>
      <c r="K522" s="3" t="s">
        <v>62</v>
      </c>
      <c r="L522" s="3" t="s">
        <v>64</v>
      </c>
      <c r="M522" s="2" t="s">
        <v>6703</v>
      </c>
      <c r="N522" s="2" t="s">
        <v>6704</v>
      </c>
      <c r="O522" s="3" t="s">
        <v>218</v>
      </c>
      <c r="Q522" s="3" t="s">
        <v>68</v>
      </c>
      <c r="R522" s="3" t="s">
        <v>69</v>
      </c>
      <c r="T522" s="3" t="s">
        <v>70</v>
      </c>
      <c r="U522" s="4">
        <v>4</v>
      </c>
      <c r="V522" s="4">
        <v>4</v>
      </c>
      <c r="W522" s="5" t="s">
        <v>6692</v>
      </c>
      <c r="X522" s="5" t="s">
        <v>6692</v>
      </c>
      <c r="Y522" s="5" t="s">
        <v>5427</v>
      </c>
      <c r="Z522" s="5" t="s">
        <v>5427</v>
      </c>
      <c r="AA522" s="4">
        <v>607</v>
      </c>
      <c r="AB522" s="4">
        <v>583</v>
      </c>
      <c r="AC522" s="4">
        <v>664</v>
      </c>
      <c r="AD522" s="4">
        <v>3</v>
      </c>
      <c r="AE522" s="4">
        <v>5</v>
      </c>
      <c r="AF522" s="4">
        <v>28</v>
      </c>
      <c r="AG522" s="4">
        <v>34</v>
      </c>
      <c r="AH522" s="4">
        <v>12</v>
      </c>
      <c r="AI522" s="4">
        <v>13</v>
      </c>
      <c r="AJ522" s="4">
        <v>7</v>
      </c>
      <c r="AK522" s="4">
        <v>7</v>
      </c>
      <c r="AL522" s="4">
        <v>17</v>
      </c>
      <c r="AM522" s="4">
        <v>20</v>
      </c>
      <c r="AN522" s="4">
        <v>2</v>
      </c>
      <c r="AO522" s="4">
        <v>4</v>
      </c>
      <c r="AP522" s="4">
        <v>0</v>
      </c>
      <c r="AQ522" s="4">
        <v>0</v>
      </c>
      <c r="AR522" s="3" t="s">
        <v>62</v>
      </c>
      <c r="AS522" s="3" t="s">
        <v>84</v>
      </c>
      <c r="AT522" s="6" t="str">
        <f>HYPERLINK("http://catalog.hathitrust.org/Record/000176640","HathiTrust Record")</f>
        <v>HathiTrust Record</v>
      </c>
      <c r="AU522" s="6" t="str">
        <f>HYPERLINK("https://creighton-primo.hosted.exlibrisgroup.com/primo-explore/search?tab=default_tab&amp;search_scope=EVERYTHING&amp;vid=01CRU&amp;lang=en_US&amp;offset=0&amp;query=any,contains,991004565029702656","Catalog Record")</f>
        <v>Catalog Record</v>
      </c>
      <c r="AV522" s="6" t="str">
        <f>HYPERLINK("http://www.worldcat.org/oclc/4004292","WorldCat Record")</f>
        <v>WorldCat Record</v>
      </c>
      <c r="AW522" s="3" t="s">
        <v>6705</v>
      </c>
      <c r="AX522" s="3" t="s">
        <v>6706</v>
      </c>
      <c r="AY522" s="3" t="s">
        <v>6707</v>
      </c>
      <c r="AZ522" s="3" t="s">
        <v>6707</v>
      </c>
      <c r="BA522" s="3" t="s">
        <v>6708</v>
      </c>
      <c r="BB522" s="3" t="s">
        <v>77</v>
      </c>
      <c r="BD522" s="3" t="s">
        <v>6709</v>
      </c>
      <c r="BE522" s="3" t="s">
        <v>6710</v>
      </c>
      <c r="BF522" s="3" t="s">
        <v>6711</v>
      </c>
    </row>
    <row r="523" spans="1:58" ht="41.25" customHeight="1" x14ac:dyDescent="0.25">
      <c r="A523" s="7" t="s">
        <v>62</v>
      </c>
      <c r="B523" s="2" t="s">
        <v>57</v>
      </c>
      <c r="C523" s="2" t="s">
        <v>58</v>
      </c>
      <c r="D523" s="2" t="s">
        <v>6712</v>
      </c>
      <c r="E523" s="2" t="s">
        <v>6713</v>
      </c>
      <c r="F523" s="2" t="s">
        <v>6714</v>
      </c>
      <c r="H523" s="3" t="s">
        <v>62</v>
      </c>
      <c r="I523" s="3" t="s">
        <v>63</v>
      </c>
      <c r="J523" s="3" t="s">
        <v>62</v>
      </c>
      <c r="K523" s="3" t="s">
        <v>62</v>
      </c>
      <c r="L523" s="3" t="s">
        <v>64</v>
      </c>
      <c r="M523" s="2" t="s">
        <v>6715</v>
      </c>
      <c r="N523" s="2" t="s">
        <v>6716</v>
      </c>
      <c r="O523" s="3" t="s">
        <v>1637</v>
      </c>
      <c r="Q523" s="3" t="s">
        <v>68</v>
      </c>
      <c r="R523" s="3" t="s">
        <v>204</v>
      </c>
      <c r="T523" s="3" t="s">
        <v>70</v>
      </c>
      <c r="U523" s="4">
        <v>2</v>
      </c>
      <c r="V523" s="4">
        <v>2</v>
      </c>
      <c r="W523" s="5" t="s">
        <v>6717</v>
      </c>
      <c r="X523" s="5" t="s">
        <v>6717</v>
      </c>
      <c r="Y523" s="5" t="s">
        <v>6058</v>
      </c>
      <c r="Z523" s="5" t="s">
        <v>6058</v>
      </c>
      <c r="AA523" s="4">
        <v>400</v>
      </c>
      <c r="AB523" s="4">
        <v>327</v>
      </c>
      <c r="AC523" s="4">
        <v>327</v>
      </c>
      <c r="AD523" s="4">
        <v>3</v>
      </c>
      <c r="AE523" s="4">
        <v>3</v>
      </c>
      <c r="AF523" s="4">
        <v>20</v>
      </c>
      <c r="AG523" s="4">
        <v>20</v>
      </c>
      <c r="AH523" s="4">
        <v>5</v>
      </c>
      <c r="AI523" s="4">
        <v>5</v>
      </c>
      <c r="AJ523" s="4">
        <v>5</v>
      </c>
      <c r="AK523" s="4">
        <v>5</v>
      </c>
      <c r="AL523" s="4">
        <v>12</v>
      </c>
      <c r="AM523" s="4">
        <v>12</v>
      </c>
      <c r="AN523" s="4">
        <v>2</v>
      </c>
      <c r="AO523" s="4">
        <v>2</v>
      </c>
      <c r="AP523" s="4">
        <v>0</v>
      </c>
      <c r="AQ523" s="4">
        <v>0</v>
      </c>
      <c r="AR523" s="3" t="s">
        <v>62</v>
      </c>
      <c r="AS523" s="3" t="s">
        <v>62</v>
      </c>
      <c r="AU523" s="6" t="str">
        <f>HYPERLINK("https://creighton-primo.hosted.exlibrisgroup.com/primo-explore/search?tab=default_tab&amp;search_scope=EVERYTHING&amp;vid=01CRU&amp;lang=en_US&amp;offset=0&amp;query=any,contains,991000047799702656","Catalog Record")</f>
        <v>Catalog Record</v>
      </c>
      <c r="AV523" s="6" t="str">
        <f>HYPERLINK("http://www.worldcat.org/oclc/8670163","WorldCat Record")</f>
        <v>WorldCat Record</v>
      </c>
      <c r="AW523" s="3" t="s">
        <v>6718</v>
      </c>
      <c r="AX523" s="3" t="s">
        <v>6719</v>
      </c>
      <c r="AY523" s="3" t="s">
        <v>6720</v>
      </c>
      <c r="AZ523" s="3" t="s">
        <v>6720</v>
      </c>
      <c r="BA523" s="3" t="s">
        <v>6721</v>
      </c>
      <c r="BB523" s="3" t="s">
        <v>77</v>
      </c>
      <c r="BD523" s="3" t="s">
        <v>6722</v>
      </c>
      <c r="BE523" s="3" t="s">
        <v>6723</v>
      </c>
      <c r="BF523" s="3" t="s">
        <v>6724</v>
      </c>
    </row>
    <row r="524" spans="1:58" ht="41.25" customHeight="1" x14ac:dyDescent="0.25">
      <c r="A524" s="7" t="s">
        <v>62</v>
      </c>
      <c r="B524" s="2" t="s">
        <v>57</v>
      </c>
      <c r="C524" s="2" t="s">
        <v>58</v>
      </c>
      <c r="D524" s="2" t="s">
        <v>6725</v>
      </c>
      <c r="E524" s="2" t="s">
        <v>6726</v>
      </c>
      <c r="F524" s="2" t="s">
        <v>6727</v>
      </c>
      <c r="H524" s="3" t="s">
        <v>62</v>
      </c>
      <c r="I524" s="3" t="s">
        <v>63</v>
      </c>
      <c r="J524" s="3" t="s">
        <v>62</v>
      </c>
      <c r="K524" s="3" t="s">
        <v>62</v>
      </c>
      <c r="L524" s="3" t="s">
        <v>64</v>
      </c>
      <c r="M524" s="2" t="s">
        <v>6715</v>
      </c>
      <c r="N524" s="2" t="s">
        <v>6728</v>
      </c>
      <c r="O524" s="3" t="s">
        <v>67</v>
      </c>
      <c r="Q524" s="3" t="s">
        <v>68</v>
      </c>
      <c r="R524" s="3" t="s">
        <v>531</v>
      </c>
      <c r="T524" s="3" t="s">
        <v>70</v>
      </c>
      <c r="U524" s="4">
        <v>3</v>
      </c>
      <c r="V524" s="4">
        <v>3</v>
      </c>
      <c r="W524" s="5" t="s">
        <v>6717</v>
      </c>
      <c r="X524" s="5" t="s">
        <v>6717</v>
      </c>
      <c r="Y524" s="5" t="s">
        <v>6058</v>
      </c>
      <c r="Z524" s="5" t="s">
        <v>6058</v>
      </c>
      <c r="AA524" s="4">
        <v>623</v>
      </c>
      <c r="AB524" s="4">
        <v>538</v>
      </c>
      <c r="AC524" s="4">
        <v>543</v>
      </c>
      <c r="AD524" s="4">
        <v>6</v>
      </c>
      <c r="AE524" s="4">
        <v>6</v>
      </c>
      <c r="AF524" s="4">
        <v>31</v>
      </c>
      <c r="AG524" s="4">
        <v>31</v>
      </c>
      <c r="AH524" s="4">
        <v>10</v>
      </c>
      <c r="AI524" s="4">
        <v>10</v>
      </c>
      <c r="AJ524" s="4">
        <v>8</v>
      </c>
      <c r="AK524" s="4">
        <v>8</v>
      </c>
      <c r="AL524" s="4">
        <v>16</v>
      </c>
      <c r="AM524" s="4">
        <v>16</v>
      </c>
      <c r="AN524" s="4">
        <v>5</v>
      </c>
      <c r="AO524" s="4">
        <v>5</v>
      </c>
      <c r="AP524" s="4">
        <v>0</v>
      </c>
      <c r="AQ524" s="4">
        <v>0</v>
      </c>
      <c r="AR524" s="3" t="s">
        <v>62</v>
      </c>
      <c r="AS524" s="3" t="s">
        <v>62</v>
      </c>
      <c r="AU524" s="6" t="str">
        <f>HYPERLINK("https://creighton-primo.hosted.exlibrisgroup.com/primo-explore/search?tab=default_tab&amp;search_scope=EVERYTHING&amp;vid=01CRU&amp;lang=en_US&amp;offset=0&amp;query=any,contains,991001946289702656","Catalog Record")</f>
        <v>Catalog Record</v>
      </c>
      <c r="AV524" s="6" t="str">
        <f>HYPERLINK("http://www.worldcat.org/oclc/250929","WorldCat Record")</f>
        <v>WorldCat Record</v>
      </c>
      <c r="AW524" s="3" t="s">
        <v>6729</v>
      </c>
      <c r="AX524" s="3" t="s">
        <v>6730</v>
      </c>
      <c r="AY524" s="3" t="s">
        <v>6731</v>
      </c>
      <c r="AZ524" s="3" t="s">
        <v>6731</v>
      </c>
      <c r="BA524" s="3" t="s">
        <v>6732</v>
      </c>
      <c r="BB524" s="3" t="s">
        <v>77</v>
      </c>
      <c r="BD524" s="3" t="s">
        <v>6733</v>
      </c>
      <c r="BE524" s="3" t="s">
        <v>6734</v>
      </c>
      <c r="BF524" s="3" t="s">
        <v>6735</v>
      </c>
    </row>
    <row r="525" spans="1:58" ht="41.25" customHeight="1" x14ac:dyDescent="0.25">
      <c r="A525" s="7" t="s">
        <v>62</v>
      </c>
      <c r="B525" s="2" t="s">
        <v>57</v>
      </c>
      <c r="C525" s="2" t="s">
        <v>58</v>
      </c>
      <c r="D525" s="2" t="s">
        <v>6736</v>
      </c>
      <c r="E525" s="2" t="s">
        <v>6737</v>
      </c>
      <c r="F525" s="2" t="s">
        <v>6738</v>
      </c>
      <c r="H525" s="3" t="s">
        <v>62</v>
      </c>
      <c r="I525" s="3" t="s">
        <v>63</v>
      </c>
      <c r="J525" s="3" t="s">
        <v>62</v>
      </c>
      <c r="K525" s="3" t="s">
        <v>62</v>
      </c>
      <c r="L525" s="3" t="s">
        <v>64</v>
      </c>
      <c r="N525" s="2" t="s">
        <v>6739</v>
      </c>
      <c r="O525" s="3" t="s">
        <v>67</v>
      </c>
      <c r="Q525" s="3" t="s">
        <v>68</v>
      </c>
      <c r="R525" s="3" t="s">
        <v>204</v>
      </c>
      <c r="S525" s="2" t="s">
        <v>6740</v>
      </c>
      <c r="T525" s="3" t="s">
        <v>70</v>
      </c>
      <c r="U525" s="4">
        <v>3</v>
      </c>
      <c r="V525" s="4">
        <v>3</v>
      </c>
      <c r="W525" s="5" t="s">
        <v>6741</v>
      </c>
      <c r="X525" s="5" t="s">
        <v>6741</v>
      </c>
      <c r="Y525" s="5" t="s">
        <v>6058</v>
      </c>
      <c r="Z525" s="5" t="s">
        <v>6058</v>
      </c>
      <c r="AA525" s="4">
        <v>580</v>
      </c>
      <c r="AB525" s="4">
        <v>468</v>
      </c>
      <c r="AC525" s="4">
        <v>470</v>
      </c>
      <c r="AD525" s="4">
        <v>2</v>
      </c>
      <c r="AE525" s="4">
        <v>2</v>
      </c>
      <c r="AF525" s="4">
        <v>21</v>
      </c>
      <c r="AG525" s="4">
        <v>21</v>
      </c>
      <c r="AH525" s="4">
        <v>4</v>
      </c>
      <c r="AI525" s="4">
        <v>4</v>
      </c>
      <c r="AJ525" s="4">
        <v>4</v>
      </c>
      <c r="AK525" s="4">
        <v>4</v>
      </c>
      <c r="AL525" s="4">
        <v>12</v>
      </c>
      <c r="AM525" s="4">
        <v>12</v>
      </c>
      <c r="AN525" s="4">
        <v>1</v>
      </c>
      <c r="AO525" s="4">
        <v>1</v>
      </c>
      <c r="AP525" s="4">
        <v>4</v>
      </c>
      <c r="AQ525" s="4">
        <v>4</v>
      </c>
      <c r="AR525" s="3" t="s">
        <v>62</v>
      </c>
      <c r="AS525" s="3" t="s">
        <v>84</v>
      </c>
      <c r="AT525" s="6" t="str">
        <f>HYPERLINK("http://catalog.hathitrust.org/Record/001392409","HathiTrust Record")</f>
        <v>HathiTrust Record</v>
      </c>
      <c r="AU525" s="6" t="str">
        <f>HYPERLINK("https://creighton-primo.hosted.exlibrisgroup.com/primo-explore/search?tab=default_tab&amp;search_scope=EVERYTHING&amp;vid=01CRU&amp;lang=en_US&amp;offset=0&amp;query=any,contains,991000740969702656","Catalog Record")</f>
        <v>Catalog Record</v>
      </c>
      <c r="AV525" s="6" t="str">
        <f>HYPERLINK("http://www.worldcat.org/oclc/129371","WorldCat Record")</f>
        <v>WorldCat Record</v>
      </c>
      <c r="AW525" s="3" t="s">
        <v>6742</v>
      </c>
      <c r="AX525" s="3" t="s">
        <v>6743</v>
      </c>
      <c r="AY525" s="3" t="s">
        <v>6744</v>
      </c>
      <c r="AZ525" s="3" t="s">
        <v>6744</v>
      </c>
      <c r="BA525" s="3" t="s">
        <v>6745</v>
      </c>
      <c r="BB525" s="3" t="s">
        <v>77</v>
      </c>
      <c r="BD525" s="3" t="s">
        <v>6746</v>
      </c>
      <c r="BE525" s="3" t="s">
        <v>6747</v>
      </c>
      <c r="BF525" s="3" t="s">
        <v>6748</v>
      </c>
    </row>
    <row r="526" spans="1:58" ht="41.25" customHeight="1" x14ac:dyDescent="0.25">
      <c r="A526" s="7" t="s">
        <v>62</v>
      </c>
      <c r="B526" s="2" t="s">
        <v>57</v>
      </c>
      <c r="C526" s="2" t="s">
        <v>58</v>
      </c>
      <c r="D526" s="2" t="s">
        <v>6749</v>
      </c>
      <c r="E526" s="2" t="s">
        <v>6750</v>
      </c>
      <c r="F526" s="2" t="s">
        <v>6751</v>
      </c>
      <c r="H526" s="3" t="s">
        <v>62</v>
      </c>
      <c r="I526" s="3" t="s">
        <v>63</v>
      </c>
      <c r="J526" s="3" t="s">
        <v>62</v>
      </c>
      <c r="K526" s="3" t="s">
        <v>62</v>
      </c>
      <c r="L526" s="3" t="s">
        <v>64</v>
      </c>
      <c r="N526" s="2" t="s">
        <v>6752</v>
      </c>
      <c r="O526" s="3" t="s">
        <v>1533</v>
      </c>
      <c r="Q526" s="3" t="s">
        <v>68</v>
      </c>
      <c r="R526" s="3" t="s">
        <v>204</v>
      </c>
      <c r="S526" s="2" t="s">
        <v>6753</v>
      </c>
      <c r="T526" s="3" t="s">
        <v>70</v>
      </c>
      <c r="U526" s="4">
        <v>3</v>
      </c>
      <c r="V526" s="4">
        <v>3</v>
      </c>
      <c r="W526" s="5" t="s">
        <v>6754</v>
      </c>
      <c r="X526" s="5" t="s">
        <v>6754</v>
      </c>
      <c r="Y526" s="5" t="s">
        <v>6058</v>
      </c>
      <c r="Z526" s="5" t="s">
        <v>6058</v>
      </c>
      <c r="AA526" s="4">
        <v>621</v>
      </c>
      <c r="AB526" s="4">
        <v>511</v>
      </c>
      <c r="AC526" s="4">
        <v>533</v>
      </c>
      <c r="AD526" s="4">
        <v>4</v>
      </c>
      <c r="AE526" s="4">
        <v>4</v>
      </c>
      <c r="AF526" s="4">
        <v>23</v>
      </c>
      <c r="AG526" s="4">
        <v>23</v>
      </c>
      <c r="AH526" s="4">
        <v>7</v>
      </c>
      <c r="AI526" s="4">
        <v>7</v>
      </c>
      <c r="AJ526" s="4">
        <v>6</v>
      </c>
      <c r="AK526" s="4">
        <v>6</v>
      </c>
      <c r="AL526" s="4">
        <v>12</v>
      </c>
      <c r="AM526" s="4">
        <v>12</v>
      </c>
      <c r="AN526" s="4">
        <v>3</v>
      </c>
      <c r="AO526" s="4">
        <v>3</v>
      </c>
      <c r="AP526" s="4">
        <v>0</v>
      </c>
      <c r="AQ526" s="4">
        <v>0</v>
      </c>
      <c r="AR526" s="3" t="s">
        <v>62</v>
      </c>
      <c r="AS526" s="3" t="s">
        <v>62</v>
      </c>
      <c r="AT526" s="6" t="str">
        <f>HYPERLINK("http://catalog.hathitrust.org/Record/007849553","HathiTrust Record")</f>
        <v>HathiTrust Record</v>
      </c>
      <c r="AU526" s="6" t="str">
        <f>HYPERLINK("https://creighton-primo.hosted.exlibrisgroup.com/primo-explore/search?tab=default_tab&amp;search_scope=EVERYTHING&amp;vid=01CRU&amp;lang=en_US&amp;offset=0&amp;query=any,contains,991003366389702656","Catalog Record")</f>
        <v>Catalog Record</v>
      </c>
      <c r="AV526" s="6" t="str">
        <f>HYPERLINK("http://www.worldcat.org/oclc/902319","WorldCat Record")</f>
        <v>WorldCat Record</v>
      </c>
      <c r="AW526" s="3" t="s">
        <v>6755</v>
      </c>
      <c r="AX526" s="3" t="s">
        <v>6756</v>
      </c>
      <c r="AY526" s="3" t="s">
        <v>6757</v>
      </c>
      <c r="AZ526" s="3" t="s">
        <v>6757</v>
      </c>
      <c r="BA526" s="3" t="s">
        <v>6758</v>
      </c>
      <c r="BB526" s="3" t="s">
        <v>77</v>
      </c>
      <c r="BD526" s="3" t="s">
        <v>6759</v>
      </c>
      <c r="BE526" s="3" t="s">
        <v>6760</v>
      </c>
      <c r="BF526" s="3" t="s">
        <v>6761</v>
      </c>
    </row>
    <row r="527" spans="1:58" ht="41.25" customHeight="1" x14ac:dyDescent="0.25">
      <c r="A527" s="7" t="s">
        <v>62</v>
      </c>
      <c r="B527" s="2" t="s">
        <v>57</v>
      </c>
      <c r="C527" s="2" t="s">
        <v>58</v>
      </c>
      <c r="D527" s="2" t="s">
        <v>6762</v>
      </c>
      <c r="E527" s="2" t="s">
        <v>6763</v>
      </c>
      <c r="F527" s="2" t="s">
        <v>6764</v>
      </c>
      <c r="H527" s="3" t="s">
        <v>62</v>
      </c>
      <c r="I527" s="3" t="s">
        <v>63</v>
      </c>
      <c r="J527" s="3" t="s">
        <v>62</v>
      </c>
      <c r="K527" s="3" t="s">
        <v>62</v>
      </c>
      <c r="L527" s="3" t="s">
        <v>64</v>
      </c>
      <c r="N527" s="2" t="s">
        <v>5980</v>
      </c>
      <c r="O527" s="3" t="s">
        <v>561</v>
      </c>
      <c r="Q527" s="3" t="s">
        <v>68</v>
      </c>
      <c r="R527" s="3" t="s">
        <v>69</v>
      </c>
      <c r="S527" s="2" t="s">
        <v>6765</v>
      </c>
      <c r="T527" s="3" t="s">
        <v>70</v>
      </c>
      <c r="U527" s="4">
        <v>2</v>
      </c>
      <c r="V527" s="4">
        <v>2</v>
      </c>
      <c r="W527" s="5" t="s">
        <v>6766</v>
      </c>
      <c r="X527" s="5" t="s">
        <v>6766</v>
      </c>
      <c r="Y527" s="5" t="s">
        <v>6058</v>
      </c>
      <c r="Z527" s="5" t="s">
        <v>6058</v>
      </c>
      <c r="AA527" s="4">
        <v>670</v>
      </c>
      <c r="AB527" s="4">
        <v>569</v>
      </c>
      <c r="AC527" s="4">
        <v>586</v>
      </c>
      <c r="AD527" s="4">
        <v>5</v>
      </c>
      <c r="AE527" s="4">
        <v>5</v>
      </c>
      <c r="AF527" s="4">
        <v>33</v>
      </c>
      <c r="AG527" s="4">
        <v>34</v>
      </c>
      <c r="AH527" s="4">
        <v>12</v>
      </c>
      <c r="AI527" s="4">
        <v>13</v>
      </c>
      <c r="AJ527" s="4">
        <v>7</v>
      </c>
      <c r="AK527" s="4">
        <v>7</v>
      </c>
      <c r="AL527" s="4">
        <v>19</v>
      </c>
      <c r="AM527" s="4">
        <v>20</v>
      </c>
      <c r="AN527" s="4">
        <v>3</v>
      </c>
      <c r="AO527" s="4">
        <v>3</v>
      </c>
      <c r="AP527" s="4">
        <v>0</v>
      </c>
      <c r="AQ527" s="4">
        <v>0</v>
      </c>
      <c r="AR527" s="3" t="s">
        <v>62</v>
      </c>
      <c r="AS527" s="3" t="s">
        <v>84</v>
      </c>
      <c r="AT527" s="6" t="str">
        <f>HYPERLINK("http://catalog.hathitrust.org/Record/000830055","HathiTrust Record")</f>
        <v>HathiTrust Record</v>
      </c>
      <c r="AU527" s="6" t="str">
        <f>HYPERLINK("https://creighton-primo.hosted.exlibrisgroup.com/primo-explore/search?tab=default_tab&amp;search_scope=EVERYTHING&amp;vid=01CRU&amp;lang=en_US&amp;offset=0&amp;query=any,contains,991000828819702656","Catalog Record")</f>
        <v>Catalog Record</v>
      </c>
      <c r="AV527" s="6" t="str">
        <f>HYPERLINK("http://www.worldcat.org/oclc/13426409","WorldCat Record")</f>
        <v>WorldCat Record</v>
      </c>
      <c r="AW527" s="3" t="s">
        <v>6767</v>
      </c>
      <c r="AX527" s="3" t="s">
        <v>6768</v>
      </c>
      <c r="AY527" s="3" t="s">
        <v>6769</v>
      </c>
      <c r="AZ527" s="3" t="s">
        <v>6769</v>
      </c>
      <c r="BA527" s="3" t="s">
        <v>6770</v>
      </c>
      <c r="BB527" s="3" t="s">
        <v>77</v>
      </c>
      <c r="BD527" s="3" t="s">
        <v>6771</v>
      </c>
      <c r="BE527" s="3" t="s">
        <v>6772</v>
      </c>
      <c r="BF527" s="3" t="s">
        <v>6773</v>
      </c>
    </row>
    <row r="528" spans="1:58" ht="41.25" customHeight="1" x14ac:dyDescent="0.25">
      <c r="A528" s="7" t="s">
        <v>62</v>
      </c>
      <c r="B528" s="2" t="s">
        <v>57</v>
      </c>
      <c r="C528" s="2" t="s">
        <v>58</v>
      </c>
      <c r="D528" s="2" t="s">
        <v>6774</v>
      </c>
      <c r="E528" s="2" t="s">
        <v>6775</v>
      </c>
      <c r="F528" s="2" t="s">
        <v>6776</v>
      </c>
      <c r="H528" s="3" t="s">
        <v>62</v>
      </c>
      <c r="I528" s="3" t="s">
        <v>63</v>
      </c>
      <c r="J528" s="3" t="s">
        <v>62</v>
      </c>
      <c r="K528" s="3" t="s">
        <v>62</v>
      </c>
      <c r="L528" s="3" t="s">
        <v>64</v>
      </c>
      <c r="M528" s="2" t="s">
        <v>6777</v>
      </c>
      <c r="N528" s="2" t="s">
        <v>6778</v>
      </c>
      <c r="O528" s="3" t="s">
        <v>561</v>
      </c>
      <c r="Q528" s="3" t="s">
        <v>68</v>
      </c>
      <c r="R528" s="3" t="s">
        <v>69</v>
      </c>
      <c r="T528" s="3" t="s">
        <v>70</v>
      </c>
      <c r="U528" s="4">
        <v>3</v>
      </c>
      <c r="V528" s="4">
        <v>3</v>
      </c>
      <c r="W528" s="5" t="s">
        <v>6779</v>
      </c>
      <c r="X528" s="5" t="s">
        <v>6779</v>
      </c>
      <c r="Y528" s="5" t="s">
        <v>6058</v>
      </c>
      <c r="Z528" s="5" t="s">
        <v>6058</v>
      </c>
      <c r="AA528" s="4">
        <v>247</v>
      </c>
      <c r="AB528" s="4">
        <v>207</v>
      </c>
      <c r="AC528" s="4">
        <v>227</v>
      </c>
      <c r="AD528" s="4">
        <v>1</v>
      </c>
      <c r="AE528" s="4">
        <v>1</v>
      </c>
      <c r="AF528" s="4">
        <v>14</v>
      </c>
      <c r="AG528" s="4">
        <v>17</v>
      </c>
      <c r="AH528" s="4">
        <v>4</v>
      </c>
      <c r="AI528" s="4">
        <v>5</v>
      </c>
      <c r="AJ528" s="4">
        <v>2</v>
      </c>
      <c r="AK528" s="4">
        <v>3</v>
      </c>
      <c r="AL528" s="4">
        <v>10</v>
      </c>
      <c r="AM528" s="4">
        <v>12</v>
      </c>
      <c r="AN528" s="4">
        <v>0</v>
      </c>
      <c r="AO528" s="4">
        <v>0</v>
      </c>
      <c r="AP528" s="4">
        <v>0</v>
      </c>
      <c r="AQ528" s="4">
        <v>0</v>
      </c>
      <c r="AR528" s="3" t="s">
        <v>62</v>
      </c>
      <c r="AS528" s="3" t="s">
        <v>62</v>
      </c>
      <c r="AU528" s="6" t="str">
        <f>HYPERLINK("https://creighton-primo.hosted.exlibrisgroup.com/primo-explore/search?tab=default_tab&amp;search_scope=EVERYTHING&amp;vid=01CRU&amp;lang=en_US&amp;offset=0&amp;query=any,contains,991000926419702656","Catalog Record")</f>
        <v>Catalog Record</v>
      </c>
      <c r="AV528" s="6" t="str">
        <f>HYPERLINK("http://www.worldcat.org/oclc/14240500","WorldCat Record")</f>
        <v>WorldCat Record</v>
      </c>
      <c r="AW528" s="3" t="s">
        <v>6780</v>
      </c>
      <c r="AX528" s="3" t="s">
        <v>6781</v>
      </c>
      <c r="AY528" s="3" t="s">
        <v>6782</v>
      </c>
      <c r="AZ528" s="3" t="s">
        <v>6782</v>
      </c>
      <c r="BA528" s="3" t="s">
        <v>6783</v>
      </c>
      <c r="BB528" s="3" t="s">
        <v>77</v>
      </c>
      <c r="BD528" s="3" t="s">
        <v>6784</v>
      </c>
      <c r="BE528" s="3" t="s">
        <v>6785</v>
      </c>
      <c r="BF528" s="3" t="s">
        <v>6786</v>
      </c>
    </row>
    <row r="529" spans="1:58" ht="41.25" customHeight="1" x14ac:dyDescent="0.25">
      <c r="A529" s="7" t="s">
        <v>62</v>
      </c>
      <c r="B529" s="2" t="s">
        <v>57</v>
      </c>
      <c r="C529" s="2" t="s">
        <v>58</v>
      </c>
      <c r="D529" s="2" t="s">
        <v>6787</v>
      </c>
      <c r="E529" s="2" t="s">
        <v>6788</v>
      </c>
      <c r="F529" s="2" t="s">
        <v>6789</v>
      </c>
      <c r="H529" s="3" t="s">
        <v>62</v>
      </c>
      <c r="I529" s="3" t="s">
        <v>63</v>
      </c>
      <c r="J529" s="3" t="s">
        <v>62</v>
      </c>
      <c r="K529" s="3" t="s">
        <v>62</v>
      </c>
      <c r="L529" s="3" t="s">
        <v>64</v>
      </c>
      <c r="N529" s="2" t="s">
        <v>6790</v>
      </c>
      <c r="O529" s="3" t="s">
        <v>6791</v>
      </c>
      <c r="Q529" s="3" t="s">
        <v>68</v>
      </c>
      <c r="R529" s="3" t="s">
        <v>698</v>
      </c>
      <c r="S529" s="2" t="s">
        <v>6792</v>
      </c>
      <c r="T529" s="3" t="s">
        <v>70</v>
      </c>
      <c r="U529" s="4">
        <v>1</v>
      </c>
      <c r="V529" s="4">
        <v>1</v>
      </c>
      <c r="W529" s="5" t="s">
        <v>6793</v>
      </c>
      <c r="X529" s="5" t="s">
        <v>6793</v>
      </c>
      <c r="Y529" s="5" t="s">
        <v>6794</v>
      </c>
      <c r="Z529" s="5" t="s">
        <v>6794</v>
      </c>
      <c r="AA529" s="4">
        <v>242</v>
      </c>
      <c r="AB529" s="4">
        <v>159</v>
      </c>
      <c r="AC529" s="4">
        <v>171</v>
      </c>
      <c r="AD529" s="4">
        <v>2</v>
      </c>
      <c r="AE529" s="4">
        <v>2</v>
      </c>
      <c r="AF529" s="4">
        <v>7</v>
      </c>
      <c r="AG529" s="4">
        <v>7</v>
      </c>
      <c r="AH529" s="4">
        <v>0</v>
      </c>
      <c r="AI529" s="4">
        <v>0</v>
      </c>
      <c r="AJ529" s="4">
        <v>2</v>
      </c>
      <c r="AK529" s="4">
        <v>2</v>
      </c>
      <c r="AL529" s="4">
        <v>5</v>
      </c>
      <c r="AM529" s="4">
        <v>5</v>
      </c>
      <c r="AN529" s="4">
        <v>1</v>
      </c>
      <c r="AO529" s="4">
        <v>1</v>
      </c>
      <c r="AP529" s="4">
        <v>0</v>
      </c>
      <c r="AQ529" s="4">
        <v>0</v>
      </c>
      <c r="AR529" s="3" t="s">
        <v>62</v>
      </c>
      <c r="AS529" s="3" t="s">
        <v>62</v>
      </c>
      <c r="AU529" s="6" t="str">
        <f>HYPERLINK("https://creighton-primo.hosted.exlibrisgroup.com/primo-explore/search?tab=default_tab&amp;search_scope=EVERYTHING&amp;vid=01CRU&amp;lang=en_US&amp;offset=0&amp;query=any,contains,991002450789702656","Catalog Record")</f>
        <v>Catalog Record</v>
      </c>
      <c r="AV529" s="6" t="str">
        <f>HYPERLINK("http://www.worldcat.org/oclc/31969450","WorldCat Record")</f>
        <v>WorldCat Record</v>
      </c>
      <c r="AW529" s="3" t="s">
        <v>6795</v>
      </c>
      <c r="AX529" s="3" t="s">
        <v>6796</v>
      </c>
      <c r="AY529" s="3" t="s">
        <v>6797</v>
      </c>
      <c r="AZ529" s="3" t="s">
        <v>6797</v>
      </c>
      <c r="BA529" s="3" t="s">
        <v>6798</v>
      </c>
      <c r="BB529" s="3" t="s">
        <v>77</v>
      </c>
      <c r="BD529" s="3" t="s">
        <v>6799</v>
      </c>
      <c r="BE529" s="3" t="s">
        <v>6800</v>
      </c>
      <c r="BF529" s="3" t="s">
        <v>6801</v>
      </c>
    </row>
    <row r="530" spans="1:58" ht="41.25" customHeight="1" x14ac:dyDescent="0.25">
      <c r="A530" s="7" t="s">
        <v>62</v>
      </c>
      <c r="B530" s="2" t="s">
        <v>57</v>
      </c>
      <c r="C530" s="2" t="s">
        <v>58</v>
      </c>
      <c r="D530" s="2" t="s">
        <v>6802</v>
      </c>
      <c r="E530" s="2" t="s">
        <v>6803</v>
      </c>
      <c r="F530" s="2" t="s">
        <v>6804</v>
      </c>
      <c r="H530" s="3" t="s">
        <v>62</v>
      </c>
      <c r="I530" s="3" t="s">
        <v>63</v>
      </c>
      <c r="J530" s="3" t="s">
        <v>62</v>
      </c>
      <c r="K530" s="3" t="s">
        <v>62</v>
      </c>
      <c r="L530" s="3" t="s">
        <v>64</v>
      </c>
      <c r="M530" s="2" t="s">
        <v>2663</v>
      </c>
      <c r="N530" s="2" t="s">
        <v>6805</v>
      </c>
      <c r="O530" s="3" t="s">
        <v>1533</v>
      </c>
      <c r="Q530" s="3" t="s">
        <v>68</v>
      </c>
      <c r="R530" s="3" t="s">
        <v>88</v>
      </c>
      <c r="T530" s="3" t="s">
        <v>70</v>
      </c>
      <c r="U530" s="4">
        <v>3</v>
      </c>
      <c r="V530" s="4">
        <v>3</v>
      </c>
      <c r="W530" s="5" t="s">
        <v>6806</v>
      </c>
      <c r="X530" s="5" t="s">
        <v>6806</v>
      </c>
      <c r="Y530" s="5" t="s">
        <v>5427</v>
      </c>
      <c r="Z530" s="5" t="s">
        <v>5427</v>
      </c>
      <c r="AA530" s="4">
        <v>304</v>
      </c>
      <c r="AB530" s="4">
        <v>269</v>
      </c>
      <c r="AC530" s="4">
        <v>275</v>
      </c>
      <c r="AD530" s="4">
        <v>2</v>
      </c>
      <c r="AE530" s="4">
        <v>2</v>
      </c>
      <c r="AF530" s="4">
        <v>14</v>
      </c>
      <c r="AG530" s="4">
        <v>14</v>
      </c>
      <c r="AH530" s="4">
        <v>5</v>
      </c>
      <c r="AI530" s="4">
        <v>5</v>
      </c>
      <c r="AJ530" s="4">
        <v>4</v>
      </c>
      <c r="AK530" s="4">
        <v>4</v>
      </c>
      <c r="AL530" s="4">
        <v>8</v>
      </c>
      <c r="AM530" s="4">
        <v>8</v>
      </c>
      <c r="AN530" s="4">
        <v>1</v>
      </c>
      <c r="AO530" s="4">
        <v>1</v>
      </c>
      <c r="AP530" s="4">
        <v>0</v>
      </c>
      <c r="AQ530" s="4">
        <v>0</v>
      </c>
      <c r="AR530" s="3" t="s">
        <v>62</v>
      </c>
      <c r="AS530" s="3" t="s">
        <v>62</v>
      </c>
      <c r="AU530" s="6" t="str">
        <f>HYPERLINK("https://creighton-primo.hosted.exlibrisgroup.com/primo-explore/search?tab=default_tab&amp;search_scope=EVERYTHING&amp;vid=01CRU&amp;lang=en_US&amp;offset=0&amp;query=any,contains,991003500289702656","Catalog Record")</f>
        <v>Catalog Record</v>
      </c>
      <c r="AV530" s="6" t="str">
        <f>HYPERLINK("http://www.worldcat.org/oclc/1052885","WorldCat Record")</f>
        <v>WorldCat Record</v>
      </c>
      <c r="AW530" s="3" t="s">
        <v>6807</v>
      </c>
      <c r="AX530" s="3" t="s">
        <v>6808</v>
      </c>
      <c r="AY530" s="3" t="s">
        <v>6809</v>
      </c>
      <c r="AZ530" s="3" t="s">
        <v>6809</v>
      </c>
      <c r="BA530" s="3" t="s">
        <v>6810</v>
      </c>
      <c r="BB530" s="3" t="s">
        <v>77</v>
      </c>
      <c r="BE530" s="3" t="s">
        <v>6811</v>
      </c>
      <c r="BF530" s="3" t="s">
        <v>6812</v>
      </c>
    </row>
    <row r="531" spans="1:58" ht="41.25" customHeight="1" x14ac:dyDescent="0.25">
      <c r="A531" s="7" t="s">
        <v>62</v>
      </c>
      <c r="B531" s="2" t="s">
        <v>57</v>
      </c>
      <c r="C531" s="2" t="s">
        <v>58</v>
      </c>
      <c r="D531" s="2" t="s">
        <v>6813</v>
      </c>
      <c r="E531" s="2" t="s">
        <v>6814</v>
      </c>
      <c r="F531" s="2" t="s">
        <v>6815</v>
      </c>
      <c r="H531" s="3" t="s">
        <v>62</v>
      </c>
      <c r="I531" s="3" t="s">
        <v>63</v>
      </c>
      <c r="J531" s="3" t="s">
        <v>62</v>
      </c>
      <c r="K531" s="3" t="s">
        <v>62</v>
      </c>
      <c r="L531" s="3" t="s">
        <v>64</v>
      </c>
      <c r="N531" s="2" t="s">
        <v>6816</v>
      </c>
      <c r="O531" s="3" t="s">
        <v>1820</v>
      </c>
      <c r="Q531" s="3" t="s">
        <v>68</v>
      </c>
      <c r="R531" s="3" t="s">
        <v>204</v>
      </c>
      <c r="S531" s="2" t="s">
        <v>6817</v>
      </c>
      <c r="T531" s="3" t="s">
        <v>70</v>
      </c>
      <c r="U531" s="4">
        <v>1</v>
      </c>
      <c r="V531" s="4">
        <v>1</v>
      </c>
      <c r="W531" s="5" t="s">
        <v>6818</v>
      </c>
      <c r="X531" s="5" t="s">
        <v>6818</v>
      </c>
      <c r="Y531" s="5" t="s">
        <v>5427</v>
      </c>
      <c r="Z531" s="5" t="s">
        <v>5427</v>
      </c>
      <c r="AA531" s="4">
        <v>314</v>
      </c>
      <c r="AB531" s="4">
        <v>253</v>
      </c>
      <c r="AC531" s="4">
        <v>292</v>
      </c>
      <c r="AD531" s="4">
        <v>2</v>
      </c>
      <c r="AE531" s="4">
        <v>2</v>
      </c>
      <c r="AF531" s="4">
        <v>14</v>
      </c>
      <c r="AG531" s="4">
        <v>17</v>
      </c>
      <c r="AH531" s="4">
        <v>3</v>
      </c>
      <c r="AI531" s="4">
        <v>4</v>
      </c>
      <c r="AJ531" s="4">
        <v>3</v>
      </c>
      <c r="AK531" s="4">
        <v>3</v>
      </c>
      <c r="AL531" s="4">
        <v>12</v>
      </c>
      <c r="AM531" s="4">
        <v>14</v>
      </c>
      <c r="AN531" s="4">
        <v>1</v>
      </c>
      <c r="AO531" s="4">
        <v>1</v>
      </c>
      <c r="AP531" s="4">
        <v>0</v>
      </c>
      <c r="AQ531" s="4">
        <v>0</v>
      </c>
      <c r="AR531" s="3" t="s">
        <v>62</v>
      </c>
      <c r="AS531" s="3" t="s">
        <v>84</v>
      </c>
      <c r="AT531" s="6" t="str">
        <f>HYPERLINK("http://catalog.hathitrust.org/Record/101973757","HathiTrust Record")</f>
        <v>HathiTrust Record</v>
      </c>
      <c r="AU531" s="6" t="str">
        <f>HYPERLINK("https://creighton-primo.hosted.exlibrisgroup.com/primo-explore/search?tab=default_tab&amp;search_scope=EVERYTHING&amp;vid=01CRU&amp;lang=en_US&amp;offset=0&amp;query=any,contains,991004873069702656","Catalog Record")</f>
        <v>Catalog Record</v>
      </c>
      <c r="AV531" s="6" t="str">
        <f>HYPERLINK("http://www.worldcat.org/oclc/5776177","WorldCat Record")</f>
        <v>WorldCat Record</v>
      </c>
      <c r="AW531" s="3" t="s">
        <v>6819</v>
      </c>
      <c r="AX531" s="3" t="s">
        <v>6820</v>
      </c>
      <c r="AY531" s="3" t="s">
        <v>6821</v>
      </c>
      <c r="AZ531" s="3" t="s">
        <v>6821</v>
      </c>
      <c r="BA531" s="3" t="s">
        <v>6822</v>
      </c>
      <c r="BB531" s="3" t="s">
        <v>77</v>
      </c>
      <c r="BD531" s="3" t="s">
        <v>6823</v>
      </c>
      <c r="BE531" s="3" t="s">
        <v>6824</v>
      </c>
      <c r="BF531" s="3" t="s">
        <v>6825</v>
      </c>
    </row>
    <row r="532" spans="1:58" ht="41.25" customHeight="1" x14ac:dyDescent="0.25">
      <c r="A532" s="7" t="s">
        <v>62</v>
      </c>
      <c r="B532" s="2" t="s">
        <v>57</v>
      </c>
      <c r="C532" s="2" t="s">
        <v>58</v>
      </c>
      <c r="D532" s="2" t="s">
        <v>6826</v>
      </c>
      <c r="E532" s="2" t="s">
        <v>6827</v>
      </c>
      <c r="F532" s="2" t="s">
        <v>6828</v>
      </c>
      <c r="H532" s="3" t="s">
        <v>62</v>
      </c>
      <c r="I532" s="3" t="s">
        <v>63</v>
      </c>
      <c r="J532" s="3" t="s">
        <v>62</v>
      </c>
      <c r="K532" s="3" t="s">
        <v>62</v>
      </c>
      <c r="L532" s="3" t="s">
        <v>64</v>
      </c>
      <c r="N532" s="2" t="s">
        <v>6829</v>
      </c>
      <c r="O532" s="3" t="s">
        <v>804</v>
      </c>
      <c r="Q532" s="3" t="s">
        <v>860</v>
      </c>
      <c r="R532" s="3" t="s">
        <v>6830</v>
      </c>
      <c r="S532" s="2" t="s">
        <v>6831</v>
      </c>
      <c r="T532" s="3" t="s">
        <v>70</v>
      </c>
      <c r="U532" s="4">
        <v>2</v>
      </c>
      <c r="V532" s="4">
        <v>2</v>
      </c>
      <c r="W532" s="5" t="s">
        <v>6832</v>
      </c>
      <c r="X532" s="5" t="s">
        <v>6832</v>
      </c>
      <c r="Y532" s="5" t="s">
        <v>5427</v>
      </c>
      <c r="Z532" s="5" t="s">
        <v>5427</v>
      </c>
      <c r="AA532" s="4">
        <v>70</v>
      </c>
      <c r="AB532" s="4">
        <v>45</v>
      </c>
      <c r="AC532" s="4">
        <v>46</v>
      </c>
      <c r="AD532" s="4">
        <v>1</v>
      </c>
      <c r="AE532" s="4">
        <v>1</v>
      </c>
      <c r="AF532" s="4">
        <v>4</v>
      </c>
      <c r="AG532" s="4">
        <v>4</v>
      </c>
      <c r="AH532" s="4">
        <v>1</v>
      </c>
      <c r="AI532" s="4">
        <v>1</v>
      </c>
      <c r="AJ532" s="4">
        <v>1</v>
      </c>
      <c r="AK532" s="4">
        <v>1</v>
      </c>
      <c r="AL532" s="4">
        <v>4</v>
      </c>
      <c r="AM532" s="4">
        <v>4</v>
      </c>
      <c r="AN532" s="4">
        <v>0</v>
      </c>
      <c r="AO532" s="4">
        <v>0</v>
      </c>
      <c r="AP532" s="4">
        <v>0</v>
      </c>
      <c r="AQ532" s="4">
        <v>0</v>
      </c>
      <c r="AR532" s="3" t="s">
        <v>62</v>
      </c>
      <c r="AS532" s="3" t="s">
        <v>84</v>
      </c>
      <c r="AT532" s="6" t="str">
        <f>HYPERLINK("http://catalog.hathitrust.org/Record/101884985","HathiTrust Record")</f>
        <v>HathiTrust Record</v>
      </c>
      <c r="AU532" s="6" t="str">
        <f>HYPERLINK("https://creighton-primo.hosted.exlibrisgroup.com/primo-explore/search?tab=default_tab&amp;search_scope=EVERYTHING&amp;vid=01CRU&amp;lang=en_US&amp;offset=0&amp;query=any,contains,991001239969702656","Catalog Record")</f>
        <v>Catalog Record</v>
      </c>
      <c r="AV532" s="6" t="str">
        <f>HYPERLINK("http://www.worldcat.org/oclc/17618087","WorldCat Record")</f>
        <v>WorldCat Record</v>
      </c>
      <c r="AW532" s="3" t="s">
        <v>6833</v>
      </c>
      <c r="AX532" s="3" t="s">
        <v>6834</v>
      </c>
      <c r="AY532" s="3" t="s">
        <v>6835</v>
      </c>
      <c r="AZ532" s="3" t="s">
        <v>6835</v>
      </c>
      <c r="BA532" s="3" t="s">
        <v>6836</v>
      </c>
      <c r="BB532" s="3" t="s">
        <v>77</v>
      </c>
      <c r="BD532" s="3" t="s">
        <v>6837</v>
      </c>
      <c r="BE532" s="3" t="s">
        <v>6838</v>
      </c>
      <c r="BF532" s="3" t="s">
        <v>6839</v>
      </c>
    </row>
    <row r="533" spans="1:58" ht="41.25" customHeight="1" x14ac:dyDescent="0.25">
      <c r="A533" s="7" t="s">
        <v>62</v>
      </c>
      <c r="B533" s="2" t="s">
        <v>57</v>
      </c>
      <c r="C533" s="2" t="s">
        <v>58</v>
      </c>
      <c r="D533" s="2" t="s">
        <v>6840</v>
      </c>
      <c r="E533" s="2" t="s">
        <v>6841</v>
      </c>
      <c r="F533" s="2" t="s">
        <v>6842</v>
      </c>
      <c r="H533" s="3" t="s">
        <v>62</v>
      </c>
      <c r="I533" s="3" t="s">
        <v>63</v>
      </c>
      <c r="J533" s="3" t="s">
        <v>62</v>
      </c>
      <c r="K533" s="3" t="s">
        <v>62</v>
      </c>
      <c r="L533" s="3" t="s">
        <v>64</v>
      </c>
      <c r="M533" s="2" t="s">
        <v>6843</v>
      </c>
      <c r="N533" s="2" t="s">
        <v>6844</v>
      </c>
      <c r="O533" s="3" t="s">
        <v>1820</v>
      </c>
      <c r="Q533" s="3" t="s">
        <v>68</v>
      </c>
      <c r="R533" s="3" t="s">
        <v>297</v>
      </c>
      <c r="S533" s="2" t="s">
        <v>6845</v>
      </c>
      <c r="T533" s="3" t="s">
        <v>70</v>
      </c>
      <c r="U533" s="4">
        <v>7</v>
      </c>
      <c r="V533" s="4">
        <v>7</v>
      </c>
      <c r="W533" s="5" t="s">
        <v>6846</v>
      </c>
      <c r="X533" s="5" t="s">
        <v>6846</v>
      </c>
      <c r="Y533" s="5" t="s">
        <v>2594</v>
      </c>
      <c r="Z533" s="5" t="s">
        <v>2594</v>
      </c>
      <c r="AA533" s="4">
        <v>35</v>
      </c>
      <c r="AB533" s="4">
        <v>26</v>
      </c>
      <c r="AC533" s="4">
        <v>924</v>
      </c>
      <c r="AD533" s="4">
        <v>1</v>
      </c>
      <c r="AE533" s="4">
        <v>3</v>
      </c>
      <c r="AF533" s="4">
        <v>0</v>
      </c>
      <c r="AG533" s="4">
        <v>33</v>
      </c>
      <c r="AH533" s="4">
        <v>0</v>
      </c>
      <c r="AI533" s="4">
        <v>20</v>
      </c>
      <c r="AJ533" s="4">
        <v>0</v>
      </c>
      <c r="AK533" s="4">
        <v>6</v>
      </c>
      <c r="AL533" s="4">
        <v>0</v>
      </c>
      <c r="AM533" s="4">
        <v>11</v>
      </c>
      <c r="AN533" s="4">
        <v>0</v>
      </c>
      <c r="AO533" s="4">
        <v>2</v>
      </c>
      <c r="AP533" s="4">
        <v>0</v>
      </c>
      <c r="AQ533" s="4">
        <v>1</v>
      </c>
      <c r="AR533" s="3" t="s">
        <v>62</v>
      </c>
      <c r="AS533" s="3" t="s">
        <v>62</v>
      </c>
      <c r="AU533" s="6" t="str">
        <f>HYPERLINK("https://creighton-primo.hosted.exlibrisgroup.com/primo-explore/search?tab=default_tab&amp;search_scope=EVERYTHING&amp;vid=01CRU&amp;lang=en_US&amp;offset=0&amp;query=any,contains,991005014419702656","Catalog Record")</f>
        <v>Catalog Record</v>
      </c>
      <c r="AV533" s="6" t="str">
        <f>HYPERLINK("http://www.worldcat.org/oclc/6617588","WorldCat Record")</f>
        <v>WorldCat Record</v>
      </c>
      <c r="AW533" s="3" t="s">
        <v>6847</v>
      </c>
      <c r="AX533" s="3" t="s">
        <v>6848</v>
      </c>
      <c r="AY533" s="3" t="s">
        <v>6849</v>
      </c>
      <c r="AZ533" s="3" t="s">
        <v>6849</v>
      </c>
      <c r="BA533" s="3" t="s">
        <v>6850</v>
      </c>
      <c r="BB533" s="3" t="s">
        <v>77</v>
      </c>
      <c r="BD533" s="3" t="s">
        <v>6851</v>
      </c>
      <c r="BE533" s="3" t="s">
        <v>6852</v>
      </c>
      <c r="BF533" s="3" t="s">
        <v>6853</v>
      </c>
    </row>
    <row r="534" spans="1:58" ht="41.25" customHeight="1" x14ac:dyDescent="0.25">
      <c r="A534" s="7" t="s">
        <v>62</v>
      </c>
      <c r="B534" s="2" t="s">
        <v>57</v>
      </c>
      <c r="C534" s="2" t="s">
        <v>58</v>
      </c>
      <c r="D534" s="2" t="s">
        <v>6854</v>
      </c>
      <c r="E534" s="2" t="s">
        <v>6855</v>
      </c>
      <c r="F534" s="2" t="s">
        <v>6856</v>
      </c>
      <c r="H534" s="3" t="s">
        <v>62</v>
      </c>
      <c r="I534" s="3" t="s">
        <v>63</v>
      </c>
      <c r="J534" s="3" t="s">
        <v>62</v>
      </c>
      <c r="K534" s="3" t="s">
        <v>62</v>
      </c>
      <c r="L534" s="3" t="s">
        <v>64</v>
      </c>
      <c r="M534" s="2" t="s">
        <v>6857</v>
      </c>
      <c r="N534" s="2" t="s">
        <v>5105</v>
      </c>
      <c r="O534" s="3" t="s">
        <v>590</v>
      </c>
      <c r="P534" s="2" t="s">
        <v>268</v>
      </c>
      <c r="Q534" s="3" t="s">
        <v>68</v>
      </c>
      <c r="R534" s="3" t="s">
        <v>69</v>
      </c>
      <c r="T534" s="3" t="s">
        <v>70</v>
      </c>
      <c r="U534" s="4">
        <v>7</v>
      </c>
      <c r="V534" s="4">
        <v>7</v>
      </c>
      <c r="W534" s="5" t="s">
        <v>6858</v>
      </c>
      <c r="X534" s="5" t="s">
        <v>6858</v>
      </c>
      <c r="Y534" s="5" t="s">
        <v>6859</v>
      </c>
      <c r="Z534" s="5" t="s">
        <v>6859</v>
      </c>
      <c r="AA534" s="4">
        <v>998</v>
      </c>
      <c r="AB534" s="4">
        <v>900</v>
      </c>
      <c r="AC534" s="4">
        <v>1255</v>
      </c>
      <c r="AD534" s="4">
        <v>10</v>
      </c>
      <c r="AE534" s="4">
        <v>15</v>
      </c>
      <c r="AF534" s="4">
        <v>16</v>
      </c>
      <c r="AG534" s="4">
        <v>21</v>
      </c>
      <c r="AH534" s="4">
        <v>7</v>
      </c>
      <c r="AI534" s="4">
        <v>7</v>
      </c>
      <c r="AJ534" s="4">
        <v>4</v>
      </c>
      <c r="AK534" s="4">
        <v>4</v>
      </c>
      <c r="AL534" s="4">
        <v>9</v>
      </c>
      <c r="AM534" s="4">
        <v>13</v>
      </c>
      <c r="AN534" s="4">
        <v>2</v>
      </c>
      <c r="AO534" s="4">
        <v>3</v>
      </c>
      <c r="AP534" s="4">
        <v>0</v>
      </c>
      <c r="AQ534" s="4">
        <v>0</v>
      </c>
      <c r="AR534" s="3" t="s">
        <v>62</v>
      </c>
      <c r="AS534" s="3" t="s">
        <v>62</v>
      </c>
      <c r="AU534" s="6" t="str">
        <f>HYPERLINK("https://creighton-primo.hosted.exlibrisgroup.com/primo-explore/search?tab=default_tab&amp;search_scope=EVERYTHING&amp;vid=01CRU&amp;lang=en_US&amp;offset=0&amp;query=any,contains,991001178609702656","Catalog Record")</f>
        <v>Catalog Record</v>
      </c>
      <c r="AV534" s="6" t="str">
        <f>HYPERLINK("http://www.worldcat.org/oclc/381397","WorldCat Record")</f>
        <v>WorldCat Record</v>
      </c>
      <c r="AW534" s="3" t="s">
        <v>6860</v>
      </c>
      <c r="AX534" s="3" t="s">
        <v>6861</v>
      </c>
      <c r="AY534" s="3" t="s">
        <v>6862</v>
      </c>
      <c r="AZ534" s="3" t="s">
        <v>6862</v>
      </c>
      <c r="BA534" s="3" t="s">
        <v>6863</v>
      </c>
      <c r="BB534" s="3" t="s">
        <v>77</v>
      </c>
      <c r="BE534" s="3" t="s">
        <v>6864</v>
      </c>
      <c r="BF534" s="3" t="s">
        <v>6865</v>
      </c>
    </row>
    <row r="535" spans="1:58" ht="41.25" customHeight="1" x14ac:dyDescent="0.25">
      <c r="A535" s="7" t="s">
        <v>62</v>
      </c>
      <c r="B535" s="2" t="s">
        <v>57</v>
      </c>
      <c r="C535" s="2" t="s">
        <v>58</v>
      </c>
      <c r="D535" s="2" t="s">
        <v>6866</v>
      </c>
      <c r="E535" s="2" t="s">
        <v>6867</v>
      </c>
      <c r="F535" s="2" t="s">
        <v>6868</v>
      </c>
      <c r="H535" s="3" t="s">
        <v>62</v>
      </c>
      <c r="I535" s="3" t="s">
        <v>63</v>
      </c>
      <c r="J535" s="3" t="s">
        <v>62</v>
      </c>
      <c r="K535" s="3" t="s">
        <v>62</v>
      </c>
      <c r="L535" s="3" t="s">
        <v>64</v>
      </c>
      <c r="M535" s="2" t="s">
        <v>6869</v>
      </c>
      <c r="N535" s="2" t="s">
        <v>6870</v>
      </c>
      <c r="O535" s="3" t="s">
        <v>1052</v>
      </c>
      <c r="P535" s="2" t="s">
        <v>6871</v>
      </c>
      <c r="Q535" s="3" t="s">
        <v>68</v>
      </c>
      <c r="R535" s="3" t="s">
        <v>888</v>
      </c>
      <c r="T535" s="3" t="s">
        <v>70</v>
      </c>
      <c r="U535" s="4">
        <v>1</v>
      </c>
      <c r="V535" s="4">
        <v>1</v>
      </c>
      <c r="W535" s="5" t="s">
        <v>2095</v>
      </c>
      <c r="X535" s="5" t="s">
        <v>2095</v>
      </c>
      <c r="Y535" s="5" t="s">
        <v>6058</v>
      </c>
      <c r="Z535" s="5" t="s">
        <v>6058</v>
      </c>
      <c r="AA535" s="4">
        <v>919</v>
      </c>
      <c r="AB535" s="4">
        <v>852</v>
      </c>
      <c r="AC535" s="4">
        <v>899</v>
      </c>
      <c r="AD535" s="4">
        <v>7</v>
      </c>
      <c r="AE535" s="4">
        <v>9</v>
      </c>
      <c r="AF535" s="4">
        <v>27</v>
      </c>
      <c r="AG535" s="4">
        <v>32</v>
      </c>
      <c r="AH535" s="4">
        <v>14</v>
      </c>
      <c r="AI535" s="4">
        <v>15</v>
      </c>
      <c r="AJ535" s="4">
        <v>3</v>
      </c>
      <c r="AK535" s="4">
        <v>5</v>
      </c>
      <c r="AL535" s="4">
        <v>12</v>
      </c>
      <c r="AM535" s="4">
        <v>13</v>
      </c>
      <c r="AN535" s="4">
        <v>4</v>
      </c>
      <c r="AO535" s="4">
        <v>6</v>
      </c>
      <c r="AP535" s="4">
        <v>0</v>
      </c>
      <c r="AQ535" s="4">
        <v>0</v>
      </c>
      <c r="AR535" s="3" t="s">
        <v>84</v>
      </c>
      <c r="AS535" s="3" t="s">
        <v>62</v>
      </c>
      <c r="AT535" s="6" t="str">
        <f>HYPERLINK("http://catalog.hathitrust.org/Record/001392098","HathiTrust Record")</f>
        <v>HathiTrust Record</v>
      </c>
      <c r="AU535" s="6" t="str">
        <f>HYPERLINK("https://creighton-primo.hosted.exlibrisgroup.com/primo-explore/search?tab=default_tab&amp;search_scope=EVERYTHING&amp;vid=01CRU&amp;lang=en_US&amp;offset=0&amp;query=any,contains,991002623699702656","Catalog Record")</f>
        <v>Catalog Record</v>
      </c>
      <c r="AV535" s="6" t="str">
        <f>HYPERLINK("http://www.worldcat.org/oclc/381391","WorldCat Record")</f>
        <v>WorldCat Record</v>
      </c>
      <c r="AW535" s="3" t="s">
        <v>6872</v>
      </c>
      <c r="AX535" s="3" t="s">
        <v>6873</v>
      </c>
      <c r="AY535" s="3" t="s">
        <v>6874</v>
      </c>
      <c r="AZ535" s="3" t="s">
        <v>6874</v>
      </c>
      <c r="BA535" s="3" t="s">
        <v>6875</v>
      </c>
      <c r="BB535" s="3" t="s">
        <v>77</v>
      </c>
      <c r="BE535" s="3" t="s">
        <v>6876</v>
      </c>
      <c r="BF535" s="3" t="s">
        <v>6877</v>
      </c>
    </row>
    <row r="536" spans="1:58" ht="41.25" customHeight="1" x14ac:dyDescent="0.25">
      <c r="A536" s="7" t="s">
        <v>62</v>
      </c>
      <c r="B536" s="2" t="s">
        <v>57</v>
      </c>
      <c r="C536" s="2" t="s">
        <v>58</v>
      </c>
      <c r="D536" s="2" t="s">
        <v>6878</v>
      </c>
      <c r="E536" s="2" t="s">
        <v>6879</v>
      </c>
      <c r="F536" s="2" t="s">
        <v>6880</v>
      </c>
      <c r="H536" s="3" t="s">
        <v>62</v>
      </c>
      <c r="I536" s="3" t="s">
        <v>63</v>
      </c>
      <c r="J536" s="3" t="s">
        <v>62</v>
      </c>
      <c r="K536" s="3" t="s">
        <v>62</v>
      </c>
      <c r="L536" s="3" t="s">
        <v>64</v>
      </c>
      <c r="M536" s="2" t="s">
        <v>6881</v>
      </c>
      <c r="N536" s="2" t="s">
        <v>6882</v>
      </c>
      <c r="O536" s="3" t="s">
        <v>6883</v>
      </c>
      <c r="Q536" s="3" t="s">
        <v>68</v>
      </c>
      <c r="R536" s="3" t="s">
        <v>69</v>
      </c>
      <c r="T536" s="3" t="s">
        <v>70</v>
      </c>
      <c r="U536" s="4">
        <v>7</v>
      </c>
      <c r="V536" s="4">
        <v>7</v>
      </c>
      <c r="W536" s="5" t="s">
        <v>533</v>
      </c>
      <c r="X536" s="5" t="s">
        <v>533</v>
      </c>
      <c r="Y536" s="5" t="s">
        <v>6058</v>
      </c>
      <c r="Z536" s="5" t="s">
        <v>6058</v>
      </c>
      <c r="AA536" s="4">
        <v>523</v>
      </c>
      <c r="AB536" s="4">
        <v>499</v>
      </c>
      <c r="AC536" s="4">
        <v>739</v>
      </c>
      <c r="AD536" s="4">
        <v>8</v>
      </c>
      <c r="AE536" s="4">
        <v>10</v>
      </c>
      <c r="AF536" s="4">
        <v>21</v>
      </c>
      <c r="AG536" s="4">
        <v>30</v>
      </c>
      <c r="AH536" s="4">
        <v>8</v>
      </c>
      <c r="AI536" s="4">
        <v>12</v>
      </c>
      <c r="AJ536" s="4">
        <v>4</v>
      </c>
      <c r="AK536" s="4">
        <v>4</v>
      </c>
      <c r="AL536" s="4">
        <v>10</v>
      </c>
      <c r="AM536" s="4">
        <v>14</v>
      </c>
      <c r="AN536" s="4">
        <v>4</v>
      </c>
      <c r="AO536" s="4">
        <v>6</v>
      </c>
      <c r="AP536" s="4">
        <v>0</v>
      </c>
      <c r="AQ536" s="4">
        <v>1</v>
      </c>
      <c r="AR536" s="3" t="s">
        <v>84</v>
      </c>
      <c r="AS536" s="3" t="s">
        <v>62</v>
      </c>
      <c r="AT536" s="6" t="str">
        <f>HYPERLINK("http://catalog.hathitrust.org/Record/001392442","HathiTrust Record")</f>
        <v>HathiTrust Record</v>
      </c>
      <c r="AU536" s="6" t="str">
        <f>HYPERLINK("https://creighton-primo.hosted.exlibrisgroup.com/primo-explore/search?tab=default_tab&amp;search_scope=EVERYTHING&amp;vid=01CRU&amp;lang=en_US&amp;offset=0&amp;query=any,contains,991002598959702656","Catalog Record")</f>
        <v>Catalog Record</v>
      </c>
      <c r="AV536" s="6" t="str">
        <f>HYPERLINK("http://www.worldcat.org/oclc/376978","WorldCat Record")</f>
        <v>WorldCat Record</v>
      </c>
      <c r="AW536" s="3" t="s">
        <v>6884</v>
      </c>
      <c r="AX536" s="3" t="s">
        <v>6885</v>
      </c>
      <c r="AY536" s="3" t="s">
        <v>6886</v>
      </c>
      <c r="AZ536" s="3" t="s">
        <v>6886</v>
      </c>
      <c r="BA536" s="3" t="s">
        <v>6887</v>
      </c>
      <c r="BB536" s="3" t="s">
        <v>77</v>
      </c>
      <c r="BE536" s="3" t="s">
        <v>6888</v>
      </c>
      <c r="BF536" s="3" t="s">
        <v>6889</v>
      </c>
    </row>
    <row r="537" spans="1:58" ht="41.25" customHeight="1" x14ac:dyDescent="0.25">
      <c r="A537" s="7" t="s">
        <v>62</v>
      </c>
      <c r="B537" s="2" t="s">
        <v>57</v>
      </c>
      <c r="C537" s="2" t="s">
        <v>58</v>
      </c>
      <c r="D537" s="2" t="s">
        <v>6890</v>
      </c>
      <c r="E537" s="2" t="s">
        <v>6891</v>
      </c>
      <c r="F537" s="2" t="s">
        <v>6892</v>
      </c>
      <c r="H537" s="3" t="s">
        <v>62</v>
      </c>
      <c r="I537" s="3" t="s">
        <v>63</v>
      </c>
      <c r="J537" s="3" t="s">
        <v>62</v>
      </c>
      <c r="K537" s="3" t="s">
        <v>62</v>
      </c>
      <c r="L537" s="3" t="s">
        <v>64</v>
      </c>
      <c r="M537" s="2" t="s">
        <v>6843</v>
      </c>
      <c r="N537" s="2" t="s">
        <v>6893</v>
      </c>
      <c r="O537" s="3" t="s">
        <v>87</v>
      </c>
      <c r="Q537" s="3" t="s">
        <v>68</v>
      </c>
      <c r="R537" s="3" t="s">
        <v>297</v>
      </c>
      <c r="T537" s="3" t="s">
        <v>70</v>
      </c>
      <c r="U537" s="4">
        <v>3</v>
      </c>
      <c r="V537" s="4">
        <v>3</v>
      </c>
      <c r="W537" s="5" t="s">
        <v>6894</v>
      </c>
      <c r="X537" s="5" t="s">
        <v>6894</v>
      </c>
      <c r="Y537" s="5" t="s">
        <v>6629</v>
      </c>
      <c r="Z537" s="5" t="s">
        <v>6629</v>
      </c>
      <c r="AA537" s="4">
        <v>158</v>
      </c>
      <c r="AB537" s="4">
        <v>45</v>
      </c>
      <c r="AC537" s="4">
        <v>1470</v>
      </c>
      <c r="AD537" s="4">
        <v>1</v>
      </c>
      <c r="AE537" s="4">
        <v>14</v>
      </c>
      <c r="AF537" s="4">
        <v>3</v>
      </c>
      <c r="AG537" s="4">
        <v>49</v>
      </c>
      <c r="AH537" s="4">
        <v>1</v>
      </c>
      <c r="AI537" s="4">
        <v>22</v>
      </c>
      <c r="AJ537" s="4">
        <v>2</v>
      </c>
      <c r="AK537" s="4">
        <v>10</v>
      </c>
      <c r="AL537" s="4">
        <v>1</v>
      </c>
      <c r="AM537" s="4">
        <v>22</v>
      </c>
      <c r="AN537" s="4">
        <v>0</v>
      </c>
      <c r="AO537" s="4">
        <v>7</v>
      </c>
      <c r="AP537" s="4">
        <v>0</v>
      </c>
      <c r="AQ537" s="4">
        <v>0</v>
      </c>
      <c r="AR537" s="3" t="s">
        <v>62</v>
      </c>
      <c r="AS537" s="3" t="s">
        <v>62</v>
      </c>
      <c r="AU537" s="6" t="str">
        <f>HYPERLINK("https://creighton-primo.hosted.exlibrisgroup.com/primo-explore/search?tab=default_tab&amp;search_scope=EVERYTHING&amp;vid=01CRU&amp;lang=en_US&amp;offset=0&amp;query=any,contains,991005065449702656","Catalog Record")</f>
        <v>Catalog Record</v>
      </c>
      <c r="AV537" s="6" t="str">
        <f>HYPERLINK("http://www.worldcat.org/oclc/6951490","WorldCat Record")</f>
        <v>WorldCat Record</v>
      </c>
      <c r="AW537" s="3" t="s">
        <v>6895</v>
      </c>
      <c r="AX537" s="3" t="s">
        <v>6896</v>
      </c>
      <c r="AY537" s="3" t="s">
        <v>6897</v>
      </c>
      <c r="AZ537" s="3" t="s">
        <v>6897</v>
      </c>
      <c r="BA537" s="3" t="s">
        <v>6898</v>
      </c>
      <c r="BB537" s="3" t="s">
        <v>77</v>
      </c>
      <c r="BE537" s="3" t="s">
        <v>6899</v>
      </c>
      <c r="BF537" s="3" t="s">
        <v>6900</v>
      </c>
    </row>
    <row r="538" spans="1:58" ht="41.25" customHeight="1" x14ac:dyDescent="0.25">
      <c r="A538" s="7" t="s">
        <v>62</v>
      </c>
      <c r="B538" s="2" t="s">
        <v>57</v>
      </c>
      <c r="C538" s="2" t="s">
        <v>58</v>
      </c>
      <c r="D538" s="2" t="s">
        <v>6901</v>
      </c>
      <c r="E538" s="2" t="s">
        <v>6902</v>
      </c>
      <c r="F538" s="2" t="s">
        <v>6903</v>
      </c>
      <c r="H538" s="3" t="s">
        <v>62</v>
      </c>
      <c r="I538" s="3" t="s">
        <v>63</v>
      </c>
      <c r="J538" s="3" t="s">
        <v>62</v>
      </c>
      <c r="K538" s="3" t="s">
        <v>62</v>
      </c>
      <c r="L538" s="3" t="s">
        <v>64</v>
      </c>
      <c r="M538" s="2" t="s">
        <v>6904</v>
      </c>
      <c r="N538" s="2" t="s">
        <v>6905</v>
      </c>
      <c r="O538" s="3" t="s">
        <v>87</v>
      </c>
      <c r="Q538" s="3" t="s">
        <v>68</v>
      </c>
      <c r="R538" s="3" t="s">
        <v>297</v>
      </c>
      <c r="T538" s="3" t="s">
        <v>70</v>
      </c>
      <c r="U538" s="4">
        <v>2</v>
      </c>
      <c r="V538" s="4">
        <v>2</v>
      </c>
      <c r="W538" s="5" t="s">
        <v>6906</v>
      </c>
      <c r="X538" s="5" t="s">
        <v>6906</v>
      </c>
      <c r="Y538" s="5" t="s">
        <v>6058</v>
      </c>
      <c r="Z538" s="5" t="s">
        <v>6058</v>
      </c>
      <c r="AA538" s="4">
        <v>168</v>
      </c>
      <c r="AB538" s="4">
        <v>82</v>
      </c>
      <c r="AC538" s="4">
        <v>730</v>
      </c>
      <c r="AD538" s="4">
        <v>1</v>
      </c>
      <c r="AE538" s="4">
        <v>6</v>
      </c>
      <c r="AF538" s="4">
        <v>6</v>
      </c>
      <c r="AG538" s="4">
        <v>35</v>
      </c>
      <c r="AH538" s="4">
        <v>1</v>
      </c>
      <c r="AI538" s="4">
        <v>12</v>
      </c>
      <c r="AJ538" s="4">
        <v>4</v>
      </c>
      <c r="AK538" s="4">
        <v>10</v>
      </c>
      <c r="AL538" s="4">
        <v>3</v>
      </c>
      <c r="AM538" s="4">
        <v>16</v>
      </c>
      <c r="AN538" s="4">
        <v>0</v>
      </c>
      <c r="AO538" s="4">
        <v>5</v>
      </c>
      <c r="AP538" s="4">
        <v>0</v>
      </c>
      <c r="AQ538" s="4">
        <v>0</v>
      </c>
      <c r="AR538" s="3" t="s">
        <v>62</v>
      </c>
      <c r="AS538" s="3" t="s">
        <v>62</v>
      </c>
      <c r="AU538" s="6" t="str">
        <f>HYPERLINK("https://creighton-primo.hosted.exlibrisgroup.com/primo-explore/search?tab=default_tab&amp;search_scope=EVERYTHING&amp;vid=01CRU&amp;lang=en_US&amp;offset=0&amp;query=any,contains,991004227189702656","Catalog Record")</f>
        <v>Catalog Record</v>
      </c>
      <c r="AV538" s="6" t="str">
        <f>HYPERLINK("http://www.worldcat.org/oclc/2735353","WorldCat Record")</f>
        <v>WorldCat Record</v>
      </c>
      <c r="AW538" s="3" t="s">
        <v>6907</v>
      </c>
      <c r="AX538" s="3" t="s">
        <v>6908</v>
      </c>
      <c r="AY538" s="3" t="s">
        <v>6909</v>
      </c>
      <c r="AZ538" s="3" t="s">
        <v>6909</v>
      </c>
      <c r="BA538" s="3" t="s">
        <v>6910</v>
      </c>
      <c r="BB538" s="3" t="s">
        <v>77</v>
      </c>
      <c r="BE538" s="3" t="s">
        <v>6911</v>
      </c>
      <c r="BF538" s="3" t="s">
        <v>6912</v>
      </c>
    </row>
    <row r="539" spans="1:58" ht="41.25" customHeight="1" x14ac:dyDescent="0.25">
      <c r="A539" s="7" t="s">
        <v>62</v>
      </c>
      <c r="B539" s="2" t="s">
        <v>57</v>
      </c>
      <c r="C539" s="2" t="s">
        <v>58</v>
      </c>
      <c r="D539" s="2" t="s">
        <v>6913</v>
      </c>
      <c r="E539" s="2" t="s">
        <v>6914</v>
      </c>
      <c r="F539" s="2" t="s">
        <v>6915</v>
      </c>
      <c r="H539" s="3" t="s">
        <v>62</v>
      </c>
      <c r="I539" s="3" t="s">
        <v>63</v>
      </c>
      <c r="J539" s="3" t="s">
        <v>62</v>
      </c>
      <c r="K539" s="3" t="s">
        <v>62</v>
      </c>
      <c r="L539" s="3" t="s">
        <v>64</v>
      </c>
      <c r="M539" s="2" t="s">
        <v>6916</v>
      </c>
      <c r="N539" s="2" t="s">
        <v>6917</v>
      </c>
      <c r="O539" s="3" t="s">
        <v>804</v>
      </c>
      <c r="Q539" s="3" t="s">
        <v>68</v>
      </c>
      <c r="R539" s="3" t="s">
        <v>69</v>
      </c>
      <c r="T539" s="3" t="s">
        <v>70</v>
      </c>
      <c r="U539" s="4">
        <v>5</v>
      </c>
      <c r="V539" s="4">
        <v>5</v>
      </c>
      <c r="W539" s="5" t="s">
        <v>6918</v>
      </c>
      <c r="X539" s="5" t="s">
        <v>6918</v>
      </c>
      <c r="Y539" s="5" t="s">
        <v>3059</v>
      </c>
      <c r="Z539" s="5" t="s">
        <v>3059</v>
      </c>
      <c r="AA539" s="4">
        <v>968</v>
      </c>
      <c r="AB539" s="4">
        <v>781</v>
      </c>
      <c r="AC539" s="4">
        <v>787</v>
      </c>
      <c r="AD539" s="4">
        <v>6</v>
      </c>
      <c r="AE539" s="4">
        <v>6</v>
      </c>
      <c r="AF539" s="4">
        <v>44</v>
      </c>
      <c r="AG539" s="4">
        <v>44</v>
      </c>
      <c r="AH539" s="4">
        <v>19</v>
      </c>
      <c r="AI539" s="4">
        <v>19</v>
      </c>
      <c r="AJ539" s="4">
        <v>10</v>
      </c>
      <c r="AK539" s="4">
        <v>10</v>
      </c>
      <c r="AL539" s="4">
        <v>22</v>
      </c>
      <c r="AM539" s="4">
        <v>22</v>
      </c>
      <c r="AN539" s="4">
        <v>5</v>
      </c>
      <c r="AO539" s="4">
        <v>5</v>
      </c>
      <c r="AP539" s="4">
        <v>0</v>
      </c>
      <c r="AQ539" s="4">
        <v>0</v>
      </c>
      <c r="AR539" s="3" t="s">
        <v>62</v>
      </c>
      <c r="AS539" s="3" t="s">
        <v>62</v>
      </c>
      <c r="AU539" s="6" t="str">
        <f>HYPERLINK("https://creighton-primo.hosted.exlibrisgroup.com/primo-explore/search?tab=default_tab&amp;search_scope=EVERYTHING&amp;vid=01CRU&amp;lang=en_US&amp;offset=0&amp;query=any,contains,991000976939702656","Catalog Record")</f>
        <v>Catalog Record</v>
      </c>
      <c r="AV539" s="6" t="str">
        <f>HYPERLINK("http://www.worldcat.org/oclc/15016456","WorldCat Record")</f>
        <v>WorldCat Record</v>
      </c>
      <c r="AW539" s="3" t="s">
        <v>6919</v>
      </c>
      <c r="AX539" s="3" t="s">
        <v>6920</v>
      </c>
      <c r="AY539" s="3" t="s">
        <v>6921</v>
      </c>
      <c r="AZ539" s="3" t="s">
        <v>6921</v>
      </c>
      <c r="BA539" s="3" t="s">
        <v>6922</v>
      </c>
      <c r="BB539" s="3" t="s">
        <v>77</v>
      </c>
      <c r="BD539" s="3" t="s">
        <v>6923</v>
      </c>
      <c r="BE539" s="3" t="s">
        <v>6924</v>
      </c>
      <c r="BF539" s="3" t="s">
        <v>6925</v>
      </c>
    </row>
    <row r="540" spans="1:58" ht="41.25" customHeight="1" x14ac:dyDescent="0.25">
      <c r="A540" s="7" t="s">
        <v>62</v>
      </c>
      <c r="B540" s="2" t="s">
        <v>57</v>
      </c>
      <c r="C540" s="2" t="s">
        <v>58</v>
      </c>
      <c r="D540" s="2" t="s">
        <v>6926</v>
      </c>
      <c r="E540" s="2" t="s">
        <v>6927</v>
      </c>
      <c r="F540" s="2" t="s">
        <v>6928</v>
      </c>
      <c r="H540" s="3" t="s">
        <v>62</v>
      </c>
      <c r="I540" s="3" t="s">
        <v>63</v>
      </c>
      <c r="J540" s="3" t="s">
        <v>62</v>
      </c>
      <c r="K540" s="3" t="s">
        <v>62</v>
      </c>
      <c r="L540" s="3" t="s">
        <v>64</v>
      </c>
      <c r="M540" s="2" t="s">
        <v>6929</v>
      </c>
      <c r="N540" s="2" t="s">
        <v>6930</v>
      </c>
      <c r="O540" s="3" t="s">
        <v>404</v>
      </c>
      <c r="Q540" s="3" t="s">
        <v>68</v>
      </c>
      <c r="R540" s="3" t="s">
        <v>805</v>
      </c>
      <c r="T540" s="3" t="s">
        <v>70</v>
      </c>
      <c r="U540" s="4">
        <v>5</v>
      </c>
      <c r="V540" s="4">
        <v>5</v>
      </c>
      <c r="W540" s="5" t="s">
        <v>6931</v>
      </c>
      <c r="X540" s="5" t="s">
        <v>6931</v>
      </c>
      <c r="Y540" s="5" t="s">
        <v>6058</v>
      </c>
      <c r="Z540" s="5" t="s">
        <v>6058</v>
      </c>
      <c r="AA540" s="4">
        <v>537</v>
      </c>
      <c r="AB540" s="4">
        <v>441</v>
      </c>
      <c r="AC540" s="4">
        <v>449</v>
      </c>
      <c r="AD540" s="4">
        <v>2</v>
      </c>
      <c r="AE540" s="4">
        <v>2</v>
      </c>
      <c r="AF540" s="4">
        <v>19</v>
      </c>
      <c r="AG540" s="4">
        <v>19</v>
      </c>
      <c r="AH540" s="4">
        <v>4</v>
      </c>
      <c r="AI540" s="4">
        <v>4</v>
      </c>
      <c r="AJ540" s="4">
        <v>7</v>
      </c>
      <c r="AK540" s="4">
        <v>7</v>
      </c>
      <c r="AL540" s="4">
        <v>13</v>
      </c>
      <c r="AM540" s="4">
        <v>13</v>
      </c>
      <c r="AN540" s="4">
        <v>1</v>
      </c>
      <c r="AO540" s="4">
        <v>1</v>
      </c>
      <c r="AP540" s="4">
        <v>0</v>
      </c>
      <c r="AQ540" s="4">
        <v>0</v>
      </c>
      <c r="AR540" s="3" t="s">
        <v>62</v>
      </c>
      <c r="AS540" s="3" t="s">
        <v>84</v>
      </c>
      <c r="AT540" s="6" t="str">
        <f>HYPERLINK("http://catalog.hathitrust.org/Record/001392440","HathiTrust Record")</f>
        <v>HathiTrust Record</v>
      </c>
      <c r="AU540" s="6" t="str">
        <f>HYPERLINK("https://creighton-primo.hosted.exlibrisgroup.com/primo-explore/search?tab=default_tab&amp;search_scope=EVERYTHING&amp;vid=01CRU&amp;lang=en_US&amp;offset=0&amp;query=any,contains,991002821609702656","Catalog Record")</f>
        <v>Catalog Record</v>
      </c>
      <c r="AV540" s="6" t="str">
        <f>HYPERLINK("http://www.worldcat.org/oclc/466902","WorldCat Record")</f>
        <v>WorldCat Record</v>
      </c>
      <c r="AW540" s="3" t="s">
        <v>6932</v>
      </c>
      <c r="AX540" s="3" t="s">
        <v>6933</v>
      </c>
      <c r="AY540" s="3" t="s">
        <v>6934</v>
      </c>
      <c r="AZ540" s="3" t="s">
        <v>6934</v>
      </c>
      <c r="BA540" s="3" t="s">
        <v>6935</v>
      </c>
      <c r="BB540" s="3" t="s">
        <v>77</v>
      </c>
      <c r="BD540" s="3" t="s">
        <v>6936</v>
      </c>
      <c r="BE540" s="3" t="s">
        <v>6937</v>
      </c>
      <c r="BF540" s="3" t="s">
        <v>6938</v>
      </c>
    </row>
    <row r="541" spans="1:58" ht="41.25" customHeight="1" x14ac:dyDescent="0.25">
      <c r="A541" s="7" t="s">
        <v>62</v>
      </c>
      <c r="B541" s="2" t="s">
        <v>57</v>
      </c>
      <c r="C541" s="2" t="s">
        <v>58</v>
      </c>
      <c r="D541" s="2" t="s">
        <v>6939</v>
      </c>
      <c r="E541" s="2" t="s">
        <v>6940</v>
      </c>
      <c r="F541" s="2" t="s">
        <v>6941</v>
      </c>
      <c r="H541" s="3" t="s">
        <v>62</v>
      </c>
      <c r="I541" s="3" t="s">
        <v>63</v>
      </c>
      <c r="J541" s="3" t="s">
        <v>62</v>
      </c>
      <c r="K541" s="3" t="s">
        <v>62</v>
      </c>
      <c r="L541" s="3" t="s">
        <v>64</v>
      </c>
      <c r="M541" s="2" t="s">
        <v>6942</v>
      </c>
      <c r="N541" s="2" t="s">
        <v>6943</v>
      </c>
      <c r="O541" s="3" t="s">
        <v>1065</v>
      </c>
      <c r="Q541" s="3" t="s">
        <v>68</v>
      </c>
      <c r="R541" s="3" t="s">
        <v>88</v>
      </c>
      <c r="T541" s="3" t="s">
        <v>70</v>
      </c>
      <c r="U541" s="4">
        <v>4</v>
      </c>
      <c r="V541" s="4">
        <v>4</v>
      </c>
      <c r="W541" s="5" t="s">
        <v>6944</v>
      </c>
      <c r="X541" s="5" t="s">
        <v>6944</v>
      </c>
      <c r="Y541" s="5" t="s">
        <v>6058</v>
      </c>
      <c r="Z541" s="5" t="s">
        <v>6058</v>
      </c>
      <c r="AA541" s="4">
        <v>236</v>
      </c>
      <c r="AB541" s="4">
        <v>234</v>
      </c>
      <c r="AC541" s="4">
        <v>694</v>
      </c>
      <c r="AD541" s="4">
        <v>3</v>
      </c>
      <c r="AE541" s="4">
        <v>6</v>
      </c>
      <c r="AF541" s="4">
        <v>6</v>
      </c>
      <c r="AG541" s="4">
        <v>19</v>
      </c>
      <c r="AH541" s="4">
        <v>3</v>
      </c>
      <c r="AI541" s="4">
        <v>8</v>
      </c>
      <c r="AJ541" s="4">
        <v>0</v>
      </c>
      <c r="AK541" s="4">
        <v>1</v>
      </c>
      <c r="AL541" s="4">
        <v>3</v>
      </c>
      <c r="AM541" s="4">
        <v>8</v>
      </c>
      <c r="AN541" s="4">
        <v>1</v>
      </c>
      <c r="AO541" s="4">
        <v>4</v>
      </c>
      <c r="AP541" s="4">
        <v>0</v>
      </c>
      <c r="AQ541" s="4">
        <v>0</v>
      </c>
      <c r="AR541" s="3" t="s">
        <v>62</v>
      </c>
      <c r="AS541" s="3" t="s">
        <v>62</v>
      </c>
      <c r="AU541" s="6" t="str">
        <f>HYPERLINK("https://creighton-primo.hosted.exlibrisgroup.com/primo-explore/search?tab=default_tab&amp;search_scope=EVERYTHING&amp;vid=01CRU&amp;lang=en_US&amp;offset=0&amp;query=any,contains,991002710969702656","Catalog Record")</f>
        <v>Catalog Record</v>
      </c>
      <c r="AV541" s="6" t="str">
        <f>HYPERLINK("http://www.worldcat.org/oclc/409223","WorldCat Record")</f>
        <v>WorldCat Record</v>
      </c>
      <c r="AW541" s="3" t="s">
        <v>6945</v>
      </c>
      <c r="AX541" s="3" t="s">
        <v>6946</v>
      </c>
      <c r="AY541" s="3" t="s">
        <v>6947</v>
      </c>
      <c r="AZ541" s="3" t="s">
        <v>6947</v>
      </c>
      <c r="BA541" s="3" t="s">
        <v>6948</v>
      </c>
      <c r="BB541" s="3" t="s">
        <v>77</v>
      </c>
      <c r="BE541" s="3" t="s">
        <v>6949</v>
      </c>
      <c r="BF541" s="3" t="s">
        <v>6950</v>
      </c>
    </row>
    <row r="542" spans="1:58" ht="41.25" customHeight="1" x14ac:dyDescent="0.25">
      <c r="A542" s="7" t="s">
        <v>62</v>
      </c>
      <c r="B542" s="2" t="s">
        <v>57</v>
      </c>
      <c r="C542" s="2" t="s">
        <v>58</v>
      </c>
      <c r="D542" s="2" t="s">
        <v>6951</v>
      </c>
      <c r="E542" s="2" t="s">
        <v>6952</v>
      </c>
      <c r="F542" s="2" t="s">
        <v>6953</v>
      </c>
      <c r="H542" s="3" t="s">
        <v>62</v>
      </c>
      <c r="I542" s="3" t="s">
        <v>63</v>
      </c>
      <c r="J542" s="3" t="s">
        <v>62</v>
      </c>
      <c r="K542" s="3" t="s">
        <v>62</v>
      </c>
      <c r="L542" s="3" t="s">
        <v>64</v>
      </c>
      <c r="M542" s="2" t="s">
        <v>6954</v>
      </c>
      <c r="N542" s="2" t="s">
        <v>6955</v>
      </c>
      <c r="O542" s="3" t="s">
        <v>804</v>
      </c>
      <c r="P542" s="2" t="s">
        <v>834</v>
      </c>
      <c r="Q542" s="3" t="s">
        <v>68</v>
      </c>
      <c r="R542" s="3" t="s">
        <v>69</v>
      </c>
      <c r="T542" s="3" t="s">
        <v>70</v>
      </c>
      <c r="U542" s="4">
        <v>1</v>
      </c>
      <c r="V542" s="4">
        <v>1</v>
      </c>
      <c r="W542" s="5" t="s">
        <v>1252</v>
      </c>
      <c r="X542" s="5" t="s">
        <v>1252</v>
      </c>
      <c r="Y542" s="5" t="s">
        <v>6058</v>
      </c>
      <c r="Z542" s="5" t="s">
        <v>6058</v>
      </c>
      <c r="AA542" s="4">
        <v>433</v>
      </c>
      <c r="AB542" s="4">
        <v>373</v>
      </c>
      <c r="AC542" s="4">
        <v>379</v>
      </c>
      <c r="AD542" s="4">
        <v>4</v>
      </c>
      <c r="AE542" s="4">
        <v>4</v>
      </c>
      <c r="AF542" s="4">
        <v>22</v>
      </c>
      <c r="AG542" s="4">
        <v>22</v>
      </c>
      <c r="AH542" s="4">
        <v>8</v>
      </c>
      <c r="AI542" s="4">
        <v>8</v>
      </c>
      <c r="AJ542" s="4">
        <v>4</v>
      </c>
      <c r="AK542" s="4">
        <v>4</v>
      </c>
      <c r="AL542" s="4">
        <v>15</v>
      </c>
      <c r="AM542" s="4">
        <v>15</v>
      </c>
      <c r="AN542" s="4">
        <v>3</v>
      </c>
      <c r="AO542" s="4">
        <v>3</v>
      </c>
      <c r="AP542" s="4">
        <v>0</v>
      </c>
      <c r="AQ542" s="4">
        <v>0</v>
      </c>
      <c r="AR542" s="3" t="s">
        <v>62</v>
      </c>
      <c r="AS542" s="3" t="s">
        <v>84</v>
      </c>
      <c r="AT542" s="6" t="str">
        <f>HYPERLINK("http://catalog.hathitrust.org/Record/000822746","HathiTrust Record")</f>
        <v>HathiTrust Record</v>
      </c>
      <c r="AU542" s="6" t="str">
        <f>HYPERLINK("https://creighton-primo.hosted.exlibrisgroup.com/primo-explore/search?tab=default_tab&amp;search_scope=EVERYTHING&amp;vid=01CRU&amp;lang=en_US&amp;offset=0&amp;query=any,contains,991000991619702656","Catalog Record")</f>
        <v>Catalog Record</v>
      </c>
      <c r="AV542" s="6" t="str">
        <f>HYPERLINK("http://www.worldcat.org/oclc/15108407","WorldCat Record")</f>
        <v>WorldCat Record</v>
      </c>
      <c r="AW542" s="3" t="s">
        <v>6956</v>
      </c>
      <c r="AX542" s="3" t="s">
        <v>6957</v>
      </c>
      <c r="AY542" s="3" t="s">
        <v>6958</v>
      </c>
      <c r="AZ542" s="3" t="s">
        <v>6958</v>
      </c>
      <c r="BA542" s="3" t="s">
        <v>6959</v>
      </c>
      <c r="BB542" s="3" t="s">
        <v>77</v>
      </c>
      <c r="BD542" s="3" t="s">
        <v>6960</v>
      </c>
      <c r="BE542" s="3" t="s">
        <v>6961</v>
      </c>
      <c r="BF542" s="3" t="s">
        <v>6962</v>
      </c>
    </row>
    <row r="543" spans="1:58" ht="41.25" customHeight="1" x14ac:dyDescent="0.25">
      <c r="A543" s="7" t="s">
        <v>62</v>
      </c>
      <c r="B543" s="2" t="s">
        <v>57</v>
      </c>
      <c r="C543" s="2" t="s">
        <v>58</v>
      </c>
      <c r="D543" s="2" t="s">
        <v>6963</v>
      </c>
      <c r="E543" s="2" t="s">
        <v>6964</v>
      </c>
      <c r="F543" s="2" t="s">
        <v>6965</v>
      </c>
      <c r="H543" s="3" t="s">
        <v>62</v>
      </c>
      <c r="I543" s="3" t="s">
        <v>63</v>
      </c>
      <c r="J543" s="3" t="s">
        <v>62</v>
      </c>
      <c r="K543" s="3" t="s">
        <v>62</v>
      </c>
      <c r="L543" s="3" t="s">
        <v>64</v>
      </c>
      <c r="M543" s="2" t="s">
        <v>6966</v>
      </c>
      <c r="N543" s="2" t="s">
        <v>6967</v>
      </c>
      <c r="O543" s="3" t="s">
        <v>820</v>
      </c>
      <c r="Q543" s="3" t="s">
        <v>68</v>
      </c>
      <c r="R543" s="3" t="s">
        <v>204</v>
      </c>
      <c r="T543" s="3" t="s">
        <v>70</v>
      </c>
      <c r="U543" s="4">
        <v>5</v>
      </c>
      <c r="V543" s="4">
        <v>5</v>
      </c>
      <c r="W543" s="5" t="s">
        <v>6968</v>
      </c>
      <c r="X543" s="5" t="s">
        <v>6968</v>
      </c>
      <c r="Y543" s="5" t="s">
        <v>5427</v>
      </c>
      <c r="Z543" s="5" t="s">
        <v>5427</v>
      </c>
      <c r="AA543" s="4">
        <v>229</v>
      </c>
      <c r="AB543" s="4">
        <v>183</v>
      </c>
      <c r="AC543" s="4">
        <v>203</v>
      </c>
      <c r="AD543" s="4">
        <v>2</v>
      </c>
      <c r="AE543" s="4">
        <v>2</v>
      </c>
      <c r="AF543" s="4">
        <v>7</v>
      </c>
      <c r="AG543" s="4">
        <v>9</v>
      </c>
      <c r="AH543" s="4">
        <v>2</v>
      </c>
      <c r="AI543" s="4">
        <v>3</v>
      </c>
      <c r="AJ543" s="4">
        <v>1</v>
      </c>
      <c r="AK543" s="4">
        <v>2</v>
      </c>
      <c r="AL543" s="4">
        <v>5</v>
      </c>
      <c r="AM543" s="4">
        <v>5</v>
      </c>
      <c r="AN543" s="4">
        <v>1</v>
      </c>
      <c r="AO543" s="4">
        <v>1</v>
      </c>
      <c r="AP543" s="4">
        <v>0</v>
      </c>
      <c r="AQ543" s="4">
        <v>0</v>
      </c>
      <c r="AR543" s="3" t="s">
        <v>62</v>
      </c>
      <c r="AS543" s="3" t="s">
        <v>84</v>
      </c>
      <c r="AT543" s="6" t="str">
        <f>HYPERLINK("http://catalog.hathitrust.org/Record/009815518","HathiTrust Record")</f>
        <v>HathiTrust Record</v>
      </c>
      <c r="AU543" s="6" t="str">
        <f>HYPERLINK("https://creighton-primo.hosted.exlibrisgroup.com/primo-explore/search?tab=default_tab&amp;search_scope=EVERYTHING&amp;vid=01CRU&amp;lang=en_US&amp;offset=0&amp;query=any,contains,991003545809702656","Catalog Record")</f>
        <v>Catalog Record</v>
      </c>
      <c r="AV543" s="6" t="str">
        <f>HYPERLINK("http://www.worldcat.org/oclc/1111473","WorldCat Record")</f>
        <v>WorldCat Record</v>
      </c>
      <c r="AW543" s="3" t="s">
        <v>6969</v>
      </c>
      <c r="AX543" s="3" t="s">
        <v>6970</v>
      </c>
      <c r="AY543" s="3" t="s">
        <v>6971</v>
      </c>
      <c r="AZ543" s="3" t="s">
        <v>6971</v>
      </c>
      <c r="BA543" s="3" t="s">
        <v>6972</v>
      </c>
      <c r="BB543" s="3" t="s">
        <v>77</v>
      </c>
      <c r="BD543" s="3" t="s">
        <v>6973</v>
      </c>
      <c r="BE543" s="3" t="s">
        <v>6974</v>
      </c>
      <c r="BF543" s="3" t="s">
        <v>6975</v>
      </c>
    </row>
    <row r="544" spans="1:58" ht="41.25" customHeight="1" x14ac:dyDescent="0.25">
      <c r="A544" s="7" t="s">
        <v>62</v>
      </c>
      <c r="B544" s="2" t="s">
        <v>57</v>
      </c>
      <c r="C544" s="2" t="s">
        <v>58</v>
      </c>
      <c r="D544" s="2" t="s">
        <v>6976</v>
      </c>
      <c r="E544" s="2" t="s">
        <v>6977</v>
      </c>
      <c r="F544" s="2" t="s">
        <v>6978</v>
      </c>
      <c r="H544" s="3" t="s">
        <v>62</v>
      </c>
      <c r="I544" s="3" t="s">
        <v>63</v>
      </c>
      <c r="J544" s="3" t="s">
        <v>62</v>
      </c>
      <c r="K544" s="3" t="s">
        <v>62</v>
      </c>
      <c r="L544" s="3" t="s">
        <v>64</v>
      </c>
      <c r="M544" s="2" t="s">
        <v>2663</v>
      </c>
      <c r="N544" s="2" t="s">
        <v>6979</v>
      </c>
      <c r="O544" s="3" t="s">
        <v>355</v>
      </c>
      <c r="P544" s="2" t="s">
        <v>3453</v>
      </c>
      <c r="Q544" s="3" t="s">
        <v>68</v>
      </c>
      <c r="R544" s="3" t="s">
        <v>69</v>
      </c>
      <c r="T544" s="3" t="s">
        <v>70</v>
      </c>
      <c r="U544" s="4">
        <v>5</v>
      </c>
      <c r="V544" s="4">
        <v>5</v>
      </c>
      <c r="W544" s="5" t="s">
        <v>6980</v>
      </c>
      <c r="X544" s="5" t="s">
        <v>6980</v>
      </c>
      <c r="Y544" s="5" t="s">
        <v>5427</v>
      </c>
      <c r="Z544" s="5" t="s">
        <v>5427</v>
      </c>
      <c r="AA544" s="4">
        <v>1274</v>
      </c>
      <c r="AB544" s="4">
        <v>1187</v>
      </c>
      <c r="AC544" s="4">
        <v>1357</v>
      </c>
      <c r="AD544" s="4">
        <v>10</v>
      </c>
      <c r="AE544" s="4">
        <v>11</v>
      </c>
      <c r="AF544" s="4">
        <v>44</v>
      </c>
      <c r="AG544" s="4">
        <v>49</v>
      </c>
      <c r="AH544" s="4">
        <v>19</v>
      </c>
      <c r="AI544" s="4">
        <v>22</v>
      </c>
      <c r="AJ544" s="4">
        <v>7</v>
      </c>
      <c r="AK544" s="4">
        <v>8</v>
      </c>
      <c r="AL544" s="4">
        <v>19</v>
      </c>
      <c r="AM544" s="4">
        <v>19</v>
      </c>
      <c r="AN544" s="4">
        <v>8</v>
      </c>
      <c r="AO544" s="4">
        <v>9</v>
      </c>
      <c r="AP544" s="4">
        <v>0</v>
      </c>
      <c r="AQ544" s="4">
        <v>0</v>
      </c>
      <c r="AR544" s="3" t="s">
        <v>62</v>
      </c>
      <c r="AS544" s="3" t="s">
        <v>62</v>
      </c>
      <c r="AU544" s="6" t="str">
        <f>HYPERLINK("https://creighton-primo.hosted.exlibrisgroup.com/primo-explore/search?tab=default_tab&amp;search_scope=EVERYTHING&amp;vid=01CRU&amp;lang=en_US&amp;offset=0&amp;query=any,contains,991002402869702656","Catalog Record")</f>
        <v>Catalog Record</v>
      </c>
      <c r="AV544" s="6" t="str">
        <f>HYPERLINK("http://www.worldcat.org/oclc/337659","WorldCat Record")</f>
        <v>WorldCat Record</v>
      </c>
      <c r="AW544" s="3" t="s">
        <v>6981</v>
      </c>
      <c r="AX544" s="3" t="s">
        <v>6982</v>
      </c>
      <c r="AY544" s="3" t="s">
        <v>6983</v>
      </c>
      <c r="AZ544" s="3" t="s">
        <v>6983</v>
      </c>
      <c r="BA544" s="3" t="s">
        <v>6984</v>
      </c>
      <c r="BB544" s="3" t="s">
        <v>77</v>
      </c>
      <c r="BE544" s="3" t="s">
        <v>6985</v>
      </c>
      <c r="BF544" s="3" t="s">
        <v>6986</v>
      </c>
    </row>
    <row r="545" spans="1:58" ht="41.25" customHeight="1" x14ac:dyDescent="0.25">
      <c r="A545" s="7" t="s">
        <v>62</v>
      </c>
      <c r="B545" s="2" t="s">
        <v>57</v>
      </c>
      <c r="C545" s="2" t="s">
        <v>58</v>
      </c>
      <c r="D545" s="2" t="s">
        <v>6987</v>
      </c>
      <c r="E545" s="2" t="s">
        <v>6988</v>
      </c>
      <c r="F545" s="2" t="s">
        <v>6989</v>
      </c>
      <c r="H545" s="3" t="s">
        <v>62</v>
      </c>
      <c r="I545" s="3" t="s">
        <v>63</v>
      </c>
      <c r="J545" s="3" t="s">
        <v>62</v>
      </c>
      <c r="K545" s="3" t="s">
        <v>62</v>
      </c>
      <c r="L545" s="3" t="s">
        <v>64</v>
      </c>
      <c r="M545" s="2" t="s">
        <v>6990</v>
      </c>
      <c r="N545" s="2" t="s">
        <v>6991</v>
      </c>
      <c r="O545" s="3" t="s">
        <v>1990</v>
      </c>
      <c r="Q545" s="3" t="s">
        <v>6992</v>
      </c>
      <c r="R545" s="3" t="s">
        <v>5727</v>
      </c>
      <c r="S545" s="2" t="s">
        <v>6993</v>
      </c>
      <c r="T545" s="3" t="s">
        <v>70</v>
      </c>
      <c r="U545" s="4">
        <v>0</v>
      </c>
      <c r="V545" s="4">
        <v>0</v>
      </c>
      <c r="W545" s="5" t="s">
        <v>6994</v>
      </c>
      <c r="X545" s="5" t="s">
        <v>6994</v>
      </c>
      <c r="Y545" s="5" t="s">
        <v>6995</v>
      </c>
      <c r="Z545" s="5" t="s">
        <v>6995</v>
      </c>
      <c r="AA545" s="4">
        <v>113</v>
      </c>
      <c r="AB545" s="4">
        <v>72</v>
      </c>
      <c r="AC545" s="4">
        <v>84</v>
      </c>
      <c r="AD545" s="4">
        <v>1</v>
      </c>
      <c r="AE545" s="4">
        <v>2</v>
      </c>
      <c r="AF545" s="4">
        <v>1</v>
      </c>
      <c r="AG545" s="4">
        <v>3</v>
      </c>
      <c r="AH545" s="4">
        <v>0</v>
      </c>
      <c r="AI545" s="4">
        <v>0</v>
      </c>
      <c r="AJ545" s="4">
        <v>0</v>
      </c>
      <c r="AK545" s="4">
        <v>1</v>
      </c>
      <c r="AL545" s="4">
        <v>1</v>
      </c>
      <c r="AM545" s="4">
        <v>2</v>
      </c>
      <c r="AN545" s="4">
        <v>0</v>
      </c>
      <c r="AO545" s="4">
        <v>1</v>
      </c>
      <c r="AP545" s="4">
        <v>0</v>
      </c>
      <c r="AQ545" s="4">
        <v>0</v>
      </c>
      <c r="AR545" s="3" t="s">
        <v>62</v>
      </c>
      <c r="AS545" s="3" t="s">
        <v>62</v>
      </c>
      <c r="AU545" s="6" t="str">
        <f>HYPERLINK("https://creighton-primo.hosted.exlibrisgroup.com/primo-explore/search?tab=default_tab&amp;search_scope=EVERYTHING&amp;vid=01CRU&amp;lang=en_US&amp;offset=0&amp;query=any,contains,991004223719702656","Catalog Record")</f>
        <v>Catalog Record</v>
      </c>
      <c r="AV545" s="6" t="str">
        <f>HYPERLINK("http://www.worldcat.org/oclc/2721427","WorldCat Record")</f>
        <v>WorldCat Record</v>
      </c>
      <c r="AW545" s="3" t="s">
        <v>6996</v>
      </c>
      <c r="AX545" s="3" t="s">
        <v>6997</v>
      </c>
      <c r="AY545" s="3" t="s">
        <v>6998</v>
      </c>
      <c r="AZ545" s="3" t="s">
        <v>6998</v>
      </c>
      <c r="BA545" s="3" t="s">
        <v>6999</v>
      </c>
      <c r="BB545" s="3" t="s">
        <v>77</v>
      </c>
      <c r="BE545" s="3" t="s">
        <v>7000</v>
      </c>
      <c r="BF545" s="3" t="s">
        <v>7001</v>
      </c>
    </row>
    <row r="546" spans="1:58" ht="41.25" customHeight="1" x14ac:dyDescent="0.25">
      <c r="A546" s="7" t="s">
        <v>62</v>
      </c>
      <c r="B546" s="2" t="s">
        <v>57</v>
      </c>
      <c r="C546" s="2" t="s">
        <v>58</v>
      </c>
      <c r="D546" s="2" t="s">
        <v>7002</v>
      </c>
      <c r="E546" s="2" t="s">
        <v>7003</v>
      </c>
      <c r="F546" s="2" t="s">
        <v>7004</v>
      </c>
      <c r="H546" s="3" t="s">
        <v>62</v>
      </c>
      <c r="I546" s="3" t="s">
        <v>63</v>
      </c>
      <c r="J546" s="3" t="s">
        <v>62</v>
      </c>
      <c r="K546" s="3" t="s">
        <v>62</v>
      </c>
      <c r="L546" s="3" t="s">
        <v>64</v>
      </c>
      <c r="M546" s="2" t="s">
        <v>7005</v>
      </c>
      <c r="N546" s="2" t="s">
        <v>7006</v>
      </c>
      <c r="O546" s="3" t="s">
        <v>590</v>
      </c>
      <c r="Q546" s="3" t="s">
        <v>68</v>
      </c>
      <c r="R546" s="3" t="s">
        <v>69</v>
      </c>
      <c r="T546" s="3" t="s">
        <v>70</v>
      </c>
      <c r="U546" s="4">
        <v>2</v>
      </c>
      <c r="V546" s="4">
        <v>2</v>
      </c>
      <c r="W546" s="5" t="s">
        <v>7007</v>
      </c>
      <c r="X546" s="5" t="s">
        <v>7007</v>
      </c>
      <c r="Y546" s="5" t="s">
        <v>5427</v>
      </c>
      <c r="Z546" s="5" t="s">
        <v>5427</v>
      </c>
      <c r="AA546" s="4">
        <v>298</v>
      </c>
      <c r="AB546" s="4">
        <v>268</v>
      </c>
      <c r="AC546" s="4">
        <v>273</v>
      </c>
      <c r="AD546" s="4">
        <v>2</v>
      </c>
      <c r="AE546" s="4">
        <v>2</v>
      </c>
      <c r="AF546" s="4">
        <v>18</v>
      </c>
      <c r="AG546" s="4">
        <v>18</v>
      </c>
      <c r="AH546" s="4">
        <v>7</v>
      </c>
      <c r="AI546" s="4">
        <v>7</v>
      </c>
      <c r="AJ546" s="4">
        <v>3</v>
      </c>
      <c r="AK546" s="4">
        <v>3</v>
      </c>
      <c r="AL546" s="4">
        <v>11</v>
      </c>
      <c r="AM546" s="4">
        <v>11</v>
      </c>
      <c r="AN546" s="4">
        <v>1</v>
      </c>
      <c r="AO546" s="4">
        <v>1</v>
      </c>
      <c r="AP546" s="4">
        <v>0</v>
      </c>
      <c r="AQ546" s="4">
        <v>0</v>
      </c>
      <c r="AR546" s="3" t="s">
        <v>62</v>
      </c>
      <c r="AS546" s="3" t="s">
        <v>62</v>
      </c>
      <c r="AU546" s="6" t="str">
        <f>HYPERLINK("https://creighton-primo.hosted.exlibrisgroup.com/primo-explore/search?tab=default_tab&amp;search_scope=EVERYTHING&amp;vid=01CRU&amp;lang=en_US&amp;offset=0&amp;query=any,contains,991004047729702656","Catalog Record")</f>
        <v>Catalog Record</v>
      </c>
      <c r="AV546" s="6" t="str">
        <f>HYPERLINK("http://www.worldcat.org/oclc/2204198","WorldCat Record")</f>
        <v>WorldCat Record</v>
      </c>
      <c r="AW546" s="3" t="s">
        <v>7008</v>
      </c>
      <c r="AX546" s="3" t="s">
        <v>7009</v>
      </c>
      <c r="AY546" s="3" t="s">
        <v>7010</v>
      </c>
      <c r="AZ546" s="3" t="s">
        <v>7010</v>
      </c>
      <c r="BA546" s="3" t="s">
        <v>7011</v>
      </c>
      <c r="BB546" s="3" t="s">
        <v>77</v>
      </c>
      <c r="BE546" s="3" t="s">
        <v>7012</v>
      </c>
      <c r="BF546" s="3" t="s">
        <v>7013</v>
      </c>
    </row>
    <row r="547" spans="1:58" ht="41.25" customHeight="1" x14ac:dyDescent="0.25">
      <c r="A547" s="7" t="s">
        <v>62</v>
      </c>
      <c r="B547" s="2" t="s">
        <v>57</v>
      </c>
      <c r="C547" s="2" t="s">
        <v>58</v>
      </c>
      <c r="D547" s="2" t="s">
        <v>7014</v>
      </c>
      <c r="E547" s="2" t="s">
        <v>7015</v>
      </c>
      <c r="F547" s="2" t="s">
        <v>7016</v>
      </c>
      <c r="H547" s="3" t="s">
        <v>62</v>
      </c>
      <c r="I547" s="3" t="s">
        <v>63</v>
      </c>
      <c r="J547" s="3" t="s">
        <v>62</v>
      </c>
      <c r="K547" s="3" t="s">
        <v>62</v>
      </c>
      <c r="L547" s="3" t="s">
        <v>64</v>
      </c>
      <c r="M547" s="2" t="s">
        <v>7017</v>
      </c>
      <c r="N547" s="2" t="s">
        <v>7018</v>
      </c>
      <c r="O547" s="3" t="s">
        <v>1533</v>
      </c>
      <c r="Q547" s="3" t="s">
        <v>68</v>
      </c>
      <c r="R547" s="3" t="s">
        <v>531</v>
      </c>
      <c r="T547" s="3" t="s">
        <v>70</v>
      </c>
      <c r="U547" s="4">
        <v>3</v>
      </c>
      <c r="V547" s="4">
        <v>3</v>
      </c>
      <c r="W547" s="5" t="s">
        <v>7019</v>
      </c>
      <c r="X547" s="5" t="s">
        <v>7019</v>
      </c>
      <c r="Y547" s="5" t="s">
        <v>7019</v>
      </c>
      <c r="Z547" s="5" t="s">
        <v>7019</v>
      </c>
      <c r="AA547" s="4">
        <v>277</v>
      </c>
      <c r="AB547" s="4">
        <v>238</v>
      </c>
      <c r="AC547" s="4">
        <v>319</v>
      </c>
      <c r="AD547" s="4">
        <v>4</v>
      </c>
      <c r="AE547" s="4">
        <v>4</v>
      </c>
      <c r="AF547" s="4">
        <v>18</v>
      </c>
      <c r="AG547" s="4">
        <v>19</v>
      </c>
      <c r="AH547" s="4">
        <v>6</v>
      </c>
      <c r="AI547" s="4">
        <v>6</v>
      </c>
      <c r="AJ547" s="4">
        <v>3</v>
      </c>
      <c r="AK547" s="4">
        <v>4</v>
      </c>
      <c r="AL547" s="4">
        <v>10</v>
      </c>
      <c r="AM547" s="4">
        <v>10</v>
      </c>
      <c r="AN547" s="4">
        <v>3</v>
      </c>
      <c r="AO547" s="4">
        <v>3</v>
      </c>
      <c r="AP547" s="4">
        <v>0</v>
      </c>
      <c r="AQ547" s="4">
        <v>0</v>
      </c>
      <c r="AR547" s="3" t="s">
        <v>62</v>
      </c>
      <c r="AS547" s="3" t="s">
        <v>84</v>
      </c>
      <c r="AT547" s="6" t="str">
        <f>HYPERLINK("http://catalog.hathitrust.org/Record/102373836","HathiTrust Record")</f>
        <v>HathiTrust Record</v>
      </c>
      <c r="AU547" s="6" t="str">
        <f>HYPERLINK("https://creighton-primo.hosted.exlibrisgroup.com/primo-explore/search?tab=default_tab&amp;search_scope=EVERYTHING&amp;vid=01CRU&amp;lang=en_US&amp;offset=0&amp;query=any,contains,991003606999702656","Catalog Record")</f>
        <v>Catalog Record</v>
      </c>
      <c r="AV547" s="6" t="str">
        <f>HYPERLINK("http://www.worldcat.org/oclc/1217536","WorldCat Record")</f>
        <v>WorldCat Record</v>
      </c>
      <c r="AW547" s="3" t="s">
        <v>7020</v>
      </c>
      <c r="AX547" s="3" t="s">
        <v>7021</v>
      </c>
      <c r="AY547" s="3" t="s">
        <v>7022</v>
      </c>
      <c r="AZ547" s="3" t="s">
        <v>7022</v>
      </c>
      <c r="BA547" s="3" t="s">
        <v>7023</v>
      </c>
      <c r="BB547" s="3" t="s">
        <v>77</v>
      </c>
      <c r="BD547" s="3" t="s">
        <v>7024</v>
      </c>
      <c r="BE547" s="3" t="s">
        <v>7025</v>
      </c>
      <c r="BF547" s="3" t="s">
        <v>7026</v>
      </c>
    </row>
    <row r="548" spans="1:58" ht="41.25" customHeight="1" x14ac:dyDescent="0.25">
      <c r="A548" s="7" t="s">
        <v>62</v>
      </c>
      <c r="B548" s="2" t="s">
        <v>57</v>
      </c>
      <c r="C548" s="2" t="s">
        <v>58</v>
      </c>
      <c r="D548" s="2" t="s">
        <v>7027</v>
      </c>
      <c r="E548" s="2" t="s">
        <v>7028</v>
      </c>
      <c r="F548" s="2" t="s">
        <v>7029</v>
      </c>
      <c r="H548" s="3" t="s">
        <v>62</v>
      </c>
      <c r="I548" s="3" t="s">
        <v>63</v>
      </c>
      <c r="J548" s="3" t="s">
        <v>62</v>
      </c>
      <c r="K548" s="3" t="s">
        <v>62</v>
      </c>
      <c r="L548" s="3" t="s">
        <v>64</v>
      </c>
      <c r="M548" s="2" t="s">
        <v>5182</v>
      </c>
      <c r="N548" s="2" t="s">
        <v>7030</v>
      </c>
      <c r="O548" s="3" t="s">
        <v>1990</v>
      </c>
      <c r="P548" s="2" t="s">
        <v>2054</v>
      </c>
      <c r="Q548" s="3" t="s">
        <v>68</v>
      </c>
      <c r="R548" s="3" t="s">
        <v>88</v>
      </c>
      <c r="T548" s="3" t="s">
        <v>70</v>
      </c>
      <c r="U548" s="4">
        <v>10</v>
      </c>
      <c r="V548" s="4">
        <v>10</v>
      </c>
      <c r="W548" s="5" t="s">
        <v>7031</v>
      </c>
      <c r="X548" s="5" t="s">
        <v>7031</v>
      </c>
      <c r="Y548" s="5" t="s">
        <v>7032</v>
      </c>
      <c r="Z548" s="5" t="s">
        <v>7032</v>
      </c>
      <c r="AA548" s="4">
        <v>211</v>
      </c>
      <c r="AB548" s="4">
        <v>187</v>
      </c>
      <c r="AC548" s="4">
        <v>509</v>
      </c>
      <c r="AD548" s="4">
        <v>2</v>
      </c>
      <c r="AE548" s="4">
        <v>5</v>
      </c>
      <c r="AF548" s="4">
        <v>11</v>
      </c>
      <c r="AG548" s="4">
        <v>26</v>
      </c>
      <c r="AH548" s="4">
        <v>4</v>
      </c>
      <c r="AI548" s="4">
        <v>8</v>
      </c>
      <c r="AJ548" s="4">
        <v>3</v>
      </c>
      <c r="AK548" s="4">
        <v>6</v>
      </c>
      <c r="AL548" s="4">
        <v>5</v>
      </c>
      <c r="AM548" s="4">
        <v>12</v>
      </c>
      <c r="AN548" s="4">
        <v>1</v>
      </c>
      <c r="AO548" s="4">
        <v>4</v>
      </c>
      <c r="AP548" s="4">
        <v>0</v>
      </c>
      <c r="AQ548" s="4">
        <v>0</v>
      </c>
      <c r="AR548" s="3" t="s">
        <v>62</v>
      </c>
      <c r="AS548" s="3" t="s">
        <v>62</v>
      </c>
      <c r="AU548" s="6" t="str">
        <f>HYPERLINK("https://creighton-primo.hosted.exlibrisgroup.com/primo-explore/search?tab=default_tab&amp;search_scope=EVERYTHING&amp;vid=01CRU&amp;lang=en_US&amp;offset=0&amp;query=any,contains,991003578839702656","Catalog Record")</f>
        <v>Catalog Record</v>
      </c>
      <c r="AV548" s="6" t="str">
        <f>HYPERLINK("http://www.worldcat.org/oclc/1159405","WorldCat Record")</f>
        <v>WorldCat Record</v>
      </c>
      <c r="AW548" s="3" t="s">
        <v>7033</v>
      </c>
      <c r="AX548" s="3" t="s">
        <v>7034</v>
      </c>
      <c r="AY548" s="3" t="s">
        <v>7035</v>
      </c>
      <c r="AZ548" s="3" t="s">
        <v>7035</v>
      </c>
      <c r="BA548" s="3" t="s">
        <v>7036</v>
      </c>
      <c r="BB548" s="3" t="s">
        <v>77</v>
      </c>
      <c r="BE548" s="3" t="s">
        <v>7037</v>
      </c>
      <c r="BF548" s="3" t="s">
        <v>7038</v>
      </c>
    </row>
    <row r="549" spans="1:58" ht="41.25" customHeight="1" x14ac:dyDescent="0.25">
      <c r="A549" s="7" t="s">
        <v>62</v>
      </c>
      <c r="B549" s="2" t="s">
        <v>57</v>
      </c>
      <c r="C549" s="2" t="s">
        <v>58</v>
      </c>
      <c r="D549" s="2" t="s">
        <v>7039</v>
      </c>
      <c r="E549" s="2" t="s">
        <v>7040</v>
      </c>
      <c r="F549" s="2" t="s">
        <v>7041</v>
      </c>
      <c r="H549" s="3" t="s">
        <v>62</v>
      </c>
      <c r="I549" s="3" t="s">
        <v>63</v>
      </c>
      <c r="J549" s="3" t="s">
        <v>62</v>
      </c>
      <c r="K549" s="3" t="s">
        <v>62</v>
      </c>
      <c r="L549" s="3" t="s">
        <v>64</v>
      </c>
      <c r="M549" s="2" t="s">
        <v>7042</v>
      </c>
      <c r="N549" s="2" t="s">
        <v>7043</v>
      </c>
      <c r="O549" s="3" t="s">
        <v>355</v>
      </c>
      <c r="Q549" s="3" t="s">
        <v>68</v>
      </c>
      <c r="R549" s="3" t="s">
        <v>166</v>
      </c>
      <c r="T549" s="3" t="s">
        <v>70</v>
      </c>
      <c r="U549" s="4">
        <v>5</v>
      </c>
      <c r="V549" s="4">
        <v>5</v>
      </c>
      <c r="W549" s="5" t="s">
        <v>4707</v>
      </c>
      <c r="X549" s="5" t="s">
        <v>4707</v>
      </c>
      <c r="Y549" s="5" t="s">
        <v>7032</v>
      </c>
      <c r="Z549" s="5" t="s">
        <v>7032</v>
      </c>
      <c r="AA549" s="4">
        <v>166</v>
      </c>
      <c r="AB549" s="4">
        <v>159</v>
      </c>
      <c r="AC549" s="4">
        <v>368</v>
      </c>
      <c r="AD549" s="4">
        <v>2</v>
      </c>
      <c r="AE549" s="4">
        <v>2</v>
      </c>
      <c r="AF549" s="4">
        <v>12</v>
      </c>
      <c r="AG549" s="4">
        <v>21</v>
      </c>
      <c r="AH549" s="4">
        <v>4</v>
      </c>
      <c r="AI549" s="4">
        <v>8</v>
      </c>
      <c r="AJ549" s="4">
        <v>4</v>
      </c>
      <c r="AK549" s="4">
        <v>6</v>
      </c>
      <c r="AL549" s="4">
        <v>6</v>
      </c>
      <c r="AM549" s="4">
        <v>12</v>
      </c>
      <c r="AN549" s="4">
        <v>1</v>
      </c>
      <c r="AO549" s="4">
        <v>1</v>
      </c>
      <c r="AP549" s="4">
        <v>0</v>
      </c>
      <c r="AQ549" s="4">
        <v>0</v>
      </c>
      <c r="AR549" s="3" t="s">
        <v>62</v>
      </c>
      <c r="AS549" s="3" t="s">
        <v>84</v>
      </c>
      <c r="AT549" s="6" t="str">
        <f>HYPERLINK("http://catalog.hathitrust.org/Record/009905014","HathiTrust Record")</f>
        <v>HathiTrust Record</v>
      </c>
      <c r="AU549" s="6" t="str">
        <f>HYPERLINK("https://creighton-primo.hosted.exlibrisgroup.com/primo-explore/search?tab=default_tab&amp;search_scope=EVERYTHING&amp;vid=01CRU&amp;lang=en_US&amp;offset=0&amp;query=any,contains,991003032049702656","Catalog Record")</f>
        <v>Catalog Record</v>
      </c>
      <c r="AV549" s="6" t="str">
        <f>HYPERLINK("http://www.worldcat.org/oclc/594999","WorldCat Record")</f>
        <v>WorldCat Record</v>
      </c>
      <c r="AW549" s="3" t="s">
        <v>7044</v>
      </c>
      <c r="AX549" s="3" t="s">
        <v>7045</v>
      </c>
      <c r="AY549" s="3" t="s">
        <v>7046</v>
      </c>
      <c r="AZ549" s="3" t="s">
        <v>7046</v>
      </c>
      <c r="BA549" s="3" t="s">
        <v>7047</v>
      </c>
      <c r="BB549" s="3" t="s">
        <v>77</v>
      </c>
      <c r="BE549" s="3" t="s">
        <v>7048</v>
      </c>
      <c r="BF549" s="3" t="s">
        <v>7049</v>
      </c>
    </row>
    <row r="550" spans="1:58" ht="41.25" customHeight="1" x14ac:dyDescent="0.25">
      <c r="A550" s="7" t="s">
        <v>62</v>
      </c>
      <c r="B550" s="2" t="s">
        <v>57</v>
      </c>
      <c r="C550" s="2" t="s">
        <v>58</v>
      </c>
      <c r="D550" s="2" t="s">
        <v>7050</v>
      </c>
      <c r="E550" s="2" t="s">
        <v>7051</v>
      </c>
      <c r="F550" s="2" t="s">
        <v>7052</v>
      </c>
      <c r="H550" s="3" t="s">
        <v>62</v>
      </c>
      <c r="I550" s="3" t="s">
        <v>63</v>
      </c>
      <c r="J550" s="3" t="s">
        <v>62</v>
      </c>
      <c r="K550" s="3" t="s">
        <v>62</v>
      </c>
      <c r="L550" s="3" t="s">
        <v>64</v>
      </c>
      <c r="M550" s="2" t="s">
        <v>7053</v>
      </c>
      <c r="N550" s="2" t="s">
        <v>7054</v>
      </c>
      <c r="O550" s="3" t="s">
        <v>355</v>
      </c>
      <c r="Q550" s="3" t="s">
        <v>68</v>
      </c>
      <c r="R550" s="3" t="s">
        <v>69</v>
      </c>
      <c r="T550" s="3" t="s">
        <v>70</v>
      </c>
      <c r="U550" s="4">
        <v>7</v>
      </c>
      <c r="V550" s="4">
        <v>7</v>
      </c>
      <c r="W550" s="5" t="s">
        <v>7055</v>
      </c>
      <c r="X550" s="5" t="s">
        <v>7055</v>
      </c>
      <c r="Y550" s="5" t="s">
        <v>7032</v>
      </c>
      <c r="Z550" s="5" t="s">
        <v>7032</v>
      </c>
      <c r="AA550" s="4">
        <v>654</v>
      </c>
      <c r="AB550" s="4">
        <v>619</v>
      </c>
      <c r="AC550" s="4">
        <v>624</v>
      </c>
      <c r="AD550" s="4">
        <v>3</v>
      </c>
      <c r="AE550" s="4">
        <v>3</v>
      </c>
      <c r="AF550" s="4">
        <v>18</v>
      </c>
      <c r="AG550" s="4">
        <v>19</v>
      </c>
      <c r="AH550" s="4">
        <v>7</v>
      </c>
      <c r="AI550" s="4">
        <v>7</v>
      </c>
      <c r="AJ550" s="4">
        <v>4</v>
      </c>
      <c r="AK550" s="4">
        <v>5</v>
      </c>
      <c r="AL550" s="4">
        <v>8</v>
      </c>
      <c r="AM550" s="4">
        <v>9</v>
      </c>
      <c r="AN550" s="4">
        <v>2</v>
      </c>
      <c r="AO550" s="4">
        <v>2</v>
      </c>
      <c r="AP550" s="4">
        <v>0</v>
      </c>
      <c r="AQ550" s="4">
        <v>0</v>
      </c>
      <c r="AR550" s="3" t="s">
        <v>62</v>
      </c>
      <c r="AS550" s="3" t="s">
        <v>62</v>
      </c>
      <c r="AU550" s="6" t="str">
        <f>HYPERLINK("https://creighton-primo.hosted.exlibrisgroup.com/primo-explore/search?tab=default_tab&amp;search_scope=EVERYTHING&amp;vid=01CRU&amp;lang=en_US&amp;offset=0&amp;query=any,contains,991003359229702656","Catalog Record")</f>
        <v>Catalog Record</v>
      </c>
      <c r="AV550" s="6" t="str">
        <f>HYPERLINK("http://www.worldcat.org/oclc/894805","WorldCat Record")</f>
        <v>WorldCat Record</v>
      </c>
      <c r="AW550" s="3" t="s">
        <v>7056</v>
      </c>
      <c r="AX550" s="3" t="s">
        <v>7057</v>
      </c>
      <c r="AY550" s="3" t="s">
        <v>7058</v>
      </c>
      <c r="AZ550" s="3" t="s">
        <v>7058</v>
      </c>
      <c r="BA550" s="3" t="s">
        <v>7059</v>
      </c>
      <c r="BB550" s="3" t="s">
        <v>77</v>
      </c>
      <c r="BE550" s="3" t="s">
        <v>7060</v>
      </c>
      <c r="BF550" s="3" t="s">
        <v>7061</v>
      </c>
    </row>
    <row r="551" spans="1:58" ht="41.25" customHeight="1" x14ac:dyDescent="0.25">
      <c r="A551" s="7" t="s">
        <v>62</v>
      </c>
      <c r="B551" s="2" t="s">
        <v>57</v>
      </c>
      <c r="C551" s="2" t="s">
        <v>58</v>
      </c>
      <c r="D551" s="2" t="s">
        <v>7062</v>
      </c>
      <c r="E551" s="2" t="s">
        <v>7063</v>
      </c>
      <c r="F551" s="2" t="s">
        <v>7064</v>
      </c>
      <c r="H551" s="3" t="s">
        <v>62</v>
      </c>
      <c r="I551" s="3" t="s">
        <v>63</v>
      </c>
      <c r="J551" s="3" t="s">
        <v>62</v>
      </c>
      <c r="K551" s="3" t="s">
        <v>62</v>
      </c>
      <c r="L551" s="3" t="s">
        <v>64</v>
      </c>
      <c r="M551" s="2" t="s">
        <v>7065</v>
      </c>
      <c r="N551" s="2" t="s">
        <v>7066</v>
      </c>
      <c r="O551" s="3" t="s">
        <v>7067</v>
      </c>
      <c r="Q551" s="3" t="s">
        <v>68</v>
      </c>
      <c r="R551" s="3" t="s">
        <v>88</v>
      </c>
      <c r="S551" s="2" t="s">
        <v>7068</v>
      </c>
      <c r="T551" s="3" t="s">
        <v>70</v>
      </c>
      <c r="U551" s="4">
        <v>6</v>
      </c>
      <c r="V551" s="4">
        <v>6</v>
      </c>
      <c r="W551" s="5" t="s">
        <v>7069</v>
      </c>
      <c r="X551" s="5" t="s">
        <v>7069</v>
      </c>
      <c r="Y551" s="5" t="s">
        <v>7032</v>
      </c>
      <c r="Z551" s="5" t="s">
        <v>7032</v>
      </c>
      <c r="AA551" s="4">
        <v>266</v>
      </c>
      <c r="AB551" s="4">
        <v>199</v>
      </c>
      <c r="AC551" s="4">
        <v>378</v>
      </c>
      <c r="AD551" s="4">
        <v>1</v>
      </c>
      <c r="AE551" s="4">
        <v>4</v>
      </c>
      <c r="AF551" s="4">
        <v>14</v>
      </c>
      <c r="AG551" s="4">
        <v>25</v>
      </c>
      <c r="AH551" s="4">
        <v>5</v>
      </c>
      <c r="AI551" s="4">
        <v>9</v>
      </c>
      <c r="AJ551" s="4">
        <v>5</v>
      </c>
      <c r="AK551" s="4">
        <v>7</v>
      </c>
      <c r="AL551" s="4">
        <v>7</v>
      </c>
      <c r="AM551" s="4">
        <v>11</v>
      </c>
      <c r="AN551" s="4">
        <v>0</v>
      </c>
      <c r="AO551" s="4">
        <v>3</v>
      </c>
      <c r="AP551" s="4">
        <v>0</v>
      </c>
      <c r="AQ551" s="4">
        <v>0</v>
      </c>
      <c r="AR551" s="3" t="s">
        <v>84</v>
      </c>
      <c r="AS551" s="3" t="s">
        <v>62</v>
      </c>
      <c r="AT551" s="6" t="str">
        <f>HYPERLINK("http://catalog.hathitrust.org/Record/001392515","HathiTrust Record")</f>
        <v>HathiTrust Record</v>
      </c>
      <c r="AU551" s="6" t="str">
        <f>HYPERLINK("https://creighton-primo.hosted.exlibrisgroup.com/primo-explore/search?tab=default_tab&amp;search_scope=EVERYTHING&amp;vid=01CRU&amp;lang=en_US&amp;offset=0&amp;query=any,contains,991003687049702656","Catalog Record")</f>
        <v>Catalog Record</v>
      </c>
      <c r="AV551" s="6" t="str">
        <f>HYPERLINK("http://www.worldcat.org/oclc/1315733","WorldCat Record")</f>
        <v>WorldCat Record</v>
      </c>
      <c r="AW551" s="3" t="s">
        <v>7070</v>
      </c>
      <c r="AX551" s="3" t="s">
        <v>7071</v>
      </c>
      <c r="AY551" s="3" t="s">
        <v>7072</v>
      </c>
      <c r="AZ551" s="3" t="s">
        <v>7072</v>
      </c>
      <c r="BA551" s="3" t="s">
        <v>7073</v>
      </c>
      <c r="BB551" s="3" t="s">
        <v>77</v>
      </c>
      <c r="BE551" s="3" t="s">
        <v>7074</v>
      </c>
      <c r="BF551" s="3" t="s">
        <v>7075</v>
      </c>
    </row>
    <row r="552" spans="1:58" ht="41.25" customHeight="1" x14ac:dyDescent="0.25">
      <c r="A552" s="7" t="s">
        <v>62</v>
      </c>
      <c r="B552" s="2" t="s">
        <v>57</v>
      </c>
      <c r="C552" s="2" t="s">
        <v>58</v>
      </c>
      <c r="D552" s="2" t="s">
        <v>7076</v>
      </c>
      <c r="E552" s="2" t="s">
        <v>7077</v>
      </c>
      <c r="F552" s="2" t="s">
        <v>7078</v>
      </c>
      <c r="H552" s="3" t="s">
        <v>62</v>
      </c>
      <c r="I552" s="3" t="s">
        <v>63</v>
      </c>
      <c r="J552" s="3" t="s">
        <v>62</v>
      </c>
      <c r="K552" s="3" t="s">
        <v>62</v>
      </c>
      <c r="L552" s="3" t="s">
        <v>64</v>
      </c>
      <c r="M552" s="2" t="s">
        <v>7079</v>
      </c>
      <c r="N552" s="2" t="s">
        <v>7080</v>
      </c>
      <c r="O552" s="3" t="s">
        <v>233</v>
      </c>
      <c r="Q552" s="3" t="s">
        <v>68</v>
      </c>
      <c r="R552" s="3" t="s">
        <v>1349</v>
      </c>
      <c r="T552" s="3" t="s">
        <v>70</v>
      </c>
      <c r="U552" s="4">
        <v>3</v>
      </c>
      <c r="V552" s="4">
        <v>3</v>
      </c>
      <c r="W552" s="5" t="s">
        <v>7081</v>
      </c>
      <c r="X552" s="5" t="s">
        <v>7081</v>
      </c>
      <c r="Y552" s="5" t="s">
        <v>7032</v>
      </c>
      <c r="Z552" s="5" t="s">
        <v>7032</v>
      </c>
      <c r="AA552" s="4">
        <v>520</v>
      </c>
      <c r="AB552" s="4">
        <v>425</v>
      </c>
      <c r="AC552" s="4">
        <v>431</v>
      </c>
      <c r="AD552" s="4">
        <v>3</v>
      </c>
      <c r="AE552" s="4">
        <v>3</v>
      </c>
      <c r="AF552" s="4">
        <v>20</v>
      </c>
      <c r="AG552" s="4">
        <v>20</v>
      </c>
      <c r="AH552" s="4">
        <v>6</v>
      </c>
      <c r="AI552" s="4">
        <v>6</v>
      </c>
      <c r="AJ552" s="4">
        <v>7</v>
      </c>
      <c r="AK552" s="4">
        <v>7</v>
      </c>
      <c r="AL552" s="4">
        <v>12</v>
      </c>
      <c r="AM552" s="4">
        <v>12</v>
      </c>
      <c r="AN552" s="4">
        <v>2</v>
      </c>
      <c r="AO552" s="4">
        <v>2</v>
      </c>
      <c r="AP552" s="4">
        <v>0</v>
      </c>
      <c r="AQ552" s="4">
        <v>0</v>
      </c>
      <c r="AR552" s="3" t="s">
        <v>62</v>
      </c>
      <c r="AS552" s="3" t="s">
        <v>84</v>
      </c>
      <c r="AT552" s="6" t="str">
        <f>HYPERLINK("http://catalog.hathitrust.org/Record/006809271","HathiTrust Record")</f>
        <v>HathiTrust Record</v>
      </c>
      <c r="AU552" s="6" t="str">
        <f>HYPERLINK("https://creighton-primo.hosted.exlibrisgroup.com/primo-explore/search?tab=default_tab&amp;search_scope=EVERYTHING&amp;vid=01CRU&amp;lang=en_US&amp;offset=0&amp;query=any,contains,991004862229702656","Catalog Record")</f>
        <v>Catalog Record</v>
      </c>
      <c r="AV552" s="6" t="str">
        <f>HYPERLINK("http://www.worldcat.org/oclc/5707940","WorldCat Record")</f>
        <v>WorldCat Record</v>
      </c>
      <c r="AW552" s="3" t="s">
        <v>7082</v>
      </c>
      <c r="AX552" s="3" t="s">
        <v>7083</v>
      </c>
      <c r="AY552" s="3" t="s">
        <v>7084</v>
      </c>
      <c r="AZ552" s="3" t="s">
        <v>7084</v>
      </c>
      <c r="BA552" s="3" t="s">
        <v>7085</v>
      </c>
      <c r="BB552" s="3" t="s">
        <v>77</v>
      </c>
      <c r="BD552" s="3" t="s">
        <v>7086</v>
      </c>
      <c r="BE552" s="3" t="s">
        <v>7087</v>
      </c>
      <c r="BF552" s="3" t="s">
        <v>7088</v>
      </c>
    </row>
    <row r="553" spans="1:58" ht="41.25" customHeight="1" x14ac:dyDescent="0.25">
      <c r="A553" s="7" t="s">
        <v>62</v>
      </c>
      <c r="B553" s="2" t="s">
        <v>57</v>
      </c>
      <c r="C553" s="2" t="s">
        <v>58</v>
      </c>
      <c r="D553" s="2" t="s">
        <v>7089</v>
      </c>
      <c r="E553" s="2" t="s">
        <v>7090</v>
      </c>
      <c r="F553" s="2" t="s">
        <v>7091</v>
      </c>
      <c r="H553" s="3" t="s">
        <v>62</v>
      </c>
      <c r="I553" s="3" t="s">
        <v>63</v>
      </c>
      <c r="J553" s="3" t="s">
        <v>62</v>
      </c>
      <c r="K553" s="3" t="s">
        <v>62</v>
      </c>
      <c r="L553" s="3" t="s">
        <v>64</v>
      </c>
      <c r="M553" s="2" t="s">
        <v>7092</v>
      </c>
      <c r="N553" s="2" t="s">
        <v>7093</v>
      </c>
      <c r="O553" s="3" t="s">
        <v>7094</v>
      </c>
      <c r="Q553" s="3" t="s">
        <v>68</v>
      </c>
      <c r="R553" s="3" t="s">
        <v>204</v>
      </c>
      <c r="S553" s="2" t="s">
        <v>7095</v>
      </c>
      <c r="T553" s="3" t="s">
        <v>70</v>
      </c>
      <c r="U553" s="4">
        <v>3</v>
      </c>
      <c r="V553" s="4">
        <v>3</v>
      </c>
      <c r="W553" s="5" t="s">
        <v>7096</v>
      </c>
      <c r="X553" s="5" t="s">
        <v>7096</v>
      </c>
      <c r="Y553" s="5" t="s">
        <v>7032</v>
      </c>
      <c r="Z553" s="5" t="s">
        <v>7032</v>
      </c>
      <c r="AA553" s="4">
        <v>591</v>
      </c>
      <c r="AB553" s="4">
        <v>478</v>
      </c>
      <c r="AC553" s="4">
        <v>563</v>
      </c>
      <c r="AD553" s="4">
        <v>6</v>
      </c>
      <c r="AE553" s="4">
        <v>6</v>
      </c>
      <c r="AF553" s="4">
        <v>36</v>
      </c>
      <c r="AG553" s="4">
        <v>40</v>
      </c>
      <c r="AH553" s="4">
        <v>14</v>
      </c>
      <c r="AI553" s="4">
        <v>16</v>
      </c>
      <c r="AJ553" s="4">
        <v>8</v>
      </c>
      <c r="AK553" s="4">
        <v>10</v>
      </c>
      <c r="AL553" s="4">
        <v>22</v>
      </c>
      <c r="AM553" s="4">
        <v>23</v>
      </c>
      <c r="AN553" s="4">
        <v>3</v>
      </c>
      <c r="AO553" s="4">
        <v>3</v>
      </c>
      <c r="AP553" s="4">
        <v>0</v>
      </c>
      <c r="AQ553" s="4">
        <v>0</v>
      </c>
      <c r="AR553" s="3" t="s">
        <v>62</v>
      </c>
      <c r="AS553" s="3" t="s">
        <v>62</v>
      </c>
      <c r="AT553" s="6" t="str">
        <f>HYPERLINK("http://catalog.hathitrust.org/Record/001392524","HathiTrust Record")</f>
        <v>HathiTrust Record</v>
      </c>
      <c r="AU553" s="6" t="str">
        <f>HYPERLINK("https://creighton-primo.hosted.exlibrisgroup.com/primo-explore/search?tab=default_tab&amp;search_scope=EVERYTHING&amp;vid=01CRU&amp;lang=en_US&amp;offset=0&amp;query=any,contains,991005354499702656","Catalog Record")</f>
        <v>Catalog Record</v>
      </c>
      <c r="AV553" s="6" t="str">
        <f>HYPERLINK("http://www.worldcat.org/oclc/322071","WorldCat Record")</f>
        <v>WorldCat Record</v>
      </c>
      <c r="AW553" s="3" t="s">
        <v>7097</v>
      </c>
      <c r="AX553" s="3" t="s">
        <v>7098</v>
      </c>
      <c r="AY553" s="3" t="s">
        <v>7099</v>
      </c>
      <c r="AZ553" s="3" t="s">
        <v>7099</v>
      </c>
      <c r="BA553" s="3" t="s">
        <v>7100</v>
      </c>
      <c r="BB553" s="3" t="s">
        <v>77</v>
      </c>
      <c r="BE553" s="3" t="s">
        <v>7101</v>
      </c>
      <c r="BF553" s="3" t="s">
        <v>7102</v>
      </c>
    </row>
    <row r="554" spans="1:58" ht="41.25" customHeight="1" x14ac:dyDescent="0.25">
      <c r="A554" s="7" t="s">
        <v>62</v>
      </c>
      <c r="B554" s="2" t="s">
        <v>57</v>
      </c>
      <c r="C554" s="2" t="s">
        <v>58</v>
      </c>
      <c r="D554" s="2" t="s">
        <v>7103</v>
      </c>
      <c r="E554" s="2" t="s">
        <v>7104</v>
      </c>
      <c r="F554" s="2" t="s">
        <v>7105</v>
      </c>
      <c r="H554" s="3" t="s">
        <v>62</v>
      </c>
      <c r="I554" s="3" t="s">
        <v>63</v>
      </c>
      <c r="J554" s="3" t="s">
        <v>62</v>
      </c>
      <c r="K554" s="3" t="s">
        <v>62</v>
      </c>
      <c r="L554" s="3" t="s">
        <v>64</v>
      </c>
      <c r="M554" s="2" t="s">
        <v>7106</v>
      </c>
      <c r="N554" s="2" t="s">
        <v>7107</v>
      </c>
      <c r="O554" s="3" t="s">
        <v>87</v>
      </c>
      <c r="P554" s="2" t="s">
        <v>517</v>
      </c>
      <c r="Q554" s="3" t="s">
        <v>68</v>
      </c>
      <c r="R554" s="3" t="s">
        <v>88</v>
      </c>
      <c r="T554" s="3" t="s">
        <v>70</v>
      </c>
      <c r="U554" s="4">
        <v>4</v>
      </c>
      <c r="V554" s="4">
        <v>4</v>
      </c>
      <c r="W554" s="5" t="s">
        <v>7108</v>
      </c>
      <c r="X554" s="5" t="s">
        <v>7108</v>
      </c>
      <c r="Y554" s="5" t="s">
        <v>7032</v>
      </c>
      <c r="Z554" s="5" t="s">
        <v>7032</v>
      </c>
      <c r="AA554" s="4">
        <v>654</v>
      </c>
      <c r="AB554" s="4">
        <v>602</v>
      </c>
      <c r="AC554" s="4">
        <v>617</v>
      </c>
      <c r="AD554" s="4">
        <v>4</v>
      </c>
      <c r="AE554" s="4">
        <v>4</v>
      </c>
      <c r="AF554" s="4">
        <v>29</v>
      </c>
      <c r="AG554" s="4">
        <v>29</v>
      </c>
      <c r="AH554" s="4">
        <v>12</v>
      </c>
      <c r="AI554" s="4">
        <v>12</v>
      </c>
      <c r="AJ554" s="4">
        <v>6</v>
      </c>
      <c r="AK554" s="4">
        <v>6</v>
      </c>
      <c r="AL554" s="4">
        <v>18</v>
      </c>
      <c r="AM554" s="4">
        <v>18</v>
      </c>
      <c r="AN554" s="4">
        <v>2</v>
      </c>
      <c r="AO554" s="4">
        <v>2</v>
      </c>
      <c r="AP554" s="4">
        <v>0</v>
      </c>
      <c r="AQ554" s="4">
        <v>0</v>
      </c>
      <c r="AR554" s="3" t="s">
        <v>62</v>
      </c>
      <c r="AS554" s="3" t="s">
        <v>62</v>
      </c>
      <c r="AU554" s="6" t="str">
        <f>HYPERLINK("https://creighton-primo.hosted.exlibrisgroup.com/primo-explore/search?tab=default_tab&amp;search_scope=EVERYTHING&amp;vid=01CRU&amp;lang=en_US&amp;offset=0&amp;query=any,contains,991003325109702656","Catalog Record")</f>
        <v>Catalog Record</v>
      </c>
      <c r="AV554" s="6" t="str">
        <f>HYPERLINK("http://www.worldcat.org/oclc/854246","WorldCat Record")</f>
        <v>WorldCat Record</v>
      </c>
      <c r="AW554" s="3" t="s">
        <v>7109</v>
      </c>
      <c r="AX554" s="3" t="s">
        <v>7110</v>
      </c>
      <c r="AY554" s="3" t="s">
        <v>7111</v>
      </c>
      <c r="AZ554" s="3" t="s">
        <v>7111</v>
      </c>
      <c r="BA554" s="3" t="s">
        <v>7112</v>
      </c>
      <c r="BB554" s="3" t="s">
        <v>77</v>
      </c>
      <c r="BE554" s="3" t="s">
        <v>7113</v>
      </c>
      <c r="BF554" s="3" t="s">
        <v>7114</v>
      </c>
    </row>
    <row r="555" spans="1:58" ht="41.25" customHeight="1" x14ac:dyDescent="0.25">
      <c r="A555" s="7" t="s">
        <v>62</v>
      </c>
      <c r="B555" s="2" t="s">
        <v>57</v>
      </c>
      <c r="C555" s="2" t="s">
        <v>58</v>
      </c>
      <c r="D555" s="2" t="s">
        <v>7115</v>
      </c>
      <c r="E555" s="2" t="s">
        <v>7116</v>
      </c>
      <c r="F555" s="2" t="s">
        <v>7117</v>
      </c>
      <c r="H555" s="3" t="s">
        <v>62</v>
      </c>
      <c r="I555" s="3" t="s">
        <v>63</v>
      </c>
      <c r="J555" s="3" t="s">
        <v>62</v>
      </c>
      <c r="K555" s="3" t="s">
        <v>62</v>
      </c>
      <c r="L555" s="3" t="s">
        <v>64</v>
      </c>
      <c r="M555" s="2" t="s">
        <v>7118</v>
      </c>
      <c r="N555" s="2" t="s">
        <v>7119</v>
      </c>
      <c r="O555" s="3" t="s">
        <v>2017</v>
      </c>
      <c r="Q555" s="3" t="s">
        <v>68</v>
      </c>
      <c r="R555" s="3" t="s">
        <v>888</v>
      </c>
      <c r="S555" s="2" t="s">
        <v>7120</v>
      </c>
      <c r="T555" s="3" t="s">
        <v>70</v>
      </c>
      <c r="U555" s="4">
        <v>7</v>
      </c>
      <c r="V555" s="4">
        <v>7</v>
      </c>
      <c r="W555" s="5" t="s">
        <v>1172</v>
      </c>
      <c r="X555" s="5" t="s">
        <v>1172</v>
      </c>
      <c r="Y555" s="5" t="s">
        <v>7032</v>
      </c>
      <c r="Z555" s="5" t="s">
        <v>7032</v>
      </c>
      <c r="AA555" s="4">
        <v>308</v>
      </c>
      <c r="AB555" s="4">
        <v>286</v>
      </c>
      <c r="AC555" s="4">
        <v>905</v>
      </c>
      <c r="AD555" s="4">
        <v>5</v>
      </c>
      <c r="AE555" s="4">
        <v>8</v>
      </c>
      <c r="AF555" s="4">
        <v>20</v>
      </c>
      <c r="AG555" s="4">
        <v>43</v>
      </c>
      <c r="AH555" s="4">
        <v>4</v>
      </c>
      <c r="AI555" s="4">
        <v>17</v>
      </c>
      <c r="AJ555" s="4">
        <v>5</v>
      </c>
      <c r="AK555" s="4">
        <v>10</v>
      </c>
      <c r="AL555" s="4">
        <v>12</v>
      </c>
      <c r="AM555" s="4">
        <v>21</v>
      </c>
      <c r="AN555" s="4">
        <v>4</v>
      </c>
      <c r="AO555" s="4">
        <v>7</v>
      </c>
      <c r="AP555" s="4">
        <v>0</v>
      </c>
      <c r="AQ555" s="4">
        <v>0</v>
      </c>
      <c r="AR555" s="3" t="s">
        <v>84</v>
      </c>
      <c r="AS555" s="3" t="s">
        <v>62</v>
      </c>
      <c r="AT555" s="6" t="str">
        <f>HYPERLINK("http://catalog.hathitrust.org/Record/000838963","HathiTrust Record")</f>
        <v>HathiTrust Record</v>
      </c>
      <c r="AU555" s="6" t="str">
        <f>HYPERLINK("https://creighton-primo.hosted.exlibrisgroup.com/primo-explore/search?tab=default_tab&amp;search_scope=EVERYTHING&amp;vid=01CRU&amp;lang=en_US&amp;offset=0&amp;query=any,contains,991003986829702656","Catalog Record")</f>
        <v>Catalog Record</v>
      </c>
      <c r="AV555" s="6" t="str">
        <f>HYPERLINK("http://www.worldcat.org/oclc/2034327","WorldCat Record")</f>
        <v>WorldCat Record</v>
      </c>
      <c r="AW555" s="3" t="s">
        <v>7121</v>
      </c>
      <c r="AX555" s="3" t="s">
        <v>7122</v>
      </c>
      <c r="AY555" s="3" t="s">
        <v>7123</v>
      </c>
      <c r="AZ555" s="3" t="s">
        <v>7123</v>
      </c>
      <c r="BA555" s="3" t="s">
        <v>7124</v>
      </c>
      <c r="BB555" s="3" t="s">
        <v>77</v>
      </c>
      <c r="BE555" s="3" t="s">
        <v>7125</v>
      </c>
      <c r="BF555" s="3" t="s">
        <v>7126</v>
      </c>
    </row>
    <row r="556" spans="1:58" ht="41.25" customHeight="1" x14ac:dyDescent="0.25">
      <c r="A556" s="7" t="s">
        <v>62</v>
      </c>
      <c r="B556" s="2" t="s">
        <v>57</v>
      </c>
      <c r="C556" s="2" t="s">
        <v>58</v>
      </c>
      <c r="D556" s="2" t="s">
        <v>7127</v>
      </c>
      <c r="E556" s="2" t="s">
        <v>7128</v>
      </c>
      <c r="F556" s="2" t="s">
        <v>7129</v>
      </c>
      <c r="H556" s="3" t="s">
        <v>62</v>
      </c>
      <c r="I556" s="3" t="s">
        <v>63</v>
      </c>
      <c r="J556" s="3" t="s">
        <v>62</v>
      </c>
      <c r="K556" s="3" t="s">
        <v>62</v>
      </c>
      <c r="L556" s="3" t="s">
        <v>64</v>
      </c>
      <c r="M556" s="2" t="s">
        <v>7130</v>
      </c>
      <c r="N556" s="2" t="s">
        <v>7131</v>
      </c>
      <c r="O556" s="3" t="s">
        <v>383</v>
      </c>
      <c r="Q556" s="3" t="s">
        <v>68</v>
      </c>
      <c r="R556" s="3" t="s">
        <v>69</v>
      </c>
      <c r="S556" s="2" t="s">
        <v>7132</v>
      </c>
      <c r="T556" s="3" t="s">
        <v>70</v>
      </c>
      <c r="U556" s="4">
        <v>5</v>
      </c>
      <c r="V556" s="4">
        <v>5</v>
      </c>
      <c r="W556" s="5" t="s">
        <v>2666</v>
      </c>
      <c r="X556" s="5" t="s">
        <v>2666</v>
      </c>
      <c r="Y556" s="5" t="s">
        <v>7032</v>
      </c>
      <c r="Z556" s="5" t="s">
        <v>7032</v>
      </c>
      <c r="AA556" s="4">
        <v>202</v>
      </c>
      <c r="AB556" s="4">
        <v>179</v>
      </c>
      <c r="AC556" s="4">
        <v>616</v>
      </c>
      <c r="AD556" s="4">
        <v>1</v>
      </c>
      <c r="AE556" s="4">
        <v>3</v>
      </c>
      <c r="AF556" s="4">
        <v>5</v>
      </c>
      <c r="AG556" s="4">
        <v>33</v>
      </c>
      <c r="AH556" s="4">
        <v>2</v>
      </c>
      <c r="AI556" s="4">
        <v>13</v>
      </c>
      <c r="AJ556" s="4">
        <v>4</v>
      </c>
      <c r="AK556" s="4">
        <v>10</v>
      </c>
      <c r="AL556" s="4">
        <v>1</v>
      </c>
      <c r="AM556" s="4">
        <v>18</v>
      </c>
      <c r="AN556" s="4">
        <v>0</v>
      </c>
      <c r="AO556" s="4">
        <v>2</v>
      </c>
      <c r="AP556" s="4">
        <v>0</v>
      </c>
      <c r="AQ556" s="4">
        <v>0</v>
      </c>
      <c r="AR556" s="3" t="s">
        <v>62</v>
      </c>
      <c r="AS556" s="3" t="s">
        <v>84</v>
      </c>
      <c r="AT556" s="6" t="str">
        <f>HYPERLINK("http://catalog.hathitrust.org/Record/001922464","HathiTrust Record")</f>
        <v>HathiTrust Record</v>
      </c>
      <c r="AU556" s="6" t="str">
        <f>HYPERLINK("https://creighton-primo.hosted.exlibrisgroup.com/primo-explore/search?tab=default_tab&amp;search_scope=EVERYTHING&amp;vid=01CRU&amp;lang=en_US&amp;offset=0&amp;query=any,contains,991002863029702656","Catalog Record")</f>
        <v>Catalog Record</v>
      </c>
      <c r="AV556" s="6" t="str">
        <f>HYPERLINK("http://www.worldcat.org/oclc/494671","WorldCat Record")</f>
        <v>WorldCat Record</v>
      </c>
      <c r="AW556" s="3" t="s">
        <v>7133</v>
      </c>
      <c r="AX556" s="3" t="s">
        <v>7134</v>
      </c>
      <c r="AY556" s="3" t="s">
        <v>7135</v>
      </c>
      <c r="AZ556" s="3" t="s">
        <v>7135</v>
      </c>
      <c r="BA556" s="3" t="s">
        <v>7136</v>
      </c>
      <c r="BB556" s="3" t="s">
        <v>77</v>
      </c>
      <c r="BE556" s="3" t="s">
        <v>7137</v>
      </c>
      <c r="BF556" s="3" t="s">
        <v>7138</v>
      </c>
    </row>
    <row r="557" spans="1:58" ht="41.25" customHeight="1" x14ac:dyDescent="0.25">
      <c r="A557" s="7" t="s">
        <v>62</v>
      </c>
      <c r="B557" s="2" t="s">
        <v>57</v>
      </c>
      <c r="C557" s="2" t="s">
        <v>58</v>
      </c>
      <c r="D557" s="2" t="s">
        <v>7139</v>
      </c>
      <c r="E557" s="2" t="s">
        <v>7140</v>
      </c>
      <c r="F557" s="2" t="s">
        <v>7141</v>
      </c>
      <c r="H557" s="3" t="s">
        <v>62</v>
      </c>
      <c r="I557" s="3" t="s">
        <v>63</v>
      </c>
      <c r="J557" s="3" t="s">
        <v>62</v>
      </c>
      <c r="K557" s="3" t="s">
        <v>62</v>
      </c>
      <c r="L557" s="3" t="s">
        <v>64</v>
      </c>
      <c r="M557" s="2" t="s">
        <v>7142</v>
      </c>
      <c r="N557" s="2" t="s">
        <v>7143</v>
      </c>
      <c r="O557" s="3" t="s">
        <v>561</v>
      </c>
      <c r="Q557" s="3" t="s">
        <v>68</v>
      </c>
      <c r="R557" s="3" t="s">
        <v>138</v>
      </c>
      <c r="T557" s="3" t="s">
        <v>70</v>
      </c>
      <c r="U557" s="4">
        <v>7</v>
      </c>
      <c r="V557" s="4">
        <v>7</v>
      </c>
      <c r="W557" s="5" t="s">
        <v>1053</v>
      </c>
      <c r="X557" s="5" t="s">
        <v>1053</v>
      </c>
      <c r="Y557" s="5" t="s">
        <v>7032</v>
      </c>
      <c r="Z557" s="5" t="s">
        <v>7032</v>
      </c>
      <c r="AA557" s="4">
        <v>426</v>
      </c>
      <c r="AB557" s="4">
        <v>318</v>
      </c>
      <c r="AC557" s="4">
        <v>328</v>
      </c>
      <c r="AD557" s="4">
        <v>2</v>
      </c>
      <c r="AE557" s="4">
        <v>2</v>
      </c>
      <c r="AF557" s="4">
        <v>12</v>
      </c>
      <c r="AG557" s="4">
        <v>12</v>
      </c>
      <c r="AH557" s="4">
        <v>3</v>
      </c>
      <c r="AI557" s="4">
        <v>3</v>
      </c>
      <c r="AJ557" s="4">
        <v>3</v>
      </c>
      <c r="AK557" s="4">
        <v>3</v>
      </c>
      <c r="AL557" s="4">
        <v>8</v>
      </c>
      <c r="AM557" s="4">
        <v>8</v>
      </c>
      <c r="AN557" s="4">
        <v>1</v>
      </c>
      <c r="AO557" s="4">
        <v>1</v>
      </c>
      <c r="AP557" s="4">
        <v>0</v>
      </c>
      <c r="AQ557" s="4">
        <v>0</v>
      </c>
      <c r="AR557" s="3" t="s">
        <v>62</v>
      </c>
      <c r="AS557" s="3" t="s">
        <v>62</v>
      </c>
      <c r="AU557" s="6" t="str">
        <f>HYPERLINK("https://creighton-primo.hosted.exlibrisgroup.com/primo-explore/search?tab=default_tab&amp;search_scope=EVERYTHING&amp;vid=01CRU&amp;lang=en_US&amp;offset=0&amp;query=any,contains,991000660509702656","Catalog Record")</f>
        <v>Catalog Record</v>
      </c>
      <c r="AV557" s="6" t="str">
        <f>HYPERLINK("http://www.worldcat.org/oclc/12237858","WorldCat Record")</f>
        <v>WorldCat Record</v>
      </c>
      <c r="AW557" s="3" t="s">
        <v>7144</v>
      </c>
      <c r="AX557" s="3" t="s">
        <v>7145</v>
      </c>
      <c r="AY557" s="3" t="s">
        <v>7146</v>
      </c>
      <c r="AZ557" s="3" t="s">
        <v>7146</v>
      </c>
      <c r="BA557" s="3" t="s">
        <v>7147</v>
      </c>
      <c r="BB557" s="3" t="s">
        <v>77</v>
      </c>
      <c r="BD557" s="3" t="s">
        <v>7148</v>
      </c>
      <c r="BE557" s="3" t="s">
        <v>7149</v>
      </c>
      <c r="BF557" s="3" t="s">
        <v>7150</v>
      </c>
    </row>
    <row r="558" spans="1:58" ht="41.25" customHeight="1" x14ac:dyDescent="0.25">
      <c r="A558" s="7" t="s">
        <v>62</v>
      </c>
      <c r="B558" s="2" t="s">
        <v>57</v>
      </c>
      <c r="C558" s="2" t="s">
        <v>58</v>
      </c>
      <c r="D558" s="2" t="s">
        <v>7151</v>
      </c>
      <c r="E558" s="2" t="s">
        <v>7152</v>
      </c>
      <c r="F558" s="2" t="s">
        <v>7153</v>
      </c>
      <c r="H558" s="3" t="s">
        <v>62</v>
      </c>
      <c r="I558" s="3" t="s">
        <v>63</v>
      </c>
      <c r="J558" s="3" t="s">
        <v>62</v>
      </c>
      <c r="K558" s="3" t="s">
        <v>62</v>
      </c>
      <c r="L558" s="3" t="s">
        <v>64</v>
      </c>
      <c r="M558" s="2" t="s">
        <v>7130</v>
      </c>
      <c r="N558" s="2" t="s">
        <v>7154</v>
      </c>
      <c r="O558" s="3" t="s">
        <v>1637</v>
      </c>
      <c r="Q558" s="3" t="s">
        <v>68</v>
      </c>
      <c r="R558" s="3" t="s">
        <v>204</v>
      </c>
      <c r="S558" s="2" t="s">
        <v>7155</v>
      </c>
      <c r="T558" s="3" t="s">
        <v>70</v>
      </c>
      <c r="U558" s="4">
        <v>7</v>
      </c>
      <c r="V558" s="4">
        <v>7</v>
      </c>
      <c r="W558" s="5" t="s">
        <v>7156</v>
      </c>
      <c r="X558" s="5" t="s">
        <v>7156</v>
      </c>
      <c r="Y558" s="5" t="s">
        <v>7157</v>
      </c>
      <c r="Z558" s="5" t="s">
        <v>7157</v>
      </c>
      <c r="AA558" s="4">
        <v>75</v>
      </c>
      <c r="AB558" s="4">
        <v>60</v>
      </c>
      <c r="AC558" s="4">
        <v>919</v>
      </c>
      <c r="AD558" s="4">
        <v>1</v>
      </c>
      <c r="AE558" s="4">
        <v>6</v>
      </c>
      <c r="AF558" s="4">
        <v>1</v>
      </c>
      <c r="AG558" s="4">
        <v>45</v>
      </c>
      <c r="AH558" s="4">
        <v>0</v>
      </c>
      <c r="AI558" s="4">
        <v>19</v>
      </c>
      <c r="AJ558" s="4">
        <v>1</v>
      </c>
      <c r="AK558" s="4">
        <v>10</v>
      </c>
      <c r="AL558" s="4">
        <v>1</v>
      </c>
      <c r="AM558" s="4">
        <v>23</v>
      </c>
      <c r="AN558" s="4">
        <v>0</v>
      </c>
      <c r="AO558" s="4">
        <v>5</v>
      </c>
      <c r="AP558" s="4">
        <v>0</v>
      </c>
      <c r="AQ558" s="4">
        <v>0</v>
      </c>
      <c r="AR558" s="3" t="s">
        <v>62</v>
      </c>
      <c r="AS558" s="3" t="s">
        <v>62</v>
      </c>
      <c r="AU558" s="6" t="str">
        <f>HYPERLINK("https://creighton-primo.hosted.exlibrisgroup.com/primo-explore/search?tab=default_tab&amp;search_scope=EVERYTHING&amp;vid=01CRU&amp;lang=en_US&amp;offset=0&amp;query=any,contains,991001145639702656","Catalog Record")</f>
        <v>Catalog Record</v>
      </c>
      <c r="AV558" s="6" t="str">
        <f>HYPERLINK("http://www.worldcat.org/oclc/16761744","WorldCat Record")</f>
        <v>WorldCat Record</v>
      </c>
      <c r="AW558" s="3" t="s">
        <v>7158</v>
      </c>
      <c r="AX558" s="3" t="s">
        <v>7159</v>
      </c>
      <c r="AY558" s="3" t="s">
        <v>7160</v>
      </c>
      <c r="AZ558" s="3" t="s">
        <v>7160</v>
      </c>
      <c r="BA558" s="3" t="s">
        <v>7161</v>
      </c>
      <c r="BB558" s="3" t="s">
        <v>77</v>
      </c>
      <c r="BD558" s="3" t="s">
        <v>7162</v>
      </c>
      <c r="BE558" s="3" t="s">
        <v>7163</v>
      </c>
      <c r="BF558" s="3" t="s">
        <v>7164</v>
      </c>
    </row>
    <row r="559" spans="1:58" ht="41.25" customHeight="1" x14ac:dyDescent="0.25">
      <c r="A559" s="7" t="s">
        <v>62</v>
      </c>
      <c r="B559" s="2" t="s">
        <v>57</v>
      </c>
      <c r="C559" s="2" t="s">
        <v>58</v>
      </c>
      <c r="D559" s="2" t="s">
        <v>7165</v>
      </c>
      <c r="E559" s="2" t="s">
        <v>7166</v>
      </c>
      <c r="F559" s="2" t="s">
        <v>7167</v>
      </c>
      <c r="H559" s="3" t="s">
        <v>62</v>
      </c>
      <c r="I559" s="3" t="s">
        <v>63</v>
      </c>
      <c r="J559" s="3" t="s">
        <v>62</v>
      </c>
      <c r="K559" s="3" t="s">
        <v>62</v>
      </c>
      <c r="L559" s="3" t="s">
        <v>64</v>
      </c>
      <c r="M559" s="2" t="s">
        <v>7168</v>
      </c>
      <c r="N559" s="2" t="s">
        <v>7169</v>
      </c>
      <c r="O559" s="3" t="s">
        <v>7170</v>
      </c>
      <c r="Q559" s="3" t="s">
        <v>68</v>
      </c>
      <c r="R559" s="3" t="s">
        <v>204</v>
      </c>
      <c r="S559" s="2" t="s">
        <v>7171</v>
      </c>
      <c r="T559" s="3" t="s">
        <v>70</v>
      </c>
      <c r="U559" s="4">
        <v>2</v>
      </c>
      <c r="V559" s="4">
        <v>2</v>
      </c>
      <c r="W559" s="5" t="s">
        <v>7172</v>
      </c>
      <c r="X559" s="5" t="s">
        <v>7172</v>
      </c>
      <c r="Y559" s="5" t="s">
        <v>7173</v>
      </c>
      <c r="Z559" s="5" t="s">
        <v>7173</v>
      </c>
      <c r="AA559" s="4">
        <v>342</v>
      </c>
      <c r="AB559" s="4">
        <v>260</v>
      </c>
      <c r="AC559" s="4">
        <v>267</v>
      </c>
      <c r="AD559" s="4">
        <v>3</v>
      </c>
      <c r="AE559" s="4">
        <v>3</v>
      </c>
      <c r="AF559" s="4">
        <v>17</v>
      </c>
      <c r="AG559" s="4">
        <v>17</v>
      </c>
      <c r="AH559" s="4">
        <v>3</v>
      </c>
      <c r="AI559" s="4">
        <v>3</v>
      </c>
      <c r="AJ559" s="4">
        <v>5</v>
      </c>
      <c r="AK559" s="4">
        <v>5</v>
      </c>
      <c r="AL559" s="4">
        <v>10</v>
      </c>
      <c r="AM559" s="4">
        <v>10</v>
      </c>
      <c r="AN559" s="4">
        <v>2</v>
      </c>
      <c r="AO559" s="4">
        <v>2</v>
      </c>
      <c r="AP559" s="4">
        <v>0</v>
      </c>
      <c r="AQ559" s="4">
        <v>0</v>
      </c>
      <c r="AR559" s="3" t="s">
        <v>62</v>
      </c>
      <c r="AS559" s="3" t="s">
        <v>84</v>
      </c>
      <c r="AT559" s="6" t="str">
        <f>HYPERLINK("http://catalog.hathitrust.org/Record/001392554","HathiTrust Record")</f>
        <v>HathiTrust Record</v>
      </c>
      <c r="AU559" s="6" t="str">
        <f>HYPERLINK("https://creighton-primo.hosted.exlibrisgroup.com/primo-explore/search?tab=default_tab&amp;search_scope=EVERYTHING&amp;vid=01CRU&amp;lang=en_US&amp;offset=0&amp;query=any,contains,991003035899702656","Catalog Record")</f>
        <v>Catalog Record</v>
      </c>
      <c r="AV559" s="6" t="str">
        <f>HYPERLINK("http://www.worldcat.org/oclc/598924","WorldCat Record")</f>
        <v>WorldCat Record</v>
      </c>
      <c r="AW559" s="3" t="s">
        <v>7174</v>
      </c>
      <c r="AX559" s="3" t="s">
        <v>7175</v>
      </c>
      <c r="AY559" s="3" t="s">
        <v>7176</v>
      </c>
      <c r="AZ559" s="3" t="s">
        <v>7176</v>
      </c>
      <c r="BA559" s="3" t="s">
        <v>7177</v>
      </c>
      <c r="BB559" s="3" t="s">
        <v>77</v>
      </c>
      <c r="BE559" s="3" t="s">
        <v>7178</v>
      </c>
      <c r="BF559" s="3" t="s">
        <v>7179</v>
      </c>
    </row>
    <row r="560" spans="1:58" ht="41.25" customHeight="1" x14ac:dyDescent="0.25">
      <c r="A560" s="7" t="s">
        <v>62</v>
      </c>
      <c r="B560" s="2" t="s">
        <v>57</v>
      </c>
      <c r="C560" s="2" t="s">
        <v>58</v>
      </c>
      <c r="D560" s="2" t="s">
        <v>7180</v>
      </c>
      <c r="E560" s="2" t="s">
        <v>7181</v>
      </c>
      <c r="F560" s="2" t="s">
        <v>7182</v>
      </c>
      <c r="H560" s="3" t="s">
        <v>62</v>
      </c>
      <c r="I560" s="3" t="s">
        <v>63</v>
      </c>
      <c r="J560" s="3" t="s">
        <v>62</v>
      </c>
      <c r="K560" s="3" t="s">
        <v>62</v>
      </c>
      <c r="L560" s="3" t="s">
        <v>64</v>
      </c>
      <c r="M560" s="2" t="s">
        <v>7183</v>
      </c>
      <c r="N560" s="2" t="s">
        <v>7184</v>
      </c>
      <c r="O560" s="3" t="s">
        <v>7185</v>
      </c>
      <c r="Q560" s="3" t="s">
        <v>68</v>
      </c>
      <c r="R560" s="3" t="s">
        <v>110</v>
      </c>
      <c r="S560" s="2" t="s">
        <v>7186</v>
      </c>
      <c r="T560" s="3" t="s">
        <v>70</v>
      </c>
      <c r="U560" s="4">
        <v>2</v>
      </c>
      <c r="V560" s="4">
        <v>2</v>
      </c>
      <c r="W560" s="5" t="s">
        <v>7187</v>
      </c>
      <c r="X560" s="5" t="s">
        <v>7187</v>
      </c>
      <c r="Y560" s="5" t="s">
        <v>451</v>
      </c>
      <c r="Z560" s="5" t="s">
        <v>451</v>
      </c>
      <c r="AA560" s="4">
        <v>28</v>
      </c>
      <c r="AB560" s="4">
        <v>19</v>
      </c>
      <c r="AC560" s="4">
        <v>19</v>
      </c>
      <c r="AD560" s="4">
        <v>1</v>
      </c>
      <c r="AE560" s="4">
        <v>1</v>
      </c>
      <c r="AF560" s="4">
        <v>9</v>
      </c>
      <c r="AG560" s="4">
        <v>9</v>
      </c>
      <c r="AH560" s="4">
        <v>2</v>
      </c>
      <c r="AI560" s="4">
        <v>2</v>
      </c>
      <c r="AJ560" s="4">
        <v>2</v>
      </c>
      <c r="AK560" s="4">
        <v>2</v>
      </c>
      <c r="AL560" s="4">
        <v>9</v>
      </c>
      <c r="AM560" s="4">
        <v>9</v>
      </c>
      <c r="AN560" s="4">
        <v>0</v>
      </c>
      <c r="AO560" s="4">
        <v>0</v>
      </c>
      <c r="AP560" s="4">
        <v>0</v>
      </c>
      <c r="AQ560" s="4">
        <v>0</v>
      </c>
      <c r="AR560" s="3" t="s">
        <v>62</v>
      </c>
      <c r="AS560" s="3" t="s">
        <v>62</v>
      </c>
      <c r="AU560" s="6" t="str">
        <f>HYPERLINK("https://creighton-primo.hosted.exlibrisgroup.com/primo-explore/search?tab=default_tab&amp;search_scope=EVERYTHING&amp;vid=01CRU&amp;lang=en_US&amp;offset=0&amp;query=any,contains,991004608419702656","Catalog Record")</f>
        <v>Catalog Record</v>
      </c>
      <c r="AV560" s="6" t="str">
        <f>HYPERLINK("http://www.worldcat.org/oclc/4200970","WorldCat Record")</f>
        <v>WorldCat Record</v>
      </c>
      <c r="AW560" s="3" t="s">
        <v>7188</v>
      </c>
      <c r="AX560" s="3" t="s">
        <v>7189</v>
      </c>
      <c r="AY560" s="3" t="s">
        <v>7190</v>
      </c>
      <c r="AZ560" s="3" t="s">
        <v>7190</v>
      </c>
      <c r="BA560" s="3" t="s">
        <v>7191</v>
      </c>
      <c r="BB560" s="3" t="s">
        <v>77</v>
      </c>
      <c r="BE560" s="3" t="s">
        <v>7192</v>
      </c>
      <c r="BF560" s="3" t="s">
        <v>7193</v>
      </c>
    </row>
    <row r="561" spans="1:58" ht="41.25" customHeight="1" x14ac:dyDescent="0.25">
      <c r="A561" s="7" t="s">
        <v>62</v>
      </c>
      <c r="B561" s="2" t="s">
        <v>57</v>
      </c>
      <c r="C561" s="2" t="s">
        <v>58</v>
      </c>
      <c r="D561" s="2" t="s">
        <v>7194</v>
      </c>
      <c r="E561" s="2" t="s">
        <v>7195</v>
      </c>
      <c r="F561" s="2" t="s">
        <v>7196</v>
      </c>
      <c r="H561" s="3" t="s">
        <v>84</v>
      </c>
      <c r="I561" s="3" t="s">
        <v>63</v>
      </c>
      <c r="J561" s="3" t="s">
        <v>84</v>
      </c>
      <c r="K561" s="3" t="s">
        <v>62</v>
      </c>
      <c r="L561" s="3" t="s">
        <v>64</v>
      </c>
      <c r="M561" s="2" t="s">
        <v>7197</v>
      </c>
      <c r="N561" s="2" t="s">
        <v>7198</v>
      </c>
      <c r="O561" s="3" t="s">
        <v>383</v>
      </c>
      <c r="Q561" s="3" t="s">
        <v>68</v>
      </c>
      <c r="R561" s="3" t="s">
        <v>698</v>
      </c>
      <c r="T561" s="3" t="s">
        <v>70</v>
      </c>
      <c r="U561" s="4">
        <v>2</v>
      </c>
      <c r="V561" s="4">
        <v>4</v>
      </c>
      <c r="X561" s="5" t="s">
        <v>7199</v>
      </c>
      <c r="Y561" s="5" t="s">
        <v>7200</v>
      </c>
      <c r="Z561" s="5" t="s">
        <v>7200</v>
      </c>
      <c r="AA561" s="4">
        <v>600</v>
      </c>
      <c r="AB561" s="4">
        <v>458</v>
      </c>
      <c r="AC561" s="4">
        <v>461</v>
      </c>
      <c r="AD561" s="4">
        <v>3</v>
      </c>
      <c r="AE561" s="4">
        <v>3</v>
      </c>
      <c r="AF561" s="4">
        <v>24</v>
      </c>
      <c r="AG561" s="4">
        <v>24</v>
      </c>
      <c r="AH561" s="4">
        <v>8</v>
      </c>
      <c r="AI561" s="4">
        <v>8</v>
      </c>
      <c r="AJ561" s="4">
        <v>5</v>
      </c>
      <c r="AK561" s="4">
        <v>5</v>
      </c>
      <c r="AL561" s="4">
        <v>15</v>
      </c>
      <c r="AM561" s="4">
        <v>15</v>
      </c>
      <c r="AN561" s="4">
        <v>1</v>
      </c>
      <c r="AO561" s="4">
        <v>1</v>
      </c>
      <c r="AP561" s="4">
        <v>0</v>
      </c>
      <c r="AQ561" s="4">
        <v>0</v>
      </c>
      <c r="AR561" s="3" t="s">
        <v>62</v>
      </c>
      <c r="AS561" s="3" t="s">
        <v>84</v>
      </c>
      <c r="AT561" s="6" t="str">
        <f>HYPERLINK("http://catalog.hathitrust.org/Record/000001352","HathiTrust Record")</f>
        <v>HathiTrust Record</v>
      </c>
      <c r="AU561" s="6" t="str">
        <f>HYPERLINK("https://creighton-primo.hosted.exlibrisgroup.com/primo-explore/search?tab=default_tab&amp;search_scope=EVERYTHING&amp;vid=01CRU&amp;lang=en_US&amp;offset=0&amp;query=any,contains,991000605939702656","Catalog Record")</f>
        <v>Catalog Record</v>
      </c>
      <c r="AV561" s="6" t="str">
        <f>HYPERLINK("http://www.worldcat.org/oclc/99087","WorldCat Record")</f>
        <v>WorldCat Record</v>
      </c>
      <c r="AW561" s="3" t="s">
        <v>7201</v>
      </c>
      <c r="AX561" s="3" t="s">
        <v>7202</v>
      </c>
      <c r="AY561" s="3" t="s">
        <v>7203</v>
      </c>
      <c r="AZ561" s="3" t="s">
        <v>7203</v>
      </c>
      <c r="BA561" s="3" t="s">
        <v>7204</v>
      </c>
      <c r="BB561" s="3" t="s">
        <v>77</v>
      </c>
      <c r="BE561" s="3" t="s">
        <v>7205</v>
      </c>
      <c r="BF561" s="3" t="s">
        <v>7206</v>
      </c>
    </row>
    <row r="562" spans="1:58" ht="41.25" customHeight="1" x14ac:dyDescent="0.25">
      <c r="A562" s="7" t="s">
        <v>62</v>
      </c>
      <c r="B562" s="2" t="s">
        <v>57</v>
      </c>
      <c r="C562" s="2" t="s">
        <v>58</v>
      </c>
      <c r="D562" s="2" t="s">
        <v>7207</v>
      </c>
      <c r="E562" s="2" t="s">
        <v>7208</v>
      </c>
      <c r="F562" s="2" t="s">
        <v>7196</v>
      </c>
      <c r="G562" s="3" t="s">
        <v>396</v>
      </c>
      <c r="H562" s="3" t="s">
        <v>84</v>
      </c>
      <c r="I562" s="3" t="s">
        <v>63</v>
      </c>
      <c r="J562" s="3" t="s">
        <v>62</v>
      </c>
      <c r="K562" s="3" t="s">
        <v>62</v>
      </c>
      <c r="L562" s="3" t="s">
        <v>64</v>
      </c>
      <c r="M562" s="2" t="s">
        <v>7197</v>
      </c>
      <c r="N562" s="2" t="s">
        <v>7198</v>
      </c>
      <c r="O562" s="3" t="s">
        <v>383</v>
      </c>
      <c r="Q562" s="3" t="s">
        <v>68</v>
      </c>
      <c r="R562" s="3" t="s">
        <v>698</v>
      </c>
      <c r="T562" s="3" t="s">
        <v>70</v>
      </c>
      <c r="U562" s="4">
        <v>2</v>
      </c>
      <c r="V562" s="4">
        <v>4</v>
      </c>
      <c r="W562" s="5" t="s">
        <v>7199</v>
      </c>
      <c r="X562" s="5" t="s">
        <v>7199</v>
      </c>
      <c r="Y562" s="5" t="s">
        <v>7200</v>
      </c>
      <c r="Z562" s="5" t="s">
        <v>7200</v>
      </c>
      <c r="AA562" s="4">
        <v>600</v>
      </c>
      <c r="AB562" s="4">
        <v>458</v>
      </c>
      <c r="AC562" s="4">
        <v>461</v>
      </c>
      <c r="AD562" s="4">
        <v>3</v>
      </c>
      <c r="AE562" s="4">
        <v>3</v>
      </c>
      <c r="AF562" s="4">
        <v>24</v>
      </c>
      <c r="AG562" s="4">
        <v>24</v>
      </c>
      <c r="AH562" s="4">
        <v>8</v>
      </c>
      <c r="AI562" s="4">
        <v>8</v>
      </c>
      <c r="AJ562" s="4">
        <v>5</v>
      </c>
      <c r="AK562" s="4">
        <v>5</v>
      </c>
      <c r="AL562" s="4">
        <v>15</v>
      </c>
      <c r="AM562" s="4">
        <v>15</v>
      </c>
      <c r="AN562" s="4">
        <v>1</v>
      </c>
      <c r="AO562" s="4">
        <v>1</v>
      </c>
      <c r="AP562" s="4">
        <v>0</v>
      </c>
      <c r="AQ562" s="4">
        <v>0</v>
      </c>
      <c r="AR562" s="3" t="s">
        <v>62</v>
      </c>
      <c r="AS562" s="3" t="s">
        <v>84</v>
      </c>
      <c r="AT562" s="6" t="str">
        <f>HYPERLINK("http://catalog.hathitrust.org/Record/000001352","HathiTrust Record")</f>
        <v>HathiTrust Record</v>
      </c>
      <c r="AU562" s="6" t="str">
        <f>HYPERLINK("https://creighton-primo.hosted.exlibrisgroup.com/primo-explore/search?tab=default_tab&amp;search_scope=EVERYTHING&amp;vid=01CRU&amp;lang=en_US&amp;offset=0&amp;query=any,contains,991000605939702656","Catalog Record")</f>
        <v>Catalog Record</v>
      </c>
      <c r="AV562" s="6" t="str">
        <f>HYPERLINK("http://www.worldcat.org/oclc/99087","WorldCat Record")</f>
        <v>WorldCat Record</v>
      </c>
      <c r="AW562" s="3" t="s">
        <v>7201</v>
      </c>
      <c r="AX562" s="3" t="s">
        <v>7202</v>
      </c>
      <c r="AY562" s="3" t="s">
        <v>7203</v>
      </c>
      <c r="AZ562" s="3" t="s">
        <v>7203</v>
      </c>
      <c r="BA562" s="3" t="s">
        <v>7204</v>
      </c>
      <c r="BB562" s="3" t="s">
        <v>77</v>
      </c>
      <c r="BE562" s="3" t="s">
        <v>7209</v>
      </c>
      <c r="BF562" s="3" t="s">
        <v>7210</v>
      </c>
    </row>
    <row r="563" spans="1:58" ht="41.25" customHeight="1" x14ac:dyDescent="0.25">
      <c r="A563" s="7" t="s">
        <v>62</v>
      </c>
      <c r="B563" s="2" t="s">
        <v>57</v>
      </c>
      <c r="C563" s="2" t="s">
        <v>58</v>
      </c>
      <c r="D563" s="2" t="s">
        <v>7211</v>
      </c>
      <c r="E563" s="2" t="s">
        <v>7212</v>
      </c>
      <c r="F563" s="2" t="s">
        <v>7213</v>
      </c>
      <c r="H563" s="3" t="s">
        <v>62</v>
      </c>
      <c r="I563" s="3" t="s">
        <v>63</v>
      </c>
      <c r="J563" s="3" t="s">
        <v>62</v>
      </c>
      <c r="K563" s="3" t="s">
        <v>62</v>
      </c>
      <c r="L563" s="3" t="s">
        <v>64</v>
      </c>
      <c r="M563" s="2" t="s">
        <v>7214</v>
      </c>
      <c r="N563" s="2" t="s">
        <v>4125</v>
      </c>
      <c r="O563" s="3" t="s">
        <v>340</v>
      </c>
      <c r="Q563" s="3" t="s">
        <v>68</v>
      </c>
      <c r="R563" s="3" t="s">
        <v>166</v>
      </c>
      <c r="S563" s="2" t="s">
        <v>6183</v>
      </c>
      <c r="T563" s="3" t="s">
        <v>70</v>
      </c>
      <c r="U563" s="4">
        <v>10</v>
      </c>
      <c r="V563" s="4">
        <v>10</v>
      </c>
      <c r="W563" s="5" t="s">
        <v>7215</v>
      </c>
      <c r="X563" s="5" t="s">
        <v>7215</v>
      </c>
      <c r="Y563" s="5" t="s">
        <v>7200</v>
      </c>
      <c r="Z563" s="5" t="s">
        <v>7200</v>
      </c>
      <c r="AA563" s="4">
        <v>558</v>
      </c>
      <c r="AB563" s="4">
        <v>476</v>
      </c>
      <c r="AC563" s="4">
        <v>491</v>
      </c>
      <c r="AD563" s="4">
        <v>2</v>
      </c>
      <c r="AE563" s="4">
        <v>2</v>
      </c>
      <c r="AF563" s="4">
        <v>14</v>
      </c>
      <c r="AG563" s="4">
        <v>14</v>
      </c>
      <c r="AH563" s="4">
        <v>8</v>
      </c>
      <c r="AI563" s="4">
        <v>8</v>
      </c>
      <c r="AJ563" s="4">
        <v>2</v>
      </c>
      <c r="AK563" s="4">
        <v>2</v>
      </c>
      <c r="AL563" s="4">
        <v>7</v>
      </c>
      <c r="AM563" s="4">
        <v>7</v>
      </c>
      <c r="AN563" s="4">
        <v>0</v>
      </c>
      <c r="AO563" s="4">
        <v>0</v>
      </c>
      <c r="AP563" s="4">
        <v>0</v>
      </c>
      <c r="AQ563" s="4">
        <v>0</v>
      </c>
      <c r="AR563" s="3" t="s">
        <v>62</v>
      </c>
      <c r="AS563" s="3" t="s">
        <v>84</v>
      </c>
      <c r="AT563" s="6" t="str">
        <f>HYPERLINK("http://catalog.hathitrust.org/Record/101875223","HathiTrust Record")</f>
        <v>HathiTrust Record</v>
      </c>
      <c r="AU563" s="6" t="str">
        <f>HYPERLINK("https://creighton-primo.hosted.exlibrisgroup.com/primo-explore/search?tab=default_tab&amp;search_scope=EVERYTHING&amp;vid=01CRU&amp;lang=en_US&amp;offset=0&amp;query=any,contains,991003256429702656","Catalog Record")</f>
        <v>Catalog Record</v>
      </c>
      <c r="AV563" s="6" t="str">
        <f>HYPERLINK("http://www.worldcat.org/oclc/781721","WorldCat Record")</f>
        <v>WorldCat Record</v>
      </c>
      <c r="AW563" s="3" t="s">
        <v>7216</v>
      </c>
      <c r="AX563" s="3" t="s">
        <v>7217</v>
      </c>
      <c r="AY563" s="3" t="s">
        <v>7218</v>
      </c>
      <c r="AZ563" s="3" t="s">
        <v>7218</v>
      </c>
      <c r="BA563" s="3" t="s">
        <v>7219</v>
      </c>
      <c r="BB563" s="3" t="s">
        <v>77</v>
      </c>
      <c r="BE563" s="3" t="s">
        <v>7220</v>
      </c>
      <c r="BF563" s="3" t="s">
        <v>7221</v>
      </c>
    </row>
    <row r="564" spans="1:58" ht="41.25" customHeight="1" x14ac:dyDescent="0.25">
      <c r="A564" s="7" t="s">
        <v>62</v>
      </c>
      <c r="B564" s="2" t="s">
        <v>57</v>
      </c>
      <c r="C564" s="2" t="s">
        <v>58</v>
      </c>
      <c r="D564" s="2" t="s">
        <v>7222</v>
      </c>
      <c r="E564" s="2" t="s">
        <v>7223</v>
      </c>
      <c r="F564" s="2" t="s">
        <v>7224</v>
      </c>
      <c r="H564" s="3" t="s">
        <v>62</v>
      </c>
      <c r="I564" s="3" t="s">
        <v>63</v>
      </c>
      <c r="J564" s="3" t="s">
        <v>62</v>
      </c>
      <c r="K564" s="3" t="s">
        <v>62</v>
      </c>
      <c r="L564" s="3" t="s">
        <v>64</v>
      </c>
      <c r="M564" s="2" t="s">
        <v>7225</v>
      </c>
      <c r="N564" s="2" t="s">
        <v>5105</v>
      </c>
      <c r="O564" s="3" t="s">
        <v>590</v>
      </c>
      <c r="P564" s="2" t="s">
        <v>2054</v>
      </c>
      <c r="Q564" s="3" t="s">
        <v>68</v>
      </c>
      <c r="R564" s="3" t="s">
        <v>88</v>
      </c>
      <c r="T564" s="3" t="s">
        <v>70</v>
      </c>
      <c r="U564" s="4">
        <v>1</v>
      </c>
      <c r="V564" s="4">
        <v>1</v>
      </c>
      <c r="W564" s="5" t="s">
        <v>7226</v>
      </c>
      <c r="X564" s="5" t="s">
        <v>7226</v>
      </c>
      <c r="Y564" s="5" t="s">
        <v>7200</v>
      </c>
      <c r="Z564" s="5" t="s">
        <v>7200</v>
      </c>
      <c r="AA564" s="4">
        <v>447</v>
      </c>
      <c r="AB564" s="4">
        <v>400</v>
      </c>
      <c r="AC564" s="4">
        <v>802</v>
      </c>
      <c r="AD564" s="4">
        <v>3</v>
      </c>
      <c r="AE564" s="4">
        <v>5</v>
      </c>
      <c r="AF564" s="4">
        <v>20</v>
      </c>
      <c r="AG564" s="4">
        <v>29</v>
      </c>
      <c r="AH564" s="4">
        <v>9</v>
      </c>
      <c r="AI564" s="4">
        <v>11</v>
      </c>
      <c r="AJ564" s="4">
        <v>4</v>
      </c>
      <c r="AK564" s="4">
        <v>7</v>
      </c>
      <c r="AL564" s="4">
        <v>10</v>
      </c>
      <c r="AM564" s="4">
        <v>14</v>
      </c>
      <c r="AN564" s="4">
        <v>2</v>
      </c>
      <c r="AO564" s="4">
        <v>4</v>
      </c>
      <c r="AP564" s="4">
        <v>0</v>
      </c>
      <c r="AQ564" s="4">
        <v>0</v>
      </c>
      <c r="AR564" s="3" t="s">
        <v>62</v>
      </c>
      <c r="AS564" s="3" t="s">
        <v>84</v>
      </c>
      <c r="AT564" s="6" t="str">
        <f>HYPERLINK("http://catalog.hathitrust.org/Record/101870438","HathiTrust Record")</f>
        <v>HathiTrust Record</v>
      </c>
      <c r="AU564" s="6" t="str">
        <f>HYPERLINK("https://creighton-primo.hosted.exlibrisgroup.com/primo-explore/search?tab=default_tab&amp;search_scope=EVERYTHING&amp;vid=01CRU&amp;lang=en_US&amp;offset=0&amp;query=any,contains,991002572909702656","Catalog Record")</f>
        <v>Catalog Record</v>
      </c>
      <c r="AV564" s="6" t="str">
        <f>HYPERLINK("http://www.worldcat.org/oclc/374149","WorldCat Record")</f>
        <v>WorldCat Record</v>
      </c>
      <c r="AW564" s="3" t="s">
        <v>7227</v>
      </c>
      <c r="AX564" s="3" t="s">
        <v>7228</v>
      </c>
      <c r="AY564" s="3" t="s">
        <v>7229</v>
      </c>
      <c r="AZ564" s="3" t="s">
        <v>7229</v>
      </c>
      <c r="BA564" s="3" t="s">
        <v>7230</v>
      </c>
      <c r="BB564" s="3" t="s">
        <v>77</v>
      </c>
      <c r="BE564" s="3" t="s">
        <v>7231</v>
      </c>
      <c r="BF564" s="3" t="s">
        <v>7232</v>
      </c>
    </row>
    <row r="565" spans="1:58" ht="41.25" customHeight="1" x14ac:dyDescent="0.25">
      <c r="A565" s="7" t="s">
        <v>62</v>
      </c>
      <c r="B565" s="2" t="s">
        <v>57</v>
      </c>
      <c r="C565" s="2" t="s">
        <v>58</v>
      </c>
      <c r="D565" s="2" t="s">
        <v>7233</v>
      </c>
      <c r="E565" s="2" t="s">
        <v>7234</v>
      </c>
      <c r="F565" s="2" t="s">
        <v>7235</v>
      </c>
      <c r="H565" s="3" t="s">
        <v>62</v>
      </c>
      <c r="I565" s="3" t="s">
        <v>63</v>
      </c>
      <c r="J565" s="3" t="s">
        <v>62</v>
      </c>
      <c r="K565" s="3" t="s">
        <v>62</v>
      </c>
      <c r="L565" s="3" t="s">
        <v>64</v>
      </c>
      <c r="M565" s="2" t="s">
        <v>7236</v>
      </c>
      <c r="N565" s="2" t="s">
        <v>7237</v>
      </c>
      <c r="O565" s="3" t="s">
        <v>1750</v>
      </c>
      <c r="Q565" s="3" t="s">
        <v>68</v>
      </c>
      <c r="R565" s="3" t="s">
        <v>69</v>
      </c>
      <c r="S565" s="2" t="s">
        <v>7238</v>
      </c>
      <c r="T565" s="3" t="s">
        <v>70</v>
      </c>
      <c r="U565" s="4">
        <v>3</v>
      </c>
      <c r="V565" s="4">
        <v>3</v>
      </c>
      <c r="W565" s="5" t="s">
        <v>7239</v>
      </c>
      <c r="X565" s="5" t="s">
        <v>7239</v>
      </c>
      <c r="Y565" s="5" t="s">
        <v>7240</v>
      </c>
      <c r="Z565" s="5" t="s">
        <v>7240</v>
      </c>
      <c r="AA565" s="4">
        <v>196</v>
      </c>
      <c r="AB565" s="4">
        <v>158</v>
      </c>
      <c r="AC565" s="4">
        <v>159</v>
      </c>
      <c r="AD565" s="4">
        <v>2</v>
      </c>
      <c r="AE565" s="4">
        <v>2</v>
      </c>
      <c r="AF565" s="4">
        <v>15</v>
      </c>
      <c r="AG565" s="4">
        <v>15</v>
      </c>
      <c r="AH565" s="4">
        <v>2</v>
      </c>
      <c r="AI565" s="4">
        <v>2</v>
      </c>
      <c r="AJ565" s="4">
        <v>6</v>
      </c>
      <c r="AK565" s="4">
        <v>6</v>
      </c>
      <c r="AL565" s="4">
        <v>10</v>
      </c>
      <c r="AM565" s="4">
        <v>10</v>
      </c>
      <c r="AN565" s="4">
        <v>1</v>
      </c>
      <c r="AO565" s="4">
        <v>1</v>
      </c>
      <c r="AP565" s="4">
        <v>0</v>
      </c>
      <c r="AQ565" s="4">
        <v>0</v>
      </c>
      <c r="AR565" s="3" t="s">
        <v>62</v>
      </c>
      <c r="AS565" s="3" t="s">
        <v>84</v>
      </c>
      <c r="AT565" s="6" t="str">
        <f>HYPERLINK("http://catalog.hathitrust.org/Record/006015981","HathiTrust Record")</f>
        <v>HathiTrust Record</v>
      </c>
      <c r="AU565" s="6" t="str">
        <f>HYPERLINK("https://creighton-primo.hosted.exlibrisgroup.com/primo-explore/search?tab=default_tab&amp;search_scope=EVERYTHING&amp;vid=01CRU&amp;lang=en_US&amp;offset=0&amp;query=any,contains,991001915399702656","Catalog Record")</f>
        <v>Catalog Record</v>
      </c>
      <c r="AV565" s="6" t="str">
        <f>HYPERLINK("http://www.worldcat.org/oclc/24174840","WorldCat Record")</f>
        <v>WorldCat Record</v>
      </c>
      <c r="AW565" s="3" t="s">
        <v>7241</v>
      </c>
      <c r="AX565" s="3" t="s">
        <v>7242</v>
      </c>
      <c r="AY565" s="3" t="s">
        <v>7243</v>
      </c>
      <c r="AZ565" s="3" t="s">
        <v>7243</v>
      </c>
      <c r="BA565" s="3" t="s">
        <v>7244</v>
      </c>
      <c r="BB565" s="3" t="s">
        <v>77</v>
      </c>
      <c r="BD565" s="3" t="s">
        <v>7245</v>
      </c>
      <c r="BE565" s="3" t="s">
        <v>7246</v>
      </c>
      <c r="BF565" s="3" t="s">
        <v>7247</v>
      </c>
    </row>
    <row r="566" spans="1:58" ht="41.25" customHeight="1" x14ac:dyDescent="0.25">
      <c r="A566" s="7" t="s">
        <v>62</v>
      </c>
      <c r="B566" s="2" t="s">
        <v>57</v>
      </c>
      <c r="C566" s="2" t="s">
        <v>58</v>
      </c>
      <c r="D566" s="2" t="s">
        <v>7248</v>
      </c>
      <c r="E566" s="2" t="s">
        <v>7249</v>
      </c>
      <c r="F566" s="2" t="s">
        <v>7250</v>
      </c>
      <c r="H566" s="3" t="s">
        <v>62</v>
      </c>
      <c r="I566" s="3" t="s">
        <v>63</v>
      </c>
      <c r="J566" s="3" t="s">
        <v>62</v>
      </c>
      <c r="K566" s="3" t="s">
        <v>62</v>
      </c>
      <c r="L566" s="3" t="s">
        <v>64</v>
      </c>
      <c r="M566" s="2" t="s">
        <v>7251</v>
      </c>
      <c r="N566" s="2" t="s">
        <v>7252</v>
      </c>
      <c r="O566" s="3" t="s">
        <v>804</v>
      </c>
      <c r="Q566" s="3" t="s">
        <v>68</v>
      </c>
      <c r="R566" s="3" t="s">
        <v>166</v>
      </c>
      <c r="T566" s="3" t="s">
        <v>70</v>
      </c>
      <c r="U566" s="4">
        <v>5</v>
      </c>
      <c r="V566" s="4">
        <v>5</v>
      </c>
      <c r="W566" s="5" t="s">
        <v>7253</v>
      </c>
      <c r="X566" s="5" t="s">
        <v>7253</v>
      </c>
      <c r="Y566" s="5" t="s">
        <v>7200</v>
      </c>
      <c r="Z566" s="5" t="s">
        <v>7200</v>
      </c>
      <c r="AA566" s="4">
        <v>174</v>
      </c>
      <c r="AB566" s="4">
        <v>129</v>
      </c>
      <c r="AC566" s="4">
        <v>130</v>
      </c>
      <c r="AD566" s="4">
        <v>2</v>
      </c>
      <c r="AE566" s="4">
        <v>2</v>
      </c>
      <c r="AF566" s="4">
        <v>12</v>
      </c>
      <c r="AG566" s="4">
        <v>12</v>
      </c>
      <c r="AH566" s="4">
        <v>2</v>
      </c>
      <c r="AI566" s="4">
        <v>2</v>
      </c>
      <c r="AJ566" s="4">
        <v>3</v>
      </c>
      <c r="AK566" s="4">
        <v>3</v>
      </c>
      <c r="AL566" s="4">
        <v>10</v>
      </c>
      <c r="AM566" s="4">
        <v>10</v>
      </c>
      <c r="AN566" s="4">
        <v>1</v>
      </c>
      <c r="AO566" s="4">
        <v>1</v>
      </c>
      <c r="AP566" s="4">
        <v>0</v>
      </c>
      <c r="AQ566" s="4">
        <v>0</v>
      </c>
      <c r="AR566" s="3" t="s">
        <v>62</v>
      </c>
      <c r="AS566" s="3" t="s">
        <v>84</v>
      </c>
      <c r="AT566" s="6" t="str">
        <f>HYPERLINK("http://catalog.hathitrust.org/Record/102083454","HathiTrust Record")</f>
        <v>HathiTrust Record</v>
      </c>
      <c r="AU566" s="6" t="str">
        <f>HYPERLINK("https://creighton-primo.hosted.exlibrisgroup.com/primo-explore/search?tab=default_tab&amp;search_scope=EVERYTHING&amp;vid=01CRU&amp;lang=en_US&amp;offset=0&amp;query=any,contains,991000870669702656","Catalog Record")</f>
        <v>Catalog Record</v>
      </c>
      <c r="AV566" s="6" t="str">
        <f>HYPERLINK("http://www.worldcat.org/oclc/13792443","WorldCat Record")</f>
        <v>WorldCat Record</v>
      </c>
      <c r="AW566" s="3" t="s">
        <v>7254</v>
      </c>
      <c r="AX566" s="3" t="s">
        <v>7255</v>
      </c>
      <c r="AY566" s="3" t="s">
        <v>7256</v>
      </c>
      <c r="AZ566" s="3" t="s">
        <v>7256</v>
      </c>
      <c r="BA566" s="3" t="s">
        <v>7257</v>
      </c>
      <c r="BB566" s="3" t="s">
        <v>77</v>
      </c>
      <c r="BD566" s="3" t="s">
        <v>7258</v>
      </c>
      <c r="BE566" s="3" t="s">
        <v>7259</v>
      </c>
      <c r="BF566" s="3" t="s">
        <v>7260</v>
      </c>
    </row>
    <row r="567" spans="1:58" ht="41.25" customHeight="1" x14ac:dyDescent="0.25">
      <c r="A567" s="7" t="s">
        <v>62</v>
      </c>
      <c r="B567" s="2" t="s">
        <v>57</v>
      </c>
      <c r="C567" s="2" t="s">
        <v>58</v>
      </c>
      <c r="D567" s="2" t="s">
        <v>7261</v>
      </c>
      <c r="E567" s="2" t="s">
        <v>7262</v>
      </c>
      <c r="F567" s="2" t="s">
        <v>7263</v>
      </c>
      <c r="H567" s="3" t="s">
        <v>62</v>
      </c>
      <c r="I567" s="3" t="s">
        <v>63</v>
      </c>
      <c r="J567" s="3" t="s">
        <v>62</v>
      </c>
      <c r="K567" s="3" t="s">
        <v>62</v>
      </c>
      <c r="L567" s="3" t="s">
        <v>64</v>
      </c>
      <c r="M567" s="2" t="s">
        <v>7236</v>
      </c>
      <c r="N567" s="2" t="s">
        <v>7264</v>
      </c>
      <c r="O567" s="3" t="s">
        <v>1805</v>
      </c>
      <c r="Q567" s="3" t="s">
        <v>68</v>
      </c>
      <c r="R567" s="3" t="s">
        <v>69</v>
      </c>
      <c r="T567" s="3" t="s">
        <v>70</v>
      </c>
      <c r="U567" s="4">
        <v>1</v>
      </c>
      <c r="V567" s="4">
        <v>1</v>
      </c>
      <c r="W567" s="5" t="s">
        <v>7265</v>
      </c>
      <c r="X567" s="5" t="s">
        <v>7265</v>
      </c>
      <c r="Y567" s="5" t="s">
        <v>7200</v>
      </c>
      <c r="Z567" s="5" t="s">
        <v>7200</v>
      </c>
      <c r="AA567" s="4">
        <v>263</v>
      </c>
      <c r="AB567" s="4">
        <v>225</v>
      </c>
      <c r="AC567" s="4">
        <v>230</v>
      </c>
      <c r="AD567" s="4">
        <v>1</v>
      </c>
      <c r="AE567" s="4">
        <v>1</v>
      </c>
      <c r="AF567" s="4">
        <v>31</v>
      </c>
      <c r="AG567" s="4">
        <v>31</v>
      </c>
      <c r="AH567" s="4">
        <v>12</v>
      </c>
      <c r="AI567" s="4">
        <v>12</v>
      </c>
      <c r="AJ567" s="4">
        <v>7</v>
      </c>
      <c r="AK567" s="4">
        <v>7</v>
      </c>
      <c r="AL567" s="4">
        <v>22</v>
      </c>
      <c r="AM567" s="4">
        <v>22</v>
      </c>
      <c r="AN567" s="4">
        <v>0</v>
      </c>
      <c r="AO567" s="4">
        <v>0</v>
      </c>
      <c r="AP567" s="4">
        <v>0</v>
      </c>
      <c r="AQ567" s="4">
        <v>0</v>
      </c>
      <c r="AR567" s="3" t="s">
        <v>62</v>
      </c>
      <c r="AS567" s="3" t="s">
        <v>62</v>
      </c>
      <c r="AU567" s="6" t="str">
        <f>HYPERLINK("https://creighton-primo.hosted.exlibrisgroup.com/primo-explore/search?tab=default_tab&amp;search_scope=EVERYTHING&amp;vid=01CRU&amp;lang=en_US&amp;offset=0&amp;query=any,contains,991000069429702656","Catalog Record")</f>
        <v>Catalog Record</v>
      </c>
      <c r="AV567" s="6" t="str">
        <f>HYPERLINK("http://www.worldcat.org/oclc/8772791","WorldCat Record")</f>
        <v>WorldCat Record</v>
      </c>
      <c r="AW567" s="3" t="s">
        <v>7266</v>
      </c>
      <c r="AX567" s="3" t="s">
        <v>7267</v>
      </c>
      <c r="AY567" s="3" t="s">
        <v>7268</v>
      </c>
      <c r="AZ567" s="3" t="s">
        <v>7268</v>
      </c>
      <c r="BA567" s="3" t="s">
        <v>7269</v>
      </c>
      <c r="BB567" s="3" t="s">
        <v>77</v>
      </c>
      <c r="BD567" s="3" t="s">
        <v>7270</v>
      </c>
      <c r="BE567" s="3" t="s">
        <v>7271</v>
      </c>
      <c r="BF567" s="3" t="s">
        <v>7272</v>
      </c>
    </row>
    <row r="568" spans="1:58" ht="41.25" customHeight="1" x14ac:dyDescent="0.25">
      <c r="A568" s="7" t="s">
        <v>62</v>
      </c>
      <c r="B568" s="2" t="s">
        <v>57</v>
      </c>
      <c r="C568" s="2" t="s">
        <v>58</v>
      </c>
      <c r="D568" s="2" t="s">
        <v>7273</v>
      </c>
      <c r="E568" s="2" t="s">
        <v>7274</v>
      </c>
      <c r="F568" s="2" t="s">
        <v>7275</v>
      </c>
      <c r="H568" s="3" t="s">
        <v>62</v>
      </c>
      <c r="I568" s="3" t="s">
        <v>63</v>
      </c>
      <c r="J568" s="3" t="s">
        <v>62</v>
      </c>
      <c r="K568" s="3" t="s">
        <v>62</v>
      </c>
      <c r="L568" s="3" t="s">
        <v>64</v>
      </c>
      <c r="M568" s="2" t="s">
        <v>7276</v>
      </c>
      <c r="N568" s="2" t="s">
        <v>2539</v>
      </c>
      <c r="O568" s="3" t="s">
        <v>1533</v>
      </c>
      <c r="Q568" s="3" t="s">
        <v>68</v>
      </c>
      <c r="R568" s="3" t="s">
        <v>69</v>
      </c>
      <c r="S568" s="2" t="s">
        <v>6121</v>
      </c>
      <c r="T568" s="3" t="s">
        <v>70</v>
      </c>
      <c r="U568" s="4">
        <v>3</v>
      </c>
      <c r="V568" s="4">
        <v>3</v>
      </c>
      <c r="W568" s="5" t="s">
        <v>7277</v>
      </c>
      <c r="X568" s="5" t="s">
        <v>7277</v>
      </c>
      <c r="Y568" s="5" t="s">
        <v>2148</v>
      </c>
      <c r="Z568" s="5" t="s">
        <v>2148</v>
      </c>
      <c r="AA568" s="4">
        <v>101</v>
      </c>
      <c r="AB568" s="4">
        <v>92</v>
      </c>
      <c r="AC568" s="4">
        <v>92</v>
      </c>
      <c r="AD568" s="4">
        <v>1</v>
      </c>
      <c r="AE568" s="4">
        <v>1</v>
      </c>
      <c r="AF568" s="4">
        <v>9</v>
      </c>
      <c r="AG568" s="4">
        <v>9</v>
      </c>
      <c r="AH568" s="4">
        <v>2</v>
      </c>
      <c r="AI568" s="4">
        <v>2</v>
      </c>
      <c r="AJ568" s="4">
        <v>2</v>
      </c>
      <c r="AK568" s="4">
        <v>2</v>
      </c>
      <c r="AL568" s="4">
        <v>7</v>
      </c>
      <c r="AM568" s="4">
        <v>7</v>
      </c>
      <c r="AN568" s="4">
        <v>0</v>
      </c>
      <c r="AO568" s="4">
        <v>0</v>
      </c>
      <c r="AP568" s="4">
        <v>0</v>
      </c>
      <c r="AQ568" s="4">
        <v>0</v>
      </c>
      <c r="AR568" s="3" t="s">
        <v>62</v>
      </c>
      <c r="AS568" s="3" t="s">
        <v>62</v>
      </c>
      <c r="AU568" s="6" t="str">
        <f>HYPERLINK("https://creighton-primo.hosted.exlibrisgroup.com/primo-explore/search?tab=default_tab&amp;search_scope=EVERYTHING&amp;vid=01CRU&amp;lang=en_US&amp;offset=0&amp;query=any,contains,991003316889702656","Catalog Record")</f>
        <v>Catalog Record</v>
      </c>
      <c r="AV568" s="6" t="str">
        <f>HYPERLINK("http://www.worldcat.org/oclc/841484","WorldCat Record")</f>
        <v>WorldCat Record</v>
      </c>
      <c r="AW568" s="3" t="s">
        <v>7278</v>
      </c>
      <c r="AX568" s="3" t="s">
        <v>7279</v>
      </c>
      <c r="AY568" s="3" t="s">
        <v>7280</v>
      </c>
      <c r="AZ568" s="3" t="s">
        <v>7280</v>
      </c>
      <c r="BA568" s="3" t="s">
        <v>7281</v>
      </c>
      <c r="BB568" s="3" t="s">
        <v>77</v>
      </c>
      <c r="BD568" s="3" t="s">
        <v>7282</v>
      </c>
      <c r="BE568" s="3" t="s">
        <v>7283</v>
      </c>
      <c r="BF568" s="3" t="s">
        <v>7284</v>
      </c>
    </row>
    <row r="569" spans="1:58" ht="41.25" customHeight="1" x14ac:dyDescent="0.25">
      <c r="A569" s="7" t="s">
        <v>62</v>
      </c>
      <c r="B569" s="2" t="s">
        <v>57</v>
      </c>
      <c r="C569" s="2" t="s">
        <v>58</v>
      </c>
      <c r="D569" s="2" t="s">
        <v>7285</v>
      </c>
      <c r="E569" s="2" t="s">
        <v>7286</v>
      </c>
      <c r="F569" s="2" t="s">
        <v>7287</v>
      </c>
      <c r="H569" s="3" t="s">
        <v>62</v>
      </c>
      <c r="I569" s="3" t="s">
        <v>63</v>
      </c>
      <c r="J569" s="3" t="s">
        <v>62</v>
      </c>
      <c r="K569" s="3" t="s">
        <v>62</v>
      </c>
      <c r="L569" s="3" t="s">
        <v>64</v>
      </c>
      <c r="M569" s="2" t="s">
        <v>7288</v>
      </c>
      <c r="N569" s="2" t="s">
        <v>7289</v>
      </c>
      <c r="O569" s="3" t="s">
        <v>233</v>
      </c>
      <c r="Q569" s="3" t="s">
        <v>68</v>
      </c>
      <c r="R569" s="3" t="s">
        <v>69</v>
      </c>
      <c r="T569" s="3" t="s">
        <v>70</v>
      </c>
      <c r="U569" s="4">
        <v>5</v>
      </c>
      <c r="V569" s="4">
        <v>5</v>
      </c>
      <c r="W569" s="5" t="s">
        <v>7199</v>
      </c>
      <c r="X569" s="5" t="s">
        <v>7199</v>
      </c>
      <c r="Y569" s="5" t="s">
        <v>7290</v>
      </c>
      <c r="Z569" s="5" t="s">
        <v>7290</v>
      </c>
      <c r="AA569" s="4">
        <v>857</v>
      </c>
      <c r="AB569" s="4">
        <v>784</v>
      </c>
      <c r="AC569" s="4">
        <v>792</v>
      </c>
      <c r="AD569" s="4">
        <v>4</v>
      </c>
      <c r="AE569" s="4">
        <v>4</v>
      </c>
      <c r="AF569" s="4">
        <v>22</v>
      </c>
      <c r="AG569" s="4">
        <v>22</v>
      </c>
      <c r="AH569" s="4">
        <v>8</v>
      </c>
      <c r="AI569" s="4">
        <v>8</v>
      </c>
      <c r="AJ569" s="4">
        <v>6</v>
      </c>
      <c r="AK569" s="4">
        <v>6</v>
      </c>
      <c r="AL569" s="4">
        <v>10</v>
      </c>
      <c r="AM569" s="4">
        <v>10</v>
      </c>
      <c r="AN569" s="4">
        <v>3</v>
      </c>
      <c r="AO569" s="4">
        <v>3</v>
      </c>
      <c r="AP569" s="4">
        <v>0</v>
      </c>
      <c r="AQ569" s="4">
        <v>0</v>
      </c>
      <c r="AR569" s="3" t="s">
        <v>62</v>
      </c>
      <c r="AS569" s="3" t="s">
        <v>84</v>
      </c>
      <c r="AT569" s="6" t="str">
        <f>HYPERLINK("http://catalog.hathitrust.org/Record/000224893","HathiTrust Record")</f>
        <v>HathiTrust Record</v>
      </c>
      <c r="AU569" s="6" t="str">
        <f>HYPERLINK("https://creighton-primo.hosted.exlibrisgroup.com/primo-explore/search?tab=default_tab&amp;search_scope=EVERYTHING&amp;vid=01CRU&amp;lang=en_US&amp;offset=0&amp;query=any,contains,991004903439702656","Catalog Record")</f>
        <v>Catalog Record</v>
      </c>
      <c r="AV569" s="6" t="str">
        <f>HYPERLINK("http://www.worldcat.org/oclc/5942643","WorldCat Record")</f>
        <v>WorldCat Record</v>
      </c>
      <c r="AW569" s="3" t="s">
        <v>7291</v>
      </c>
      <c r="AX569" s="3" t="s">
        <v>7292</v>
      </c>
      <c r="AY569" s="3" t="s">
        <v>7293</v>
      </c>
      <c r="AZ569" s="3" t="s">
        <v>7293</v>
      </c>
      <c r="BA569" s="3" t="s">
        <v>7294</v>
      </c>
      <c r="BB569" s="3" t="s">
        <v>77</v>
      </c>
      <c r="BD569" s="3" t="s">
        <v>7295</v>
      </c>
      <c r="BE569" s="3" t="s">
        <v>7296</v>
      </c>
      <c r="BF569" s="3" t="s">
        <v>7297</v>
      </c>
    </row>
    <row r="570" spans="1:58" ht="41.25" customHeight="1" x14ac:dyDescent="0.25">
      <c r="A570" s="7" t="s">
        <v>62</v>
      </c>
      <c r="B570" s="2" t="s">
        <v>57</v>
      </c>
      <c r="C570" s="2" t="s">
        <v>58</v>
      </c>
      <c r="D570" s="2" t="s">
        <v>7298</v>
      </c>
      <c r="E570" s="2" t="s">
        <v>7299</v>
      </c>
      <c r="F570" s="2" t="s">
        <v>7300</v>
      </c>
      <c r="H570" s="3" t="s">
        <v>62</v>
      </c>
      <c r="I570" s="3" t="s">
        <v>63</v>
      </c>
      <c r="J570" s="3" t="s">
        <v>62</v>
      </c>
      <c r="K570" s="3" t="s">
        <v>62</v>
      </c>
      <c r="L570" s="3" t="s">
        <v>64</v>
      </c>
      <c r="M570" s="2" t="s">
        <v>7301</v>
      </c>
      <c r="N570" s="2" t="s">
        <v>3926</v>
      </c>
      <c r="O570" s="3" t="s">
        <v>404</v>
      </c>
      <c r="Q570" s="3" t="s">
        <v>68</v>
      </c>
      <c r="R570" s="3" t="s">
        <v>69</v>
      </c>
      <c r="S570" s="2" t="s">
        <v>671</v>
      </c>
      <c r="T570" s="3" t="s">
        <v>70</v>
      </c>
      <c r="U570" s="4">
        <v>4</v>
      </c>
      <c r="V570" s="4">
        <v>4</v>
      </c>
      <c r="W570" s="5" t="s">
        <v>7302</v>
      </c>
      <c r="X570" s="5" t="s">
        <v>7302</v>
      </c>
      <c r="Y570" s="5" t="s">
        <v>7200</v>
      </c>
      <c r="Z570" s="5" t="s">
        <v>7200</v>
      </c>
      <c r="AA570" s="4">
        <v>332</v>
      </c>
      <c r="AB570" s="4">
        <v>299</v>
      </c>
      <c r="AC570" s="4">
        <v>348</v>
      </c>
      <c r="AD570" s="4">
        <v>3</v>
      </c>
      <c r="AE570" s="4">
        <v>3</v>
      </c>
      <c r="AF570" s="4">
        <v>19</v>
      </c>
      <c r="AG570" s="4">
        <v>24</v>
      </c>
      <c r="AH570" s="4">
        <v>3</v>
      </c>
      <c r="AI570" s="4">
        <v>4</v>
      </c>
      <c r="AJ570" s="4">
        <v>8</v>
      </c>
      <c r="AK570" s="4">
        <v>10</v>
      </c>
      <c r="AL570" s="4">
        <v>11</v>
      </c>
      <c r="AM570" s="4">
        <v>15</v>
      </c>
      <c r="AN570" s="4">
        <v>2</v>
      </c>
      <c r="AO570" s="4">
        <v>2</v>
      </c>
      <c r="AP570" s="4">
        <v>0</v>
      </c>
      <c r="AQ570" s="4">
        <v>0</v>
      </c>
      <c r="AR570" s="3" t="s">
        <v>62</v>
      </c>
      <c r="AS570" s="3" t="s">
        <v>62</v>
      </c>
      <c r="AU570" s="6" t="str">
        <f>HYPERLINK("https://creighton-primo.hosted.exlibrisgroup.com/primo-explore/search?tab=default_tab&amp;search_scope=EVERYTHING&amp;vid=01CRU&amp;lang=en_US&amp;offset=0&amp;query=any,contains,991002395119702656","Catalog Record")</f>
        <v>Catalog Record</v>
      </c>
      <c r="AV570" s="6" t="str">
        <f>HYPERLINK("http://www.worldcat.org/oclc/334361","WorldCat Record")</f>
        <v>WorldCat Record</v>
      </c>
      <c r="AW570" s="3" t="s">
        <v>7303</v>
      </c>
      <c r="AX570" s="3" t="s">
        <v>7304</v>
      </c>
      <c r="AY570" s="3" t="s">
        <v>7305</v>
      </c>
      <c r="AZ570" s="3" t="s">
        <v>7305</v>
      </c>
      <c r="BA570" s="3" t="s">
        <v>7306</v>
      </c>
      <c r="BB570" s="3" t="s">
        <v>77</v>
      </c>
      <c r="BE570" s="3" t="s">
        <v>7307</v>
      </c>
      <c r="BF570" s="3" t="s">
        <v>7308</v>
      </c>
    </row>
    <row r="571" spans="1:58" ht="41.25" customHeight="1" x14ac:dyDescent="0.25">
      <c r="A571" s="7" t="s">
        <v>62</v>
      </c>
      <c r="B571" s="2" t="s">
        <v>57</v>
      </c>
      <c r="C571" s="2" t="s">
        <v>58</v>
      </c>
      <c r="D571" s="2" t="s">
        <v>7309</v>
      </c>
      <c r="E571" s="2" t="s">
        <v>7310</v>
      </c>
      <c r="F571" s="2" t="s">
        <v>7311</v>
      </c>
      <c r="H571" s="3" t="s">
        <v>62</v>
      </c>
      <c r="I571" s="3" t="s">
        <v>63</v>
      </c>
      <c r="J571" s="3" t="s">
        <v>62</v>
      </c>
      <c r="K571" s="3" t="s">
        <v>62</v>
      </c>
      <c r="L571" s="3" t="s">
        <v>64</v>
      </c>
      <c r="M571" s="2" t="s">
        <v>1818</v>
      </c>
      <c r="N571" s="2" t="s">
        <v>7312</v>
      </c>
      <c r="O571" s="3" t="s">
        <v>629</v>
      </c>
      <c r="Q571" s="3" t="s">
        <v>68</v>
      </c>
      <c r="R571" s="3" t="s">
        <v>166</v>
      </c>
      <c r="T571" s="3" t="s">
        <v>70</v>
      </c>
      <c r="U571" s="4">
        <v>8</v>
      </c>
      <c r="V571" s="4">
        <v>8</v>
      </c>
      <c r="W571" s="5" t="s">
        <v>7199</v>
      </c>
      <c r="X571" s="5" t="s">
        <v>7199</v>
      </c>
      <c r="Y571" s="5" t="s">
        <v>7200</v>
      </c>
      <c r="Z571" s="5" t="s">
        <v>7200</v>
      </c>
      <c r="AA571" s="4">
        <v>386</v>
      </c>
      <c r="AB571" s="4">
        <v>347</v>
      </c>
      <c r="AC571" s="4">
        <v>687</v>
      </c>
      <c r="AD571" s="4">
        <v>4</v>
      </c>
      <c r="AE571" s="4">
        <v>5</v>
      </c>
      <c r="AF571" s="4">
        <v>17</v>
      </c>
      <c r="AG571" s="4">
        <v>28</v>
      </c>
      <c r="AH571" s="4">
        <v>7</v>
      </c>
      <c r="AI571" s="4">
        <v>13</v>
      </c>
      <c r="AJ571" s="4">
        <v>3</v>
      </c>
      <c r="AK571" s="4">
        <v>5</v>
      </c>
      <c r="AL571" s="4">
        <v>9</v>
      </c>
      <c r="AM571" s="4">
        <v>17</v>
      </c>
      <c r="AN571" s="4">
        <v>2</v>
      </c>
      <c r="AO571" s="4">
        <v>2</v>
      </c>
      <c r="AP571" s="4">
        <v>0</v>
      </c>
      <c r="AQ571" s="4">
        <v>0</v>
      </c>
      <c r="AR571" s="3" t="s">
        <v>62</v>
      </c>
      <c r="AS571" s="3" t="s">
        <v>62</v>
      </c>
      <c r="AU571" s="6" t="str">
        <f>HYPERLINK("https://creighton-primo.hosted.exlibrisgroup.com/primo-explore/search?tab=default_tab&amp;search_scope=EVERYTHING&amp;vid=01CRU&amp;lang=en_US&amp;offset=0&amp;query=any,contains,991003916259702656","Catalog Record")</f>
        <v>Catalog Record</v>
      </c>
      <c r="AV571" s="6" t="str">
        <f>HYPERLINK("http://www.worldcat.org/oclc/1859904","WorldCat Record")</f>
        <v>WorldCat Record</v>
      </c>
      <c r="AW571" s="3" t="s">
        <v>7313</v>
      </c>
      <c r="AX571" s="3" t="s">
        <v>7314</v>
      </c>
      <c r="AY571" s="3" t="s">
        <v>7315</v>
      </c>
      <c r="AZ571" s="3" t="s">
        <v>7315</v>
      </c>
      <c r="BA571" s="3" t="s">
        <v>7316</v>
      </c>
      <c r="BB571" s="3" t="s">
        <v>77</v>
      </c>
      <c r="BD571" s="3" t="s">
        <v>7317</v>
      </c>
      <c r="BE571" s="3" t="s">
        <v>7318</v>
      </c>
      <c r="BF571" s="3" t="s">
        <v>7319</v>
      </c>
    </row>
    <row r="572" spans="1:58" ht="41.25" customHeight="1" x14ac:dyDescent="0.25">
      <c r="A572" s="7" t="s">
        <v>62</v>
      </c>
      <c r="B572" s="2" t="s">
        <v>57</v>
      </c>
      <c r="C572" s="2" t="s">
        <v>58</v>
      </c>
      <c r="D572" s="2" t="s">
        <v>7320</v>
      </c>
      <c r="E572" s="2" t="s">
        <v>7321</v>
      </c>
      <c r="F572" s="2" t="s">
        <v>7322</v>
      </c>
      <c r="H572" s="3" t="s">
        <v>84</v>
      </c>
      <c r="I572" s="3" t="s">
        <v>63</v>
      </c>
      <c r="J572" s="3" t="s">
        <v>84</v>
      </c>
      <c r="K572" s="3" t="s">
        <v>62</v>
      </c>
      <c r="L572" s="3" t="s">
        <v>64</v>
      </c>
      <c r="M572" s="2" t="s">
        <v>7323</v>
      </c>
      <c r="N572" s="2" t="s">
        <v>7324</v>
      </c>
      <c r="O572" s="3" t="s">
        <v>383</v>
      </c>
      <c r="Q572" s="3" t="s">
        <v>68</v>
      </c>
      <c r="R572" s="3" t="s">
        <v>219</v>
      </c>
      <c r="T572" s="3" t="s">
        <v>70</v>
      </c>
      <c r="U572" s="4">
        <v>7</v>
      </c>
      <c r="V572" s="4">
        <v>29</v>
      </c>
      <c r="W572" s="5" t="s">
        <v>7325</v>
      </c>
      <c r="X572" s="5" t="s">
        <v>7326</v>
      </c>
      <c r="Y572" s="5" t="s">
        <v>7327</v>
      </c>
      <c r="Z572" s="5" t="s">
        <v>7327</v>
      </c>
      <c r="AA572" s="4">
        <v>566</v>
      </c>
      <c r="AB572" s="4">
        <v>521</v>
      </c>
      <c r="AC572" s="4">
        <v>525</v>
      </c>
      <c r="AD572" s="4">
        <v>3</v>
      </c>
      <c r="AE572" s="4">
        <v>3</v>
      </c>
      <c r="AF572" s="4">
        <v>29</v>
      </c>
      <c r="AG572" s="4">
        <v>29</v>
      </c>
      <c r="AH572" s="4">
        <v>11</v>
      </c>
      <c r="AI572" s="4">
        <v>11</v>
      </c>
      <c r="AJ572" s="4">
        <v>6</v>
      </c>
      <c r="AK572" s="4">
        <v>6</v>
      </c>
      <c r="AL572" s="4">
        <v>19</v>
      </c>
      <c r="AM572" s="4">
        <v>19</v>
      </c>
      <c r="AN572" s="4">
        <v>1</v>
      </c>
      <c r="AO572" s="4">
        <v>1</v>
      </c>
      <c r="AP572" s="4">
        <v>0</v>
      </c>
      <c r="AQ572" s="4">
        <v>0</v>
      </c>
      <c r="AR572" s="3" t="s">
        <v>62</v>
      </c>
      <c r="AS572" s="3" t="s">
        <v>84</v>
      </c>
      <c r="AT572" s="6" t="str">
        <f>HYPERLINK("http://catalog.hathitrust.org/Record/001391702","HathiTrust Record")</f>
        <v>HathiTrust Record</v>
      </c>
      <c r="AU572" s="6" t="str">
        <f>HYPERLINK("https://creighton-primo.hosted.exlibrisgroup.com/primo-explore/search?tab=default_tab&amp;search_scope=EVERYTHING&amp;vid=01CRU&amp;lang=en_US&amp;offset=0&amp;query=any,contains,991000003549702656","Catalog Record")</f>
        <v>Catalog Record</v>
      </c>
      <c r="AV572" s="6" t="str">
        <f>HYPERLINK("http://www.worldcat.org/oclc/12147","WorldCat Record")</f>
        <v>WorldCat Record</v>
      </c>
      <c r="AW572" s="3" t="s">
        <v>7328</v>
      </c>
      <c r="AX572" s="3" t="s">
        <v>7329</v>
      </c>
      <c r="AY572" s="3" t="s">
        <v>7330</v>
      </c>
      <c r="AZ572" s="3" t="s">
        <v>7330</v>
      </c>
      <c r="BA572" s="3" t="s">
        <v>7331</v>
      </c>
      <c r="BB572" s="3" t="s">
        <v>77</v>
      </c>
      <c r="BD572" s="3" t="s">
        <v>7332</v>
      </c>
      <c r="BE572" s="3" t="s">
        <v>7333</v>
      </c>
      <c r="BF572" s="3" t="s">
        <v>7334</v>
      </c>
    </row>
    <row r="573" spans="1:58" ht="41.25" customHeight="1" x14ac:dyDescent="0.25">
      <c r="A573" s="7" t="s">
        <v>62</v>
      </c>
      <c r="B573" s="2" t="s">
        <v>57</v>
      </c>
      <c r="C573" s="2" t="s">
        <v>58</v>
      </c>
      <c r="D573" s="2" t="s">
        <v>7335</v>
      </c>
      <c r="E573" s="2" t="s">
        <v>7336</v>
      </c>
      <c r="F573" s="2" t="s">
        <v>7337</v>
      </c>
      <c r="H573" s="3" t="s">
        <v>62</v>
      </c>
      <c r="I573" s="3" t="s">
        <v>63</v>
      </c>
      <c r="J573" s="3" t="s">
        <v>62</v>
      </c>
      <c r="K573" s="3" t="s">
        <v>62</v>
      </c>
      <c r="L573" s="3" t="s">
        <v>64</v>
      </c>
      <c r="M573" s="2" t="s">
        <v>7338</v>
      </c>
      <c r="N573" s="2" t="s">
        <v>7339</v>
      </c>
      <c r="O573" s="3" t="s">
        <v>253</v>
      </c>
      <c r="Q573" s="3" t="s">
        <v>68</v>
      </c>
      <c r="R573" s="3" t="s">
        <v>369</v>
      </c>
      <c r="S573" s="2" t="s">
        <v>7340</v>
      </c>
      <c r="T573" s="3" t="s">
        <v>70</v>
      </c>
      <c r="U573" s="4">
        <v>5</v>
      </c>
      <c r="V573" s="4">
        <v>5</v>
      </c>
      <c r="W573" s="5" t="s">
        <v>7341</v>
      </c>
      <c r="X573" s="5" t="s">
        <v>7341</v>
      </c>
      <c r="Y573" s="5" t="s">
        <v>7200</v>
      </c>
      <c r="Z573" s="5" t="s">
        <v>7200</v>
      </c>
      <c r="AA573" s="4">
        <v>240</v>
      </c>
      <c r="AB573" s="4">
        <v>186</v>
      </c>
      <c r="AC573" s="4">
        <v>187</v>
      </c>
      <c r="AD573" s="4">
        <v>2</v>
      </c>
      <c r="AE573" s="4">
        <v>2</v>
      </c>
      <c r="AF573" s="4">
        <v>25</v>
      </c>
      <c r="AG573" s="4">
        <v>25</v>
      </c>
      <c r="AH573" s="4">
        <v>8</v>
      </c>
      <c r="AI573" s="4">
        <v>8</v>
      </c>
      <c r="AJ573" s="4">
        <v>5</v>
      </c>
      <c r="AK573" s="4">
        <v>5</v>
      </c>
      <c r="AL573" s="4">
        <v>19</v>
      </c>
      <c r="AM573" s="4">
        <v>19</v>
      </c>
      <c r="AN573" s="4">
        <v>1</v>
      </c>
      <c r="AO573" s="4">
        <v>1</v>
      </c>
      <c r="AP573" s="4">
        <v>0</v>
      </c>
      <c r="AQ573" s="4">
        <v>0</v>
      </c>
      <c r="AR573" s="3" t="s">
        <v>62</v>
      </c>
      <c r="AS573" s="3" t="s">
        <v>84</v>
      </c>
      <c r="AT573" s="6" t="str">
        <f>HYPERLINK("http://catalog.hathitrust.org/Record/000483156","HathiTrust Record")</f>
        <v>HathiTrust Record</v>
      </c>
      <c r="AU573" s="6" t="str">
        <f>HYPERLINK("https://creighton-primo.hosted.exlibrisgroup.com/primo-explore/search?tab=default_tab&amp;search_scope=EVERYTHING&amp;vid=01CRU&amp;lang=en_US&amp;offset=0&amp;query=any,contains,991000590669702656","Catalog Record")</f>
        <v>Catalog Record</v>
      </c>
      <c r="AV573" s="6" t="str">
        <f>HYPERLINK("http://www.worldcat.org/oclc/11785008","WorldCat Record")</f>
        <v>WorldCat Record</v>
      </c>
      <c r="AW573" s="3" t="s">
        <v>7342</v>
      </c>
      <c r="AX573" s="3" t="s">
        <v>7343</v>
      </c>
      <c r="AY573" s="3" t="s">
        <v>7344</v>
      </c>
      <c r="AZ573" s="3" t="s">
        <v>7344</v>
      </c>
      <c r="BA573" s="3" t="s">
        <v>7345</v>
      </c>
      <c r="BB573" s="3" t="s">
        <v>77</v>
      </c>
      <c r="BD573" s="3" t="s">
        <v>7346</v>
      </c>
      <c r="BE573" s="3" t="s">
        <v>7347</v>
      </c>
      <c r="BF573" s="3" t="s">
        <v>7348</v>
      </c>
    </row>
    <row r="574" spans="1:58" ht="41.25" customHeight="1" x14ac:dyDescent="0.25">
      <c r="A574" s="7" t="s">
        <v>62</v>
      </c>
      <c r="B574" s="2" t="s">
        <v>57</v>
      </c>
      <c r="C574" s="2" t="s">
        <v>58</v>
      </c>
      <c r="D574" s="2" t="s">
        <v>7349</v>
      </c>
      <c r="E574" s="2" t="s">
        <v>7350</v>
      </c>
      <c r="F574" s="2" t="s">
        <v>7351</v>
      </c>
      <c r="H574" s="3" t="s">
        <v>62</v>
      </c>
      <c r="I574" s="3" t="s">
        <v>63</v>
      </c>
      <c r="J574" s="3" t="s">
        <v>62</v>
      </c>
      <c r="K574" s="3" t="s">
        <v>62</v>
      </c>
      <c r="L574" s="3" t="s">
        <v>64</v>
      </c>
      <c r="M574" s="2" t="s">
        <v>7352</v>
      </c>
      <c r="N574" s="2" t="s">
        <v>7353</v>
      </c>
      <c r="O574" s="3" t="s">
        <v>67</v>
      </c>
      <c r="Q574" s="3" t="s">
        <v>68</v>
      </c>
      <c r="R574" s="3" t="s">
        <v>531</v>
      </c>
      <c r="T574" s="3" t="s">
        <v>70</v>
      </c>
      <c r="U574" s="4">
        <v>6</v>
      </c>
      <c r="V574" s="4">
        <v>6</v>
      </c>
      <c r="W574" s="5" t="s">
        <v>7354</v>
      </c>
      <c r="X574" s="5" t="s">
        <v>7354</v>
      </c>
      <c r="Y574" s="5" t="s">
        <v>1040</v>
      </c>
      <c r="Z574" s="5" t="s">
        <v>1040</v>
      </c>
      <c r="AA574" s="4">
        <v>244</v>
      </c>
      <c r="AB574" s="4">
        <v>208</v>
      </c>
      <c r="AC574" s="4">
        <v>210</v>
      </c>
      <c r="AD574" s="4">
        <v>3</v>
      </c>
      <c r="AE574" s="4">
        <v>3</v>
      </c>
      <c r="AF574" s="4">
        <v>11</v>
      </c>
      <c r="AG574" s="4">
        <v>11</v>
      </c>
      <c r="AH574" s="4">
        <v>2</v>
      </c>
      <c r="AI574" s="4">
        <v>2</v>
      </c>
      <c r="AJ574" s="4">
        <v>1</v>
      </c>
      <c r="AK574" s="4">
        <v>1</v>
      </c>
      <c r="AL574" s="4">
        <v>9</v>
      </c>
      <c r="AM574" s="4">
        <v>9</v>
      </c>
      <c r="AN574" s="4">
        <v>2</v>
      </c>
      <c r="AO574" s="4">
        <v>2</v>
      </c>
      <c r="AP574" s="4">
        <v>0</v>
      </c>
      <c r="AQ574" s="4">
        <v>0</v>
      </c>
      <c r="AR574" s="3" t="s">
        <v>62</v>
      </c>
      <c r="AS574" s="3" t="s">
        <v>84</v>
      </c>
      <c r="AT574" s="6" t="str">
        <f>HYPERLINK("http://catalog.hathitrust.org/Record/006756640","HathiTrust Record")</f>
        <v>HathiTrust Record</v>
      </c>
      <c r="AU574" s="6" t="str">
        <f>HYPERLINK("https://creighton-primo.hosted.exlibrisgroup.com/primo-explore/search?tab=default_tab&amp;search_scope=EVERYTHING&amp;vid=01CRU&amp;lang=en_US&amp;offset=0&amp;query=any,contains,991000515809702656","Catalog Record")</f>
        <v>Catalog Record</v>
      </c>
      <c r="AV574" s="6" t="str">
        <f>HYPERLINK("http://www.worldcat.org/oclc/85581","WorldCat Record")</f>
        <v>WorldCat Record</v>
      </c>
      <c r="AW574" s="3" t="s">
        <v>7355</v>
      </c>
      <c r="AX574" s="3" t="s">
        <v>7356</v>
      </c>
      <c r="AY574" s="3" t="s">
        <v>7357</v>
      </c>
      <c r="AZ574" s="3" t="s">
        <v>7357</v>
      </c>
      <c r="BA574" s="3" t="s">
        <v>7358</v>
      </c>
      <c r="BB574" s="3" t="s">
        <v>77</v>
      </c>
      <c r="BD574" s="3" t="s">
        <v>7359</v>
      </c>
      <c r="BE574" s="3" t="s">
        <v>7360</v>
      </c>
      <c r="BF574" s="3" t="s">
        <v>7361</v>
      </c>
    </row>
    <row r="575" spans="1:58" ht="41.25" customHeight="1" x14ac:dyDescent="0.25">
      <c r="A575" s="7" t="s">
        <v>62</v>
      </c>
      <c r="B575" s="2" t="s">
        <v>57</v>
      </c>
      <c r="C575" s="2" t="s">
        <v>58</v>
      </c>
      <c r="D575" s="2" t="s">
        <v>7362</v>
      </c>
      <c r="E575" s="2" t="s">
        <v>7363</v>
      </c>
      <c r="F575" s="2" t="s">
        <v>7364</v>
      </c>
      <c r="H575" s="3" t="s">
        <v>62</v>
      </c>
      <c r="I575" s="3" t="s">
        <v>63</v>
      </c>
      <c r="J575" s="3" t="s">
        <v>62</v>
      </c>
      <c r="K575" s="3" t="s">
        <v>62</v>
      </c>
      <c r="L575" s="3" t="s">
        <v>64</v>
      </c>
      <c r="M575" s="2" t="s">
        <v>7365</v>
      </c>
      <c r="N575" s="2" t="s">
        <v>7366</v>
      </c>
      <c r="O575" s="3" t="s">
        <v>253</v>
      </c>
      <c r="Q575" s="3" t="s">
        <v>68</v>
      </c>
      <c r="R575" s="3" t="s">
        <v>69</v>
      </c>
      <c r="T575" s="3" t="s">
        <v>70</v>
      </c>
      <c r="U575" s="4">
        <v>2</v>
      </c>
      <c r="V575" s="4">
        <v>2</v>
      </c>
      <c r="W575" s="5" t="s">
        <v>4516</v>
      </c>
      <c r="X575" s="5" t="s">
        <v>4516</v>
      </c>
      <c r="Y575" s="5" t="s">
        <v>7200</v>
      </c>
      <c r="Z575" s="5" t="s">
        <v>7200</v>
      </c>
      <c r="AA575" s="4">
        <v>251</v>
      </c>
      <c r="AB575" s="4">
        <v>195</v>
      </c>
      <c r="AC575" s="4">
        <v>202</v>
      </c>
      <c r="AD575" s="4">
        <v>1</v>
      </c>
      <c r="AE575" s="4">
        <v>1</v>
      </c>
      <c r="AF575" s="4">
        <v>17</v>
      </c>
      <c r="AG575" s="4">
        <v>17</v>
      </c>
      <c r="AH575" s="4">
        <v>5</v>
      </c>
      <c r="AI575" s="4">
        <v>5</v>
      </c>
      <c r="AJ575" s="4">
        <v>4</v>
      </c>
      <c r="AK575" s="4">
        <v>4</v>
      </c>
      <c r="AL575" s="4">
        <v>13</v>
      </c>
      <c r="AM575" s="4">
        <v>13</v>
      </c>
      <c r="AN575" s="4">
        <v>0</v>
      </c>
      <c r="AO575" s="4">
        <v>0</v>
      </c>
      <c r="AP575" s="4">
        <v>0</v>
      </c>
      <c r="AQ575" s="4">
        <v>0</v>
      </c>
      <c r="AR575" s="3" t="s">
        <v>62</v>
      </c>
      <c r="AS575" s="3" t="s">
        <v>84</v>
      </c>
      <c r="AT575" s="6" t="str">
        <f>HYPERLINK("http://catalog.hathitrust.org/Record/000651977","HathiTrust Record")</f>
        <v>HathiTrust Record</v>
      </c>
      <c r="AU575" s="6" t="str">
        <f>HYPERLINK("https://creighton-primo.hosted.exlibrisgroup.com/primo-explore/search?tab=default_tab&amp;search_scope=EVERYTHING&amp;vid=01CRU&amp;lang=en_US&amp;offset=0&amp;query=any,contains,991000606869702656","Catalog Record")</f>
        <v>Catalog Record</v>
      </c>
      <c r="AV575" s="6" t="str">
        <f>HYPERLINK("http://www.worldcat.org/oclc/11867002","WorldCat Record")</f>
        <v>WorldCat Record</v>
      </c>
      <c r="AW575" s="3" t="s">
        <v>7367</v>
      </c>
      <c r="AX575" s="3" t="s">
        <v>7368</v>
      </c>
      <c r="AY575" s="3" t="s">
        <v>7369</v>
      </c>
      <c r="AZ575" s="3" t="s">
        <v>7369</v>
      </c>
      <c r="BA575" s="3" t="s">
        <v>7370</v>
      </c>
      <c r="BB575" s="3" t="s">
        <v>77</v>
      </c>
      <c r="BD575" s="3" t="s">
        <v>7371</v>
      </c>
      <c r="BE575" s="3" t="s">
        <v>7372</v>
      </c>
      <c r="BF575" s="3" t="s">
        <v>7373</v>
      </c>
    </row>
    <row r="576" spans="1:58" ht="41.25" customHeight="1" x14ac:dyDescent="0.25">
      <c r="A576" s="7" t="s">
        <v>62</v>
      </c>
      <c r="B576" s="2" t="s">
        <v>57</v>
      </c>
      <c r="C576" s="2" t="s">
        <v>58</v>
      </c>
      <c r="D576" s="2" t="s">
        <v>7374</v>
      </c>
      <c r="E576" s="2" t="s">
        <v>7375</v>
      </c>
      <c r="F576" s="2" t="s">
        <v>7376</v>
      </c>
      <c r="H576" s="3" t="s">
        <v>62</v>
      </c>
      <c r="I576" s="3" t="s">
        <v>63</v>
      </c>
      <c r="J576" s="3" t="s">
        <v>62</v>
      </c>
      <c r="K576" s="3" t="s">
        <v>62</v>
      </c>
      <c r="L576" s="3" t="s">
        <v>64</v>
      </c>
      <c r="M576" s="2" t="s">
        <v>7377</v>
      </c>
      <c r="N576" s="2" t="s">
        <v>7378</v>
      </c>
      <c r="O576" s="3" t="s">
        <v>137</v>
      </c>
      <c r="P576" s="2" t="s">
        <v>7379</v>
      </c>
      <c r="Q576" s="3" t="s">
        <v>68</v>
      </c>
      <c r="R576" s="3" t="s">
        <v>69</v>
      </c>
      <c r="T576" s="3" t="s">
        <v>70</v>
      </c>
      <c r="U576" s="4">
        <v>1</v>
      </c>
      <c r="V576" s="4">
        <v>1</v>
      </c>
      <c r="W576" s="5" t="s">
        <v>7380</v>
      </c>
      <c r="X576" s="5" t="s">
        <v>7380</v>
      </c>
      <c r="Y576" s="5" t="s">
        <v>7200</v>
      </c>
      <c r="Z576" s="5" t="s">
        <v>7200</v>
      </c>
      <c r="AA576" s="4">
        <v>194</v>
      </c>
      <c r="AB576" s="4">
        <v>154</v>
      </c>
      <c r="AC576" s="4">
        <v>729</v>
      </c>
      <c r="AD576" s="4">
        <v>2</v>
      </c>
      <c r="AE576" s="4">
        <v>6</v>
      </c>
      <c r="AF576" s="4">
        <v>8</v>
      </c>
      <c r="AG576" s="4">
        <v>31</v>
      </c>
      <c r="AH576" s="4">
        <v>0</v>
      </c>
      <c r="AI576" s="4">
        <v>13</v>
      </c>
      <c r="AJ576" s="4">
        <v>2</v>
      </c>
      <c r="AK576" s="4">
        <v>5</v>
      </c>
      <c r="AL576" s="4">
        <v>5</v>
      </c>
      <c r="AM576" s="4">
        <v>17</v>
      </c>
      <c r="AN576" s="4">
        <v>1</v>
      </c>
      <c r="AO576" s="4">
        <v>4</v>
      </c>
      <c r="AP576" s="4">
        <v>0</v>
      </c>
      <c r="AQ576" s="4">
        <v>0</v>
      </c>
      <c r="AR576" s="3" t="s">
        <v>62</v>
      </c>
      <c r="AS576" s="3" t="s">
        <v>62</v>
      </c>
      <c r="AU576" s="6" t="str">
        <f>HYPERLINK("https://creighton-primo.hosted.exlibrisgroup.com/primo-explore/search?tab=default_tab&amp;search_scope=EVERYTHING&amp;vid=01CRU&amp;lang=en_US&amp;offset=0&amp;query=any,contains,991004949229702656","Catalog Record")</f>
        <v>Catalog Record</v>
      </c>
      <c r="AV576" s="6" t="str">
        <f>HYPERLINK("http://www.worldcat.org/oclc/6223798","WorldCat Record")</f>
        <v>WorldCat Record</v>
      </c>
      <c r="AW576" s="3" t="s">
        <v>7381</v>
      </c>
      <c r="AX576" s="3" t="s">
        <v>7382</v>
      </c>
      <c r="AY576" s="3" t="s">
        <v>7383</v>
      </c>
      <c r="AZ576" s="3" t="s">
        <v>7383</v>
      </c>
      <c r="BA576" s="3" t="s">
        <v>7384</v>
      </c>
      <c r="BB576" s="3" t="s">
        <v>77</v>
      </c>
      <c r="BD576" s="3" t="s">
        <v>7385</v>
      </c>
      <c r="BE576" s="3" t="s">
        <v>7386</v>
      </c>
      <c r="BF576" s="3" t="s">
        <v>7387</v>
      </c>
    </row>
    <row r="577" spans="1:58" ht="41.25" customHeight="1" x14ac:dyDescent="0.25">
      <c r="A577" s="7" t="s">
        <v>62</v>
      </c>
      <c r="B577" s="2" t="s">
        <v>57</v>
      </c>
      <c r="C577" s="2" t="s">
        <v>58</v>
      </c>
      <c r="D577" s="2" t="s">
        <v>7388</v>
      </c>
      <c r="E577" s="2" t="s">
        <v>7389</v>
      </c>
      <c r="F577" s="2" t="s">
        <v>7390</v>
      </c>
      <c r="H577" s="3" t="s">
        <v>62</v>
      </c>
      <c r="I577" s="3" t="s">
        <v>63</v>
      </c>
      <c r="J577" s="3" t="s">
        <v>62</v>
      </c>
      <c r="K577" s="3" t="s">
        <v>62</v>
      </c>
      <c r="L577" s="3" t="s">
        <v>64</v>
      </c>
      <c r="M577" s="2" t="s">
        <v>7391</v>
      </c>
      <c r="N577" s="2" t="s">
        <v>7392</v>
      </c>
      <c r="O577" s="3" t="s">
        <v>629</v>
      </c>
      <c r="P577" s="2" t="s">
        <v>834</v>
      </c>
      <c r="Q577" s="3" t="s">
        <v>68</v>
      </c>
      <c r="R577" s="3" t="s">
        <v>69</v>
      </c>
      <c r="T577" s="3" t="s">
        <v>70</v>
      </c>
      <c r="U577" s="4">
        <v>3</v>
      </c>
      <c r="V577" s="4">
        <v>3</v>
      </c>
      <c r="W577" s="5" t="s">
        <v>7393</v>
      </c>
      <c r="X577" s="5" t="s">
        <v>7393</v>
      </c>
      <c r="Y577" s="5" t="s">
        <v>7200</v>
      </c>
      <c r="Z577" s="5" t="s">
        <v>7200</v>
      </c>
      <c r="AA577" s="4">
        <v>733</v>
      </c>
      <c r="AB577" s="4">
        <v>631</v>
      </c>
      <c r="AC577" s="4">
        <v>636</v>
      </c>
      <c r="AD577" s="4">
        <v>4</v>
      </c>
      <c r="AE577" s="4">
        <v>4</v>
      </c>
      <c r="AF577" s="4">
        <v>26</v>
      </c>
      <c r="AG577" s="4">
        <v>26</v>
      </c>
      <c r="AH577" s="4">
        <v>8</v>
      </c>
      <c r="AI577" s="4">
        <v>8</v>
      </c>
      <c r="AJ577" s="4">
        <v>7</v>
      </c>
      <c r="AK577" s="4">
        <v>7</v>
      </c>
      <c r="AL577" s="4">
        <v>17</v>
      </c>
      <c r="AM577" s="4">
        <v>17</v>
      </c>
      <c r="AN577" s="4">
        <v>3</v>
      </c>
      <c r="AO577" s="4">
        <v>3</v>
      </c>
      <c r="AP577" s="4">
        <v>0</v>
      </c>
      <c r="AQ577" s="4">
        <v>0</v>
      </c>
      <c r="AR577" s="3" t="s">
        <v>62</v>
      </c>
      <c r="AS577" s="3" t="s">
        <v>84</v>
      </c>
      <c r="AT577" s="6" t="str">
        <f>HYPERLINK("http://catalog.hathitrust.org/Record/000702996","HathiTrust Record")</f>
        <v>HathiTrust Record</v>
      </c>
      <c r="AU577" s="6" t="str">
        <f>HYPERLINK("https://creighton-primo.hosted.exlibrisgroup.com/primo-explore/search?tab=default_tab&amp;search_scope=EVERYTHING&amp;vid=01CRU&amp;lang=en_US&amp;offset=0&amp;query=any,contains,991004042759702656","Catalog Record")</f>
        <v>Catalog Record</v>
      </c>
      <c r="AV577" s="6" t="str">
        <f>HYPERLINK("http://www.worldcat.org/oclc/2189434","WorldCat Record")</f>
        <v>WorldCat Record</v>
      </c>
      <c r="AW577" s="3" t="s">
        <v>7394</v>
      </c>
      <c r="AX577" s="3" t="s">
        <v>7395</v>
      </c>
      <c r="AY577" s="3" t="s">
        <v>7396</v>
      </c>
      <c r="AZ577" s="3" t="s">
        <v>7396</v>
      </c>
      <c r="BA577" s="3" t="s">
        <v>7397</v>
      </c>
      <c r="BB577" s="3" t="s">
        <v>77</v>
      </c>
      <c r="BD577" s="3" t="s">
        <v>7398</v>
      </c>
      <c r="BE577" s="3" t="s">
        <v>7399</v>
      </c>
      <c r="BF577" s="3" t="s">
        <v>7400</v>
      </c>
    </row>
    <row r="578" spans="1:58" ht="41.25" customHeight="1" x14ac:dyDescent="0.25">
      <c r="A578" s="7" t="s">
        <v>62</v>
      </c>
      <c r="B578" s="2" t="s">
        <v>57</v>
      </c>
      <c r="C578" s="2" t="s">
        <v>58</v>
      </c>
      <c r="D578" s="2" t="s">
        <v>7401</v>
      </c>
      <c r="E578" s="2" t="s">
        <v>7402</v>
      </c>
      <c r="F578" s="2" t="s">
        <v>7403</v>
      </c>
      <c r="H578" s="3" t="s">
        <v>62</v>
      </c>
      <c r="I578" s="3" t="s">
        <v>63</v>
      </c>
      <c r="J578" s="3" t="s">
        <v>62</v>
      </c>
      <c r="K578" s="3" t="s">
        <v>62</v>
      </c>
      <c r="L578" s="3" t="s">
        <v>64</v>
      </c>
      <c r="M578" s="2" t="s">
        <v>7404</v>
      </c>
      <c r="N578" s="2" t="s">
        <v>7405</v>
      </c>
      <c r="O578" s="3" t="s">
        <v>233</v>
      </c>
      <c r="Q578" s="3" t="s">
        <v>68</v>
      </c>
      <c r="R578" s="3" t="s">
        <v>69</v>
      </c>
      <c r="T578" s="3" t="s">
        <v>70</v>
      </c>
      <c r="U578" s="4">
        <v>2</v>
      </c>
      <c r="V578" s="4">
        <v>2</v>
      </c>
      <c r="W578" s="5" t="s">
        <v>7406</v>
      </c>
      <c r="X578" s="5" t="s">
        <v>7406</v>
      </c>
      <c r="Y578" s="5" t="s">
        <v>7200</v>
      </c>
      <c r="Z578" s="5" t="s">
        <v>7200</v>
      </c>
      <c r="AA578" s="4">
        <v>402</v>
      </c>
      <c r="AB578" s="4">
        <v>377</v>
      </c>
      <c r="AC578" s="4">
        <v>475</v>
      </c>
      <c r="AD578" s="4">
        <v>2</v>
      </c>
      <c r="AE578" s="4">
        <v>4</v>
      </c>
      <c r="AF578" s="4">
        <v>28</v>
      </c>
      <c r="AG578" s="4">
        <v>33</v>
      </c>
      <c r="AH578" s="4">
        <v>11</v>
      </c>
      <c r="AI578" s="4">
        <v>12</v>
      </c>
      <c r="AJ578" s="4">
        <v>6</v>
      </c>
      <c r="AK578" s="4">
        <v>8</v>
      </c>
      <c r="AL578" s="4">
        <v>20</v>
      </c>
      <c r="AM578" s="4">
        <v>22</v>
      </c>
      <c r="AN578" s="4">
        <v>0</v>
      </c>
      <c r="AO578" s="4">
        <v>2</v>
      </c>
      <c r="AP578" s="4">
        <v>0</v>
      </c>
      <c r="AQ578" s="4">
        <v>0</v>
      </c>
      <c r="AR578" s="3" t="s">
        <v>62</v>
      </c>
      <c r="AS578" s="3" t="s">
        <v>84</v>
      </c>
      <c r="AT578" s="6" t="str">
        <f>HYPERLINK("http://catalog.hathitrust.org/Record/007115925","HathiTrust Record")</f>
        <v>HathiTrust Record</v>
      </c>
      <c r="AU578" s="6" t="str">
        <f>HYPERLINK("https://creighton-primo.hosted.exlibrisgroup.com/primo-explore/search?tab=default_tab&amp;search_scope=EVERYTHING&amp;vid=01CRU&amp;lang=en_US&amp;offset=0&amp;query=any,contains,991004980699702656","Catalog Record")</f>
        <v>Catalog Record</v>
      </c>
      <c r="AV578" s="6" t="str">
        <f>HYPERLINK("http://www.worldcat.org/oclc/6421881","WorldCat Record")</f>
        <v>WorldCat Record</v>
      </c>
      <c r="AW578" s="3" t="s">
        <v>7407</v>
      </c>
      <c r="AX578" s="3" t="s">
        <v>7408</v>
      </c>
      <c r="AY578" s="3" t="s">
        <v>7409</v>
      </c>
      <c r="AZ578" s="3" t="s">
        <v>7409</v>
      </c>
      <c r="BA578" s="3" t="s">
        <v>7410</v>
      </c>
      <c r="BB578" s="3" t="s">
        <v>77</v>
      </c>
      <c r="BD578" s="3" t="s">
        <v>7411</v>
      </c>
      <c r="BE578" s="3" t="s">
        <v>7412</v>
      </c>
      <c r="BF578" s="3" t="s">
        <v>7413</v>
      </c>
    </row>
    <row r="579" spans="1:58" ht="41.25" customHeight="1" x14ac:dyDescent="0.25">
      <c r="A579" s="7" t="s">
        <v>62</v>
      </c>
      <c r="B579" s="2" t="s">
        <v>57</v>
      </c>
      <c r="C579" s="2" t="s">
        <v>58</v>
      </c>
      <c r="D579" s="2" t="s">
        <v>7414</v>
      </c>
      <c r="E579" s="2" t="s">
        <v>7415</v>
      </c>
      <c r="F579" s="2" t="s">
        <v>7416</v>
      </c>
      <c r="H579" s="3" t="s">
        <v>62</v>
      </c>
      <c r="I579" s="3" t="s">
        <v>63</v>
      </c>
      <c r="J579" s="3" t="s">
        <v>62</v>
      </c>
      <c r="K579" s="3" t="s">
        <v>62</v>
      </c>
      <c r="L579" s="3" t="s">
        <v>64</v>
      </c>
      <c r="M579" s="2" t="s">
        <v>7417</v>
      </c>
      <c r="N579" s="2" t="s">
        <v>7418</v>
      </c>
      <c r="O579" s="3" t="s">
        <v>970</v>
      </c>
      <c r="Q579" s="3" t="s">
        <v>68</v>
      </c>
      <c r="R579" s="3" t="s">
        <v>3072</v>
      </c>
      <c r="T579" s="3" t="s">
        <v>70</v>
      </c>
      <c r="U579" s="4">
        <v>1</v>
      </c>
      <c r="V579" s="4">
        <v>1</v>
      </c>
      <c r="W579" s="5" t="s">
        <v>7419</v>
      </c>
      <c r="X579" s="5" t="s">
        <v>7419</v>
      </c>
      <c r="Y579" s="5" t="s">
        <v>1351</v>
      </c>
      <c r="Z579" s="5" t="s">
        <v>1351</v>
      </c>
      <c r="AA579" s="4">
        <v>335</v>
      </c>
      <c r="AB579" s="4">
        <v>275</v>
      </c>
      <c r="AC579" s="4">
        <v>280</v>
      </c>
      <c r="AD579" s="4">
        <v>1</v>
      </c>
      <c r="AE579" s="4">
        <v>1</v>
      </c>
      <c r="AF579" s="4">
        <v>12</v>
      </c>
      <c r="AG579" s="4">
        <v>12</v>
      </c>
      <c r="AH579" s="4">
        <v>3</v>
      </c>
      <c r="AI579" s="4">
        <v>3</v>
      </c>
      <c r="AJ579" s="4">
        <v>4</v>
      </c>
      <c r="AK579" s="4">
        <v>4</v>
      </c>
      <c r="AL579" s="4">
        <v>8</v>
      </c>
      <c r="AM579" s="4">
        <v>8</v>
      </c>
      <c r="AN579" s="4">
        <v>0</v>
      </c>
      <c r="AO579" s="4">
        <v>0</v>
      </c>
      <c r="AP579" s="4">
        <v>0</v>
      </c>
      <c r="AQ579" s="4">
        <v>0</v>
      </c>
      <c r="AR579" s="3" t="s">
        <v>62</v>
      </c>
      <c r="AS579" s="3" t="s">
        <v>84</v>
      </c>
      <c r="AT579" s="6" t="str">
        <f>HYPERLINK("http://catalog.hathitrust.org/Record/002230685","HathiTrust Record")</f>
        <v>HathiTrust Record</v>
      </c>
      <c r="AU579" s="6" t="str">
        <f>HYPERLINK("https://creighton-primo.hosted.exlibrisgroup.com/primo-explore/search?tab=default_tab&amp;search_scope=EVERYTHING&amp;vid=01CRU&amp;lang=en_US&amp;offset=0&amp;query=any,contains,991001650849702656","Catalog Record")</f>
        <v>Catalog Record</v>
      </c>
      <c r="AV579" s="6" t="str">
        <f>HYPERLINK("http://www.worldcat.org/oclc/21080749","WorldCat Record")</f>
        <v>WorldCat Record</v>
      </c>
      <c r="AW579" s="3" t="s">
        <v>7420</v>
      </c>
      <c r="AX579" s="3" t="s">
        <v>7421</v>
      </c>
      <c r="AY579" s="3" t="s">
        <v>7422</v>
      </c>
      <c r="AZ579" s="3" t="s">
        <v>7422</v>
      </c>
      <c r="BA579" s="3" t="s">
        <v>7423</v>
      </c>
      <c r="BB579" s="3" t="s">
        <v>77</v>
      </c>
      <c r="BD579" s="3" t="s">
        <v>7424</v>
      </c>
      <c r="BE579" s="3" t="s">
        <v>7425</v>
      </c>
      <c r="BF579" s="3" t="s">
        <v>7426</v>
      </c>
    </row>
    <row r="580" spans="1:58" ht="41.25" customHeight="1" x14ac:dyDescent="0.25">
      <c r="A580" s="7" t="s">
        <v>62</v>
      </c>
      <c r="B580" s="2" t="s">
        <v>57</v>
      </c>
      <c r="C580" s="2" t="s">
        <v>58</v>
      </c>
      <c r="D580" s="2" t="s">
        <v>7427</v>
      </c>
      <c r="E580" s="2" t="s">
        <v>7428</v>
      </c>
      <c r="F580" s="2" t="s">
        <v>7429</v>
      </c>
      <c r="H580" s="3" t="s">
        <v>62</v>
      </c>
      <c r="I580" s="3" t="s">
        <v>63</v>
      </c>
      <c r="J580" s="3" t="s">
        <v>62</v>
      </c>
      <c r="K580" s="3" t="s">
        <v>62</v>
      </c>
      <c r="L580" s="3" t="s">
        <v>64</v>
      </c>
      <c r="M580" s="2" t="s">
        <v>7430</v>
      </c>
      <c r="N580" s="2" t="s">
        <v>7431</v>
      </c>
      <c r="O580" s="3" t="s">
        <v>383</v>
      </c>
      <c r="Q580" s="3" t="s">
        <v>68</v>
      </c>
      <c r="R580" s="3" t="s">
        <v>69</v>
      </c>
      <c r="T580" s="3" t="s">
        <v>70</v>
      </c>
      <c r="U580" s="4">
        <v>7</v>
      </c>
      <c r="V580" s="4">
        <v>7</v>
      </c>
      <c r="W580" s="5" t="s">
        <v>1862</v>
      </c>
      <c r="X580" s="5" t="s">
        <v>1862</v>
      </c>
      <c r="Y580" s="5" t="s">
        <v>7200</v>
      </c>
      <c r="Z580" s="5" t="s">
        <v>7200</v>
      </c>
      <c r="AA580" s="4">
        <v>526</v>
      </c>
      <c r="AB580" s="4">
        <v>476</v>
      </c>
      <c r="AC580" s="4">
        <v>481</v>
      </c>
      <c r="AD580" s="4">
        <v>3</v>
      </c>
      <c r="AE580" s="4">
        <v>3</v>
      </c>
      <c r="AF580" s="4">
        <v>23</v>
      </c>
      <c r="AG580" s="4">
        <v>23</v>
      </c>
      <c r="AH580" s="4">
        <v>11</v>
      </c>
      <c r="AI580" s="4">
        <v>11</v>
      </c>
      <c r="AJ580" s="4">
        <v>2</v>
      </c>
      <c r="AK580" s="4">
        <v>2</v>
      </c>
      <c r="AL580" s="4">
        <v>15</v>
      </c>
      <c r="AM580" s="4">
        <v>15</v>
      </c>
      <c r="AN580" s="4">
        <v>2</v>
      </c>
      <c r="AO580" s="4">
        <v>2</v>
      </c>
      <c r="AP580" s="4">
        <v>0</v>
      </c>
      <c r="AQ580" s="4">
        <v>0</v>
      </c>
      <c r="AR580" s="3" t="s">
        <v>62</v>
      </c>
      <c r="AS580" s="3" t="s">
        <v>62</v>
      </c>
      <c r="AU580" s="6" t="str">
        <f>HYPERLINK("https://creighton-primo.hosted.exlibrisgroup.com/primo-explore/search?tab=default_tab&amp;search_scope=EVERYTHING&amp;vid=01CRU&amp;lang=en_US&amp;offset=0&amp;query=any,contains,991000002659702656","Catalog Record")</f>
        <v>Catalog Record</v>
      </c>
      <c r="AV580" s="6" t="str">
        <f>HYPERLINK("http://www.worldcat.org/oclc/11615","WorldCat Record")</f>
        <v>WorldCat Record</v>
      </c>
      <c r="AW580" s="3" t="s">
        <v>7432</v>
      </c>
      <c r="AX580" s="3" t="s">
        <v>7433</v>
      </c>
      <c r="AY580" s="3" t="s">
        <v>7434</v>
      </c>
      <c r="AZ580" s="3" t="s">
        <v>7434</v>
      </c>
      <c r="BA580" s="3" t="s">
        <v>7435</v>
      </c>
      <c r="BB580" s="3" t="s">
        <v>77</v>
      </c>
      <c r="BE580" s="3" t="s">
        <v>7436</v>
      </c>
      <c r="BF580" s="3" t="s">
        <v>7437</v>
      </c>
    </row>
    <row r="581" spans="1:58" ht="41.25" customHeight="1" x14ac:dyDescent="0.25">
      <c r="A581" s="7" t="s">
        <v>62</v>
      </c>
      <c r="B581" s="2" t="s">
        <v>57</v>
      </c>
      <c r="C581" s="2" t="s">
        <v>58</v>
      </c>
      <c r="D581" s="2" t="s">
        <v>7438</v>
      </c>
      <c r="E581" s="2" t="s">
        <v>7439</v>
      </c>
      <c r="F581" s="2" t="s">
        <v>7440</v>
      </c>
      <c r="H581" s="3" t="s">
        <v>62</v>
      </c>
      <c r="I581" s="3" t="s">
        <v>63</v>
      </c>
      <c r="J581" s="3" t="s">
        <v>62</v>
      </c>
      <c r="K581" s="3" t="s">
        <v>62</v>
      </c>
      <c r="L581" s="3" t="s">
        <v>64</v>
      </c>
      <c r="M581" s="2" t="s">
        <v>7441</v>
      </c>
      <c r="N581" s="2" t="s">
        <v>7442</v>
      </c>
      <c r="O581" s="3" t="s">
        <v>1533</v>
      </c>
      <c r="P581" s="2" t="s">
        <v>268</v>
      </c>
      <c r="Q581" s="3" t="s">
        <v>68</v>
      </c>
      <c r="R581" s="3" t="s">
        <v>69</v>
      </c>
      <c r="T581" s="3" t="s">
        <v>70</v>
      </c>
      <c r="U581" s="4">
        <v>2</v>
      </c>
      <c r="V581" s="4">
        <v>2</v>
      </c>
      <c r="W581" s="5" t="s">
        <v>7443</v>
      </c>
      <c r="X581" s="5" t="s">
        <v>7443</v>
      </c>
      <c r="Y581" s="5" t="s">
        <v>7200</v>
      </c>
      <c r="Z581" s="5" t="s">
        <v>7200</v>
      </c>
      <c r="AA581" s="4">
        <v>300</v>
      </c>
      <c r="AB581" s="4">
        <v>284</v>
      </c>
      <c r="AC581" s="4">
        <v>320</v>
      </c>
      <c r="AD581" s="4">
        <v>3</v>
      </c>
      <c r="AE581" s="4">
        <v>4</v>
      </c>
      <c r="AF581" s="4">
        <v>11</v>
      </c>
      <c r="AG581" s="4">
        <v>15</v>
      </c>
      <c r="AH581" s="4">
        <v>1</v>
      </c>
      <c r="AI581" s="4">
        <v>3</v>
      </c>
      <c r="AJ581" s="4">
        <v>3</v>
      </c>
      <c r="AK581" s="4">
        <v>5</v>
      </c>
      <c r="AL581" s="4">
        <v>8</v>
      </c>
      <c r="AM581" s="4">
        <v>8</v>
      </c>
      <c r="AN581" s="4">
        <v>1</v>
      </c>
      <c r="AO581" s="4">
        <v>2</v>
      </c>
      <c r="AP581" s="4">
        <v>0</v>
      </c>
      <c r="AQ581" s="4">
        <v>0</v>
      </c>
      <c r="AR581" s="3" t="s">
        <v>62</v>
      </c>
      <c r="AS581" s="3" t="s">
        <v>84</v>
      </c>
      <c r="AT581" s="6" t="str">
        <f>HYPERLINK("http://catalog.hathitrust.org/Record/007914296","HathiTrust Record")</f>
        <v>HathiTrust Record</v>
      </c>
      <c r="AU581" s="6" t="str">
        <f>HYPERLINK("https://creighton-primo.hosted.exlibrisgroup.com/primo-explore/search?tab=default_tab&amp;search_scope=EVERYTHING&amp;vid=01CRU&amp;lang=en_US&amp;offset=0&amp;query=any,contains,991003386279702656","Catalog Record")</f>
        <v>Catalog Record</v>
      </c>
      <c r="AV581" s="6" t="str">
        <f>HYPERLINK("http://www.worldcat.org/oclc/922731","WorldCat Record")</f>
        <v>WorldCat Record</v>
      </c>
      <c r="AW581" s="3" t="s">
        <v>7444</v>
      </c>
      <c r="AX581" s="3" t="s">
        <v>7445</v>
      </c>
      <c r="AY581" s="3" t="s">
        <v>7446</v>
      </c>
      <c r="AZ581" s="3" t="s">
        <v>7446</v>
      </c>
      <c r="BA581" s="3" t="s">
        <v>7447</v>
      </c>
      <c r="BB581" s="3" t="s">
        <v>77</v>
      </c>
      <c r="BD581" s="3" t="s">
        <v>7448</v>
      </c>
      <c r="BE581" s="3" t="s">
        <v>7449</v>
      </c>
      <c r="BF581" s="3" t="s">
        <v>7450</v>
      </c>
    </row>
    <row r="582" spans="1:58" ht="41.25" customHeight="1" x14ac:dyDescent="0.25">
      <c r="A582" s="7" t="s">
        <v>62</v>
      </c>
      <c r="B582" s="2" t="s">
        <v>57</v>
      </c>
      <c r="C582" s="2" t="s">
        <v>58</v>
      </c>
      <c r="D582" s="2" t="s">
        <v>7451</v>
      </c>
      <c r="E582" s="2" t="s">
        <v>7452</v>
      </c>
      <c r="F582" s="2" t="s">
        <v>7453</v>
      </c>
      <c r="H582" s="3" t="s">
        <v>62</v>
      </c>
      <c r="I582" s="3" t="s">
        <v>63</v>
      </c>
      <c r="J582" s="3" t="s">
        <v>62</v>
      </c>
      <c r="K582" s="3" t="s">
        <v>62</v>
      </c>
      <c r="L582" s="3" t="s">
        <v>64</v>
      </c>
      <c r="M582" s="2" t="s">
        <v>7454</v>
      </c>
      <c r="N582" s="2" t="s">
        <v>7455</v>
      </c>
      <c r="O582" s="3" t="s">
        <v>253</v>
      </c>
      <c r="P582" s="2" t="s">
        <v>7456</v>
      </c>
      <c r="Q582" s="3" t="s">
        <v>68</v>
      </c>
      <c r="R582" s="3" t="s">
        <v>3072</v>
      </c>
      <c r="T582" s="3" t="s">
        <v>70</v>
      </c>
      <c r="U582" s="4">
        <v>8</v>
      </c>
      <c r="V582" s="4">
        <v>8</v>
      </c>
      <c r="W582" s="5" t="s">
        <v>7457</v>
      </c>
      <c r="X582" s="5" t="s">
        <v>7457</v>
      </c>
      <c r="Y582" s="5" t="s">
        <v>7200</v>
      </c>
      <c r="Z582" s="5" t="s">
        <v>7200</v>
      </c>
      <c r="AA582" s="4">
        <v>666</v>
      </c>
      <c r="AB582" s="4">
        <v>587</v>
      </c>
      <c r="AC582" s="4">
        <v>1172</v>
      </c>
      <c r="AD582" s="4">
        <v>2</v>
      </c>
      <c r="AE582" s="4">
        <v>9</v>
      </c>
      <c r="AF582" s="4">
        <v>7</v>
      </c>
      <c r="AG582" s="4">
        <v>13</v>
      </c>
      <c r="AH582" s="4">
        <v>3</v>
      </c>
      <c r="AI582" s="4">
        <v>7</v>
      </c>
      <c r="AJ582" s="4">
        <v>1</v>
      </c>
      <c r="AK582" s="4">
        <v>1</v>
      </c>
      <c r="AL582" s="4">
        <v>3</v>
      </c>
      <c r="AM582" s="4">
        <v>3</v>
      </c>
      <c r="AN582" s="4">
        <v>0</v>
      </c>
      <c r="AO582" s="4">
        <v>2</v>
      </c>
      <c r="AP582" s="4">
        <v>0</v>
      </c>
      <c r="AQ582" s="4">
        <v>0</v>
      </c>
      <c r="AR582" s="3" t="s">
        <v>62</v>
      </c>
      <c r="AS582" s="3" t="s">
        <v>84</v>
      </c>
      <c r="AT582" s="6" t="str">
        <f>HYPERLINK("http://catalog.hathitrust.org/Record/003134800","HathiTrust Record")</f>
        <v>HathiTrust Record</v>
      </c>
      <c r="AU582" s="6" t="str">
        <f>HYPERLINK("https://creighton-primo.hosted.exlibrisgroup.com/primo-explore/search?tab=default_tab&amp;search_scope=EVERYTHING&amp;vid=01CRU&amp;lang=en_US&amp;offset=0&amp;query=any,contains,991000620859702656","Catalog Record")</f>
        <v>Catalog Record</v>
      </c>
      <c r="AV582" s="6" t="str">
        <f>HYPERLINK("http://www.worldcat.org/oclc/11971843","WorldCat Record")</f>
        <v>WorldCat Record</v>
      </c>
      <c r="AW582" s="3" t="s">
        <v>7458</v>
      </c>
      <c r="AX582" s="3" t="s">
        <v>7459</v>
      </c>
      <c r="AY582" s="3" t="s">
        <v>7460</v>
      </c>
      <c r="AZ582" s="3" t="s">
        <v>7460</v>
      </c>
      <c r="BA582" s="3" t="s">
        <v>7461</v>
      </c>
      <c r="BB582" s="3" t="s">
        <v>77</v>
      </c>
      <c r="BD582" s="3" t="s">
        <v>7462</v>
      </c>
      <c r="BE582" s="3" t="s">
        <v>7463</v>
      </c>
      <c r="BF582" s="3" t="s">
        <v>7464</v>
      </c>
    </row>
    <row r="583" spans="1:58" ht="41.25" customHeight="1" x14ac:dyDescent="0.25">
      <c r="A583" s="7" t="s">
        <v>62</v>
      </c>
      <c r="B583" s="2" t="s">
        <v>57</v>
      </c>
      <c r="C583" s="2" t="s">
        <v>58</v>
      </c>
      <c r="D583" s="2" t="s">
        <v>7465</v>
      </c>
      <c r="E583" s="2" t="s">
        <v>7466</v>
      </c>
      <c r="F583" s="2" t="s">
        <v>7467</v>
      </c>
      <c r="H583" s="3" t="s">
        <v>62</v>
      </c>
      <c r="I583" s="3" t="s">
        <v>63</v>
      </c>
      <c r="J583" s="3" t="s">
        <v>62</v>
      </c>
      <c r="K583" s="3" t="s">
        <v>62</v>
      </c>
      <c r="L583" s="3" t="s">
        <v>64</v>
      </c>
      <c r="M583" s="2" t="s">
        <v>7468</v>
      </c>
      <c r="N583" s="2" t="s">
        <v>7469</v>
      </c>
      <c r="O583" s="3" t="s">
        <v>804</v>
      </c>
      <c r="Q583" s="3" t="s">
        <v>68</v>
      </c>
      <c r="R583" s="3" t="s">
        <v>3072</v>
      </c>
      <c r="T583" s="3" t="s">
        <v>70</v>
      </c>
      <c r="U583" s="4">
        <v>2</v>
      </c>
      <c r="V583" s="4">
        <v>2</v>
      </c>
      <c r="W583" s="5" t="s">
        <v>5305</v>
      </c>
      <c r="X583" s="5" t="s">
        <v>5305</v>
      </c>
      <c r="Y583" s="5" t="s">
        <v>7200</v>
      </c>
      <c r="Z583" s="5" t="s">
        <v>7200</v>
      </c>
      <c r="AA583" s="4">
        <v>348</v>
      </c>
      <c r="AB583" s="4">
        <v>277</v>
      </c>
      <c r="AC583" s="4">
        <v>283</v>
      </c>
      <c r="AD583" s="4">
        <v>4</v>
      </c>
      <c r="AE583" s="4">
        <v>4</v>
      </c>
      <c r="AF583" s="4">
        <v>20</v>
      </c>
      <c r="AG583" s="4">
        <v>20</v>
      </c>
      <c r="AH583" s="4">
        <v>8</v>
      </c>
      <c r="AI583" s="4">
        <v>8</v>
      </c>
      <c r="AJ583" s="4">
        <v>2</v>
      </c>
      <c r="AK583" s="4">
        <v>2</v>
      </c>
      <c r="AL583" s="4">
        <v>11</v>
      </c>
      <c r="AM583" s="4">
        <v>11</v>
      </c>
      <c r="AN583" s="4">
        <v>3</v>
      </c>
      <c r="AO583" s="4">
        <v>3</v>
      </c>
      <c r="AP583" s="4">
        <v>0</v>
      </c>
      <c r="AQ583" s="4">
        <v>0</v>
      </c>
      <c r="AR583" s="3" t="s">
        <v>62</v>
      </c>
      <c r="AS583" s="3" t="s">
        <v>84</v>
      </c>
      <c r="AT583" s="6" t="str">
        <f>HYPERLINK("http://catalog.hathitrust.org/Record/000821537","HathiTrust Record")</f>
        <v>HathiTrust Record</v>
      </c>
      <c r="AU583" s="6" t="str">
        <f>HYPERLINK("https://creighton-primo.hosted.exlibrisgroup.com/primo-explore/search?tab=default_tab&amp;search_scope=EVERYTHING&amp;vid=01CRU&amp;lang=en_US&amp;offset=0&amp;query=any,contains,991000960819702656","Catalog Record")</f>
        <v>Catalog Record</v>
      </c>
      <c r="AV583" s="6" t="str">
        <f>HYPERLINK("http://www.worldcat.org/oclc/14818646","WorldCat Record")</f>
        <v>WorldCat Record</v>
      </c>
      <c r="AW583" s="3" t="s">
        <v>7470</v>
      </c>
      <c r="AX583" s="3" t="s">
        <v>7471</v>
      </c>
      <c r="AY583" s="3" t="s">
        <v>7472</v>
      </c>
      <c r="AZ583" s="3" t="s">
        <v>7472</v>
      </c>
      <c r="BA583" s="3" t="s">
        <v>7473</v>
      </c>
      <c r="BB583" s="3" t="s">
        <v>77</v>
      </c>
      <c r="BD583" s="3" t="s">
        <v>7474</v>
      </c>
      <c r="BE583" s="3" t="s">
        <v>7475</v>
      </c>
      <c r="BF583" s="3" t="s">
        <v>7476</v>
      </c>
    </row>
    <row r="584" spans="1:58" ht="41.25" customHeight="1" x14ac:dyDescent="0.25">
      <c r="A584" s="7" t="s">
        <v>62</v>
      </c>
      <c r="B584" s="2" t="s">
        <v>57</v>
      </c>
      <c r="C584" s="2" t="s">
        <v>58</v>
      </c>
      <c r="D584" s="2" t="s">
        <v>7477</v>
      </c>
      <c r="E584" s="2" t="s">
        <v>7478</v>
      </c>
      <c r="F584" s="2" t="s">
        <v>7479</v>
      </c>
      <c r="H584" s="3" t="s">
        <v>62</v>
      </c>
      <c r="I584" s="3" t="s">
        <v>63</v>
      </c>
      <c r="J584" s="3" t="s">
        <v>62</v>
      </c>
      <c r="K584" s="3" t="s">
        <v>62</v>
      </c>
      <c r="L584" s="3" t="s">
        <v>64</v>
      </c>
      <c r="M584" s="2" t="s">
        <v>7480</v>
      </c>
      <c r="N584" s="2" t="s">
        <v>7481</v>
      </c>
      <c r="O584" s="3" t="s">
        <v>312</v>
      </c>
      <c r="Q584" s="3" t="s">
        <v>68</v>
      </c>
      <c r="R584" s="3" t="s">
        <v>420</v>
      </c>
      <c r="S584" s="2" t="s">
        <v>7482</v>
      </c>
      <c r="T584" s="3" t="s">
        <v>70</v>
      </c>
      <c r="U584" s="4">
        <v>12</v>
      </c>
      <c r="V584" s="4">
        <v>12</v>
      </c>
      <c r="W584" s="5" t="s">
        <v>7483</v>
      </c>
      <c r="X584" s="5" t="s">
        <v>7483</v>
      </c>
      <c r="Y584" s="5" t="s">
        <v>7200</v>
      </c>
      <c r="Z584" s="5" t="s">
        <v>7200</v>
      </c>
      <c r="AA584" s="4">
        <v>1812</v>
      </c>
      <c r="AB584" s="4">
        <v>1718</v>
      </c>
      <c r="AC584" s="4">
        <v>1953</v>
      </c>
      <c r="AD584" s="4">
        <v>21</v>
      </c>
      <c r="AE584" s="4">
        <v>24</v>
      </c>
      <c r="AF584" s="4">
        <v>34</v>
      </c>
      <c r="AG584" s="4">
        <v>39</v>
      </c>
      <c r="AH584" s="4">
        <v>12</v>
      </c>
      <c r="AI584" s="4">
        <v>14</v>
      </c>
      <c r="AJ584" s="4">
        <v>7</v>
      </c>
      <c r="AK584" s="4">
        <v>9</v>
      </c>
      <c r="AL584" s="4">
        <v>15</v>
      </c>
      <c r="AM584" s="4">
        <v>15</v>
      </c>
      <c r="AN584" s="4">
        <v>6</v>
      </c>
      <c r="AO584" s="4">
        <v>8</v>
      </c>
      <c r="AP584" s="4">
        <v>0</v>
      </c>
      <c r="AQ584" s="4">
        <v>0</v>
      </c>
      <c r="AR584" s="3" t="s">
        <v>62</v>
      </c>
      <c r="AS584" s="3" t="s">
        <v>84</v>
      </c>
      <c r="AT584" s="6" t="str">
        <f>HYPERLINK("http://catalog.hathitrust.org/Record/001391716","HathiTrust Record")</f>
        <v>HathiTrust Record</v>
      </c>
      <c r="AU584" s="6" t="str">
        <f>HYPERLINK("https://creighton-primo.hosted.exlibrisgroup.com/primo-explore/search?tab=default_tab&amp;search_scope=EVERYTHING&amp;vid=01CRU&amp;lang=en_US&amp;offset=0&amp;query=any,contains,991001063269702656","Catalog Record")</f>
        <v>Catalog Record</v>
      </c>
      <c r="AV584" s="6" t="str">
        <f>HYPERLINK("http://www.worldcat.org/oclc/178161","WorldCat Record")</f>
        <v>WorldCat Record</v>
      </c>
      <c r="AW584" s="3" t="s">
        <v>7484</v>
      </c>
      <c r="AX584" s="3" t="s">
        <v>7485</v>
      </c>
      <c r="AY584" s="3" t="s">
        <v>7486</v>
      </c>
      <c r="AZ584" s="3" t="s">
        <v>7486</v>
      </c>
      <c r="BA584" s="3" t="s">
        <v>7487</v>
      </c>
      <c r="BB584" s="3" t="s">
        <v>77</v>
      </c>
      <c r="BD584" s="3" t="s">
        <v>7488</v>
      </c>
      <c r="BE584" s="3" t="s">
        <v>7489</v>
      </c>
      <c r="BF584" s="3" t="s">
        <v>7490</v>
      </c>
    </row>
    <row r="585" spans="1:58" ht="41.25" customHeight="1" x14ac:dyDescent="0.25">
      <c r="A585" s="7" t="s">
        <v>62</v>
      </c>
      <c r="B585" s="2" t="s">
        <v>57</v>
      </c>
      <c r="C585" s="2" t="s">
        <v>58</v>
      </c>
      <c r="D585" s="2" t="s">
        <v>7491</v>
      </c>
      <c r="E585" s="2" t="s">
        <v>7492</v>
      </c>
      <c r="F585" s="2" t="s">
        <v>7493</v>
      </c>
      <c r="H585" s="3" t="s">
        <v>62</v>
      </c>
      <c r="I585" s="3" t="s">
        <v>63</v>
      </c>
      <c r="J585" s="3" t="s">
        <v>62</v>
      </c>
      <c r="K585" s="3" t="s">
        <v>62</v>
      </c>
      <c r="L585" s="3" t="s">
        <v>64</v>
      </c>
      <c r="M585" s="2" t="s">
        <v>7494</v>
      </c>
      <c r="N585" s="2" t="s">
        <v>7495</v>
      </c>
      <c r="O585" s="3" t="s">
        <v>383</v>
      </c>
      <c r="P585" s="2" t="s">
        <v>296</v>
      </c>
      <c r="Q585" s="3" t="s">
        <v>68</v>
      </c>
      <c r="R585" s="3" t="s">
        <v>69</v>
      </c>
      <c r="T585" s="3" t="s">
        <v>70</v>
      </c>
      <c r="U585" s="4">
        <v>8</v>
      </c>
      <c r="V585" s="4">
        <v>8</v>
      </c>
      <c r="W585" s="5" t="s">
        <v>7380</v>
      </c>
      <c r="X585" s="5" t="s">
        <v>7380</v>
      </c>
      <c r="Y585" s="5" t="s">
        <v>7200</v>
      </c>
      <c r="Z585" s="5" t="s">
        <v>7200</v>
      </c>
      <c r="AA585" s="4">
        <v>612</v>
      </c>
      <c r="AB585" s="4">
        <v>529</v>
      </c>
      <c r="AC585" s="4">
        <v>1744</v>
      </c>
      <c r="AD585" s="4">
        <v>6</v>
      </c>
      <c r="AE585" s="4">
        <v>17</v>
      </c>
      <c r="AF585" s="4">
        <v>19</v>
      </c>
      <c r="AG585" s="4">
        <v>53</v>
      </c>
      <c r="AH585" s="4">
        <v>6</v>
      </c>
      <c r="AI585" s="4">
        <v>22</v>
      </c>
      <c r="AJ585" s="4">
        <v>4</v>
      </c>
      <c r="AK585" s="4">
        <v>9</v>
      </c>
      <c r="AL585" s="4">
        <v>9</v>
      </c>
      <c r="AM585" s="4">
        <v>22</v>
      </c>
      <c r="AN585" s="4">
        <v>4</v>
      </c>
      <c r="AO585" s="4">
        <v>10</v>
      </c>
      <c r="AP585" s="4">
        <v>0</v>
      </c>
      <c r="AQ585" s="4">
        <v>1</v>
      </c>
      <c r="AR585" s="3" t="s">
        <v>62</v>
      </c>
      <c r="AS585" s="3" t="s">
        <v>84</v>
      </c>
      <c r="AT585" s="6" t="str">
        <f>HYPERLINK("http://catalog.hathitrust.org/Record/102068061","HathiTrust Record")</f>
        <v>HathiTrust Record</v>
      </c>
      <c r="AU585" s="6" t="str">
        <f>HYPERLINK("https://creighton-primo.hosted.exlibrisgroup.com/primo-explore/search?tab=default_tab&amp;search_scope=EVERYTHING&amp;vid=01CRU&amp;lang=en_US&amp;offset=0&amp;query=any,contains,991005436169702656","Catalog Record")</f>
        <v>Catalog Record</v>
      </c>
      <c r="AV585" s="6" t="str">
        <f>HYPERLINK("http://www.worldcat.org/oclc/4179","WorldCat Record")</f>
        <v>WorldCat Record</v>
      </c>
      <c r="AW585" s="3" t="s">
        <v>7496</v>
      </c>
      <c r="AX585" s="3" t="s">
        <v>7497</v>
      </c>
      <c r="AY585" s="3" t="s">
        <v>7498</v>
      </c>
      <c r="AZ585" s="3" t="s">
        <v>7498</v>
      </c>
      <c r="BA585" s="3" t="s">
        <v>7499</v>
      </c>
      <c r="BB585" s="3" t="s">
        <v>77</v>
      </c>
      <c r="BE585" s="3" t="s">
        <v>7500</v>
      </c>
      <c r="BF585" s="3" t="s">
        <v>7501</v>
      </c>
    </row>
    <row r="586" spans="1:58" ht="41.25" customHeight="1" x14ac:dyDescent="0.25">
      <c r="A586" s="7" t="s">
        <v>62</v>
      </c>
      <c r="B586" s="2" t="s">
        <v>57</v>
      </c>
      <c r="C586" s="2" t="s">
        <v>58</v>
      </c>
      <c r="D586" s="2" t="s">
        <v>7502</v>
      </c>
      <c r="E586" s="2" t="s">
        <v>7503</v>
      </c>
      <c r="F586" s="2" t="s">
        <v>7504</v>
      </c>
      <c r="G586" s="3" t="s">
        <v>83</v>
      </c>
      <c r="H586" s="3" t="s">
        <v>84</v>
      </c>
      <c r="I586" s="3" t="s">
        <v>63</v>
      </c>
      <c r="J586" s="3" t="s">
        <v>62</v>
      </c>
      <c r="K586" s="3" t="s">
        <v>62</v>
      </c>
      <c r="L586" s="3" t="s">
        <v>64</v>
      </c>
      <c r="M586" s="2" t="s">
        <v>7505</v>
      </c>
      <c r="N586" s="2" t="s">
        <v>969</v>
      </c>
      <c r="O586" s="3" t="s">
        <v>970</v>
      </c>
      <c r="Q586" s="3" t="s">
        <v>68</v>
      </c>
      <c r="R586" s="3" t="s">
        <v>166</v>
      </c>
      <c r="T586" s="3" t="s">
        <v>70</v>
      </c>
      <c r="U586" s="4">
        <v>3</v>
      </c>
      <c r="V586" s="4">
        <v>7</v>
      </c>
      <c r="W586" s="5" t="s">
        <v>504</v>
      </c>
      <c r="X586" s="5" t="s">
        <v>7506</v>
      </c>
      <c r="Y586" s="5" t="s">
        <v>7507</v>
      </c>
      <c r="Z586" s="5" t="s">
        <v>7507</v>
      </c>
      <c r="AA586" s="4">
        <v>378</v>
      </c>
      <c r="AB586" s="4">
        <v>309</v>
      </c>
      <c r="AC586" s="4">
        <v>806</v>
      </c>
      <c r="AD586" s="4">
        <v>3</v>
      </c>
      <c r="AE586" s="4">
        <v>7</v>
      </c>
      <c r="AF586" s="4">
        <v>17</v>
      </c>
      <c r="AG586" s="4">
        <v>48</v>
      </c>
      <c r="AH586" s="4">
        <v>7</v>
      </c>
      <c r="AI586" s="4">
        <v>19</v>
      </c>
      <c r="AJ586" s="4">
        <v>2</v>
      </c>
      <c r="AK586" s="4">
        <v>10</v>
      </c>
      <c r="AL586" s="4">
        <v>11</v>
      </c>
      <c r="AM586" s="4">
        <v>24</v>
      </c>
      <c r="AN586" s="4">
        <v>2</v>
      </c>
      <c r="AO586" s="4">
        <v>6</v>
      </c>
      <c r="AP586" s="4">
        <v>0</v>
      </c>
      <c r="AQ586" s="4">
        <v>1</v>
      </c>
      <c r="AR586" s="3" t="s">
        <v>62</v>
      </c>
      <c r="AS586" s="3" t="s">
        <v>62</v>
      </c>
      <c r="AU586" s="6" t="str">
        <f>HYPERLINK("https://creighton-primo.hosted.exlibrisgroup.com/primo-explore/search?tab=default_tab&amp;search_scope=EVERYTHING&amp;vid=01CRU&amp;lang=en_US&amp;offset=0&amp;query=any,contains,991001830559702656","Catalog Record")</f>
        <v>Catalog Record</v>
      </c>
      <c r="AV586" s="6" t="str">
        <f>HYPERLINK("http://www.worldcat.org/oclc/22987019","WorldCat Record")</f>
        <v>WorldCat Record</v>
      </c>
      <c r="AW586" s="3" t="s">
        <v>7508</v>
      </c>
      <c r="AX586" s="3" t="s">
        <v>7509</v>
      </c>
      <c r="AY586" s="3" t="s">
        <v>7510</v>
      </c>
      <c r="AZ586" s="3" t="s">
        <v>7510</v>
      </c>
      <c r="BA586" s="3" t="s">
        <v>7511</v>
      </c>
      <c r="BB586" s="3" t="s">
        <v>77</v>
      </c>
      <c r="BD586" s="3" t="s">
        <v>7512</v>
      </c>
      <c r="BE586" s="3" t="s">
        <v>7513</v>
      </c>
      <c r="BF586" s="3" t="s">
        <v>7514</v>
      </c>
    </row>
    <row r="587" spans="1:58" ht="41.25" customHeight="1" x14ac:dyDescent="0.25">
      <c r="A587" s="7" t="s">
        <v>62</v>
      </c>
      <c r="B587" s="2" t="s">
        <v>57</v>
      </c>
      <c r="C587" s="2" t="s">
        <v>58</v>
      </c>
      <c r="D587" s="2" t="s">
        <v>7502</v>
      </c>
      <c r="E587" s="2" t="s">
        <v>7503</v>
      </c>
      <c r="F587" s="2" t="s">
        <v>7504</v>
      </c>
      <c r="G587" s="3" t="s">
        <v>100</v>
      </c>
      <c r="H587" s="3" t="s">
        <v>84</v>
      </c>
      <c r="I587" s="3" t="s">
        <v>63</v>
      </c>
      <c r="J587" s="3" t="s">
        <v>62</v>
      </c>
      <c r="K587" s="3" t="s">
        <v>62</v>
      </c>
      <c r="L587" s="3" t="s">
        <v>64</v>
      </c>
      <c r="M587" s="2" t="s">
        <v>7505</v>
      </c>
      <c r="N587" s="2" t="s">
        <v>969</v>
      </c>
      <c r="O587" s="3" t="s">
        <v>970</v>
      </c>
      <c r="Q587" s="3" t="s">
        <v>68</v>
      </c>
      <c r="R587" s="3" t="s">
        <v>166</v>
      </c>
      <c r="T587" s="3" t="s">
        <v>70</v>
      </c>
      <c r="U587" s="4">
        <v>2</v>
      </c>
      <c r="V587" s="4">
        <v>7</v>
      </c>
      <c r="W587" s="5" t="s">
        <v>7506</v>
      </c>
      <c r="X587" s="5" t="s">
        <v>7506</v>
      </c>
      <c r="Y587" s="5" t="s">
        <v>7507</v>
      </c>
      <c r="Z587" s="5" t="s">
        <v>7507</v>
      </c>
      <c r="AA587" s="4">
        <v>378</v>
      </c>
      <c r="AB587" s="4">
        <v>309</v>
      </c>
      <c r="AC587" s="4">
        <v>806</v>
      </c>
      <c r="AD587" s="4">
        <v>3</v>
      </c>
      <c r="AE587" s="4">
        <v>7</v>
      </c>
      <c r="AF587" s="4">
        <v>17</v>
      </c>
      <c r="AG587" s="4">
        <v>48</v>
      </c>
      <c r="AH587" s="4">
        <v>7</v>
      </c>
      <c r="AI587" s="4">
        <v>19</v>
      </c>
      <c r="AJ587" s="4">
        <v>2</v>
      </c>
      <c r="AK587" s="4">
        <v>10</v>
      </c>
      <c r="AL587" s="4">
        <v>11</v>
      </c>
      <c r="AM587" s="4">
        <v>24</v>
      </c>
      <c r="AN587" s="4">
        <v>2</v>
      </c>
      <c r="AO587" s="4">
        <v>6</v>
      </c>
      <c r="AP587" s="4">
        <v>0</v>
      </c>
      <c r="AQ587" s="4">
        <v>1</v>
      </c>
      <c r="AR587" s="3" t="s">
        <v>62</v>
      </c>
      <c r="AS587" s="3" t="s">
        <v>62</v>
      </c>
      <c r="AU587" s="6" t="str">
        <f>HYPERLINK("https://creighton-primo.hosted.exlibrisgroup.com/primo-explore/search?tab=default_tab&amp;search_scope=EVERYTHING&amp;vid=01CRU&amp;lang=en_US&amp;offset=0&amp;query=any,contains,991001830559702656","Catalog Record")</f>
        <v>Catalog Record</v>
      </c>
      <c r="AV587" s="6" t="str">
        <f>HYPERLINK("http://www.worldcat.org/oclc/22987019","WorldCat Record")</f>
        <v>WorldCat Record</v>
      </c>
      <c r="AW587" s="3" t="s">
        <v>7508</v>
      </c>
      <c r="AX587" s="3" t="s">
        <v>7509</v>
      </c>
      <c r="AY587" s="3" t="s">
        <v>7510</v>
      </c>
      <c r="AZ587" s="3" t="s">
        <v>7510</v>
      </c>
      <c r="BA587" s="3" t="s">
        <v>7511</v>
      </c>
      <c r="BB587" s="3" t="s">
        <v>77</v>
      </c>
      <c r="BD587" s="3" t="s">
        <v>7512</v>
      </c>
      <c r="BE587" s="3" t="s">
        <v>7515</v>
      </c>
      <c r="BF587" s="3" t="s">
        <v>7516</v>
      </c>
    </row>
    <row r="588" spans="1:58" ht="41.25" customHeight="1" x14ac:dyDescent="0.25">
      <c r="A588" s="7" t="s">
        <v>62</v>
      </c>
      <c r="B588" s="2" t="s">
        <v>57</v>
      </c>
      <c r="C588" s="2" t="s">
        <v>58</v>
      </c>
      <c r="D588" s="2" t="s">
        <v>7502</v>
      </c>
      <c r="E588" s="2" t="s">
        <v>7503</v>
      </c>
      <c r="F588" s="2" t="s">
        <v>7504</v>
      </c>
      <c r="G588" s="3" t="s">
        <v>97</v>
      </c>
      <c r="H588" s="3" t="s">
        <v>84</v>
      </c>
      <c r="I588" s="3" t="s">
        <v>63</v>
      </c>
      <c r="J588" s="3" t="s">
        <v>62</v>
      </c>
      <c r="K588" s="3" t="s">
        <v>62</v>
      </c>
      <c r="L588" s="3" t="s">
        <v>64</v>
      </c>
      <c r="M588" s="2" t="s">
        <v>7505</v>
      </c>
      <c r="N588" s="2" t="s">
        <v>969</v>
      </c>
      <c r="O588" s="3" t="s">
        <v>970</v>
      </c>
      <c r="Q588" s="3" t="s">
        <v>68</v>
      </c>
      <c r="R588" s="3" t="s">
        <v>166</v>
      </c>
      <c r="T588" s="3" t="s">
        <v>70</v>
      </c>
      <c r="U588" s="4">
        <v>2</v>
      </c>
      <c r="V588" s="4">
        <v>7</v>
      </c>
      <c r="W588" s="5" t="s">
        <v>7517</v>
      </c>
      <c r="X588" s="5" t="s">
        <v>7506</v>
      </c>
      <c r="Y588" s="5" t="s">
        <v>7507</v>
      </c>
      <c r="Z588" s="5" t="s">
        <v>7507</v>
      </c>
      <c r="AA588" s="4">
        <v>378</v>
      </c>
      <c r="AB588" s="4">
        <v>309</v>
      </c>
      <c r="AC588" s="4">
        <v>806</v>
      </c>
      <c r="AD588" s="4">
        <v>3</v>
      </c>
      <c r="AE588" s="4">
        <v>7</v>
      </c>
      <c r="AF588" s="4">
        <v>17</v>
      </c>
      <c r="AG588" s="4">
        <v>48</v>
      </c>
      <c r="AH588" s="4">
        <v>7</v>
      </c>
      <c r="AI588" s="4">
        <v>19</v>
      </c>
      <c r="AJ588" s="4">
        <v>2</v>
      </c>
      <c r="AK588" s="4">
        <v>10</v>
      </c>
      <c r="AL588" s="4">
        <v>11</v>
      </c>
      <c r="AM588" s="4">
        <v>24</v>
      </c>
      <c r="AN588" s="4">
        <v>2</v>
      </c>
      <c r="AO588" s="4">
        <v>6</v>
      </c>
      <c r="AP588" s="4">
        <v>0</v>
      </c>
      <c r="AQ588" s="4">
        <v>1</v>
      </c>
      <c r="AR588" s="3" t="s">
        <v>62</v>
      </c>
      <c r="AS588" s="3" t="s">
        <v>62</v>
      </c>
      <c r="AU588" s="6" t="str">
        <f>HYPERLINK("https://creighton-primo.hosted.exlibrisgroup.com/primo-explore/search?tab=default_tab&amp;search_scope=EVERYTHING&amp;vid=01CRU&amp;lang=en_US&amp;offset=0&amp;query=any,contains,991001830559702656","Catalog Record")</f>
        <v>Catalog Record</v>
      </c>
      <c r="AV588" s="6" t="str">
        <f>HYPERLINK("http://www.worldcat.org/oclc/22987019","WorldCat Record")</f>
        <v>WorldCat Record</v>
      </c>
      <c r="AW588" s="3" t="s">
        <v>7508</v>
      </c>
      <c r="AX588" s="3" t="s">
        <v>7509</v>
      </c>
      <c r="AY588" s="3" t="s">
        <v>7510</v>
      </c>
      <c r="AZ588" s="3" t="s">
        <v>7510</v>
      </c>
      <c r="BA588" s="3" t="s">
        <v>7511</v>
      </c>
      <c r="BB588" s="3" t="s">
        <v>77</v>
      </c>
      <c r="BD588" s="3" t="s">
        <v>7512</v>
      </c>
      <c r="BE588" s="3" t="s">
        <v>7518</v>
      </c>
      <c r="BF588" s="3" t="s">
        <v>7519</v>
      </c>
    </row>
    <row r="589" spans="1:58" ht="41.25" customHeight="1" x14ac:dyDescent="0.25">
      <c r="A589" s="7" t="s">
        <v>62</v>
      </c>
      <c r="B589" s="2" t="s">
        <v>57</v>
      </c>
      <c r="C589" s="2" t="s">
        <v>58</v>
      </c>
      <c r="D589" s="2" t="s">
        <v>7520</v>
      </c>
      <c r="E589" s="2" t="s">
        <v>7521</v>
      </c>
      <c r="F589" s="2" t="s">
        <v>7522</v>
      </c>
      <c r="H589" s="3" t="s">
        <v>62</v>
      </c>
      <c r="I589" s="3" t="s">
        <v>63</v>
      </c>
      <c r="J589" s="3" t="s">
        <v>62</v>
      </c>
      <c r="K589" s="3" t="s">
        <v>84</v>
      </c>
      <c r="L589" s="3" t="s">
        <v>64</v>
      </c>
      <c r="N589" s="2" t="s">
        <v>7523</v>
      </c>
      <c r="O589" s="3" t="s">
        <v>1637</v>
      </c>
      <c r="Q589" s="3" t="s">
        <v>68</v>
      </c>
      <c r="R589" s="3" t="s">
        <v>69</v>
      </c>
      <c r="T589" s="3" t="s">
        <v>70</v>
      </c>
      <c r="U589" s="4">
        <v>1</v>
      </c>
      <c r="V589" s="4">
        <v>1</v>
      </c>
      <c r="W589" s="5" t="s">
        <v>7524</v>
      </c>
      <c r="X589" s="5" t="s">
        <v>7524</v>
      </c>
      <c r="Y589" s="5" t="s">
        <v>7524</v>
      </c>
      <c r="Z589" s="5" t="s">
        <v>7524</v>
      </c>
      <c r="AA589" s="4">
        <v>330</v>
      </c>
      <c r="AB589" s="4">
        <v>278</v>
      </c>
      <c r="AC589" s="4">
        <v>536</v>
      </c>
      <c r="AD589" s="4">
        <v>2</v>
      </c>
      <c r="AE589" s="4">
        <v>6</v>
      </c>
      <c r="AF589" s="4">
        <v>13</v>
      </c>
      <c r="AG589" s="4">
        <v>28</v>
      </c>
      <c r="AH589" s="4">
        <v>3</v>
      </c>
      <c r="AI589" s="4">
        <v>9</v>
      </c>
      <c r="AJ589" s="4">
        <v>4</v>
      </c>
      <c r="AK589" s="4">
        <v>6</v>
      </c>
      <c r="AL589" s="4">
        <v>10</v>
      </c>
      <c r="AM589" s="4">
        <v>16</v>
      </c>
      <c r="AN589" s="4">
        <v>1</v>
      </c>
      <c r="AO589" s="4">
        <v>5</v>
      </c>
      <c r="AP589" s="4">
        <v>0</v>
      </c>
      <c r="AQ589" s="4">
        <v>0</v>
      </c>
      <c r="AR589" s="3" t="s">
        <v>62</v>
      </c>
      <c r="AS589" s="3" t="s">
        <v>62</v>
      </c>
      <c r="AU589" s="6" t="str">
        <f>HYPERLINK("https://creighton-primo.hosted.exlibrisgroup.com/primo-explore/search?tab=default_tab&amp;search_scope=EVERYTHING&amp;vid=01CRU&amp;lang=en_US&amp;offset=0&amp;query=any,contains,991005232209702656","Catalog Record")</f>
        <v>Catalog Record</v>
      </c>
      <c r="AV589" s="6" t="str">
        <f>HYPERLINK("http://www.worldcat.org/oclc/8893984","WorldCat Record")</f>
        <v>WorldCat Record</v>
      </c>
      <c r="AW589" s="3" t="s">
        <v>7525</v>
      </c>
      <c r="AX589" s="3" t="s">
        <v>7526</v>
      </c>
      <c r="AY589" s="3" t="s">
        <v>7527</v>
      </c>
      <c r="AZ589" s="3" t="s">
        <v>7527</v>
      </c>
      <c r="BA589" s="3" t="s">
        <v>7528</v>
      </c>
      <c r="BB589" s="3" t="s">
        <v>77</v>
      </c>
      <c r="BD589" s="3" t="s">
        <v>7529</v>
      </c>
      <c r="BE589" s="3" t="s">
        <v>7530</v>
      </c>
      <c r="BF589" s="3" t="s">
        <v>7531</v>
      </c>
    </row>
    <row r="590" spans="1:58" ht="41.25" customHeight="1" x14ac:dyDescent="0.25">
      <c r="A590" s="7" t="s">
        <v>62</v>
      </c>
      <c r="B590" s="2" t="s">
        <v>57</v>
      </c>
      <c r="C590" s="2" t="s">
        <v>58</v>
      </c>
      <c r="D590" s="2" t="s">
        <v>7532</v>
      </c>
      <c r="E590" s="2" t="s">
        <v>7533</v>
      </c>
      <c r="F590" s="2" t="s">
        <v>7534</v>
      </c>
      <c r="H590" s="3" t="s">
        <v>62</v>
      </c>
      <c r="I590" s="3" t="s">
        <v>63</v>
      </c>
      <c r="J590" s="3" t="s">
        <v>62</v>
      </c>
      <c r="K590" s="3" t="s">
        <v>62</v>
      </c>
      <c r="L590" s="3" t="s">
        <v>64</v>
      </c>
      <c r="M590" s="2" t="s">
        <v>7535</v>
      </c>
      <c r="N590" s="2" t="s">
        <v>7536</v>
      </c>
      <c r="O590" s="3" t="s">
        <v>312</v>
      </c>
      <c r="Q590" s="3" t="s">
        <v>68</v>
      </c>
      <c r="R590" s="3" t="s">
        <v>69</v>
      </c>
      <c r="T590" s="3" t="s">
        <v>70</v>
      </c>
      <c r="U590" s="4">
        <v>3</v>
      </c>
      <c r="V590" s="4">
        <v>3</v>
      </c>
      <c r="W590" s="5" t="s">
        <v>7537</v>
      </c>
      <c r="X590" s="5" t="s">
        <v>7537</v>
      </c>
      <c r="Y590" s="5" t="s">
        <v>7200</v>
      </c>
      <c r="Z590" s="5" t="s">
        <v>7200</v>
      </c>
      <c r="AA590" s="4">
        <v>619</v>
      </c>
      <c r="AB590" s="4">
        <v>585</v>
      </c>
      <c r="AC590" s="4">
        <v>587</v>
      </c>
      <c r="AD590" s="4">
        <v>5</v>
      </c>
      <c r="AE590" s="4">
        <v>5</v>
      </c>
      <c r="AF590" s="4">
        <v>16</v>
      </c>
      <c r="AG590" s="4">
        <v>16</v>
      </c>
      <c r="AH590" s="4">
        <v>3</v>
      </c>
      <c r="AI590" s="4">
        <v>3</v>
      </c>
      <c r="AJ590" s="4">
        <v>3</v>
      </c>
      <c r="AK590" s="4">
        <v>3</v>
      </c>
      <c r="AL590" s="4">
        <v>11</v>
      </c>
      <c r="AM590" s="4">
        <v>11</v>
      </c>
      <c r="AN590" s="4">
        <v>2</v>
      </c>
      <c r="AO590" s="4">
        <v>2</v>
      </c>
      <c r="AP590" s="4">
        <v>0</v>
      </c>
      <c r="AQ590" s="4">
        <v>0</v>
      </c>
      <c r="AR590" s="3" t="s">
        <v>62</v>
      </c>
      <c r="AS590" s="3" t="s">
        <v>84</v>
      </c>
      <c r="AT590" s="6" t="str">
        <f>HYPERLINK("http://catalog.hathitrust.org/Record/001391728","HathiTrust Record")</f>
        <v>HathiTrust Record</v>
      </c>
      <c r="AU590" s="6" t="str">
        <f>HYPERLINK("https://creighton-primo.hosted.exlibrisgroup.com/primo-explore/search?tab=default_tab&amp;search_scope=EVERYTHING&amp;vid=01CRU&amp;lang=en_US&amp;offset=0&amp;query=any,contains,991000925749702656","Catalog Record")</f>
        <v>Catalog Record</v>
      </c>
      <c r="AV590" s="6" t="str">
        <f>HYPERLINK("http://www.worldcat.org/oclc/163283","WorldCat Record")</f>
        <v>WorldCat Record</v>
      </c>
      <c r="AW590" s="3" t="s">
        <v>7538</v>
      </c>
      <c r="AX590" s="3" t="s">
        <v>7539</v>
      </c>
      <c r="AY590" s="3" t="s">
        <v>7540</v>
      </c>
      <c r="AZ590" s="3" t="s">
        <v>7540</v>
      </c>
      <c r="BA590" s="3" t="s">
        <v>7541</v>
      </c>
      <c r="BB590" s="3" t="s">
        <v>77</v>
      </c>
      <c r="BE590" s="3" t="s">
        <v>7542</v>
      </c>
      <c r="BF590" s="3" t="s">
        <v>7543</v>
      </c>
    </row>
    <row r="591" spans="1:58" ht="41.25" customHeight="1" x14ac:dyDescent="0.25">
      <c r="A591" s="7" t="s">
        <v>62</v>
      </c>
      <c r="B591" s="2" t="s">
        <v>57</v>
      </c>
      <c r="C591" s="2" t="s">
        <v>58</v>
      </c>
      <c r="D591" s="2" t="s">
        <v>7544</v>
      </c>
      <c r="E591" s="2" t="s">
        <v>7545</v>
      </c>
      <c r="F591" s="2" t="s">
        <v>7546</v>
      </c>
      <c r="H591" s="3" t="s">
        <v>62</v>
      </c>
      <c r="I591" s="3" t="s">
        <v>63</v>
      </c>
      <c r="J591" s="3" t="s">
        <v>62</v>
      </c>
      <c r="K591" s="3" t="s">
        <v>62</v>
      </c>
      <c r="L591" s="3" t="s">
        <v>64</v>
      </c>
      <c r="M591" s="2" t="s">
        <v>3099</v>
      </c>
      <c r="N591" s="2" t="s">
        <v>3112</v>
      </c>
      <c r="O591" s="3" t="s">
        <v>137</v>
      </c>
      <c r="Q591" s="3" t="s">
        <v>68</v>
      </c>
      <c r="R591" s="3" t="s">
        <v>204</v>
      </c>
      <c r="T591" s="3" t="s">
        <v>70</v>
      </c>
      <c r="U591" s="4">
        <v>7</v>
      </c>
      <c r="V591" s="4">
        <v>7</v>
      </c>
      <c r="W591" s="5" t="s">
        <v>7547</v>
      </c>
      <c r="X591" s="5" t="s">
        <v>7547</v>
      </c>
      <c r="Y591" s="5" t="s">
        <v>7200</v>
      </c>
      <c r="Z591" s="5" t="s">
        <v>7200</v>
      </c>
      <c r="AA591" s="4">
        <v>615</v>
      </c>
      <c r="AB591" s="4">
        <v>569</v>
      </c>
      <c r="AC591" s="4">
        <v>603</v>
      </c>
      <c r="AD591" s="4">
        <v>3</v>
      </c>
      <c r="AE591" s="4">
        <v>3</v>
      </c>
      <c r="AF591" s="4">
        <v>28</v>
      </c>
      <c r="AG591" s="4">
        <v>28</v>
      </c>
      <c r="AH591" s="4">
        <v>12</v>
      </c>
      <c r="AI591" s="4">
        <v>12</v>
      </c>
      <c r="AJ591" s="4">
        <v>8</v>
      </c>
      <c r="AK591" s="4">
        <v>8</v>
      </c>
      <c r="AL591" s="4">
        <v>17</v>
      </c>
      <c r="AM591" s="4">
        <v>17</v>
      </c>
      <c r="AN591" s="4">
        <v>1</v>
      </c>
      <c r="AO591" s="4">
        <v>1</v>
      </c>
      <c r="AP591" s="4">
        <v>0</v>
      </c>
      <c r="AQ591" s="4">
        <v>0</v>
      </c>
      <c r="AR591" s="3" t="s">
        <v>62</v>
      </c>
      <c r="AS591" s="3" t="s">
        <v>62</v>
      </c>
      <c r="AU591" s="6" t="str">
        <f>HYPERLINK("https://creighton-primo.hosted.exlibrisgroup.com/primo-explore/search?tab=default_tab&amp;search_scope=EVERYTHING&amp;vid=01CRU&amp;lang=en_US&amp;offset=0&amp;query=any,contains,991005127939702656","Catalog Record")</f>
        <v>Catalog Record</v>
      </c>
      <c r="AV591" s="6" t="str">
        <f>HYPERLINK("http://www.worldcat.org/oclc/7554815","WorldCat Record")</f>
        <v>WorldCat Record</v>
      </c>
      <c r="AW591" s="3" t="s">
        <v>7548</v>
      </c>
      <c r="AX591" s="3" t="s">
        <v>7549</v>
      </c>
      <c r="AY591" s="3" t="s">
        <v>7550</v>
      </c>
      <c r="AZ591" s="3" t="s">
        <v>7550</v>
      </c>
      <c r="BA591" s="3" t="s">
        <v>7551</v>
      </c>
      <c r="BB591" s="3" t="s">
        <v>77</v>
      </c>
      <c r="BD591" s="3" t="s">
        <v>7552</v>
      </c>
      <c r="BE591" s="3" t="s">
        <v>7553</v>
      </c>
      <c r="BF591" s="3" t="s">
        <v>7554</v>
      </c>
    </row>
    <row r="592" spans="1:58" ht="41.25" customHeight="1" x14ac:dyDescent="0.25">
      <c r="A592" s="7" t="s">
        <v>62</v>
      </c>
      <c r="B592" s="2" t="s">
        <v>57</v>
      </c>
      <c r="C592" s="2" t="s">
        <v>58</v>
      </c>
      <c r="D592" s="2" t="s">
        <v>7555</v>
      </c>
      <c r="E592" s="2" t="s">
        <v>7556</v>
      </c>
      <c r="F592" s="2" t="s">
        <v>7557</v>
      </c>
      <c r="H592" s="3" t="s">
        <v>62</v>
      </c>
      <c r="I592" s="3" t="s">
        <v>63</v>
      </c>
      <c r="J592" s="3" t="s">
        <v>62</v>
      </c>
      <c r="K592" s="3" t="s">
        <v>62</v>
      </c>
      <c r="L592" s="3" t="s">
        <v>64</v>
      </c>
      <c r="M592" s="2" t="s">
        <v>3099</v>
      </c>
      <c r="N592" s="2" t="s">
        <v>7558</v>
      </c>
      <c r="O592" s="3" t="s">
        <v>629</v>
      </c>
      <c r="P592" s="2" t="s">
        <v>2054</v>
      </c>
      <c r="Q592" s="3" t="s">
        <v>68</v>
      </c>
      <c r="R592" s="3" t="s">
        <v>69</v>
      </c>
      <c r="T592" s="3" t="s">
        <v>70</v>
      </c>
      <c r="U592" s="4">
        <v>5</v>
      </c>
      <c r="V592" s="4">
        <v>5</v>
      </c>
      <c r="W592" s="5" t="s">
        <v>7559</v>
      </c>
      <c r="X592" s="5" t="s">
        <v>7559</v>
      </c>
      <c r="Y592" s="5" t="s">
        <v>7200</v>
      </c>
      <c r="Z592" s="5" t="s">
        <v>7200</v>
      </c>
      <c r="AA592" s="4">
        <v>525</v>
      </c>
      <c r="AB592" s="4">
        <v>463</v>
      </c>
      <c r="AC592" s="4">
        <v>1296</v>
      </c>
      <c r="AD592" s="4">
        <v>1</v>
      </c>
      <c r="AE592" s="4">
        <v>6</v>
      </c>
      <c r="AF592" s="4">
        <v>14</v>
      </c>
      <c r="AG592" s="4">
        <v>45</v>
      </c>
      <c r="AH592" s="4">
        <v>8</v>
      </c>
      <c r="AI592" s="4">
        <v>19</v>
      </c>
      <c r="AJ592" s="4">
        <v>4</v>
      </c>
      <c r="AK592" s="4">
        <v>10</v>
      </c>
      <c r="AL592" s="4">
        <v>9</v>
      </c>
      <c r="AM592" s="4">
        <v>21</v>
      </c>
      <c r="AN592" s="4">
        <v>0</v>
      </c>
      <c r="AO592" s="4">
        <v>4</v>
      </c>
      <c r="AP592" s="4">
        <v>0</v>
      </c>
      <c r="AQ592" s="4">
        <v>0</v>
      </c>
      <c r="AR592" s="3" t="s">
        <v>62</v>
      </c>
      <c r="AS592" s="3" t="s">
        <v>84</v>
      </c>
      <c r="AT592" s="6" t="str">
        <f>HYPERLINK("http://catalog.hathitrust.org/Record/000709479","HathiTrust Record")</f>
        <v>HathiTrust Record</v>
      </c>
      <c r="AU592" s="6" t="str">
        <f>HYPERLINK("https://creighton-primo.hosted.exlibrisgroup.com/primo-explore/search?tab=default_tab&amp;search_scope=EVERYTHING&amp;vid=01CRU&amp;lang=en_US&amp;offset=0&amp;query=any,contains,991004057029702656","Catalog Record")</f>
        <v>Catalog Record</v>
      </c>
      <c r="AV592" s="6" t="str">
        <f>HYPERLINK("http://www.worldcat.org/oclc/2228208","WorldCat Record")</f>
        <v>WorldCat Record</v>
      </c>
      <c r="AW592" s="3" t="s">
        <v>7560</v>
      </c>
      <c r="AX592" s="3" t="s">
        <v>7561</v>
      </c>
      <c r="AY592" s="3" t="s">
        <v>7562</v>
      </c>
      <c r="AZ592" s="3" t="s">
        <v>7562</v>
      </c>
      <c r="BA592" s="3" t="s">
        <v>7563</v>
      </c>
      <c r="BB592" s="3" t="s">
        <v>77</v>
      </c>
      <c r="BD592" s="3" t="s">
        <v>7564</v>
      </c>
      <c r="BE592" s="3" t="s">
        <v>7565</v>
      </c>
      <c r="BF592" s="3" t="s">
        <v>7566</v>
      </c>
    </row>
    <row r="593" spans="1:58" ht="41.25" customHeight="1" x14ac:dyDescent="0.25">
      <c r="A593" s="7" t="s">
        <v>62</v>
      </c>
      <c r="B593" s="2" t="s">
        <v>57</v>
      </c>
      <c r="C593" s="2" t="s">
        <v>58</v>
      </c>
      <c r="D593" s="2" t="s">
        <v>7567</v>
      </c>
      <c r="E593" s="2" t="s">
        <v>7568</v>
      </c>
      <c r="F593" s="2" t="s">
        <v>7569</v>
      </c>
      <c r="H593" s="3" t="s">
        <v>62</v>
      </c>
      <c r="I593" s="3" t="s">
        <v>63</v>
      </c>
      <c r="J593" s="3" t="s">
        <v>62</v>
      </c>
      <c r="K593" s="3" t="s">
        <v>62</v>
      </c>
      <c r="L593" s="3" t="s">
        <v>64</v>
      </c>
      <c r="M593" s="2" t="s">
        <v>3099</v>
      </c>
      <c r="N593" s="2" t="s">
        <v>7570</v>
      </c>
      <c r="O593" s="3" t="s">
        <v>1637</v>
      </c>
      <c r="Q593" s="3" t="s">
        <v>68</v>
      </c>
      <c r="R593" s="3" t="s">
        <v>69</v>
      </c>
      <c r="T593" s="3" t="s">
        <v>70</v>
      </c>
      <c r="U593" s="4">
        <v>8</v>
      </c>
      <c r="V593" s="4">
        <v>8</v>
      </c>
      <c r="W593" s="5" t="s">
        <v>4516</v>
      </c>
      <c r="X593" s="5" t="s">
        <v>4516</v>
      </c>
      <c r="Y593" s="5" t="s">
        <v>7200</v>
      </c>
      <c r="Z593" s="5" t="s">
        <v>7200</v>
      </c>
      <c r="AA593" s="4">
        <v>781</v>
      </c>
      <c r="AB593" s="4">
        <v>687</v>
      </c>
      <c r="AC593" s="4">
        <v>922</v>
      </c>
      <c r="AD593" s="4">
        <v>4</v>
      </c>
      <c r="AE593" s="4">
        <v>6</v>
      </c>
      <c r="AF593" s="4">
        <v>36</v>
      </c>
      <c r="AG593" s="4">
        <v>45</v>
      </c>
      <c r="AH593" s="4">
        <v>15</v>
      </c>
      <c r="AI593" s="4">
        <v>18</v>
      </c>
      <c r="AJ593" s="4">
        <v>6</v>
      </c>
      <c r="AK593" s="4">
        <v>8</v>
      </c>
      <c r="AL593" s="4">
        <v>18</v>
      </c>
      <c r="AM593" s="4">
        <v>22</v>
      </c>
      <c r="AN593" s="4">
        <v>2</v>
      </c>
      <c r="AO593" s="4">
        <v>4</v>
      </c>
      <c r="AP593" s="4">
        <v>0</v>
      </c>
      <c r="AQ593" s="4">
        <v>0</v>
      </c>
      <c r="AR593" s="3" t="s">
        <v>62</v>
      </c>
      <c r="AS593" s="3" t="s">
        <v>84</v>
      </c>
      <c r="AT593" s="6" t="str">
        <f>HYPERLINK("http://catalog.hathitrust.org/Record/101897198","HathiTrust Record")</f>
        <v>HathiTrust Record</v>
      </c>
      <c r="AU593" s="6" t="str">
        <f>HYPERLINK("https://creighton-primo.hosted.exlibrisgroup.com/primo-explore/search?tab=default_tab&amp;search_scope=EVERYTHING&amp;vid=01CRU&amp;lang=en_US&amp;offset=0&amp;query=any,contains,991000071779702656","Catalog Record")</f>
        <v>Catalog Record</v>
      </c>
      <c r="AV593" s="6" t="str">
        <f>HYPERLINK("http://www.worldcat.org/oclc/8785433","WorldCat Record")</f>
        <v>WorldCat Record</v>
      </c>
      <c r="AW593" s="3" t="s">
        <v>7571</v>
      </c>
      <c r="AX593" s="3" t="s">
        <v>7572</v>
      </c>
      <c r="AY593" s="3" t="s">
        <v>7573</v>
      </c>
      <c r="AZ593" s="3" t="s">
        <v>7573</v>
      </c>
      <c r="BA593" s="3" t="s">
        <v>7574</v>
      </c>
      <c r="BB593" s="3" t="s">
        <v>77</v>
      </c>
      <c r="BD593" s="3" t="s">
        <v>7575</v>
      </c>
      <c r="BE593" s="3" t="s">
        <v>7576</v>
      </c>
      <c r="BF593" s="3" t="s">
        <v>7577</v>
      </c>
    </row>
    <row r="594" spans="1:58" ht="41.25" customHeight="1" x14ac:dyDescent="0.25">
      <c r="A594" s="7" t="s">
        <v>62</v>
      </c>
      <c r="B594" s="2" t="s">
        <v>57</v>
      </c>
      <c r="C594" s="2" t="s">
        <v>58</v>
      </c>
      <c r="D594" s="2" t="s">
        <v>7578</v>
      </c>
      <c r="E594" s="2" t="s">
        <v>7579</v>
      </c>
      <c r="F594" s="2" t="s">
        <v>7580</v>
      </c>
      <c r="H594" s="3" t="s">
        <v>62</v>
      </c>
      <c r="I594" s="3" t="s">
        <v>63</v>
      </c>
      <c r="J594" s="3" t="s">
        <v>62</v>
      </c>
      <c r="K594" s="3" t="s">
        <v>62</v>
      </c>
      <c r="L594" s="3" t="s">
        <v>64</v>
      </c>
      <c r="M594" s="2" t="s">
        <v>3099</v>
      </c>
      <c r="N594" s="2" t="s">
        <v>7581</v>
      </c>
      <c r="O594" s="3" t="s">
        <v>1333</v>
      </c>
      <c r="Q594" s="3" t="s">
        <v>68</v>
      </c>
      <c r="R594" s="3" t="s">
        <v>166</v>
      </c>
      <c r="T594" s="3" t="s">
        <v>70</v>
      </c>
      <c r="U594" s="4">
        <v>1</v>
      </c>
      <c r="V594" s="4">
        <v>1</v>
      </c>
      <c r="W594" s="5" t="s">
        <v>7582</v>
      </c>
      <c r="X594" s="5" t="s">
        <v>7582</v>
      </c>
      <c r="Y594" s="5" t="s">
        <v>7582</v>
      </c>
      <c r="Z594" s="5" t="s">
        <v>7582</v>
      </c>
      <c r="AA594" s="4">
        <v>119</v>
      </c>
      <c r="AB594" s="4">
        <v>98</v>
      </c>
      <c r="AC594" s="4">
        <v>104</v>
      </c>
      <c r="AD594" s="4">
        <v>2</v>
      </c>
      <c r="AE594" s="4">
        <v>2</v>
      </c>
      <c r="AF594" s="4">
        <v>9</v>
      </c>
      <c r="AG594" s="4">
        <v>9</v>
      </c>
      <c r="AH594" s="4">
        <v>2</v>
      </c>
      <c r="AI594" s="4">
        <v>2</v>
      </c>
      <c r="AJ594" s="4">
        <v>3</v>
      </c>
      <c r="AK594" s="4">
        <v>3</v>
      </c>
      <c r="AL594" s="4">
        <v>5</v>
      </c>
      <c r="AM594" s="4">
        <v>5</v>
      </c>
      <c r="AN594" s="4">
        <v>1</v>
      </c>
      <c r="AO594" s="4">
        <v>1</v>
      </c>
      <c r="AP594" s="4">
        <v>0</v>
      </c>
      <c r="AQ594" s="4">
        <v>0</v>
      </c>
      <c r="AR594" s="3" t="s">
        <v>62</v>
      </c>
      <c r="AS594" s="3" t="s">
        <v>84</v>
      </c>
      <c r="AT594" s="6" t="str">
        <f>HYPERLINK("http://catalog.hathitrust.org/Record/102377364","HathiTrust Record")</f>
        <v>HathiTrust Record</v>
      </c>
      <c r="AU594" s="6" t="str">
        <f>HYPERLINK("https://creighton-primo.hosted.exlibrisgroup.com/primo-explore/search?tab=default_tab&amp;search_scope=EVERYTHING&amp;vid=01CRU&amp;lang=en_US&amp;offset=0&amp;query=any,contains,991005283549702656","Catalog Record")</f>
        <v>Catalog Record</v>
      </c>
      <c r="AV594" s="6" t="str">
        <f>HYPERLINK("http://www.worldcat.org/oclc/29944243","WorldCat Record")</f>
        <v>WorldCat Record</v>
      </c>
      <c r="AW594" s="3" t="s">
        <v>7583</v>
      </c>
      <c r="AX594" s="3" t="s">
        <v>7584</v>
      </c>
      <c r="AY594" s="3" t="s">
        <v>7585</v>
      </c>
      <c r="AZ594" s="3" t="s">
        <v>7585</v>
      </c>
      <c r="BA594" s="3" t="s">
        <v>7586</v>
      </c>
      <c r="BB594" s="3" t="s">
        <v>77</v>
      </c>
      <c r="BD594" s="3" t="s">
        <v>7587</v>
      </c>
      <c r="BE594" s="3" t="s">
        <v>7588</v>
      </c>
      <c r="BF594" s="3" t="s">
        <v>7589</v>
      </c>
    </row>
    <row r="595" spans="1:58" ht="41.25" customHeight="1" x14ac:dyDescent="0.25">
      <c r="A595" s="7" t="s">
        <v>62</v>
      </c>
      <c r="B595" s="2" t="s">
        <v>57</v>
      </c>
      <c r="C595" s="2" t="s">
        <v>58</v>
      </c>
      <c r="D595" s="2" t="s">
        <v>7590</v>
      </c>
      <c r="E595" s="2" t="s">
        <v>7591</v>
      </c>
      <c r="F595" s="2" t="s">
        <v>7592</v>
      </c>
      <c r="H595" s="3" t="s">
        <v>62</v>
      </c>
      <c r="I595" s="3" t="s">
        <v>63</v>
      </c>
      <c r="J595" s="3" t="s">
        <v>62</v>
      </c>
      <c r="K595" s="3" t="s">
        <v>62</v>
      </c>
      <c r="L595" s="3" t="s">
        <v>64</v>
      </c>
      <c r="N595" s="2" t="s">
        <v>7593</v>
      </c>
      <c r="O595" s="3" t="s">
        <v>253</v>
      </c>
      <c r="P595" s="2" t="s">
        <v>3623</v>
      </c>
      <c r="Q595" s="3" t="s">
        <v>68</v>
      </c>
      <c r="R595" s="3" t="s">
        <v>69</v>
      </c>
      <c r="T595" s="3" t="s">
        <v>70</v>
      </c>
      <c r="U595" s="4">
        <v>1</v>
      </c>
      <c r="V595" s="4">
        <v>1</v>
      </c>
      <c r="W595" s="5" t="s">
        <v>7524</v>
      </c>
      <c r="X595" s="5" t="s">
        <v>7524</v>
      </c>
      <c r="Y595" s="5" t="s">
        <v>7524</v>
      </c>
      <c r="Z595" s="5" t="s">
        <v>7524</v>
      </c>
      <c r="AA595" s="4">
        <v>221</v>
      </c>
      <c r="AB595" s="4">
        <v>199</v>
      </c>
      <c r="AC595" s="4">
        <v>1667</v>
      </c>
      <c r="AD595" s="4">
        <v>1</v>
      </c>
      <c r="AE595" s="4">
        <v>10</v>
      </c>
      <c r="AF595" s="4">
        <v>3</v>
      </c>
      <c r="AG595" s="4">
        <v>28</v>
      </c>
      <c r="AH595" s="4">
        <v>0</v>
      </c>
      <c r="AI595" s="4">
        <v>10</v>
      </c>
      <c r="AJ595" s="4">
        <v>0</v>
      </c>
      <c r="AK595" s="4">
        <v>6</v>
      </c>
      <c r="AL595" s="4">
        <v>3</v>
      </c>
      <c r="AM595" s="4">
        <v>15</v>
      </c>
      <c r="AN595" s="4">
        <v>0</v>
      </c>
      <c r="AO595" s="4">
        <v>4</v>
      </c>
      <c r="AP595" s="4">
        <v>0</v>
      </c>
      <c r="AQ595" s="4">
        <v>0</v>
      </c>
      <c r="AR595" s="3" t="s">
        <v>62</v>
      </c>
      <c r="AS595" s="3" t="s">
        <v>62</v>
      </c>
      <c r="AU595" s="6" t="str">
        <f>HYPERLINK("https://creighton-primo.hosted.exlibrisgroup.com/primo-explore/search?tab=default_tab&amp;search_scope=EVERYTHING&amp;vid=01CRU&amp;lang=en_US&amp;offset=0&amp;query=any,contains,991005230839702656","Catalog Record")</f>
        <v>Catalog Record</v>
      </c>
      <c r="AV595" s="6" t="str">
        <f>HYPERLINK("http://www.worldcat.org/oclc/14233334","WorldCat Record")</f>
        <v>WorldCat Record</v>
      </c>
      <c r="AW595" s="3" t="s">
        <v>7594</v>
      </c>
      <c r="AX595" s="3" t="s">
        <v>7595</v>
      </c>
      <c r="AY595" s="3" t="s">
        <v>7596</v>
      </c>
      <c r="AZ595" s="3" t="s">
        <v>7596</v>
      </c>
      <c r="BA595" s="3" t="s">
        <v>7597</v>
      </c>
      <c r="BB595" s="3" t="s">
        <v>77</v>
      </c>
      <c r="BD595" s="3" t="s">
        <v>7598</v>
      </c>
      <c r="BE595" s="3" t="s">
        <v>7599</v>
      </c>
      <c r="BF595" s="3" t="s">
        <v>7600</v>
      </c>
    </row>
    <row r="596" spans="1:58" ht="41.25" customHeight="1" x14ac:dyDescent="0.25">
      <c r="A596" s="7" t="s">
        <v>62</v>
      </c>
      <c r="B596" s="2" t="s">
        <v>57</v>
      </c>
      <c r="C596" s="2" t="s">
        <v>58</v>
      </c>
      <c r="D596" s="2" t="s">
        <v>7601</v>
      </c>
      <c r="E596" s="2" t="s">
        <v>7602</v>
      </c>
      <c r="F596" s="2" t="s">
        <v>7603</v>
      </c>
      <c r="H596" s="3" t="s">
        <v>62</v>
      </c>
      <c r="I596" s="3" t="s">
        <v>63</v>
      </c>
      <c r="J596" s="3" t="s">
        <v>62</v>
      </c>
      <c r="K596" s="3" t="s">
        <v>62</v>
      </c>
      <c r="L596" s="3" t="s">
        <v>64</v>
      </c>
      <c r="M596" s="2" t="s">
        <v>6703</v>
      </c>
      <c r="N596" s="2" t="s">
        <v>7604</v>
      </c>
      <c r="O596" s="3" t="s">
        <v>67</v>
      </c>
      <c r="Q596" s="3" t="s">
        <v>68</v>
      </c>
      <c r="R596" s="3" t="s">
        <v>69</v>
      </c>
      <c r="S596" s="2" t="s">
        <v>7605</v>
      </c>
      <c r="T596" s="3" t="s">
        <v>70</v>
      </c>
      <c r="U596" s="4">
        <v>11</v>
      </c>
      <c r="V596" s="4">
        <v>11</v>
      </c>
      <c r="W596" s="5" t="s">
        <v>7606</v>
      </c>
      <c r="X596" s="5" t="s">
        <v>7606</v>
      </c>
      <c r="Y596" s="5" t="s">
        <v>7032</v>
      </c>
      <c r="Z596" s="5" t="s">
        <v>7032</v>
      </c>
      <c r="AA596" s="4">
        <v>1193</v>
      </c>
      <c r="AB596" s="4">
        <v>1108</v>
      </c>
      <c r="AC596" s="4">
        <v>1205</v>
      </c>
      <c r="AD596" s="4">
        <v>8</v>
      </c>
      <c r="AE596" s="4">
        <v>8</v>
      </c>
      <c r="AF596" s="4">
        <v>52</v>
      </c>
      <c r="AG596" s="4">
        <v>53</v>
      </c>
      <c r="AH596" s="4">
        <v>23</v>
      </c>
      <c r="AI596" s="4">
        <v>23</v>
      </c>
      <c r="AJ596" s="4">
        <v>9</v>
      </c>
      <c r="AK596" s="4">
        <v>10</v>
      </c>
      <c r="AL596" s="4">
        <v>25</v>
      </c>
      <c r="AM596" s="4">
        <v>26</v>
      </c>
      <c r="AN596" s="4">
        <v>7</v>
      </c>
      <c r="AO596" s="4">
        <v>7</v>
      </c>
      <c r="AP596" s="4">
        <v>0</v>
      </c>
      <c r="AQ596" s="4">
        <v>0</v>
      </c>
      <c r="AR596" s="3" t="s">
        <v>62</v>
      </c>
      <c r="AS596" s="3" t="s">
        <v>84</v>
      </c>
      <c r="AT596" s="6" t="str">
        <f>HYPERLINK("http://catalog.hathitrust.org/Record/001922546","HathiTrust Record")</f>
        <v>HathiTrust Record</v>
      </c>
      <c r="AU596" s="6" t="str">
        <f>HYPERLINK("https://creighton-primo.hosted.exlibrisgroup.com/primo-explore/search?tab=default_tab&amp;search_scope=EVERYTHING&amp;vid=01CRU&amp;lang=en_US&amp;offset=0&amp;query=any,contains,991000578359702656","Catalog Record")</f>
        <v>Catalog Record</v>
      </c>
      <c r="AV596" s="6" t="str">
        <f>HYPERLINK("http://www.worldcat.org/oclc/95297","WorldCat Record")</f>
        <v>WorldCat Record</v>
      </c>
      <c r="AW596" s="3" t="s">
        <v>7607</v>
      </c>
      <c r="AX596" s="3" t="s">
        <v>7608</v>
      </c>
      <c r="AY596" s="3" t="s">
        <v>7609</v>
      </c>
      <c r="AZ596" s="3" t="s">
        <v>7609</v>
      </c>
      <c r="BA596" s="3" t="s">
        <v>7610</v>
      </c>
      <c r="BB596" s="3" t="s">
        <v>77</v>
      </c>
      <c r="BD596" s="3" t="s">
        <v>7611</v>
      </c>
      <c r="BE596" s="3" t="s">
        <v>7612</v>
      </c>
      <c r="BF596" s="3" t="s">
        <v>7613</v>
      </c>
    </row>
    <row r="597" spans="1:58" ht="41.25" customHeight="1" x14ac:dyDescent="0.25">
      <c r="A597" s="7" t="s">
        <v>62</v>
      </c>
      <c r="B597" s="2" t="s">
        <v>57</v>
      </c>
      <c r="C597" s="2" t="s">
        <v>58</v>
      </c>
      <c r="D597" s="2" t="s">
        <v>7614</v>
      </c>
      <c r="E597" s="2" t="s">
        <v>7615</v>
      </c>
      <c r="F597" s="2" t="s">
        <v>7616</v>
      </c>
      <c r="H597" s="3" t="s">
        <v>62</v>
      </c>
      <c r="I597" s="3" t="s">
        <v>63</v>
      </c>
      <c r="J597" s="3" t="s">
        <v>62</v>
      </c>
      <c r="K597" s="3" t="s">
        <v>62</v>
      </c>
      <c r="L597" s="3" t="s">
        <v>64</v>
      </c>
      <c r="M597" s="2" t="s">
        <v>7617</v>
      </c>
      <c r="N597" s="2" t="s">
        <v>7618</v>
      </c>
      <c r="O597" s="3" t="s">
        <v>3663</v>
      </c>
      <c r="Q597" s="3" t="s">
        <v>68</v>
      </c>
      <c r="R597" s="3" t="s">
        <v>69</v>
      </c>
      <c r="T597" s="3" t="s">
        <v>70</v>
      </c>
      <c r="U597" s="4">
        <v>3</v>
      </c>
      <c r="V597" s="4">
        <v>3</v>
      </c>
      <c r="W597" s="5" t="s">
        <v>4782</v>
      </c>
      <c r="X597" s="5" t="s">
        <v>4782</v>
      </c>
      <c r="Y597" s="5" t="s">
        <v>7032</v>
      </c>
      <c r="Z597" s="5" t="s">
        <v>7032</v>
      </c>
      <c r="AA597" s="4">
        <v>947</v>
      </c>
      <c r="AB597" s="4">
        <v>793</v>
      </c>
      <c r="AC597" s="4">
        <v>1037</v>
      </c>
      <c r="AD597" s="4">
        <v>5</v>
      </c>
      <c r="AE597" s="4">
        <v>8</v>
      </c>
      <c r="AF597" s="4">
        <v>37</v>
      </c>
      <c r="AG597" s="4">
        <v>48</v>
      </c>
      <c r="AH597" s="4">
        <v>16</v>
      </c>
      <c r="AI597" s="4">
        <v>21</v>
      </c>
      <c r="AJ597" s="4">
        <v>8</v>
      </c>
      <c r="AK597" s="4">
        <v>11</v>
      </c>
      <c r="AL597" s="4">
        <v>21</v>
      </c>
      <c r="AM597" s="4">
        <v>23</v>
      </c>
      <c r="AN597" s="4">
        <v>3</v>
      </c>
      <c r="AO597" s="4">
        <v>6</v>
      </c>
      <c r="AP597" s="4">
        <v>0</v>
      </c>
      <c r="AQ597" s="4">
        <v>0</v>
      </c>
      <c r="AR597" s="3" t="s">
        <v>62</v>
      </c>
      <c r="AS597" s="3" t="s">
        <v>84</v>
      </c>
      <c r="AT597" s="6" t="str">
        <f>HYPERLINK("http://catalog.hathitrust.org/Record/001397260","HathiTrust Record")</f>
        <v>HathiTrust Record</v>
      </c>
      <c r="AU597" s="6" t="str">
        <f>HYPERLINK("https://creighton-primo.hosted.exlibrisgroup.com/primo-explore/search?tab=default_tab&amp;search_scope=EVERYTHING&amp;vid=01CRU&amp;lang=en_US&amp;offset=0&amp;query=any,contains,991002613999702656","Catalog Record")</f>
        <v>Catalog Record</v>
      </c>
      <c r="AV597" s="6" t="str">
        <f>HYPERLINK("http://www.worldcat.org/oclc/378879","WorldCat Record")</f>
        <v>WorldCat Record</v>
      </c>
      <c r="AW597" s="3" t="s">
        <v>7619</v>
      </c>
      <c r="AX597" s="3" t="s">
        <v>7620</v>
      </c>
      <c r="AY597" s="3" t="s">
        <v>7621</v>
      </c>
      <c r="AZ597" s="3" t="s">
        <v>7621</v>
      </c>
      <c r="BA597" s="3" t="s">
        <v>7622</v>
      </c>
      <c r="BB597" s="3" t="s">
        <v>77</v>
      </c>
      <c r="BE597" s="3" t="s">
        <v>7623</v>
      </c>
      <c r="BF597" s="3" t="s">
        <v>7624</v>
      </c>
    </row>
    <row r="598" spans="1:58" ht="41.25" customHeight="1" x14ac:dyDescent="0.25">
      <c r="A598" s="7" t="s">
        <v>62</v>
      </c>
      <c r="B598" s="2" t="s">
        <v>57</v>
      </c>
      <c r="C598" s="2" t="s">
        <v>58</v>
      </c>
      <c r="D598" s="2" t="s">
        <v>7625</v>
      </c>
      <c r="E598" s="2" t="s">
        <v>7626</v>
      </c>
      <c r="F598" s="2" t="s">
        <v>7627</v>
      </c>
      <c r="H598" s="3" t="s">
        <v>62</v>
      </c>
      <c r="I598" s="3" t="s">
        <v>63</v>
      </c>
      <c r="J598" s="3" t="s">
        <v>62</v>
      </c>
      <c r="K598" s="3" t="s">
        <v>62</v>
      </c>
      <c r="L598" s="3" t="s">
        <v>64</v>
      </c>
      <c r="M598" s="2" t="s">
        <v>7628</v>
      </c>
      <c r="N598" s="2" t="s">
        <v>7629</v>
      </c>
      <c r="O598" s="3" t="s">
        <v>6273</v>
      </c>
      <c r="Q598" s="3" t="s">
        <v>68</v>
      </c>
      <c r="R598" s="3" t="s">
        <v>88</v>
      </c>
      <c r="T598" s="3" t="s">
        <v>70</v>
      </c>
      <c r="U598" s="4">
        <v>5</v>
      </c>
      <c r="V598" s="4">
        <v>5</v>
      </c>
      <c r="W598" s="5" t="s">
        <v>7630</v>
      </c>
      <c r="X598" s="5" t="s">
        <v>7630</v>
      </c>
      <c r="Y598" s="5" t="s">
        <v>7032</v>
      </c>
      <c r="Z598" s="5" t="s">
        <v>7032</v>
      </c>
      <c r="AA598" s="4">
        <v>492</v>
      </c>
      <c r="AB598" s="4">
        <v>445</v>
      </c>
      <c r="AC598" s="4">
        <v>449</v>
      </c>
      <c r="AD598" s="4">
        <v>5</v>
      </c>
      <c r="AE598" s="4">
        <v>5</v>
      </c>
      <c r="AF598" s="4">
        <v>20</v>
      </c>
      <c r="AG598" s="4">
        <v>20</v>
      </c>
      <c r="AH598" s="4">
        <v>9</v>
      </c>
      <c r="AI598" s="4">
        <v>9</v>
      </c>
      <c r="AJ598" s="4">
        <v>3</v>
      </c>
      <c r="AK598" s="4">
        <v>3</v>
      </c>
      <c r="AL598" s="4">
        <v>7</v>
      </c>
      <c r="AM598" s="4">
        <v>7</v>
      </c>
      <c r="AN598" s="4">
        <v>3</v>
      </c>
      <c r="AO598" s="4">
        <v>3</v>
      </c>
      <c r="AP598" s="4">
        <v>0</v>
      </c>
      <c r="AQ598" s="4">
        <v>0</v>
      </c>
      <c r="AR598" s="3" t="s">
        <v>62</v>
      </c>
      <c r="AS598" s="3" t="s">
        <v>84</v>
      </c>
      <c r="AT598" s="6" t="str">
        <f>HYPERLINK("http://catalog.hathitrust.org/Record/001392600","HathiTrust Record")</f>
        <v>HathiTrust Record</v>
      </c>
      <c r="AU598" s="6" t="str">
        <f>HYPERLINK("https://creighton-primo.hosted.exlibrisgroup.com/primo-explore/search?tab=default_tab&amp;search_scope=EVERYTHING&amp;vid=01CRU&amp;lang=en_US&amp;offset=0&amp;query=any,contains,991003685009702656","Catalog Record")</f>
        <v>Catalog Record</v>
      </c>
      <c r="AV598" s="6" t="str">
        <f>HYPERLINK("http://www.worldcat.org/oclc/1313074","WorldCat Record")</f>
        <v>WorldCat Record</v>
      </c>
      <c r="AW598" s="3" t="s">
        <v>7631</v>
      </c>
      <c r="AX598" s="3" t="s">
        <v>7632</v>
      </c>
      <c r="AY598" s="3" t="s">
        <v>7633</v>
      </c>
      <c r="AZ598" s="3" t="s">
        <v>7633</v>
      </c>
      <c r="BA598" s="3" t="s">
        <v>7634</v>
      </c>
      <c r="BB598" s="3" t="s">
        <v>77</v>
      </c>
      <c r="BE598" s="3" t="s">
        <v>7635</v>
      </c>
      <c r="BF598" s="3" t="s">
        <v>7636</v>
      </c>
    </row>
    <row r="599" spans="1:58" ht="41.25" customHeight="1" x14ac:dyDescent="0.25">
      <c r="A599" s="7" t="s">
        <v>62</v>
      </c>
      <c r="B599" s="2" t="s">
        <v>57</v>
      </c>
      <c r="C599" s="2" t="s">
        <v>58</v>
      </c>
      <c r="D599" s="2" t="s">
        <v>7637</v>
      </c>
      <c r="E599" s="2" t="s">
        <v>7638</v>
      </c>
      <c r="F599" s="2" t="s">
        <v>7639</v>
      </c>
      <c r="H599" s="3" t="s">
        <v>62</v>
      </c>
      <c r="I599" s="3" t="s">
        <v>63</v>
      </c>
      <c r="J599" s="3" t="s">
        <v>62</v>
      </c>
      <c r="K599" s="3" t="s">
        <v>62</v>
      </c>
      <c r="L599" s="3" t="s">
        <v>64</v>
      </c>
      <c r="N599" s="2" t="s">
        <v>7640</v>
      </c>
      <c r="O599" s="3" t="s">
        <v>312</v>
      </c>
      <c r="Q599" s="3" t="s">
        <v>68</v>
      </c>
      <c r="R599" s="3" t="s">
        <v>219</v>
      </c>
      <c r="T599" s="3" t="s">
        <v>70</v>
      </c>
      <c r="U599" s="4">
        <v>7</v>
      </c>
      <c r="V599" s="4">
        <v>7</v>
      </c>
      <c r="W599" s="5" t="s">
        <v>7641</v>
      </c>
      <c r="X599" s="5" t="s">
        <v>7641</v>
      </c>
      <c r="Y599" s="5" t="s">
        <v>7032</v>
      </c>
      <c r="Z599" s="5" t="s">
        <v>7032</v>
      </c>
      <c r="AA599" s="4">
        <v>477</v>
      </c>
      <c r="AB599" s="4">
        <v>417</v>
      </c>
      <c r="AC599" s="4">
        <v>419</v>
      </c>
      <c r="AD599" s="4">
        <v>4</v>
      </c>
      <c r="AE599" s="4">
        <v>4</v>
      </c>
      <c r="AF599" s="4">
        <v>25</v>
      </c>
      <c r="AG599" s="4">
        <v>25</v>
      </c>
      <c r="AH599" s="4">
        <v>11</v>
      </c>
      <c r="AI599" s="4">
        <v>11</v>
      </c>
      <c r="AJ599" s="4">
        <v>5</v>
      </c>
      <c r="AK599" s="4">
        <v>5</v>
      </c>
      <c r="AL599" s="4">
        <v>13</v>
      </c>
      <c r="AM599" s="4">
        <v>13</v>
      </c>
      <c r="AN599" s="4">
        <v>3</v>
      </c>
      <c r="AO599" s="4">
        <v>3</v>
      </c>
      <c r="AP599" s="4">
        <v>0</v>
      </c>
      <c r="AQ599" s="4">
        <v>0</v>
      </c>
      <c r="AR599" s="3" t="s">
        <v>62</v>
      </c>
      <c r="AS599" s="3" t="s">
        <v>84</v>
      </c>
      <c r="AT599" s="6" t="str">
        <f>HYPERLINK("http://catalog.hathitrust.org/Record/007326137","HathiTrust Record")</f>
        <v>HathiTrust Record</v>
      </c>
      <c r="AU599" s="6" t="str">
        <f>HYPERLINK("https://creighton-primo.hosted.exlibrisgroup.com/primo-explore/search?tab=default_tab&amp;search_scope=EVERYTHING&amp;vid=01CRU&amp;lang=en_US&amp;offset=0&amp;query=any,contains,991000804679702656","Catalog Record")</f>
        <v>Catalog Record</v>
      </c>
      <c r="AV599" s="6" t="str">
        <f>HYPERLINK("http://www.worldcat.org/oclc/140233","WorldCat Record")</f>
        <v>WorldCat Record</v>
      </c>
      <c r="AW599" s="3" t="s">
        <v>7642</v>
      </c>
      <c r="AX599" s="3" t="s">
        <v>7643</v>
      </c>
      <c r="AY599" s="3" t="s">
        <v>7644</v>
      </c>
      <c r="AZ599" s="3" t="s">
        <v>7644</v>
      </c>
      <c r="BA599" s="3" t="s">
        <v>7645</v>
      </c>
      <c r="BB599" s="3" t="s">
        <v>77</v>
      </c>
      <c r="BD599" s="3" t="s">
        <v>7646</v>
      </c>
      <c r="BE599" s="3" t="s">
        <v>7647</v>
      </c>
      <c r="BF599" s="3" t="s">
        <v>7648</v>
      </c>
    </row>
    <row r="600" spans="1:58" ht="41.25" customHeight="1" x14ac:dyDescent="0.25">
      <c r="A600" s="7" t="s">
        <v>62</v>
      </c>
      <c r="B600" s="2" t="s">
        <v>57</v>
      </c>
      <c r="C600" s="2" t="s">
        <v>58</v>
      </c>
      <c r="D600" s="2" t="s">
        <v>7649</v>
      </c>
      <c r="E600" s="2" t="s">
        <v>7650</v>
      </c>
      <c r="F600" s="2" t="s">
        <v>7651</v>
      </c>
      <c r="H600" s="3" t="s">
        <v>62</v>
      </c>
      <c r="I600" s="3" t="s">
        <v>63</v>
      </c>
      <c r="J600" s="3" t="s">
        <v>62</v>
      </c>
      <c r="K600" s="3" t="s">
        <v>62</v>
      </c>
      <c r="L600" s="3" t="s">
        <v>64</v>
      </c>
      <c r="M600" s="2" t="s">
        <v>7617</v>
      </c>
      <c r="N600" s="2" t="s">
        <v>7652</v>
      </c>
      <c r="O600" s="3" t="s">
        <v>1978</v>
      </c>
      <c r="Q600" s="3" t="s">
        <v>68</v>
      </c>
      <c r="R600" s="3" t="s">
        <v>138</v>
      </c>
      <c r="S600" s="2" t="s">
        <v>7653</v>
      </c>
      <c r="T600" s="3" t="s">
        <v>70</v>
      </c>
      <c r="U600" s="4">
        <v>3</v>
      </c>
      <c r="V600" s="4">
        <v>3</v>
      </c>
      <c r="W600" s="5" t="s">
        <v>7654</v>
      </c>
      <c r="X600" s="5" t="s">
        <v>7654</v>
      </c>
      <c r="Y600" s="5" t="s">
        <v>7032</v>
      </c>
      <c r="Z600" s="5" t="s">
        <v>7032</v>
      </c>
      <c r="AA600" s="4">
        <v>423</v>
      </c>
      <c r="AB600" s="4">
        <v>348</v>
      </c>
      <c r="AC600" s="4">
        <v>742</v>
      </c>
      <c r="AD600" s="4">
        <v>3</v>
      </c>
      <c r="AE600" s="4">
        <v>7</v>
      </c>
      <c r="AF600" s="4">
        <v>21</v>
      </c>
      <c r="AG600" s="4">
        <v>37</v>
      </c>
      <c r="AH600" s="4">
        <v>9</v>
      </c>
      <c r="AI600" s="4">
        <v>14</v>
      </c>
      <c r="AJ600" s="4">
        <v>2</v>
      </c>
      <c r="AK600" s="4">
        <v>7</v>
      </c>
      <c r="AL600" s="4">
        <v>12</v>
      </c>
      <c r="AM600" s="4">
        <v>20</v>
      </c>
      <c r="AN600" s="4">
        <v>2</v>
      </c>
      <c r="AO600" s="4">
        <v>3</v>
      </c>
      <c r="AP600" s="4">
        <v>0</v>
      </c>
      <c r="AQ600" s="4">
        <v>0</v>
      </c>
      <c r="AR600" s="3" t="s">
        <v>84</v>
      </c>
      <c r="AS600" s="3" t="s">
        <v>62</v>
      </c>
      <c r="AT600" s="6" t="str">
        <f>HYPERLINK("http://catalog.hathitrust.org/Record/001392614","HathiTrust Record")</f>
        <v>HathiTrust Record</v>
      </c>
      <c r="AU600" s="6" t="str">
        <f>HYPERLINK("https://creighton-primo.hosted.exlibrisgroup.com/primo-explore/search?tab=default_tab&amp;search_scope=EVERYTHING&amp;vid=01CRU&amp;lang=en_US&amp;offset=0&amp;query=any,contains,991001931749702656","Catalog Record")</f>
        <v>Catalog Record</v>
      </c>
      <c r="AV600" s="6" t="str">
        <f>HYPERLINK("http://www.worldcat.org/oclc/249110","WorldCat Record")</f>
        <v>WorldCat Record</v>
      </c>
      <c r="AW600" s="3" t="s">
        <v>7655</v>
      </c>
      <c r="AX600" s="3" t="s">
        <v>7656</v>
      </c>
      <c r="AY600" s="3" t="s">
        <v>7657</v>
      </c>
      <c r="AZ600" s="3" t="s">
        <v>7657</v>
      </c>
      <c r="BA600" s="3" t="s">
        <v>7658</v>
      </c>
      <c r="BB600" s="3" t="s">
        <v>77</v>
      </c>
      <c r="BE600" s="3" t="s">
        <v>7659</v>
      </c>
      <c r="BF600" s="3" t="s">
        <v>7660</v>
      </c>
    </row>
    <row r="601" spans="1:58" ht="41.25" customHeight="1" x14ac:dyDescent="0.25">
      <c r="A601" s="7" t="s">
        <v>62</v>
      </c>
      <c r="B601" s="2" t="s">
        <v>57</v>
      </c>
      <c r="C601" s="2" t="s">
        <v>58</v>
      </c>
      <c r="D601" s="2" t="s">
        <v>7661</v>
      </c>
      <c r="E601" s="2" t="s">
        <v>7662</v>
      </c>
      <c r="F601" s="2" t="s">
        <v>7663</v>
      </c>
      <c r="H601" s="3" t="s">
        <v>62</v>
      </c>
      <c r="I601" s="3" t="s">
        <v>63</v>
      </c>
      <c r="J601" s="3" t="s">
        <v>62</v>
      </c>
      <c r="K601" s="3" t="s">
        <v>62</v>
      </c>
      <c r="L601" s="3" t="s">
        <v>64</v>
      </c>
      <c r="M601" s="2" t="s">
        <v>7664</v>
      </c>
      <c r="N601" s="2" t="s">
        <v>3709</v>
      </c>
      <c r="O601" s="3" t="s">
        <v>404</v>
      </c>
      <c r="Q601" s="3" t="s">
        <v>68</v>
      </c>
      <c r="R601" s="3" t="s">
        <v>698</v>
      </c>
      <c r="S601" s="2" t="s">
        <v>7665</v>
      </c>
      <c r="T601" s="3" t="s">
        <v>70</v>
      </c>
      <c r="U601" s="4">
        <v>0</v>
      </c>
      <c r="V601" s="4">
        <v>0</v>
      </c>
      <c r="W601" s="5" t="s">
        <v>7666</v>
      </c>
      <c r="X601" s="5" t="s">
        <v>7666</v>
      </c>
      <c r="Y601" s="5" t="s">
        <v>7032</v>
      </c>
      <c r="Z601" s="5" t="s">
        <v>7032</v>
      </c>
      <c r="AA601" s="4">
        <v>363</v>
      </c>
      <c r="AB601" s="4">
        <v>256</v>
      </c>
      <c r="AC601" s="4">
        <v>258</v>
      </c>
      <c r="AD601" s="4">
        <v>2</v>
      </c>
      <c r="AE601" s="4">
        <v>2</v>
      </c>
      <c r="AF601" s="4">
        <v>12</v>
      </c>
      <c r="AG601" s="4">
        <v>12</v>
      </c>
      <c r="AH601" s="4">
        <v>3</v>
      </c>
      <c r="AI601" s="4">
        <v>3</v>
      </c>
      <c r="AJ601" s="4">
        <v>3</v>
      </c>
      <c r="AK601" s="4">
        <v>3</v>
      </c>
      <c r="AL601" s="4">
        <v>8</v>
      </c>
      <c r="AM601" s="4">
        <v>8</v>
      </c>
      <c r="AN601" s="4">
        <v>1</v>
      </c>
      <c r="AO601" s="4">
        <v>1</v>
      </c>
      <c r="AP601" s="4">
        <v>0</v>
      </c>
      <c r="AQ601" s="4">
        <v>0</v>
      </c>
      <c r="AR601" s="3" t="s">
        <v>62</v>
      </c>
      <c r="AS601" s="3" t="s">
        <v>84</v>
      </c>
      <c r="AT601" s="6" t="str">
        <f>HYPERLINK("http://catalog.hathitrust.org/Record/001947188","HathiTrust Record")</f>
        <v>HathiTrust Record</v>
      </c>
      <c r="AU601" s="6" t="str">
        <f>HYPERLINK("https://creighton-primo.hosted.exlibrisgroup.com/primo-explore/search?tab=default_tab&amp;search_scope=EVERYTHING&amp;vid=01CRU&amp;lang=en_US&amp;offset=0&amp;query=any,contains,991002917609702656","Catalog Record")</f>
        <v>Catalog Record</v>
      </c>
      <c r="AV601" s="6" t="str">
        <f>HYPERLINK("http://www.worldcat.org/oclc/524878","WorldCat Record")</f>
        <v>WorldCat Record</v>
      </c>
      <c r="AW601" s="3" t="s">
        <v>7667</v>
      </c>
      <c r="AX601" s="3" t="s">
        <v>7668</v>
      </c>
      <c r="AY601" s="3" t="s">
        <v>7669</v>
      </c>
      <c r="AZ601" s="3" t="s">
        <v>7669</v>
      </c>
      <c r="BA601" s="3" t="s">
        <v>7670</v>
      </c>
      <c r="BB601" s="3" t="s">
        <v>77</v>
      </c>
      <c r="BE601" s="3" t="s">
        <v>7671</v>
      </c>
      <c r="BF601" s="3" t="s">
        <v>7672</v>
      </c>
    </row>
    <row r="602" spans="1:58" ht="41.25" customHeight="1" x14ac:dyDescent="0.25">
      <c r="A602" s="7" t="s">
        <v>62</v>
      </c>
      <c r="B602" s="2" t="s">
        <v>57</v>
      </c>
      <c r="C602" s="2" t="s">
        <v>58</v>
      </c>
      <c r="D602" s="2" t="s">
        <v>7673</v>
      </c>
      <c r="E602" s="2" t="s">
        <v>7674</v>
      </c>
      <c r="F602" s="2" t="s">
        <v>7675</v>
      </c>
      <c r="H602" s="3" t="s">
        <v>62</v>
      </c>
      <c r="I602" s="3" t="s">
        <v>63</v>
      </c>
      <c r="J602" s="3" t="s">
        <v>62</v>
      </c>
      <c r="K602" s="3" t="s">
        <v>62</v>
      </c>
      <c r="L602" s="3" t="s">
        <v>64</v>
      </c>
      <c r="M602" s="2" t="s">
        <v>7676</v>
      </c>
      <c r="N602" s="2" t="s">
        <v>7677</v>
      </c>
      <c r="O602" s="3" t="s">
        <v>383</v>
      </c>
      <c r="Q602" s="3" t="s">
        <v>68</v>
      </c>
      <c r="R602" s="3" t="s">
        <v>698</v>
      </c>
      <c r="S602" s="2" t="s">
        <v>7678</v>
      </c>
      <c r="T602" s="3" t="s">
        <v>70</v>
      </c>
      <c r="U602" s="4">
        <v>1</v>
      </c>
      <c r="V602" s="4">
        <v>1</v>
      </c>
      <c r="W602" s="5" t="s">
        <v>7679</v>
      </c>
      <c r="X602" s="5" t="s">
        <v>7679</v>
      </c>
      <c r="Y602" s="5" t="s">
        <v>7032</v>
      </c>
      <c r="Z602" s="5" t="s">
        <v>7032</v>
      </c>
      <c r="AA602" s="4">
        <v>372</v>
      </c>
      <c r="AB602" s="4">
        <v>260</v>
      </c>
      <c r="AC602" s="4">
        <v>273</v>
      </c>
      <c r="AD602" s="4">
        <v>2</v>
      </c>
      <c r="AE602" s="4">
        <v>2</v>
      </c>
      <c r="AF602" s="4">
        <v>16</v>
      </c>
      <c r="AG602" s="4">
        <v>16</v>
      </c>
      <c r="AH602" s="4">
        <v>3</v>
      </c>
      <c r="AI602" s="4">
        <v>3</v>
      </c>
      <c r="AJ602" s="4">
        <v>5</v>
      </c>
      <c r="AK602" s="4">
        <v>5</v>
      </c>
      <c r="AL602" s="4">
        <v>12</v>
      </c>
      <c r="AM602" s="4">
        <v>12</v>
      </c>
      <c r="AN602" s="4">
        <v>1</v>
      </c>
      <c r="AO602" s="4">
        <v>1</v>
      </c>
      <c r="AP602" s="4">
        <v>0</v>
      </c>
      <c r="AQ602" s="4">
        <v>0</v>
      </c>
      <c r="AR602" s="3" t="s">
        <v>62</v>
      </c>
      <c r="AS602" s="3" t="s">
        <v>84</v>
      </c>
      <c r="AT602" s="6" t="str">
        <f>HYPERLINK("http://catalog.hathitrust.org/Record/001947171","HathiTrust Record")</f>
        <v>HathiTrust Record</v>
      </c>
      <c r="AU602" s="6" t="str">
        <f>HYPERLINK("https://creighton-primo.hosted.exlibrisgroup.com/primo-explore/search?tab=default_tab&amp;search_scope=EVERYTHING&amp;vid=01CRU&amp;lang=en_US&amp;offset=0&amp;query=any,contains,991000089149702656","Catalog Record")</f>
        <v>Catalog Record</v>
      </c>
      <c r="AV602" s="6" t="str">
        <f>HYPERLINK("http://www.worldcat.org/oclc/35137","WorldCat Record")</f>
        <v>WorldCat Record</v>
      </c>
      <c r="AW602" s="3" t="s">
        <v>7680</v>
      </c>
      <c r="AX602" s="3" t="s">
        <v>7681</v>
      </c>
      <c r="AY602" s="3" t="s">
        <v>7682</v>
      </c>
      <c r="AZ602" s="3" t="s">
        <v>7682</v>
      </c>
      <c r="BA602" s="3" t="s">
        <v>7683</v>
      </c>
      <c r="BB602" s="3" t="s">
        <v>77</v>
      </c>
      <c r="BE602" s="3" t="s">
        <v>7684</v>
      </c>
      <c r="BF602" s="3" t="s">
        <v>7685</v>
      </c>
    </row>
    <row r="603" spans="1:58" ht="41.25" customHeight="1" x14ac:dyDescent="0.25">
      <c r="A603" s="7" t="s">
        <v>62</v>
      </c>
      <c r="B603" s="2" t="s">
        <v>57</v>
      </c>
      <c r="C603" s="2" t="s">
        <v>58</v>
      </c>
      <c r="D603" s="2" t="s">
        <v>7686</v>
      </c>
      <c r="E603" s="2" t="s">
        <v>7687</v>
      </c>
      <c r="F603" s="2" t="s">
        <v>7688</v>
      </c>
      <c r="H603" s="3" t="s">
        <v>62</v>
      </c>
      <c r="I603" s="3" t="s">
        <v>63</v>
      </c>
      <c r="J603" s="3" t="s">
        <v>62</v>
      </c>
      <c r="K603" s="3" t="s">
        <v>62</v>
      </c>
      <c r="L603" s="3" t="s">
        <v>64</v>
      </c>
      <c r="M603" s="2" t="s">
        <v>7689</v>
      </c>
      <c r="N603" s="2" t="s">
        <v>7690</v>
      </c>
      <c r="O603" s="3" t="s">
        <v>1251</v>
      </c>
      <c r="Q603" s="3" t="s">
        <v>68</v>
      </c>
      <c r="R603" s="3" t="s">
        <v>562</v>
      </c>
      <c r="S603" s="2" t="s">
        <v>7691</v>
      </c>
      <c r="T603" s="3" t="s">
        <v>70</v>
      </c>
      <c r="U603" s="4">
        <v>1</v>
      </c>
      <c r="V603" s="4">
        <v>1</v>
      </c>
      <c r="W603" s="5" t="s">
        <v>7692</v>
      </c>
      <c r="X603" s="5" t="s">
        <v>7692</v>
      </c>
      <c r="Y603" s="5" t="s">
        <v>7032</v>
      </c>
      <c r="Z603" s="5" t="s">
        <v>7032</v>
      </c>
      <c r="AA603" s="4">
        <v>239</v>
      </c>
      <c r="AB603" s="4">
        <v>160</v>
      </c>
      <c r="AC603" s="4">
        <v>165</v>
      </c>
      <c r="AD603" s="4">
        <v>2</v>
      </c>
      <c r="AE603" s="4">
        <v>2</v>
      </c>
      <c r="AF603" s="4">
        <v>10</v>
      </c>
      <c r="AG603" s="4">
        <v>10</v>
      </c>
      <c r="AH603" s="4">
        <v>4</v>
      </c>
      <c r="AI603" s="4">
        <v>4</v>
      </c>
      <c r="AJ603" s="4">
        <v>3</v>
      </c>
      <c r="AK603" s="4">
        <v>3</v>
      </c>
      <c r="AL603" s="4">
        <v>8</v>
      </c>
      <c r="AM603" s="4">
        <v>8</v>
      </c>
      <c r="AN603" s="4">
        <v>1</v>
      </c>
      <c r="AO603" s="4">
        <v>1</v>
      </c>
      <c r="AP603" s="4">
        <v>0</v>
      </c>
      <c r="AQ603" s="4">
        <v>0</v>
      </c>
      <c r="AR603" s="3" t="s">
        <v>62</v>
      </c>
      <c r="AS603" s="3" t="s">
        <v>84</v>
      </c>
      <c r="AT603" s="6" t="str">
        <f>HYPERLINK("http://catalog.hathitrust.org/Record/004372451","HathiTrust Record")</f>
        <v>HathiTrust Record</v>
      </c>
      <c r="AU603" s="6" t="str">
        <f>HYPERLINK("https://creighton-primo.hosted.exlibrisgroup.com/primo-explore/search?tab=default_tab&amp;search_scope=EVERYTHING&amp;vid=01CRU&amp;lang=en_US&amp;offset=0&amp;query=any,contains,991000946489702656","Catalog Record")</f>
        <v>Catalog Record</v>
      </c>
      <c r="AV603" s="6" t="str">
        <f>HYPERLINK("http://www.worldcat.org/oclc/14586441","WorldCat Record")</f>
        <v>WorldCat Record</v>
      </c>
      <c r="AW603" s="3" t="s">
        <v>7693</v>
      </c>
      <c r="AX603" s="3" t="s">
        <v>7694</v>
      </c>
      <c r="AY603" s="3" t="s">
        <v>7695</v>
      </c>
      <c r="AZ603" s="3" t="s">
        <v>7695</v>
      </c>
      <c r="BA603" s="3" t="s">
        <v>7696</v>
      </c>
      <c r="BB603" s="3" t="s">
        <v>77</v>
      </c>
      <c r="BD603" s="3" t="s">
        <v>7697</v>
      </c>
      <c r="BE603" s="3" t="s">
        <v>7698</v>
      </c>
      <c r="BF603" s="3" t="s">
        <v>7699</v>
      </c>
    </row>
    <row r="604" spans="1:58" ht="41.25" customHeight="1" x14ac:dyDescent="0.25">
      <c r="A604" s="7" t="s">
        <v>62</v>
      </c>
      <c r="B604" s="2" t="s">
        <v>57</v>
      </c>
      <c r="C604" s="2" t="s">
        <v>58</v>
      </c>
      <c r="D604" s="2" t="s">
        <v>7700</v>
      </c>
      <c r="E604" s="2" t="s">
        <v>7701</v>
      </c>
      <c r="F604" s="2" t="s">
        <v>7702</v>
      </c>
      <c r="H604" s="3" t="s">
        <v>62</v>
      </c>
      <c r="I604" s="3" t="s">
        <v>63</v>
      </c>
      <c r="J604" s="3" t="s">
        <v>62</v>
      </c>
      <c r="K604" s="3" t="s">
        <v>62</v>
      </c>
      <c r="L604" s="3" t="s">
        <v>64</v>
      </c>
      <c r="M604" s="2" t="s">
        <v>7703</v>
      </c>
      <c r="N604" s="2" t="s">
        <v>7704</v>
      </c>
      <c r="O604" s="3" t="s">
        <v>137</v>
      </c>
      <c r="Q604" s="3" t="s">
        <v>68</v>
      </c>
      <c r="R604" s="3" t="s">
        <v>219</v>
      </c>
      <c r="S604" s="2" t="s">
        <v>7705</v>
      </c>
      <c r="T604" s="3" t="s">
        <v>70</v>
      </c>
      <c r="U604" s="4">
        <v>4</v>
      </c>
      <c r="V604" s="4">
        <v>4</v>
      </c>
      <c r="W604" s="5" t="s">
        <v>7706</v>
      </c>
      <c r="X604" s="5" t="s">
        <v>7706</v>
      </c>
      <c r="Y604" s="5" t="s">
        <v>7032</v>
      </c>
      <c r="Z604" s="5" t="s">
        <v>7032</v>
      </c>
      <c r="AA604" s="4">
        <v>305</v>
      </c>
      <c r="AB604" s="4">
        <v>214</v>
      </c>
      <c r="AC604" s="4">
        <v>215</v>
      </c>
      <c r="AD604" s="4">
        <v>2</v>
      </c>
      <c r="AE604" s="4">
        <v>2</v>
      </c>
      <c r="AF604" s="4">
        <v>11</v>
      </c>
      <c r="AG604" s="4">
        <v>11</v>
      </c>
      <c r="AH604" s="4">
        <v>3</v>
      </c>
      <c r="AI604" s="4">
        <v>3</v>
      </c>
      <c r="AJ604" s="4">
        <v>2</v>
      </c>
      <c r="AK604" s="4">
        <v>2</v>
      </c>
      <c r="AL604" s="4">
        <v>7</v>
      </c>
      <c r="AM604" s="4">
        <v>7</v>
      </c>
      <c r="AN604" s="4">
        <v>1</v>
      </c>
      <c r="AO604" s="4">
        <v>1</v>
      </c>
      <c r="AP604" s="4">
        <v>0</v>
      </c>
      <c r="AQ604" s="4">
        <v>0</v>
      </c>
      <c r="AR604" s="3" t="s">
        <v>62</v>
      </c>
      <c r="AS604" s="3" t="s">
        <v>84</v>
      </c>
      <c r="AT604" s="6" t="str">
        <f>HYPERLINK("http://catalog.hathitrust.org/Record/000107040","HathiTrust Record")</f>
        <v>HathiTrust Record</v>
      </c>
      <c r="AU604" s="6" t="str">
        <f>HYPERLINK("https://creighton-primo.hosted.exlibrisgroup.com/primo-explore/search?tab=default_tab&amp;search_scope=EVERYTHING&amp;vid=01CRU&amp;lang=en_US&amp;offset=0&amp;query=any,contains,991005123439702656","Catalog Record")</f>
        <v>Catalog Record</v>
      </c>
      <c r="AV604" s="6" t="str">
        <f>HYPERLINK("http://www.worldcat.org/oclc/7551078","WorldCat Record")</f>
        <v>WorldCat Record</v>
      </c>
      <c r="AW604" s="3" t="s">
        <v>7707</v>
      </c>
      <c r="AX604" s="3" t="s">
        <v>7708</v>
      </c>
      <c r="AY604" s="3" t="s">
        <v>7709</v>
      </c>
      <c r="AZ604" s="3" t="s">
        <v>7709</v>
      </c>
      <c r="BA604" s="3" t="s">
        <v>7710</v>
      </c>
      <c r="BB604" s="3" t="s">
        <v>77</v>
      </c>
      <c r="BD604" s="3" t="s">
        <v>7711</v>
      </c>
      <c r="BE604" s="3" t="s">
        <v>7712</v>
      </c>
      <c r="BF604" s="3" t="s">
        <v>7713</v>
      </c>
    </row>
    <row r="605" spans="1:58" ht="41.25" customHeight="1" x14ac:dyDescent="0.25">
      <c r="A605" s="7" t="s">
        <v>62</v>
      </c>
      <c r="B605" s="2" t="s">
        <v>57</v>
      </c>
      <c r="C605" s="2" t="s">
        <v>58</v>
      </c>
      <c r="D605" s="2" t="s">
        <v>7714</v>
      </c>
      <c r="E605" s="2" t="s">
        <v>7715</v>
      </c>
      <c r="F605" s="2" t="s">
        <v>7716</v>
      </c>
      <c r="H605" s="3" t="s">
        <v>62</v>
      </c>
      <c r="I605" s="3" t="s">
        <v>63</v>
      </c>
      <c r="J605" s="3" t="s">
        <v>62</v>
      </c>
      <c r="K605" s="3" t="s">
        <v>62</v>
      </c>
      <c r="L605" s="3" t="s">
        <v>64</v>
      </c>
      <c r="M605" s="2" t="s">
        <v>7717</v>
      </c>
      <c r="O605" s="3" t="s">
        <v>7718</v>
      </c>
      <c r="Q605" s="3" t="s">
        <v>68</v>
      </c>
      <c r="R605" s="3" t="s">
        <v>888</v>
      </c>
      <c r="S605" s="2" t="s">
        <v>7719</v>
      </c>
      <c r="T605" s="3" t="s">
        <v>70</v>
      </c>
      <c r="U605" s="4">
        <v>5</v>
      </c>
      <c r="V605" s="4">
        <v>5</v>
      </c>
      <c r="W605" s="5" t="s">
        <v>7720</v>
      </c>
      <c r="X605" s="5" t="s">
        <v>7720</v>
      </c>
      <c r="Y605" s="5" t="s">
        <v>7032</v>
      </c>
      <c r="Z605" s="5" t="s">
        <v>7032</v>
      </c>
      <c r="AA605" s="4">
        <v>101</v>
      </c>
      <c r="AB605" s="4">
        <v>79</v>
      </c>
      <c r="AC605" s="4">
        <v>86</v>
      </c>
      <c r="AD605" s="4">
        <v>2</v>
      </c>
      <c r="AE605" s="4">
        <v>2</v>
      </c>
      <c r="AF605" s="4">
        <v>5</v>
      </c>
      <c r="AG605" s="4">
        <v>5</v>
      </c>
      <c r="AH605" s="4">
        <v>0</v>
      </c>
      <c r="AI605" s="4">
        <v>0</v>
      </c>
      <c r="AJ605" s="4">
        <v>1</v>
      </c>
      <c r="AK605" s="4">
        <v>1</v>
      </c>
      <c r="AL605" s="4">
        <v>3</v>
      </c>
      <c r="AM605" s="4">
        <v>3</v>
      </c>
      <c r="AN605" s="4">
        <v>1</v>
      </c>
      <c r="AO605" s="4">
        <v>1</v>
      </c>
      <c r="AP605" s="4">
        <v>0</v>
      </c>
      <c r="AQ605" s="4">
        <v>0</v>
      </c>
      <c r="AR605" s="3" t="s">
        <v>84</v>
      </c>
      <c r="AS605" s="3" t="s">
        <v>62</v>
      </c>
      <c r="AT605" s="6" t="str">
        <f>HYPERLINK("http://catalog.hathitrust.org/Record/001675496","HathiTrust Record")</f>
        <v>HathiTrust Record</v>
      </c>
      <c r="AU605" s="6" t="str">
        <f>HYPERLINK("https://creighton-primo.hosted.exlibrisgroup.com/primo-explore/search?tab=default_tab&amp;search_scope=EVERYTHING&amp;vid=01CRU&amp;lang=en_US&amp;offset=0&amp;query=any,contains,991004435429702656","Catalog Record")</f>
        <v>Catalog Record</v>
      </c>
      <c r="AV605" s="6" t="str">
        <f>HYPERLINK("http://www.worldcat.org/oclc/3440735","WorldCat Record")</f>
        <v>WorldCat Record</v>
      </c>
      <c r="AW605" s="3" t="s">
        <v>7721</v>
      </c>
      <c r="AX605" s="3" t="s">
        <v>7722</v>
      </c>
      <c r="AY605" s="3" t="s">
        <v>7723</v>
      </c>
      <c r="AZ605" s="3" t="s">
        <v>7723</v>
      </c>
      <c r="BA605" s="3" t="s">
        <v>7724</v>
      </c>
      <c r="BB605" s="3" t="s">
        <v>77</v>
      </c>
      <c r="BE605" s="3" t="s">
        <v>7725</v>
      </c>
      <c r="BF605" s="3" t="s">
        <v>7726</v>
      </c>
    </row>
    <row r="606" spans="1:58" ht="41.25" customHeight="1" x14ac:dyDescent="0.25">
      <c r="A606" s="7" t="s">
        <v>62</v>
      </c>
      <c r="B606" s="2" t="s">
        <v>57</v>
      </c>
      <c r="C606" s="2" t="s">
        <v>58</v>
      </c>
      <c r="D606" s="2" t="s">
        <v>7727</v>
      </c>
      <c r="E606" s="2" t="s">
        <v>7728</v>
      </c>
      <c r="F606" s="2" t="s">
        <v>7729</v>
      </c>
      <c r="H606" s="3" t="s">
        <v>62</v>
      </c>
      <c r="I606" s="3" t="s">
        <v>63</v>
      </c>
      <c r="J606" s="3" t="s">
        <v>62</v>
      </c>
      <c r="K606" s="3" t="s">
        <v>62</v>
      </c>
      <c r="L606" s="3" t="s">
        <v>64</v>
      </c>
      <c r="M606" s="2" t="s">
        <v>7730</v>
      </c>
      <c r="N606" s="2" t="s">
        <v>7731</v>
      </c>
      <c r="O606" s="3" t="s">
        <v>7732</v>
      </c>
      <c r="Q606" s="3" t="s">
        <v>68</v>
      </c>
      <c r="R606" s="3" t="s">
        <v>630</v>
      </c>
      <c r="T606" s="3" t="s">
        <v>70</v>
      </c>
      <c r="U606" s="4">
        <v>1</v>
      </c>
      <c r="V606" s="4">
        <v>1</v>
      </c>
      <c r="W606" s="5" t="s">
        <v>7733</v>
      </c>
      <c r="X606" s="5" t="s">
        <v>7733</v>
      </c>
      <c r="Y606" s="5" t="s">
        <v>7032</v>
      </c>
      <c r="Z606" s="5" t="s">
        <v>7032</v>
      </c>
      <c r="AA606" s="4">
        <v>217</v>
      </c>
      <c r="AB606" s="4">
        <v>194</v>
      </c>
      <c r="AC606" s="4">
        <v>414</v>
      </c>
      <c r="AD606" s="4">
        <v>2</v>
      </c>
      <c r="AE606" s="4">
        <v>3</v>
      </c>
      <c r="AF606" s="4">
        <v>10</v>
      </c>
      <c r="AG606" s="4">
        <v>22</v>
      </c>
      <c r="AH606" s="4">
        <v>1</v>
      </c>
      <c r="AI606" s="4">
        <v>7</v>
      </c>
      <c r="AJ606" s="4">
        <v>3</v>
      </c>
      <c r="AK606" s="4">
        <v>3</v>
      </c>
      <c r="AL606" s="4">
        <v>7</v>
      </c>
      <c r="AM606" s="4">
        <v>15</v>
      </c>
      <c r="AN606" s="4">
        <v>1</v>
      </c>
      <c r="AO606" s="4">
        <v>2</v>
      </c>
      <c r="AP606" s="4">
        <v>0</v>
      </c>
      <c r="AQ606" s="4">
        <v>0</v>
      </c>
      <c r="AR606" s="3" t="s">
        <v>62</v>
      </c>
      <c r="AS606" s="3" t="s">
        <v>62</v>
      </c>
      <c r="AU606" s="6" t="str">
        <f>HYPERLINK("https://creighton-primo.hosted.exlibrisgroup.com/primo-explore/search?tab=default_tab&amp;search_scope=EVERYTHING&amp;vid=01CRU&amp;lang=en_US&amp;offset=0&amp;query=any,contains,991005030589702656","Catalog Record")</f>
        <v>Catalog Record</v>
      </c>
      <c r="AV606" s="6" t="str">
        <f>HYPERLINK("http://www.worldcat.org/oclc/6712130","WorldCat Record")</f>
        <v>WorldCat Record</v>
      </c>
      <c r="AW606" s="3" t="s">
        <v>7734</v>
      </c>
      <c r="AX606" s="3" t="s">
        <v>7735</v>
      </c>
      <c r="AY606" s="3" t="s">
        <v>7736</v>
      </c>
      <c r="AZ606" s="3" t="s">
        <v>7736</v>
      </c>
      <c r="BA606" s="3" t="s">
        <v>7737</v>
      </c>
      <c r="BB606" s="3" t="s">
        <v>77</v>
      </c>
      <c r="BE606" s="3" t="s">
        <v>7738</v>
      </c>
      <c r="BF606" s="3" t="s">
        <v>7739</v>
      </c>
    </row>
    <row r="607" spans="1:58" ht="41.25" customHeight="1" x14ac:dyDescent="0.25">
      <c r="A607" s="7" t="s">
        <v>62</v>
      </c>
      <c r="B607" s="2" t="s">
        <v>57</v>
      </c>
      <c r="C607" s="2" t="s">
        <v>58</v>
      </c>
      <c r="D607" s="2" t="s">
        <v>7740</v>
      </c>
      <c r="E607" s="2" t="s">
        <v>7741</v>
      </c>
      <c r="F607" s="2" t="s">
        <v>7742</v>
      </c>
      <c r="H607" s="3" t="s">
        <v>62</v>
      </c>
      <c r="I607" s="3" t="s">
        <v>63</v>
      </c>
      <c r="J607" s="3" t="s">
        <v>62</v>
      </c>
      <c r="K607" s="3" t="s">
        <v>62</v>
      </c>
      <c r="L607" s="3" t="s">
        <v>64</v>
      </c>
      <c r="M607" s="2" t="s">
        <v>7743</v>
      </c>
      <c r="N607" s="2" t="s">
        <v>7744</v>
      </c>
      <c r="O607" s="3" t="s">
        <v>1158</v>
      </c>
      <c r="Q607" s="3" t="s">
        <v>68</v>
      </c>
      <c r="R607" s="3" t="s">
        <v>69</v>
      </c>
      <c r="S607" s="2" t="s">
        <v>7745</v>
      </c>
      <c r="T607" s="3" t="s">
        <v>70</v>
      </c>
      <c r="U607" s="4">
        <v>3</v>
      </c>
      <c r="V607" s="4">
        <v>3</v>
      </c>
      <c r="W607" s="5" t="s">
        <v>7746</v>
      </c>
      <c r="X607" s="5" t="s">
        <v>7746</v>
      </c>
      <c r="Y607" s="5" t="s">
        <v>7032</v>
      </c>
      <c r="Z607" s="5" t="s">
        <v>7032</v>
      </c>
      <c r="AA607" s="4">
        <v>262</v>
      </c>
      <c r="AB607" s="4">
        <v>205</v>
      </c>
      <c r="AC607" s="4">
        <v>364</v>
      </c>
      <c r="AD607" s="4">
        <v>1</v>
      </c>
      <c r="AE607" s="4">
        <v>2</v>
      </c>
      <c r="AF607" s="4">
        <v>13</v>
      </c>
      <c r="AG607" s="4">
        <v>24</v>
      </c>
      <c r="AH607" s="4">
        <v>4</v>
      </c>
      <c r="AI607" s="4">
        <v>8</v>
      </c>
      <c r="AJ607" s="4">
        <v>7</v>
      </c>
      <c r="AK607" s="4">
        <v>7</v>
      </c>
      <c r="AL607" s="4">
        <v>6</v>
      </c>
      <c r="AM607" s="4">
        <v>14</v>
      </c>
      <c r="AN607" s="4">
        <v>0</v>
      </c>
      <c r="AO607" s="4">
        <v>1</v>
      </c>
      <c r="AP607" s="4">
        <v>0</v>
      </c>
      <c r="AQ607" s="4">
        <v>0</v>
      </c>
      <c r="AR607" s="3" t="s">
        <v>62</v>
      </c>
      <c r="AS607" s="3" t="s">
        <v>84</v>
      </c>
      <c r="AT607" s="6" t="str">
        <f>HYPERLINK("http://catalog.hathitrust.org/Record/007117090","HathiTrust Record")</f>
        <v>HathiTrust Record</v>
      </c>
      <c r="AU607" s="6" t="str">
        <f>HYPERLINK("https://creighton-primo.hosted.exlibrisgroup.com/primo-explore/search?tab=default_tab&amp;search_scope=EVERYTHING&amp;vid=01CRU&amp;lang=en_US&amp;offset=0&amp;query=any,contains,991002896389702656","Catalog Record")</f>
        <v>Catalog Record</v>
      </c>
      <c r="AV607" s="6" t="str">
        <f>HYPERLINK("http://www.worldcat.org/oclc/514515","WorldCat Record")</f>
        <v>WorldCat Record</v>
      </c>
      <c r="AW607" s="3" t="s">
        <v>7747</v>
      </c>
      <c r="AX607" s="3" t="s">
        <v>7748</v>
      </c>
      <c r="AY607" s="3" t="s">
        <v>7749</v>
      </c>
      <c r="AZ607" s="3" t="s">
        <v>7749</v>
      </c>
      <c r="BA607" s="3" t="s">
        <v>7750</v>
      </c>
      <c r="BB607" s="3" t="s">
        <v>77</v>
      </c>
      <c r="BD607" s="3" t="s">
        <v>7751</v>
      </c>
      <c r="BE607" s="3" t="s">
        <v>7752</v>
      </c>
      <c r="BF607" s="3" t="s">
        <v>7753</v>
      </c>
    </row>
    <row r="608" spans="1:58" ht="41.25" customHeight="1" x14ac:dyDescent="0.25">
      <c r="A608" s="7" t="s">
        <v>62</v>
      </c>
      <c r="B608" s="2" t="s">
        <v>57</v>
      </c>
      <c r="C608" s="2" t="s">
        <v>58</v>
      </c>
      <c r="D608" s="2" t="s">
        <v>7754</v>
      </c>
      <c r="E608" s="2" t="s">
        <v>7755</v>
      </c>
      <c r="F608" s="2" t="s">
        <v>7756</v>
      </c>
      <c r="H608" s="3" t="s">
        <v>62</v>
      </c>
      <c r="I608" s="3" t="s">
        <v>63</v>
      </c>
      <c r="J608" s="3" t="s">
        <v>62</v>
      </c>
      <c r="K608" s="3" t="s">
        <v>62</v>
      </c>
      <c r="L608" s="3" t="s">
        <v>64</v>
      </c>
      <c r="M608" s="2" t="s">
        <v>6904</v>
      </c>
      <c r="N608" s="2" t="s">
        <v>7757</v>
      </c>
      <c r="O608" s="3" t="s">
        <v>340</v>
      </c>
      <c r="Q608" s="3" t="s">
        <v>68</v>
      </c>
      <c r="R608" s="3" t="s">
        <v>69</v>
      </c>
      <c r="S608" s="2" t="s">
        <v>7758</v>
      </c>
      <c r="T608" s="3" t="s">
        <v>70</v>
      </c>
      <c r="U608" s="4">
        <v>8</v>
      </c>
      <c r="V608" s="4">
        <v>8</v>
      </c>
      <c r="W608" s="5" t="s">
        <v>7759</v>
      </c>
      <c r="X608" s="5" t="s">
        <v>7759</v>
      </c>
      <c r="Y608" s="5" t="s">
        <v>7032</v>
      </c>
      <c r="Z608" s="5" t="s">
        <v>7032</v>
      </c>
      <c r="AA608" s="4">
        <v>653</v>
      </c>
      <c r="AB608" s="4">
        <v>586</v>
      </c>
      <c r="AC608" s="4">
        <v>588</v>
      </c>
      <c r="AD608" s="4">
        <v>4</v>
      </c>
      <c r="AE608" s="4">
        <v>4</v>
      </c>
      <c r="AF608" s="4">
        <v>20</v>
      </c>
      <c r="AG608" s="4">
        <v>20</v>
      </c>
      <c r="AH608" s="4">
        <v>5</v>
      </c>
      <c r="AI608" s="4">
        <v>5</v>
      </c>
      <c r="AJ608" s="4">
        <v>6</v>
      </c>
      <c r="AK608" s="4">
        <v>6</v>
      </c>
      <c r="AL608" s="4">
        <v>12</v>
      </c>
      <c r="AM608" s="4">
        <v>12</v>
      </c>
      <c r="AN608" s="4">
        <v>3</v>
      </c>
      <c r="AO608" s="4">
        <v>3</v>
      </c>
      <c r="AP608" s="4">
        <v>0</v>
      </c>
      <c r="AQ608" s="4">
        <v>0</v>
      </c>
      <c r="AR608" s="3" t="s">
        <v>62</v>
      </c>
      <c r="AS608" s="3" t="s">
        <v>62</v>
      </c>
      <c r="AT608" s="6" t="str">
        <f>HYPERLINK("http://catalog.hathitrust.org/Record/001392669","HathiTrust Record")</f>
        <v>HathiTrust Record</v>
      </c>
      <c r="AU608" s="6" t="str">
        <f>HYPERLINK("https://creighton-primo.hosted.exlibrisgroup.com/primo-explore/search?tab=default_tab&amp;search_scope=EVERYTHING&amp;vid=01CRU&amp;lang=en_US&amp;offset=0&amp;query=any,contains,991003303699702656","Catalog Record")</f>
        <v>Catalog Record</v>
      </c>
      <c r="AV608" s="6" t="str">
        <f>HYPERLINK("http://www.worldcat.org/oclc/826753","WorldCat Record")</f>
        <v>WorldCat Record</v>
      </c>
      <c r="AW608" s="3" t="s">
        <v>7760</v>
      </c>
      <c r="AX608" s="3" t="s">
        <v>7761</v>
      </c>
      <c r="AY608" s="3" t="s">
        <v>7762</v>
      </c>
      <c r="AZ608" s="3" t="s">
        <v>7762</v>
      </c>
      <c r="BA608" s="3" t="s">
        <v>7763</v>
      </c>
      <c r="BB608" s="3" t="s">
        <v>77</v>
      </c>
      <c r="BE608" s="3" t="s">
        <v>7764</v>
      </c>
      <c r="BF608" s="3" t="s">
        <v>7765</v>
      </c>
    </row>
    <row r="609" spans="1:58" ht="41.25" customHeight="1" x14ac:dyDescent="0.25">
      <c r="A609" s="7" t="s">
        <v>62</v>
      </c>
      <c r="B609" s="2" t="s">
        <v>57</v>
      </c>
      <c r="C609" s="2" t="s">
        <v>58</v>
      </c>
      <c r="D609" s="2" t="s">
        <v>7766</v>
      </c>
      <c r="E609" s="2" t="s">
        <v>7767</v>
      </c>
      <c r="F609" s="2" t="s">
        <v>7768</v>
      </c>
      <c r="H609" s="3" t="s">
        <v>62</v>
      </c>
      <c r="I609" s="3" t="s">
        <v>63</v>
      </c>
      <c r="J609" s="3" t="s">
        <v>62</v>
      </c>
      <c r="K609" s="3" t="s">
        <v>62</v>
      </c>
      <c r="L609" s="3" t="s">
        <v>64</v>
      </c>
      <c r="M609" s="2" t="s">
        <v>7769</v>
      </c>
      <c r="N609" s="2" t="s">
        <v>491</v>
      </c>
      <c r="O609" s="3" t="s">
        <v>404</v>
      </c>
      <c r="Q609" s="3" t="s">
        <v>68</v>
      </c>
      <c r="R609" s="3" t="s">
        <v>69</v>
      </c>
      <c r="T609" s="3" t="s">
        <v>70</v>
      </c>
      <c r="U609" s="4">
        <v>1</v>
      </c>
      <c r="V609" s="4">
        <v>1</v>
      </c>
      <c r="W609" s="5" t="s">
        <v>7770</v>
      </c>
      <c r="X609" s="5" t="s">
        <v>7770</v>
      </c>
      <c r="Y609" s="5" t="s">
        <v>7200</v>
      </c>
      <c r="Z609" s="5" t="s">
        <v>7200</v>
      </c>
      <c r="AA609" s="4">
        <v>489</v>
      </c>
      <c r="AB609" s="4">
        <v>445</v>
      </c>
      <c r="AC609" s="4">
        <v>634</v>
      </c>
      <c r="AD609" s="4">
        <v>3</v>
      </c>
      <c r="AE609" s="4">
        <v>4</v>
      </c>
      <c r="AF609" s="4">
        <v>26</v>
      </c>
      <c r="AG609" s="4">
        <v>35</v>
      </c>
      <c r="AH609" s="4">
        <v>8</v>
      </c>
      <c r="AI609" s="4">
        <v>13</v>
      </c>
      <c r="AJ609" s="4">
        <v>6</v>
      </c>
      <c r="AK609" s="4">
        <v>7</v>
      </c>
      <c r="AL609" s="4">
        <v>18</v>
      </c>
      <c r="AM609" s="4">
        <v>21</v>
      </c>
      <c r="AN609" s="4">
        <v>2</v>
      </c>
      <c r="AO609" s="4">
        <v>3</v>
      </c>
      <c r="AP609" s="4">
        <v>0</v>
      </c>
      <c r="AQ609" s="4">
        <v>0</v>
      </c>
      <c r="AR609" s="3" t="s">
        <v>62</v>
      </c>
      <c r="AS609" s="3" t="s">
        <v>84</v>
      </c>
      <c r="AT609" s="6" t="str">
        <f>HYPERLINK("http://catalog.hathitrust.org/Record/006755445","HathiTrust Record")</f>
        <v>HathiTrust Record</v>
      </c>
      <c r="AU609" s="6" t="str">
        <f>HYPERLINK("https://creighton-primo.hosted.exlibrisgroup.com/primo-explore/search?tab=default_tab&amp;search_scope=EVERYTHING&amp;vid=01CRU&amp;lang=en_US&amp;offset=0&amp;query=any,contains,991002113729702656","Catalog Record")</f>
        <v>Catalog Record</v>
      </c>
      <c r="AV609" s="6" t="str">
        <f>HYPERLINK("http://www.worldcat.org/oclc/267784","WorldCat Record")</f>
        <v>WorldCat Record</v>
      </c>
      <c r="AW609" s="3" t="s">
        <v>7771</v>
      </c>
      <c r="AX609" s="3" t="s">
        <v>7772</v>
      </c>
      <c r="AY609" s="3" t="s">
        <v>7773</v>
      </c>
      <c r="AZ609" s="3" t="s">
        <v>7773</v>
      </c>
      <c r="BA609" s="3" t="s">
        <v>7774</v>
      </c>
      <c r="BB609" s="3" t="s">
        <v>77</v>
      </c>
      <c r="BE609" s="3" t="s">
        <v>7775</v>
      </c>
      <c r="BF609" s="3" t="s">
        <v>7776</v>
      </c>
    </row>
    <row r="610" spans="1:58" ht="41.25" customHeight="1" x14ac:dyDescent="0.25">
      <c r="A610" s="7" t="s">
        <v>62</v>
      </c>
      <c r="B610" s="2" t="s">
        <v>57</v>
      </c>
      <c r="C610" s="2" t="s">
        <v>58</v>
      </c>
      <c r="D610" s="2" t="s">
        <v>7777</v>
      </c>
      <c r="E610" s="2" t="s">
        <v>7778</v>
      </c>
      <c r="F610" s="2" t="s">
        <v>7779</v>
      </c>
      <c r="H610" s="3" t="s">
        <v>62</v>
      </c>
      <c r="I610" s="3" t="s">
        <v>63</v>
      </c>
      <c r="J610" s="3" t="s">
        <v>62</v>
      </c>
      <c r="K610" s="3" t="s">
        <v>62</v>
      </c>
      <c r="L610" s="3" t="s">
        <v>64</v>
      </c>
      <c r="M610" s="2" t="s">
        <v>7780</v>
      </c>
      <c r="N610" s="2" t="s">
        <v>7781</v>
      </c>
      <c r="O610" s="3" t="s">
        <v>7782</v>
      </c>
      <c r="Q610" s="3" t="s">
        <v>68</v>
      </c>
      <c r="R610" s="3" t="s">
        <v>88</v>
      </c>
      <c r="T610" s="3" t="s">
        <v>70</v>
      </c>
      <c r="U610" s="4">
        <v>4</v>
      </c>
      <c r="V610" s="4">
        <v>4</v>
      </c>
      <c r="W610" s="5" t="s">
        <v>7783</v>
      </c>
      <c r="X610" s="5" t="s">
        <v>7783</v>
      </c>
      <c r="Y610" s="5" t="s">
        <v>7200</v>
      </c>
      <c r="Z610" s="5" t="s">
        <v>7200</v>
      </c>
      <c r="AA610" s="4">
        <v>169</v>
      </c>
      <c r="AB610" s="4">
        <v>150</v>
      </c>
      <c r="AC610" s="4">
        <v>275</v>
      </c>
      <c r="AD610" s="4">
        <v>1</v>
      </c>
      <c r="AE610" s="4">
        <v>2</v>
      </c>
      <c r="AF610" s="4">
        <v>19</v>
      </c>
      <c r="AG610" s="4">
        <v>28</v>
      </c>
      <c r="AH610" s="4">
        <v>5</v>
      </c>
      <c r="AI610" s="4">
        <v>7</v>
      </c>
      <c r="AJ610" s="4">
        <v>7</v>
      </c>
      <c r="AK610" s="4">
        <v>10</v>
      </c>
      <c r="AL610" s="4">
        <v>15</v>
      </c>
      <c r="AM610" s="4">
        <v>21</v>
      </c>
      <c r="AN610" s="4">
        <v>0</v>
      </c>
      <c r="AO610" s="4">
        <v>0</v>
      </c>
      <c r="AP610" s="4">
        <v>0</v>
      </c>
      <c r="AQ610" s="4">
        <v>0</v>
      </c>
      <c r="AR610" s="3" t="s">
        <v>62</v>
      </c>
      <c r="AS610" s="3" t="s">
        <v>62</v>
      </c>
      <c r="AU610" s="6" t="str">
        <f>HYPERLINK("https://creighton-primo.hosted.exlibrisgroup.com/primo-explore/search?tab=default_tab&amp;search_scope=EVERYTHING&amp;vid=01CRU&amp;lang=en_US&amp;offset=0&amp;query=any,contains,991003799029702656","Catalog Record")</f>
        <v>Catalog Record</v>
      </c>
      <c r="AV610" s="6" t="str">
        <f>HYPERLINK("http://www.worldcat.org/oclc/1524662","WorldCat Record")</f>
        <v>WorldCat Record</v>
      </c>
      <c r="AW610" s="3" t="s">
        <v>7784</v>
      </c>
      <c r="AX610" s="3" t="s">
        <v>7785</v>
      </c>
      <c r="AY610" s="3" t="s">
        <v>7786</v>
      </c>
      <c r="AZ610" s="3" t="s">
        <v>7786</v>
      </c>
      <c r="BA610" s="3" t="s">
        <v>7787</v>
      </c>
      <c r="BB610" s="3" t="s">
        <v>77</v>
      </c>
      <c r="BE610" s="3" t="s">
        <v>7788</v>
      </c>
      <c r="BF610" s="3" t="s">
        <v>7789</v>
      </c>
    </row>
    <row r="611" spans="1:58" ht="41.25" customHeight="1" x14ac:dyDescent="0.25">
      <c r="A611" s="7" t="s">
        <v>62</v>
      </c>
      <c r="B611" s="2" t="s">
        <v>57</v>
      </c>
      <c r="C611" s="2" t="s">
        <v>58</v>
      </c>
      <c r="D611" s="2" t="s">
        <v>7790</v>
      </c>
      <c r="E611" s="2" t="s">
        <v>7791</v>
      </c>
      <c r="F611" s="2" t="s">
        <v>7792</v>
      </c>
      <c r="H611" s="3" t="s">
        <v>62</v>
      </c>
      <c r="I611" s="3" t="s">
        <v>63</v>
      </c>
      <c r="J611" s="3" t="s">
        <v>62</v>
      </c>
      <c r="K611" s="3" t="s">
        <v>62</v>
      </c>
      <c r="L611" s="3" t="s">
        <v>64</v>
      </c>
      <c r="M611" s="2" t="s">
        <v>7793</v>
      </c>
      <c r="N611" s="2" t="s">
        <v>7794</v>
      </c>
      <c r="O611" s="3" t="s">
        <v>1637</v>
      </c>
      <c r="Q611" s="3" t="s">
        <v>68</v>
      </c>
      <c r="R611" s="3" t="s">
        <v>69</v>
      </c>
      <c r="T611" s="3" t="s">
        <v>70</v>
      </c>
      <c r="U611" s="4">
        <v>6</v>
      </c>
      <c r="V611" s="4">
        <v>6</v>
      </c>
      <c r="W611" s="5" t="s">
        <v>4707</v>
      </c>
      <c r="X611" s="5" t="s">
        <v>4707</v>
      </c>
      <c r="Y611" s="5" t="s">
        <v>2852</v>
      </c>
      <c r="Z611" s="5" t="s">
        <v>2852</v>
      </c>
      <c r="AA611" s="4">
        <v>602</v>
      </c>
      <c r="AB611" s="4">
        <v>544</v>
      </c>
      <c r="AC611" s="4">
        <v>546</v>
      </c>
      <c r="AD611" s="4">
        <v>6</v>
      </c>
      <c r="AE611" s="4">
        <v>6</v>
      </c>
      <c r="AF611" s="4">
        <v>19</v>
      </c>
      <c r="AG611" s="4">
        <v>19</v>
      </c>
      <c r="AH611" s="4">
        <v>10</v>
      </c>
      <c r="AI611" s="4">
        <v>10</v>
      </c>
      <c r="AJ611" s="4">
        <v>2</v>
      </c>
      <c r="AK611" s="4">
        <v>2</v>
      </c>
      <c r="AL611" s="4">
        <v>9</v>
      </c>
      <c r="AM611" s="4">
        <v>9</v>
      </c>
      <c r="AN611" s="4">
        <v>3</v>
      </c>
      <c r="AO611" s="4">
        <v>3</v>
      </c>
      <c r="AP611" s="4">
        <v>0</v>
      </c>
      <c r="AQ611" s="4">
        <v>0</v>
      </c>
      <c r="AR611" s="3" t="s">
        <v>62</v>
      </c>
      <c r="AS611" s="3" t="s">
        <v>84</v>
      </c>
      <c r="AT611" s="6" t="str">
        <f>HYPERLINK("http://catalog.hathitrust.org/Record/000163798","HathiTrust Record")</f>
        <v>HathiTrust Record</v>
      </c>
      <c r="AU611" s="6" t="str">
        <f>HYPERLINK("https://creighton-primo.hosted.exlibrisgroup.com/primo-explore/search?tab=default_tab&amp;search_scope=EVERYTHING&amp;vid=01CRU&amp;lang=en_US&amp;offset=0&amp;query=any,contains,991000209649702656","Catalog Record")</f>
        <v>Catalog Record</v>
      </c>
      <c r="AV611" s="6" t="str">
        <f>HYPERLINK("http://www.worldcat.org/oclc/9533248","WorldCat Record")</f>
        <v>WorldCat Record</v>
      </c>
      <c r="AW611" s="3" t="s">
        <v>7795</v>
      </c>
      <c r="AX611" s="3" t="s">
        <v>7796</v>
      </c>
      <c r="AY611" s="3" t="s">
        <v>7797</v>
      </c>
      <c r="AZ611" s="3" t="s">
        <v>7797</v>
      </c>
      <c r="BA611" s="3" t="s">
        <v>7798</v>
      </c>
      <c r="BB611" s="3" t="s">
        <v>77</v>
      </c>
      <c r="BD611" s="3" t="s">
        <v>7799</v>
      </c>
      <c r="BE611" s="3" t="s">
        <v>7800</v>
      </c>
      <c r="BF611" s="3" t="s">
        <v>7801</v>
      </c>
    </row>
    <row r="612" spans="1:58" ht="41.25" customHeight="1" x14ac:dyDescent="0.25">
      <c r="A612" s="7" t="s">
        <v>62</v>
      </c>
      <c r="B612" s="2" t="s">
        <v>57</v>
      </c>
      <c r="C612" s="2" t="s">
        <v>58</v>
      </c>
      <c r="D612" s="2" t="s">
        <v>7802</v>
      </c>
      <c r="E612" s="2" t="s">
        <v>7803</v>
      </c>
      <c r="F612" s="2" t="s">
        <v>7804</v>
      </c>
      <c r="H612" s="3" t="s">
        <v>62</v>
      </c>
      <c r="I612" s="3" t="s">
        <v>63</v>
      </c>
      <c r="J612" s="3" t="s">
        <v>62</v>
      </c>
      <c r="K612" s="3" t="s">
        <v>62</v>
      </c>
      <c r="L612" s="3" t="s">
        <v>64</v>
      </c>
      <c r="N612" s="2" t="s">
        <v>7805</v>
      </c>
      <c r="O612" s="3" t="s">
        <v>6791</v>
      </c>
      <c r="Q612" s="3" t="s">
        <v>68</v>
      </c>
      <c r="R612" s="3" t="s">
        <v>204</v>
      </c>
      <c r="T612" s="3" t="s">
        <v>70</v>
      </c>
      <c r="U612" s="4">
        <v>1</v>
      </c>
      <c r="V612" s="4">
        <v>1</v>
      </c>
      <c r="W612" s="5" t="s">
        <v>7806</v>
      </c>
      <c r="X612" s="5" t="s">
        <v>7806</v>
      </c>
      <c r="Y612" s="5" t="s">
        <v>7807</v>
      </c>
      <c r="Z612" s="5" t="s">
        <v>7807</v>
      </c>
      <c r="AA612" s="4">
        <v>227</v>
      </c>
      <c r="AB612" s="4">
        <v>199</v>
      </c>
      <c r="AC612" s="4">
        <v>204</v>
      </c>
      <c r="AD612" s="4">
        <v>2</v>
      </c>
      <c r="AE612" s="4">
        <v>2</v>
      </c>
      <c r="AF612" s="4">
        <v>16</v>
      </c>
      <c r="AG612" s="4">
        <v>16</v>
      </c>
      <c r="AH612" s="4">
        <v>5</v>
      </c>
      <c r="AI612" s="4">
        <v>5</v>
      </c>
      <c r="AJ612" s="4">
        <v>5</v>
      </c>
      <c r="AK612" s="4">
        <v>5</v>
      </c>
      <c r="AL612" s="4">
        <v>11</v>
      </c>
      <c r="AM612" s="4">
        <v>11</v>
      </c>
      <c r="AN612" s="4">
        <v>1</v>
      </c>
      <c r="AO612" s="4">
        <v>1</v>
      </c>
      <c r="AP612" s="4">
        <v>0</v>
      </c>
      <c r="AQ612" s="4">
        <v>0</v>
      </c>
      <c r="AR612" s="3" t="s">
        <v>62</v>
      </c>
      <c r="AS612" s="3" t="s">
        <v>62</v>
      </c>
      <c r="AU612" s="6" t="str">
        <f>HYPERLINK("https://creighton-primo.hosted.exlibrisgroup.com/primo-explore/search?tab=default_tab&amp;search_scope=EVERYTHING&amp;vid=01CRU&amp;lang=en_US&amp;offset=0&amp;query=any,contains,991005328159702656","Catalog Record")</f>
        <v>Catalog Record</v>
      </c>
      <c r="AV612" s="6" t="str">
        <f>HYPERLINK("http://www.worldcat.org/oclc/32132663","WorldCat Record")</f>
        <v>WorldCat Record</v>
      </c>
      <c r="AW612" s="3" t="s">
        <v>7808</v>
      </c>
      <c r="AX612" s="3" t="s">
        <v>7809</v>
      </c>
      <c r="AY612" s="3" t="s">
        <v>7810</v>
      </c>
      <c r="AZ612" s="3" t="s">
        <v>7810</v>
      </c>
      <c r="BA612" s="3" t="s">
        <v>7811</v>
      </c>
      <c r="BB612" s="3" t="s">
        <v>77</v>
      </c>
      <c r="BD612" s="3" t="s">
        <v>7812</v>
      </c>
      <c r="BE612" s="3" t="s">
        <v>7813</v>
      </c>
      <c r="BF612" s="3" t="s">
        <v>7814</v>
      </c>
    </row>
    <row r="613" spans="1:58" ht="41.25" customHeight="1" x14ac:dyDescent="0.25">
      <c r="A613" s="7" t="s">
        <v>62</v>
      </c>
      <c r="B613" s="2" t="s">
        <v>57</v>
      </c>
      <c r="C613" s="2" t="s">
        <v>58</v>
      </c>
      <c r="D613" s="2" t="s">
        <v>7815</v>
      </c>
      <c r="E613" s="2" t="s">
        <v>7816</v>
      </c>
      <c r="F613" s="2" t="s">
        <v>7817</v>
      </c>
      <c r="H613" s="3" t="s">
        <v>62</v>
      </c>
      <c r="I613" s="3" t="s">
        <v>63</v>
      </c>
      <c r="J613" s="3" t="s">
        <v>62</v>
      </c>
      <c r="K613" s="3" t="s">
        <v>62</v>
      </c>
      <c r="L613" s="3" t="s">
        <v>64</v>
      </c>
      <c r="N613" s="2" t="s">
        <v>7818</v>
      </c>
      <c r="O613" s="3" t="s">
        <v>253</v>
      </c>
      <c r="Q613" s="3" t="s">
        <v>68</v>
      </c>
      <c r="R613" s="3" t="s">
        <v>69</v>
      </c>
      <c r="T613" s="3" t="s">
        <v>70</v>
      </c>
      <c r="U613" s="4">
        <v>3</v>
      </c>
      <c r="V613" s="4">
        <v>3</v>
      </c>
      <c r="W613" s="5" t="s">
        <v>282</v>
      </c>
      <c r="X613" s="5" t="s">
        <v>282</v>
      </c>
      <c r="Y613" s="5" t="s">
        <v>7819</v>
      </c>
      <c r="Z613" s="5" t="s">
        <v>7819</v>
      </c>
      <c r="AA613" s="4">
        <v>280</v>
      </c>
      <c r="AB613" s="4">
        <v>218</v>
      </c>
      <c r="AC613" s="4">
        <v>224</v>
      </c>
      <c r="AD613" s="4">
        <v>2</v>
      </c>
      <c r="AE613" s="4">
        <v>2</v>
      </c>
      <c r="AF613" s="4">
        <v>11</v>
      </c>
      <c r="AG613" s="4">
        <v>11</v>
      </c>
      <c r="AH613" s="4">
        <v>4</v>
      </c>
      <c r="AI613" s="4">
        <v>4</v>
      </c>
      <c r="AJ613" s="4">
        <v>2</v>
      </c>
      <c r="AK613" s="4">
        <v>2</v>
      </c>
      <c r="AL613" s="4">
        <v>6</v>
      </c>
      <c r="AM613" s="4">
        <v>6</v>
      </c>
      <c r="AN613" s="4">
        <v>1</v>
      </c>
      <c r="AO613" s="4">
        <v>1</v>
      </c>
      <c r="AP613" s="4">
        <v>0</v>
      </c>
      <c r="AQ613" s="4">
        <v>0</v>
      </c>
      <c r="AR613" s="3" t="s">
        <v>62</v>
      </c>
      <c r="AS613" s="3" t="s">
        <v>84</v>
      </c>
      <c r="AT613" s="6" t="str">
        <f>HYPERLINK("http://catalog.hathitrust.org/Record/000591590","HathiTrust Record")</f>
        <v>HathiTrust Record</v>
      </c>
      <c r="AU613" s="6" t="str">
        <f>HYPERLINK("https://creighton-primo.hosted.exlibrisgroup.com/primo-explore/search?tab=default_tab&amp;search_scope=EVERYTHING&amp;vid=01CRU&amp;lang=en_US&amp;offset=0&amp;query=any,contains,991000641179702656","Catalog Record")</f>
        <v>Catalog Record</v>
      </c>
      <c r="AV613" s="6" t="str">
        <f>HYPERLINK("http://www.worldcat.org/oclc/12104337","WorldCat Record")</f>
        <v>WorldCat Record</v>
      </c>
      <c r="AW613" s="3" t="s">
        <v>7820</v>
      </c>
      <c r="AX613" s="3" t="s">
        <v>7821</v>
      </c>
      <c r="AY613" s="3" t="s">
        <v>7822</v>
      </c>
      <c r="AZ613" s="3" t="s">
        <v>7822</v>
      </c>
      <c r="BA613" s="3" t="s">
        <v>7823</v>
      </c>
      <c r="BB613" s="3" t="s">
        <v>77</v>
      </c>
      <c r="BD613" s="3" t="s">
        <v>7824</v>
      </c>
      <c r="BE613" s="3" t="s">
        <v>7825</v>
      </c>
      <c r="BF613" s="3" t="s">
        <v>7826</v>
      </c>
    </row>
    <row r="614" spans="1:58" ht="41.25" customHeight="1" x14ac:dyDescent="0.25">
      <c r="A614" s="7" t="s">
        <v>62</v>
      </c>
      <c r="B614" s="2" t="s">
        <v>57</v>
      </c>
      <c r="C614" s="2" t="s">
        <v>58</v>
      </c>
      <c r="D614" s="2" t="s">
        <v>7827</v>
      </c>
      <c r="E614" s="2" t="s">
        <v>7828</v>
      </c>
      <c r="F614" s="2" t="s">
        <v>7829</v>
      </c>
      <c r="H614" s="3" t="s">
        <v>62</v>
      </c>
      <c r="I614" s="3" t="s">
        <v>63</v>
      </c>
      <c r="J614" s="3" t="s">
        <v>62</v>
      </c>
      <c r="K614" s="3" t="s">
        <v>62</v>
      </c>
      <c r="L614" s="3" t="s">
        <v>64</v>
      </c>
      <c r="M614" s="2" t="s">
        <v>7830</v>
      </c>
      <c r="N614" s="2" t="s">
        <v>7831</v>
      </c>
      <c r="O614" s="3" t="s">
        <v>6791</v>
      </c>
      <c r="Q614" s="3" t="s">
        <v>68</v>
      </c>
      <c r="R614" s="3" t="s">
        <v>420</v>
      </c>
      <c r="S614" s="2" t="s">
        <v>7832</v>
      </c>
      <c r="T614" s="3" t="s">
        <v>70</v>
      </c>
      <c r="U614" s="4">
        <v>1</v>
      </c>
      <c r="V614" s="4">
        <v>1</v>
      </c>
      <c r="W614" s="5" t="s">
        <v>7833</v>
      </c>
      <c r="X614" s="5" t="s">
        <v>7833</v>
      </c>
      <c r="Y614" s="5" t="s">
        <v>7834</v>
      </c>
      <c r="Z614" s="5" t="s">
        <v>7834</v>
      </c>
      <c r="AA614" s="4">
        <v>110</v>
      </c>
      <c r="AB614" s="4">
        <v>96</v>
      </c>
      <c r="AC614" s="4">
        <v>96</v>
      </c>
      <c r="AD614" s="4">
        <v>3</v>
      </c>
      <c r="AE614" s="4">
        <v>3</v>
      </c>
      <c r="AF614" s="4">
        <v>17</v>
      </c>
      <c r="AG614" s="4">
        <v>17</v>
      </c>
      <c r="AH614" s="4">
        <v>5</v>
      </c>
      <c r="AI614" s="4">
        <v>5</v>
      </c>
      <c r="AJ614" s="4">
        <v>5</v>
      </c>
      <c r="AK614" s="4">
        <v>5</v>
      </c>
      <c r="AL614" s="4">
        <v>13</v>
      </c>
      <c r="AM614" s="4">
        <v>13</v>
      </c>
      <c r="AN614" s="4">
        <v>1</v>
      </c>
      <c r="AO614" s="4">
        <v>1</v>
      </c>
      <c r="AP614" s="4">
        <v>0</v>
      </c>
      <c r="AQ614" s="4">
        <v>0</v>
      </c>
      <c r="AR614" s="3" t="s">
        <v>62</v>
      </c>
      <c r="AS614" s="3" t="s">
        <v>62</v>
      </c>
      <c r="AU614" s="6" t="str">
        <f>HYPERLINK("https://creighton-primo.hosted.exlibrisgroup.com/primo-explore/search?tab=default_tab&amp;search_scope=EVERYTHING&amp;vid=01CRU&amp;lang=en_US&amp;offset=0&amp;query=any,contains,991002585279702656","Catalog Record")</f>
        <v>Catalog Record</v>
      </c>
      <c r="AV614" s="6" t="str">
        <f>HYPERLINK("http://www.worldcat.org/oclc/50480267","WorldCat Record")</f>
        <v>WorldCat Record</v>
      </c>
      <c r="AW614" s="3" t="s">
        <v>7835</v>
      </c>
      <c r="AX614" s="3" t="s">
        <v>7836</v>
      </c>
      <c r="AY614" s="3" t="s">
        <v>7837</v>
      </c>
      <c r="AZ614" s="3" t="s">
        <v>7837</v>
      </c>
      <c r="BA614" s="3" t="s">
        <v>7838</v>
      </c>
      <c r="BB614" s="3" t="s">
        <v>77</v>
      </c>
      <c r="BD614" s="3" t="s">
        <v>7839</v>
      </c>
      <c r="BE614" s="3" t="s">
        <v>7840</v>
      </c>
      <c r="BF614" s="3" t="s">
        <v>7841</v>
      </c>
    </row>
    <row r="615" spans="1:58" ht="41.25" customHeight="1" x14ac:dyDescent="0.25">
      <c r="A615" s="7" t="s">
        <v>62</v>
      </c>
      <c r="B615" s="2" t="s">
        <v>57</v>
      </c>
      <c r="C615" s="2" t="s">
        <v>58</v>
      </c>
      <c r="D615" s="2" t="s">
        <v>7842</v>
      </c>
      <c r="E615" s="2" t="s">
        <v>7843</v>
      </c>
      <c r="F615" s="2" t="s">
        <v>7844</v>
      </c>
      <c r="H615" s="3" t="s">
        <v>62</v>
      </c>
      <c r="I615" s="3" t="s">
        <v>63</v>
      </c>
      <c r="J615" s="3" t="s">
        <v>62</v>
      </c>
      <c r="K615" s="3" t="s">
        <v>62</v>
      </c>
      <c r="L615" s="3" t="s">
        <v>64</v>
      </c>
      <c r="M615" s="2" t="s">
        <v>3762</v>
      </c>
      <c r="N615" s="2" t="s">
        <v>7845</v>
      </c>
      <c r="O615" s="3" t="s">
        <v>404</v>
      </c>
      <c r="Q615" s="3" t="s">
        <v>68</v>
      </c>
      <c r="R615" s="3" t="s">
        <v>88</v>
      </c>
      <c r="S615" s="2" t="s">
        <v>7846</v>
      </c>
      <c r="T615" s="3" t="s">
        <v>70</v>
      </c>
      <c r="U615" s="4">
        <v>6</v>
      </c>
      <c r="V615" s="4">
        <v>6</v>
      </c>
      <c r="W615" s="5" t="s">
        <v>7847</v>
      </c>
      <c r="X615" s="5" t="s">
        <v>7847</v>
      </c>
      <c r="Y615" s="5" t="s">
        <v>7200</v>
      </c>
      <c r="Z615" s="5" t="s">
        <v>7200</v>
      </c>
      <c r="AA615" s="4">
        <v>200</v>
      </c>
      <c r="AB615" s="4">
        <v>164</v>
      </c>
      <c r="AC615" s="4">
        <v>614</v>
      </c>
      <c r="AD615" s="4">
        <v>1</v>
      </c>
      <c r="AE615" s="4">
        <v>2</v>
      </c>
      <c r="AF615" s="4">
        <v>15</v>
      </c>
      <c r="AG615" s="4">
        <v>30</v>
      </c>
      <c r="AH615" s="4">
        <v>8</v>
      </c>
      <c r="AI615" s="4">
        <v>12</v>
      </c>
      <c r="AJ615" s="4">
        <v>5</v>
      </c>
      <c r="AK615" s="4">
        <v>8</v>
      </c>
      <c r="AL615" s="4">
        <v>8</v>
      </c>
      <c r="AM615" s="4">
        <v>19</v>
      </c>
      <c r="AN615" s="4">
        <v>0</v>
      </c>
      <c r="AO615" s="4">
        <v>1</v>
      </c>
      <c r="AP615" s="4">
        <v>0</v>
      </c>
      <c r="AQ615" s="4">
        <v>0</v>
      </c>
      <c r="AR615" s="3" t="s">
        <v>62</v>
      </c>
      <c r="AS615" s="3" t="s">
        <v>84</v>
      </c>
      <c r="AT615" s="6" t="str">
        <f>HYPERLINK("http://catalog.hathitrust.org/Record/102073330","HathiTrust Record")</f>
        <v>HathiTrust Record</v>
      </c>
      <c r="AU615" s="6" t="str">
        <f>HYPERLINK("https://creighton-primo.hosted.exlibrisgroup.com/primo-explore/search?tab=default_tab&amp;search_scope=EVERYTHING&amp;vid=01CRU&amp;lang=en_US&amp;offset=0&amp;query=any,contains,991003108539702656","Catalog Record")</f>
        <v>Catalog Record</v>
      </c>
      <c r="AV615" s="6" t="str">
        <f>HYPERLINK("http://www.worldcat.org/oclc/655638","WorldCat Record")</f>
        <v>WorldCat Record</v>
      </c>
      <c r="AW615" s="3" t="s">
        <v>7848</v>
      </c>
      <c r="AX615" s="3" t="s">
        <v>7849</v>
      </c>
      <c r="AY615" s="3" t="s">
        <v>7850</v>
      </c>
      <c r="AZ615" s="3" t="s">
        <v>7850</v>
      </c>
      <c r="BA615" s="3" t="s">
        <v>7851</v>
      </c>
      <c r="BB615" s="3" t="s">
        <v>77</v>
      </c>
      <c r="BE615" s="3" t="s">
        <v>7852</v>
      </c>
      <c r="BF615" s="3" t="s">
        <v>7853</v>
      </c>
    </row>
    <row r="616" spans="1:58" ht="41.25" customHeight="1" x14ac:dyDescent="0.25">
      <c r="A616" s="7" t="s">
        <v>62</v>
      </c>
      <c r="B616" s="2" t="s">
        <v>57</v>
      </c>
      <c r="C616" s="2" t="s">
        <v>58</v>
      </c>
      <c r="D616" s="2" t="s">
        <v>7854</v>
      </c>
      <c r="E616" s="2" t="s">
        <v>7855</v>
      </c>
      <c r="F616" s="2" t="s">
        <v>7856</v>
      </c>
      <c r="H616" s="3" t="s">
        <v>62</v>
      </c>
      <c r="I616" s="3" t="s">
        <v>63</v>
      </c>
      <c r="J616" s="3" t="s">
        <v>62</v>
      </c>
      <c r="K616" s="3" t="s">
        <v>62</v>
      </c>
      <c r="L616" s="3" t="s">
        <v>64</v>
      </c>
      <c r="M616" s="2" t="s">
        <v>7857</v>
      </c>
      <c r="N616" s="2" t="s">
        <v>7858</v>
      </c>
      <c r="O616" s="3" t="s">
        <v>590</v>
      </c>
      <c r="Q616" s="3" t="s">
        <v>68</v>
      </c>
      <c r="R616" s="3" t="s">
        <v>369</v>
      </c>
      <c r="S616" s="2" t="s">
        <v>7859</v>
      </c>
      <c r="T616" s="3" t="s">
        <v>70</v>
      </c>
      <c r="U616" s="4">
        <v>11</v>
      </c>
      <c r="V616" s="4">
        <v>11</v>
      </c>
      <c r="W616" s="5" t="s">
        <v>7860</v>
      </c>
      <c r="X616" s="5" t="s">
        <v>7860</v>
      </c>
      <c r="Y616" s="5" t="s">
        <v>7861</v>
      </c>
      <c r="Z616" s="5" t="s">
        <v>7861</v>
      </c>
      <c r="AA616" s="4">
        <v>919</v>
      </c>
      <c r="AB616" s="4">
        <v>786</v>
      </c>
      <c r="AC616" s="4">
        <v>1329</v>
      </c>
      <c r="AD616" s="4">
        <v>5</v>
      </c>
      <c r="AE616" s="4">
        <v>8</v>
      </c>
      <c r="AF616" s="4">
        <v>36</v>
      </c>
      <c r="AG616" s="4">
        <v>44</v>
      </c>
      <c r="AH616" s="4">
        <v>14</v>
      </c>
      <c r="AI616" s="4">
        <v>18</v>
      </c>
      <c r="AJ616" s="4">
        <v>9</v>
      </c>
      <c r="AK616" s="4">
        <v>9</v>
      </c>
      <c r="AL616" s="4">
        <v>18</v>
      </c>
      <c r="AM616" s="4">
        <v>21</v>
      </c>
      <c r="AN616" s="4">
        <v>4</v>
      </c>
      <c r="AO616" s="4">
        <v>6</v>
      </c>
      <c r="AP616" s="4">
        <v>0</v>
      </c>
      <c r="AQ616" s="4">
        <v>0</v>
      </c>
      <c r="AR616" s="3" t="s">
        <v>62</v>
      </c>
      <c r="AS616" s="3" t="s">
        <v>84</v>
      </c>
      <c r="AT616" s="6" t="str">
        <f>HYPERLINK("http://catalog.hathitrust.org/Record/001392680","HathiTrust Record")</f>
        <v>HathiTrust Record</v>
      </c>
      <c r="AU616" s="6" t="str">
        <f>HYPERLINK("https://creighton-primo.hosted.exlibrisgroup.com/primo-explore/search?tab=default_tab&amp;search_scope=EVERYTHING&amp;vid=01CRU&amp;lang=en_US&amp;offset=0&amp;query=any,contains,991003932639702656","Catalog Record")</f>
        <v>Catalog Record</v>
      </c>
      <c r="AV616" s="6" t="str">
        <f>HYPERLINK("http://www.worldcat.org/oclc/1903305","WorldCat Record")</f>
        <v>WorldCat Record</v>
      </c>
      <c r="AW616" s="3" t="s">
        <v>7862</v>
      </c>
      <c r="AX616" s="3" t="s">
        <v>7863</v>
      </c>
      <c r="AY616" s="3" t="s">
        <v>7864</v>
      </c>
      <c r="AZ616" s="3" t="s">
        <v>7864</v>
      </c>
      <c r="BA616" s="3" t="s">
        <v>7865</v>
      </c>
      <c r="BB616" s="3" t="s">
        <v>77</v>
      </c>
      <c r="BE616" s="3" t="s">
        <v>7866</v>
      </c>
      <c r="BF616" s="3" t="s">
        <v>7867</v>
      </c>
    </row>
    <row r="617" spans="1:58" ht="41.25" customHeight="1" x14ac:dyDescent="0.25">
      <c r="A617" s="7" t="s">
        <v>62</v>
      </c>
      <c r="B617" s="2" t="s">
        <v>57</v>
      </c>
      <c r="C617" s="2" t="s">
        <v>58</v>
      </c>
      <c r="D617" s="2" t="s">
        <v>7868</v>
      </c>
      <c r="E617" s="2" t="s">
        <v>7869</v>
      </c>
      <c r="F617" s="2" t="s">
        <v>7870</v>
      </c>
      <c r="H617" s="3" t="s">
        <v>62</v>
      </c>
      <c r="I617" s="3" t="s">
        <v>63</v>
      </c>
      <c r="J617" s="3" t="s">
        <v>62</v>
      </c>
      <c r="K617" s="3" t="s">
        <v>84</v>
      </c>
      <c r="L617" s="3" t="s">
        <v>64</v>
      </c>
      <c r="M617" s="2" t="s">
        <v>2663</v>
      </c>
      <c r="N617" s="2" t="s">
        <v>7871</v>
      </c>
      <c r="O617" s="3" t="s">
        <v>124</v>
      </c>
      <c r="Q617" s="3" t="s">
        <v>68</v>
      </c>
      <c r="R617" s="3" t="s">
        <v>69</v>
      </c>
      <c r="T617" s="3" t="s">
        <v>70</v>
      </c>
      <c r="U617" s="4">
        <v>6</v>
      </c>
      <c r="V617" s="4">
        <v>6</v>
      </c>
      <c r="W617" s="5" t="s">
        <v>7872</v>
      </c>
      <c r="X617" s="5" t="s">
        <v>7872</v>
      </c>
      <c r="Y617" s="5" t="s">
        <v>7200</v>
      </c>
      <c r="Z617" s="5" t="s">
        <v>7200</v>
      </c>
      <c r="AA617" s="4">
        <v>450</v>
      </c>
      <c r="AB617" s="4">
        <v>417</v>
      </c>
      <c r="AC617" s="4">
        <v>752</v>
      </c>
      <c r="AD617" s="4">
        <v>3</v>
      </c>
      <c r="AE617" s="4">
        <v>5</v>
      </c>
      <c r="AF617" s="4">
        <v>27</v>
      </c>
      <c r="AG617" s="4">
        <v>37</v>
      </c>
      <c r="AH617" s="4">
        <v>9</v>
      </c>
      <c r="AI617" s="4">
        <v>14</v>
      </c>
      <c r="AJ617" s="4">
        <v>7</v>
      </c>
      <c r="AK617" s="4">
        <v>10</v>
      </c>
      <c r="AL617" s="4">
        <v>20</v>
      </c>
      <c r="AM617" s="4">
        <v>21</v>
      </c>
      <c r="AN617" s="4">
        <v>1</v>
      </c>
      <c r="AO617" s="4">
        <v>3</v>
      </c>
      <c r="AP617" s="4">
        <v>0</v>
      </c>
      <c r="AQ617" s="4">
        <v>0</v>
      </c>
      <c r="AR617" s="3" t="s">
        <v>62</v>
      </c>
      <c r="AS617" s="3" t="s">
        <v>84</v>
      </c>
      <c r="AT617" s="6" t="str">
        <f>HYPERLINK("http://catalog.hathitrust.org/Record/001397200","HathiTrust Record")</f>
        <v>HathiTrust Record</v>
      </c>
      <c r="AU617" s="6" t="str">
        <f>HYPERLINK("https://creighton-primo.hosted.exlibrisgroup.com/primo-explore/search?tab=default_tab&amp;search_scope=EVERYTHING&amp;vid=01CRU&amp;lang=en_US&amp;offset=0&amp;query=any,contains,991002637199702656","Catalog Record")</f>
        <v>Catalog Record</v>
      </c>
      <c r="AV617" s="6" t="str">
        <f>HYPERLINK("http://www.worldcat.org/oclc/382828","WorldCat Record")</f>
        <v>WorldCat Record</v>
      </c>
      <c r="AW617" s="3" t="s">
        <v>7873</v>
      </c>
      <c r="AX617" s="3" t="s">
        <v>7874</v>
      </c>
      <c r="AY617" s="3" t="s">
        <v>7875</v>
      </c>
      <c r="AZ617" s="3" t="s">
        <v>7875</v>
      </c>
      <c r="BA617" s="3" t="s">
        <v>7876</v>
      </c>
      <c r="BB617" s="3" t="s">
        <v>77</v>
      </c>
      <c r="BE617" s="3" t="s">
        <v>7877</v>
      </c>
      <c r="BF617" s="3" t="s">
        <v>7878</v>
      </c>
    </row>
    <row r="618" spans="1:58" ht="41.25" customHeight="1" x14ac:dyDescent="0.25">
      <c r="A618" s="7" t="s">
        <v>62</v>
      </c>
      <c r="B618" s="2" t="s">
        <v>57</v>
      </c>
      <c r="C618" s="2" t="s">
        <v>58</v>
      </c>
      <c r="D618" s="2" t="s">
        <v>7879</v>
      </c>
      <c r="E618" s="2" t="s">
        <v>7880</v>
      </c>
      <c r="F618" s="2" t="s">
        <v>7881</v>
      </c>
      <c r="H618" s="3" t="s">
        <v>62</v>
      </c>
      <c r="I618" s="3" t="s">
        <v>63</v>
      </c>
      <c r="J618" s="3" t="s">
        <v>62</v>
      </c>
      <c r="K618" s="3" t="s">
        <v>84</v>
      </c>
      <c r="L618" s="3" t="s">
        <v>64</v>
      </c>
      <c r="M618" s="2" t="s">
        <v>2663</v>
      </c>
      <c r="N618" s="2" t="s">
        <v>7882</v>
      </c>
      <c r="O618" s="3" t="s">
        <v>1820</v>
      </c>
      <c r="P618" s="2" t="s">
        <v>7883</v>
      </c>
      <c r="Q618" s="3" t="s">
        <v>68</v>
      </c>
      <c r="R618" s="3" t="s">
        <v>531</v>
      </c>
      <c r="S618" s="2" t="s">
        <v>7884</v>
      </c>
      <c r="T618" s="3" t="s">
        <v>70</v>
      </c>
      <c r="U618" s="4">
        <v>1</v>
      </c>
      <c r="V618" s="4">
        <v>1</v>
      </c>
      <c r="W618" s="5" t="s">
        <v>7872</v>
      </c>
      <c r="X618" s="5" t="s">
        <v>7872</v>
      </c>
      <c r="Y618" s="5" t="s">
        <v>1026</v>
      </c>
      <c r="Z618" s="5" t="s">
        <v>1026</v>
      </c>
      <c r="AA618" s="4">
        <v>235</v>
      </c>
      <c r="AB618" s="4">
        <v>201</v>
      </c>
      <c r="AC618" s="4">
        <v>752</v>
      </c>
      <c r="AD618" s="4">
        <v>1</v>
      </c>
      <c r="AE618" s="4">
        <v>5</v>
      </c>
      <c r="AF618" s="4">
        <v>8</v>
      </c>
      <c r="AG618" s="4">
        <v>37</v>
      </c>
      <c r="AH618" s="4">
        <v>4</v>
      </c>
      <c r="AI618" s="4">
        <v>14</v>
      </c>
      <c r="AJ618" s="4">
        <v>0</v>
      </c>
      <c r="AK618" s="4">
        <v>10</v>
      </c>
      <c r="AL618" s="4">
        <v>6</v>
      </c>
      <c r="AM618" s="4">
        <v>21</v>
      </c>
      <c r="AN618" s="4">
        <v>0</v>
      </c>
      <c r="AO618" s="4">
        <v>3</v>
      </c>
      <c r="AP618" s="4">
        <v>0</v>
      </c>
      <c r="AQ618" s="4">
        <v>0</v>
      </c>
      <c r="AR618" s="3" t="s">
        <v>62</v>
      </c>
      <c r="AS618" s="3" t="s">
        <v>62</v>
      </c>
      <c r="AU618" s="6" t="str">
        <f>HYPERLINK("https://creighton-primo.hosted.exlibrisgroup.com/primo-explore/search?tab=default_tab&amp;search_scope=EVERYTHING&amp;vid=01CRU&amp;lang=en_US&amp;offset=0&amp;query=any,contains,991004750299702656","Catalog Record")</f>
        <v>Catalog Record</v>
      </c>
      <c r="AV618" s="6" t="str">
        <f>HYPERLINK("http://www.worldcat.org/oclc/4933204","WorldCat Record")</f>
        <v>WorldCat Record</v>
      </c>
      <c r="AW618" s="3" t="s">
        <v>7873</v>
      </c>
      <c r="AX618" s="3" t="s">
        <v>7885</v>
      </c>
      <c r="AY618" s="3" t="s">
        <v>7886</v>
      </c>
      <c r="AZ618" s="3" t="s">
        <v>7886</v>
      </c>
      <c r="BA618" s="3" t="s">
        <v>7887</v>
      </c>
      <c r="BB618" s="3" t="s">
        <v>77</v>
      </c>
      <c r="BD618" s="3" t="s">
        <v>7888</v>
      </c>
      <c r="BE618" s="3" t="s">
        <v>7889</v>
      </c>
      <c r="BF618" s="3" t="s">
        <v>7890</v>
      </c>
    </row>
    <row r="619" spans="1:58" ht="41.25" customHeight="1" x14ac:dyDescent="0.25">
      <c r="A619" s="7" t="s">
        <v>62</v>
      </c>
      <c r="B619" s="2" t="s">
        <v>57</v>
      </c>
      <c r="C619" s="2" t="s">
        <v>58</v>
      </c>
      <c r="D619" s="2" t="s">
        <v>7891</v>
      </c>
      <c r="E619" s="2" t="s">
        <v>7892</v>
      </c>
      <c r="F619" s="2" t="s">
        <v>7893</v>
      </c>
      <c r="H619" s="3" t="s">
        <v>62</v>
      </c>
      <c r="I619" s="3" t="s">
        <v>63</v>
      </c>
      <c r="J619" s="3" t="s">
        <v>62</v>
      </c>
      <c r="K619" s="3" t="s">
        <v>62</v>
      </c>
      <c r="L619" s="3" t="s">
        <v>64</v>
      </c>
      <c r="M619" s="2" t="s">
        <v>7894</v>
      </c>
      <c r="N619" s="2" t="s">
        <v>7895</v>
      </c>
      <c r="O619" s="3" t="s">
        <v>355</v>
      </c>
      <c r="P619" s="2" t="s">
        <v>7896</v>
      </c>
      <c r="Q619" s="3" t="s">
        <v>68</v>
      </c>
      <c r="R619" s="3" t="s">
        <v>698</v>
      </c>
      <c r="S619" s="2" t="s">
        <v>7897</v>
      </c>
      <c r="T619" s="3" t="s">
        <v>70</v>
      </c>
      <c r="U619" s="4">
        <v>4</v>
      </c>
      <c r="V619" s="4">
        <v>4</v>
      </c>
      <c r="W619" s="5" t="s">
        <v>7187</v>
      </c>
      <c r="X619" s="5" t="s">
        <v>7187</v>
      </c>
      <c r="Y619" s="5" t="s">
        <v>7200</v>
      </c>
      <c r="Z619" s="5" t="s">
        <v>7200</v>
      </c>
      <c r="AA619" s="4">
        <v>172</v>
      </c>
      <c r="AB619" s="4">
        <v>152</v>
      </c>
      <c r="AC619" s="4">
        <v>338</v>
      </c>
      <c r="AD619" s="4">
        <v>1</v>
      </c>
      <c r="AE619" s="4">
        <v>2</v>
      </c>
      <c r="AF619" s="4">
        <v>13</v>
      </c>
      <c r="AG619" s="4">
        <v>24</v>
      </c>
      <c r="AH619" s="4">
        <v>5</v>
      </c>
      <c r="AI619" s="4">
        <v>9</v>
      </c>
      <c r="AJ619" s="4">
        <v>4</v>
      </c>
      <c r="AK619" s="4">
        <v>7</v>
      </c>
      <c r="AL619" s="4">
        <v>4</v>
      </c>
      <c r="AM619" s="4">
        <v>12</v>
      </c>
      <c r="AN619" s="4">
        <v>0</v>
      </c>
      <c r="AO619" s="4">
        <v>1</v>
      </c>
      <c r="AP619" s="4">
        <v>0</v>
      </c>
      <c r="AQ619" s="4">
        <v>0</v>
      </c>
      <c r="AR619" s="3" t="s">
        <v>62</v>
      </c>
      <c r="AS619" s="3" t="s">
        <v>62</v>
      </c>
      <c r="AU619" s="6" t="str">
        <f>HYPERLINK("https://creighton-primo.hosted.exlibrisgroup.com/primo-explore/search?tab=default_tab&amp;search_scope=EVERYTHING&amp;vid=01CRU&amp;lang=en_US&amp;offset=0&amp;query=any,contains,991004186869702656","Catalog Record")</f>
        <v>Catalog Record</v>
      </c>
      <c r="AV619" s="6" t="str">
        <f>HYPERLINK("http://www.worldcat.org/oclc/2616716","WorldCat Record")</f>
        <v>WorldCat Record</v>
      </c>
      <c r="AW619" s="3" t="s">
        <v>7898</v>
      </c>
      <c r="AX619" s="3" t="s">
        <v>7899</v>
      </c>
      <c r="AY619" s="3" t="s">
        <v>7900</v>
      </c>
      <c r="AZ619" s="3" t="s">
        <v>7900</v>
      </c>
      <c r="BA619" s="3" t="s">
        <v>7901</v>
      </c>
      <c r="BB619" s="3" t="s">
        <v>77</v>
      </c>
      <c r="BE619" s="3" t="s">
        <v>7902</v>
      </c>
      <c r="BF619" s="3" t="s">
        <v>7903</v>
      </c>
    </row>
    <row r="620" spans="1:58" ht="41.25" customHeight="1" x14ac:dyDescent="0.25">
      <c r="A620" s="7" t="s">
        <v>62</v>
      </c>
      <c r="B620" s="2" t="s">
        <v>57</v>
      </c>
      <c r="C620" s="2" t="s">
        <v>58</v>
      </c>
      <c r="D620" s="2" t="s">
        <v>7904</v>
      </c>
      <c r="E620" s="2" t="s">
        <v>7905</v>
      </c>
      <c r="F620" s="2" t="s">
        <v>7906</v>
      </c>
      <c r="H620" s="3" t="s">
        <v>62</v>
      </c>
      <c r="I620" s="3" t="s">
        <v>63</v>
      </c>
      <c r="J620" s="3" t="s">
        <v>62</v>
      </c>
      <c r="K620" s="3" t="s">
        <v>62</v>
      </c>
      <c r="L620" s="3" t="s">
        <v>64</v>
      </c>
      <c r="M620" s="2" t="s">
        <v>7907</v>
      </c>
      <c r="N620" s="2" t="s">
        <v>7908</v>
      </c>
      <c r="O620" s="3" t="s">
        <v>67</v>
      </c>
      <c r="Q620" s="3" t="s">
        <v>68</v>
      </c>
      <c r="R620" s="3" t="s">
        <v>297</v>
      </c>
      <c r="T620" s="3" t="s">
        <v>70</v>
      </c>
      <c r="U620" s="4">
        <v>10</v>
      </c>
      <c r="V620" s="4">
        <v>10</v>
      </c>
      <c r="W620" s="5" t="s">
        <v>7909</v>
      </c>
      <c r="X620" s="5" t="s">
        <v>7909</v>
      </c>
      <c r="Y620" s="5" t="s">
        <v>90</v>
      </c>
      <c r="Z620" s="5" t="s">
        <v>90</v>
      </c>
      <c r="AA620" s="4">
        <v>1060</v>
      </c>
      <c r="AB620" s="4">
        <v>931</v>
      </c>
      <c r="AC620" s="4">
        <v>1737</v>
      </c>
      <c r="AD620" s="4">
        <v>13</v>
      </c>
      <c r="AE620" s="4">
        <v>17</v>
      </c>
      <c r="AF620" s="4">
        <v>35</v>
      </c>
      <c r="AG620" s="4">
        <v>46</v>
      </c>
      <c r="AH620" s="4">
        <v>13</v>
      </c>
      <c r="AI620" s="4">
        <v>18</v>
      </c>
      <c r="AJ620" s="4">
        <v>7</v>
      </c>
      <c r="AK620" s="4">
        <v>9</v>
      </c>
      <c r="AL620" s="4">
        <v>16</v>
      </c>
      <c r="AM620" s="4">
        <v>20</v>
      </c>
      <c r="AN620" s="4">
        <v>8</v>
      </c>
      <c r="AO620" s="4">
        <v>9</v>
      </c>
      <c r="AP620" s="4">
        <v>1</v>
      </c>
      <c r="AQ620" s="4">
        <v>1</v>
      </c>
      <c r="AR620" s="3" t="s">
        <v>62</v>
      </c>
      <c r="AS620" s="3" t="s">
        <v>84</v>
      </c>
      <c r="AT620" s="6" t="str">
        <f>HYPERLINK("http://catalog.hathitrust.org/Record/001392713","HathiTrust Record")</f>
        <v>HathiTrust Record</v>
      </c>
      <c r="AU620" s="6" t="str">
        <f>HYPERLINK("https://creighton-primo.hosted.exlibrisgroup.com/primo-explore/search?tab=default_tab&amp;search_scope=EVERYTHING&amp;vid=01CRU&amp;lang=en_US&amp;offset=0&amp;query=any,contains,991000813699702656","Catalog Record")</f>
        <v>Catalog Record</v>
      </c>
      <c r="AV620" s="6" t="str">
        <f>HYPERLINK("http://www.worldcat.org/oclc/141547","WorldCat Record")</f>
        <v>WorldCat Record</v>
      </c>
      <c r="AW620" s="3" t="s">
        <v>7910</v>
      </c>
      <c r="AX620" s="3" t="s">
        <v>7911</v>
      </c>
      <c r="AY620" s="3" t="s">
        <v>7912</v>
      </c>
      <c r="AZ620" s="3" t="s">
        <v>7912</v>
      </c>
      <c r="BA620" s="3" t="s">
        <v>7913</v>
      </c>
      <c r="BB620" s="3" t="s">
        <v>77</v>
      </c>
      <c r="BD620" s="3" t="s">
        <v>7914</v>
      </c>
      <c r="BE620" s="3" t="s">
        <v>7915</v>
      </c>
      <c r="BF620" s="3" t="s">
        <v>7916</v>
      </c>
    </row>
    <row r="621" spans="1:58" ht="41.25" customHeight="1" x14ac:dyDescent="0.25">
      <c r="A621" s="7" t="s">
        <v>62</v>
      </c>
      <c r="B621" s="2" t="s">
        <v>57</v>
      </c>
      <c r="C621" s="2" t="s">
        <v>58</v>
      </c>
      <c r="D621" s="2" t="s">
        <v>7917</v>
      </c>
      <c r="E621" s="2" t="s">
        <v>7918</v>
      </c>
      <c r="F621" s="2" t="s">
        <v>7919</v>
      </c>
      <c r="H621" s="3" t="s">
        <v>62</v>
      </c>
      <c r="I621" s="3" t="s">
        <v>63</v>
      </c>
      <c r="J621" s="3" t="s">
        <v>62</v>
      </c>
      <c r="K621" s="3" t="s">
        <v>62</v>
      </c>
      <c r="L621" s="3" t="s">
        <v>64</v>
      </c>
      <c r="M621" s="2" t="s">
        <v>7920</v>
      </c>
      <c r="N621" s="2" t="s">
        <v>7921</v>
      </c>
      <c r="O621" s="3" t="s">
        <v>1333</v>
      </c>
      <c r="Q621" s="3" t="s">
        <v>68</v>
      </c>
      <c r="R621" s="3" t="s">
        <v>297</v>
      </c>
      <c r="T621" s="3" t="s">
        <v>70</v>
      </c>
      <c r="U621" s="4">
        <v>2</v>
      </c>
      <c r="V621" s="4">
        <v>2</v>
      </c>
      <c r="W621" s="5" t="s">
        <v>2692</v>
      </c>
      <c r="X621" s="5" t="s">
        <v>2692</v>
      </c>
      <c r="Y621" s="5" t="s">
        <v>7922</v>
      </c>
      <c r="Z621" s="5" t="s">
        <v>7922</v>
      </c>
      <c r="AA621" s="4">
        <v>536</v>
      </c>
      <c r="AB621" s="4">
        <v>473</v>
      </c>
      <c r="AC621" s="4">
        <v>571</v>
      </c>
      <c r="AD621" s="4">
        <v>3</v>
      </c>
      <c r="AE621" s="4">
        <v>4</v>
      </c>
      <c r="AF621" s="4">
        <v>11</v>
      </c>
      <c r="AG621" s="4">
        <v>13</v>
      </c>
      <c r="AH621" s="4">
        <v>4</v>
      </c>
      <c r="AI621" s="4">
        <v>4</v>
      </c>
      <c r="AJ621" s="4">
        <v>3</v>
      </c>
      <c r="AK621" s="4">
        <v>4</v>
      </c>
      <c r="AL621" s="4">
        <v>8</v>
      </c>
      <c r="AM621" s="4">
        <v>10</v>
      </c>
      <c r="AN621" s="4">
        <v>0</v>
      </c>
      <c r="AO621" s="4">
        <v>0</v>
      </c>
      <c r="AP621" s="4">
        <v>0</v>
      </c>
      <c r="AQ621" s="4">
        <v>0</v>
      </c>
      <c r="AR621" s="3" t="s">
        <v>62</v>
      </c>
      <c r="AS621" s="3" t="s">
        <v>62</v>
      </c>
      <c r="AU621" s="6" t="str">
        <f>HYPERLINK("https://creighton-primo.hosted.exlibrisgroup.com/primo-explore/search?tab=default_tab&amp;search_scope=EVERYTHING&amp;vid=01CRU&amp;lang=en_US&amp;offset=0&amp;query=any,contains,991005223309702656","Catalog Record")</f>
        <v>Catalog Record</v>
      </c>
      <c r="AV621" s="6" t="str">
        <f>HYPERLINK("http://www.worldcat.org/oclc/30977127","WorldCat Record")</f>
        <v>WorldCat Record</v>
      </c>
      <c r="AW621" s="3" t="s">
        <v>7923</v>
      </c>
      <c r="AX621" s="3" t="s">
        <v>7924</v>
      </c>
      <c r="AY621" s="3" t="s">
        <v>7925</v>
      </c>
      <c r="AZ621" s="3" t="s">
        <v>7925</v>
      </c>
      <c r="BA621" s="3" t="s">
        <v>7926</v>
      </c>
      <c r="BB621" s="3" t="s">
        <v>77</v>
      </c>
      <c r="BD621" s="3" t="s">
        <v>7927</v>
      </c>
      <c r="BE621" s="3" t="s">
        <v>7928</v>
      </c>
      <c r="BF621" s="3" t="s">
        <v>7929</v>
      </c>
    </row>
    <row r="622" spans="1:58" ht="41.25" customHeight="1" x14ac:dyDescent="0.25">
      <c r="A622" s="7" t="s">
        <v>62</v>
      </c>
      <c r="B622" s="2" t="s">
        <v>57</v>
      </c>
      <c r="C622" s="2" t="s">
        <v>7930</v>
      </c>
      <c r="D622" s="2" t="s">
        <v>7931</v>
      </c>
      <c r="E622" s="2" t="s">
        <v>7932</v>
      </c>
      <c r="F622" s="2" t="s">
        <v>7933</v>
      </c>
      <c r="H622" s="3" t="s">
        <v>62</v>
      </c>
      <c r="I622" s="3" t="s">
        <v>63</v>
      </c>
      <c r="J622" s="3" t="s">
        <v>62</v>
      </c>
      <c r="K622" s="3" t="s">
        <v>62</v>
      </c>
      <c r="L622" s="3" t="s">
        <v>64</v>
      </c>
      <c r="M622" s="2" t="s">
        <v>7934</v>
      </c>
      <c r="N622" s="2" t="s">
        <v>7935</v>
      </c>
      <c r="O622" s="3" t="s">
        <v>1333</v>
      </c>
      <c r="P622" s="2" t="s">
        <v>834</v>
      </c>
      <c r="Q622" s="3" t="s">
        <v>68</v>
      </c>
      <c r="R622" s="3" t="s">
        <v>875</v>
      </c>
      <c r="T622" s="3" t="s">
        <v>70</v>
      </c>
      <c r="U622" s="4">
        <v>1</v>
      </c>
      <c r="V622" s="4">
        <v>1</v>
      </c>
      <c r="W622" s="5" t="s">
        <v>7936</v>
      </c>
      <c r="X622" s="5" t="s">
        <v>7936</v>
      </c>
      <c r="Y622" s="5" t="s">
        <v>7937</v>
      </c>
      <c r="Z622" s="5" t="s">
        <v>7937</v>
      </c>
      <c r="AA622" s="4">
        <v>398</v>
      </c>
      <c r="AB622" s="4">
        <v>369</v>
      </c>
      <c r="AC622" s="4">
        <v>372</v>
      </c>
      <c r="AD622" s="4">
        <v>3</v>
      </c>
      <c r="AE622" s="4">
        <v>3</v>
      </c>
      <c r="AF622" s="4">
        <v>5</v>
      </c>
      <c r="AG622" s="4">
        <v>5</v>
      </c>
      <c r="AH622" s="4">
        <v>2</v>
      </c>
      <c r="AI622" s="4">
        <v>2</v>
      </c>
      <c r="AJ622" s="4">
        <v>4</v>
      </c>
      <c r="AK622" s="4">
        <v>4</v>
      </c>
      <c r="AL622" s="4">
        <v>1</v>
      </c>
      <c r="AM622" s="4">
        <v>1</v>
      </c>
      <c r="AN622" s="4">
        <v>0</v>
      </c>
      <c r="AO622" s="4">
        <v>0</v>
      </c>
      <c r="AP622" s="4">
        <v>0</v>
      </c>
      <c r="AQ622" s="4">
        <v>0</v>
      </c>
      <c r="AR622" s="3" t="s">
        <v>62</v>
      </c>
      <c r="AS622" s="3" t="s">
        <v>62</v>
      </c>
      <c r="AU622" s="6" t="str">
        <f>HYPERLINK("https://creighton-primo.hosted.exlibrisgroup.com/primo-explore/search?tab=default_tab&amp;search_scope=EVERYTHING&amp;vid=01CRU&amp;lang=en_US&amp;offset=0&amp;query=any,contains,991004964519702656","Catalog Record")</f>
        <v>Catalog Record</v>
      </c>
      <c r="AV622" s="6" t="str">
        <f>HYPERLINK("http://www.worldcat.org/oclc/30625907","WorldCat Record")</f>
        <v>WorldCat Record</v>
      </c>
      <c r="AW622" s="3" t="s">
        <v>7938</v>
      </c>
      <c r="AX622" s="3" t="s">
        <v>7939</v>
      </c>
      <c r="AY622" s="3" t="s">
        <v>7940</v>
      </c>
      <c r="AZ622" s="3" t="s">
        <v>7940</v>
      </c>
      <c r="BA622" s="3" t="s">
        <v>7941</v>
      </c>
      <c r="BB622" s="3" t="s">
        <v>77</v>
      </c>
      <c r="BD622" s="3" t="s">
        <v>7942</v>
      </c>
      <c r="BE622" s="3" t="s">
        <v>7943</v>
      </c>
      <c r="BF622" s="3" t="s">
        <v>7944</v>
      </c>
    </row>
    <row r="623" spans="1:58" ht="41.25" customHeight="1" x14ac:dyDescent="0.25">
      <c r="A623" s="7" t="s">
        <v>62</v>
      </c>
      <c r="B623" s="2" t="s">
        <v>57</v>
      </c>
      <c r="C623" s="2" t="s">
        <v>58</v>
      </c>
      <c r="D623" s="2" t="s">
        <v>7945</v>
      </c>
      <c r="E623" s="2" t="s">
        <v>7946</v>
      </c>
      <c r="F623" s="2" t="s">
        <v>7947</v>
      </c>
      <c r="H623" s="3" t="s">
        <v>62</v>
      </c>
      <c r="I623" s="3" t="s">
        <v>63</v>
      </c>
      <c r="J623" s="3" t="s">
        <v>62</v>
      </c>
      <c r="K623" s="3" t="s">
        <v>62</v>
      </c>
      <c r="L623" s="3" t="s">
        <v>64</v>
      </c>
      <c r="N623" s="2" t="s">
        <v>7948</v>
      </c>
      <c r="O623" s="3" t="s">
        <v>295</v>
      </c>
      <c r="Q623" s="3" t="s">
        <v>68</v>
      </c>
      <c r="R623" s="3" t="s">
        <v>420</v>
      </c>
      <c r="T623" s="3" t="s">
        <v>70</v>
      </c>
      <c r="U623" s="4">
        <v>3</v>
      </c>
      <c r="V623" s="4">
        <v>3</v>
      </c>
      <c r="W623" s="5" t="s">
        <v>7949</v>
      </c>
      <c r="X623" s="5" t="s">
        <v>7949</v>
      </c>
      <c r="Y623" s="5" t="s">
        <v>7950</v>
      </c>
      <c r="Z623" s="5" t="s">
        <v>7950</v>
      </c>
      <c r="AA623" s="4">
        <v>513</v>
      </c>
      <c r="AB623" s="4">
        <v>452</v>
      </c>
      <c r="AC623" s="4">
        <v>458</v>
      </c>
      <c r="AD623" s="4">
        <v>4</v>
      </c>
      <c r="AE623" s="4">
        <v>4</v>
      </c>
      <c r="AF623" s="4">
        <v>31</v>
      </c>
      <c r="AG623" s="4">
        <v>31</v>
      </c>
      <c r="AH623" s="4">
        <v>15</v>
      </c>
      <c r="AI623" s="4">
        <v>15</v>
      </c>
      <c r="AJ623" s="4">
        <v>5</v>
      </c>
      <c r="AK623" s="4">
        <v>5</v>
      </c>
      <c r="AL623" s="4">
        <v>16</v>
      </c>
      <c r="AM623" s="4">
        <v>16</v>
      </c>
      <c r="AN623" s="4">
        <v>3</v>
      </c>
      <c r="AO623" s="4">
        <v>3</v>
      </c>
      <c r="AP623" s="4">
        <v>0</v>
      </c>
      <c r="AQ623" s="4">
        <v>0</v>
      </c>
      <c r="AR623" s="3" t="s">
        <v>62</v>
      </c>
      <c r="AS623" s="3" t="s">
        <v>84</v>
      </c>
      <c r="AT623" s="6" t="str">
        <f>HYPERLINK("http://catalog.hathitrust.org/Record/001547056","HathiTrust Record")</f>
        <v>HathiTrust Record</v>
      </c>
      <c r="AU623" s="6" t="str">
        <f>HYPERLINK("https://creighton-primo.hosted.exlibrisgroup.com/primo-explore/search?tab=default_tab&amp;search_scope=EVERYTHING&amp;vid=01CRU&amp;lang=en_US&amp;offset=0&amp;query=any,contains,991001457449702656","Catalog Record")</f>
        <v>Catalog Record</v>
      </c>
      <c r="AV623" s="6" t="str">
        <f>HYPERLINK("http://www.worldcat.org/oclc/19390103","WorldCat Record")</f>
        <v>WorldCat Record</v>
      </c>
      <c r="AW623" s="3" t="s">
        <v>7951</v>
      </c>
      <c r="AX623" s="3" t="s">
        <v>7952</v>
      </c>
      <c r="AY623" s="3" t="s">
        <v>7953</v>
      </c>
      <c r="AZ623" s="3" t="s">
        <v>7953</v>
      </c>
      <c r="BA623" s="3" t="s">
        <v>7954</v>
      </c>
      <c r="BB623" s="3" t="s">
        <v>77</v>
      </c>
      <c r="BD623" s="3" t="s">
        <v>7955</v>
      </c>
      <c r="BE623" s="3" t="s">
        <v>7956</v>
      </c>
      <c r="BF623" s="3" t="s">
        <v>7957</v>
      </c>
    </row>
    <row r="624" spans="1:58" ht="41.25" customHeight="1" x14ac:dyDescent="0.25">
      <c r="A624" s="7" t="s">
        <v>62</v>
      </c>
      <c r="B624" s="2" t="s">
        <v>57</v>
      </c>
      <c r="C624" s="2" t="s">
        <v>58</v>
      </c>
      <c r="D624" s="2" t="s">
        <v>7958</v>
      </c>
      <c r="E624" s="2" t="s">
        <v>7959</v>
      </c>
      <c r="F624" s="2" t="s">
        <v>7960</v>
      </c>
      <c r="H624" s="3" t="s">
        <v>62</v>
      </c>
      <c r="I624" s="3" t="s">
        <v>63</v>
      </c>
      <c r="J624" s="3" t="s">
        <v>62</v>
      </c>
      <c r="K624" s="3" t="s">
        <v>62</v>
      </c>
      <c r="L624" s="3" t="s">
        <v>64</v>
      </c>
      <c r="M624" s="2" t="s">
        <v>2875</v>
      </c>
      <c r="N624" s="2" t="s">
        <v>7961</v>
      </c>
      <c r="O624" s="3" t="s">
        <v>791</v>
      </c>
      <c r="Q624" s="3" t="s">
        <v>68</v>
      </c>
      <c r="R624" s="3" t="s">
        <v>531</v>
      </c>
      <c r="T624" s="3" t="s">
        <v>70</v>
      </c>
      <c r="U624" s="4">
        <v>11</v>
      </c>
      <c r="V624" s="4">
        <v>11</v>
      </c>
      <c r="W624" s="5" t="s">
        <v>7962</v>
      </c>
      <c r="X624" s="5" t="s">
        <v>7962</v>
      </c>
      <c r="Y624" s="5" t="s">
        <v>1026</v>
      </c>
      <c r="Z624" s="5" t="s">
        <v>1026</v>
      </c>
      <c r="AA624" s="4">
        <v>1075</v>
      </c>
      <c r="AB624" s="4">
        <v>933</v>
      </c>
      <c r="AC624" s="4">
        <v>1077</v>
      </c>
      <c r="AD624" s="4">
        <v>7</v>
      </c>
      <c r="AE624" s="4">
        <v>7</v>
      </c>
      <c r="AF624" s="4">
        <v>37</v>
      </c>
      <c r="AG624" s="4">
        <v>41</v>
      </c>
      <c r="AH624" s="4">
        <v>13</v>
      </c>
      <c r="AI624" s="4">
        <v>16</v>
      </c>
      <c r="AJ624" s="4">
        <v>9</v>
      </c>
      <c r="AK624" s="4">
        <v>9</v>
      </c>
      <c r="AL624" s="4">
        <v>18</v>
      </c>
      <c r="AM624" s="4">
        <v>21</v>
      </c>
      <c r="AN624" s="4">
        <v>6</v>
      </c>
      <c r="AO624" s="4">
        <v>6</v>
      </c>
      <c r="AP624" s="4">
        <v>0</v>
      </c>
      <c r="AQ624" s="4">
        <v>0</v>
      </c>
      <c r="AR624" s="3" t="s">
        <v>62</v>
      </c>
      <c r="AS624" s="3" t="s">
        <v>62</v>
      </c>
      <c r="AT624" s="6" t="str">
        <f>HYPERLINK("http://catalog.hathitrust.org/Record/001391781","HathiTrust Record")</f>
        <v>HathiTrust Record</v>
      </c>
      <c r="AU624" s="6" t="str">
        <f>HYPERLINK("https://creighton-primo.hosted.exlibrisgroup.com/primo-explore/search?tab=default_tab&amp;search_scope=EVERYTHING&amp;vid=01CRU&amp;lang=en_US&amp;offset=0&amp;query=any,contains,991001190709702656","Catalog Record")</f>
        <v>Catalog Record</v>
      </c>
      <c r="AV624" s="6" t="str">
        <f>HYPERLINK("http://www.worldcat.org/oclc/191066","WorldCat Record")</f>
        <v>WorldCat Record</v>
      </c>
      <c r="AW624" s="3" t="s">
        <v>7963</v>
      </c>
      <c r="AX624" s="3" t="s">
        <v>7964</v>
      </c>
      <c r="AY624" s="3" t="s">
        <v>7965</v>
      </c>
      <c r="AZ624" s="3" t="s">
        <v>7965</v>
      </c>
      <c r="BA624" s="3" t="s">
        <v>7966</v>
      </c>
      <c r="BB624" s="3" t="s">
        <v>77</v>
      </c>
      <c r="BE624" s="3" t="s">
        <v>7967</v>
      </c>
      <c r="BF624" s="3" t="s">
        <v>7968</v>
      </c>
    </row>
    <row r="625" spans="1:58" ht="41.25" customHeight="1" x14ac:dyDescent="0.25">
      <c r="A625" s="7" t="s">
        <v>62</v>
      </c>
      <c r="B625" s="2" t="s">
        <v>57</v>
      </c>
      <c r="C625" s="2" t="s">
        <v>58</v>
      </c>
      <c r="D625" s="2" t="s">
        <v>7969</v>
      </c>
      <c r="E625" s="2" t="s">
        <v>7970</v>
      </c>
      <c r="F625" s="2" t="s">
        <v>7971</v>
      </c>
      <c r="H625" s="3" t="s">
        <v>62</v>
      </c>
      <c r="I625" s="3" t="s">
        <v>63</v>
      </c>
      <c r="J625" s="3" t="s">
        <v>62</v>
      </c>
      <c r="K625" s="3" t="s">
        <v>62</v>
      </c>
      <c r="L625" s="3" t="s">
        <v>64</v>
      </c>
      <c r="M625" s="2" t="s">
        <v>2875</v>
      </c>
      <c r="N625" s="2" t="s">
        <v>7972</v>
      </c>
      <c r="O625" s="3" t="s">
        <v>684</v>
      </c>
      <c r="Q625" s="3" t="s">
        <v>68</v>
      </c>
      <c r="R625" s="3" t="s">
        <v>297</v>
      </c>
      <c r="S625" s="2" t="s">
        <v>7973</v>
      </c>
      <c r="T625" s="3" t="s">
        <v>70</v>
      </c>
      <c r="U625" s="4">
        <v>2</v>
      </c>
      <c r="V625" s="4">
        <v>2</v>
      </c>
      <c r="W625" s="5" t="s">
        <v>7187</v>
      </c>
      <c r="X625" s="5" t="s">
        <v>7187</v>
      </c>
      <c r="Y625" s="5" t="s">
        <v>7974</v>
      </c>
      <c r="Z625" s="5" t="s">
        <v>7974</v>
      </c>
      <c r="AA625" s="4">
        <v>337</v>
      </c>
      <c r="AB625" s="4">
        <v>288</v>
      </c>
      <c r="AC625" s="4">
        <v>622</v>
      </c>
      <c r="AD625" s="4">
        <v>3</v>
      </c>
      <c r="AE625" s="4">
        <v>4</v>
      </c>
      <c r="AF625" s="4">
        <v>12</v>
      </c>
      <c r="AG625" s="4">
        <v>23</v>
      </c>
      <c r="AH625" s="4">
        <v>7</v>
      </c>
      <c r="AI625" s="4">
        <v>10</v>
      </c>
      <c r="AJ625" s="4">
        <v>2</v>
      </c>
      <c r="AK625" s="4">
        <v>4</v>
      </c>
      <c r="AL625" s="4">
        <v>5</v>
      </c>
      <c r="AM625" s="4">
        <v>13</v>
      </c>
      <c r="AN625" s="4">
        <v>2</v>
      </c>
      <c r="AO625" s="4">
        <v>3</v>
      </c>
      <c r="AP625" s="4">
        <v>0</v>
      </c>
      <c r="AQ625" s="4">
        <v>0</v>
      </c>
      <c r="AR625" s="3" t="s">
        <v>62</v>
      </c>
      <c r="AS625" s="3" t="s">
        <v>84</v>
      </c>
      <c r="AT625" s="6" t="str">
        <f>HYPERLINK("http://catalog.hathitrust.org/Record/001391782","HathiTrust Record")</f>
        <v>HathiTrust Record</v>
      </c>
      <c r="AU625" s="6" t="str">
        <f>HYPERLINK("https://creighton-primo.hosted.exlibrisgroup.com/primo-explore/search?tab=default_tab&amp;search_scope=EVERYTHING&amp;vid=01CRU&amp;lang=en_US&amp;offset=0&amp;query=any,contains,991005017579702656","Catalog Record")</f>
        <v>Catalog Record</v>
      </c>
      <c r="AV625" s="6" t="str">
        <f>HYPERLINK("http://www.worldcat.org/oclc/6627883","WorldCat Record")</f>
        <v>WorldCat Record</v>
      </c>
      <c r="AW625" s="3" t="s">
        <v>7975</v>
      </c>
      <c r="AX625" s="3" t="s">
        <v>7976</v>
      </c>
      <c r="AY625" s="3" t="s">
        <v>7977</v>
      </c>
      <c r="AZ625" s="3" t="s">
        <v>7977</v>
      </c>
      <c r="BA625" s="3" t="s">
        <v>7978</v>
      </c>
      <c r="BB625" s="3" t="s">
        <v>77</v>
      </c>
      <c r="BE625" s="3" t="s">
        <v>7979</v>
      </c>
      <c r="BF625" s="3" t="s">
        <v>7980</v>
      </c>
    </row>
    <row r="626" spans="1:58" ht="41.25" customHeight="1" x14ac:dyDescent="0.25">
      <c r="A626" s="7" t="s">
        <v>62</v>
      </c>
      <c r="B626" s="2" t="s">
        <v>57</v>
      </c>
      <c r="C626" s="2" t="s">
        <v>58</v>
      </c>
      <c r="D626" s="2" t="s">
        <v>7981</v>
      </c>
      <c r="E626" s="2" t="s">
        <v>7982</v>
      </c>
      <c r="F626" s="2" t="s">
        <v>7983</v>
      </c>
      <c r="H626" s="3" t="s">
        <v>62</v>
      </c>
      <c r="I626" s="3" t="s">
        <v>63</v>
      </c>
      <c r="J626" s="3" t="s">
        <v>62</v>
      </c>
      <c r="K626" s="3" t="s">
        <v>62</v>
      </c>
      <c r="L626" s="3" t="s">
        <v>64</v>
      </c>
      <c r="M626" s="2" t="s">
        <v>7984</v>
      </c>
      <c r="N626" s="2" t="s">
        <v>2967</v>
      </c>
      <c r="O626" s="3" t="s">
        <v>355</v>
      </c>
      <c r="Q626" s="3" t="s">
        <v>68</v>
      </c>
      <c r="R626" s="3" t="s">
        <v>88</v>
      </c>
      <c r="T626" s="3" t="s">
        <v>70</v>
      </c>
      <c r="U626" s="4">
        <v>2</v>
      </c>
      <c r="V626" s="4">
        <v>2</v>
      </c>
      <c r="W626" s="5" t="s">
        <v>7187</v>
      </c>
      <c r="X626" s="5" t="s">
        <v>7187</v>
      </c>
      <c r="Y626" s="5" t="s">
        <v>2823</v>
      </c>
      <c r="Z626" s="5" t="s">
        <v>2823</v>
      </c>
      <c r="AA626" s="4">
        <v>630</v>
      </c>
      <c r="AB626" s="4">
        <v>558</v>
      </c>
      <c r="AC626" s="4">
        <v>560</v>
      </c>
      <c r="AD626" s="4">
        <v>8</v>
      </c>
      <c r="AE626" s="4">
        <v>8</v>
      </c>
      <c r="AF626" s="4">
        <v>28</v>
      </c>
      <c r="AG626" s="4">
        <v>28</v>
      </c>
      <c r="AH626" s="4">
        <v>9</v>
      </c>
      <c r="AI626" s="4">
        <v>9</v>
      </c>
      <c r="AJ626" s="4">
        <v>4</v>
      </c>
      <c r="AK626" s="4">
        <v>4</v>
      </c>
      <c r="AL626" s="4">
        <v>15</v>
      </c>
      <c r="AM626" s="4">
        <v>15</v>
      </c>
      <c r="AN626" s="4">
        <v>5</v>
      </c>
      <c r="AO626" s="4">
        <v>5</v>
      </c>
      <c r="AP626" s="4">
        <v>0</v>
      </c>
      <c r="AQ626" s="4">
        <v>0</v>
      </c>
      <c r="AR626" s="3" t="s">
        <v>62</v>
      </c>
      <c r="AS626" s="3" t="s">
        <v>84</v>
      </c>
      <c r="AT626" s="6" t="str">
        <f>HYPERLINK("http://catalog.hathitrust.org/Record/001391788","HathiTrust Record")</f>
        <v>HathiTrust Record</v>
      </c>
      <c r="AU626" s="6" t="str">
        <f>HYPERLINK("https://creighton-primo.hosted.exlibrisgroup.com/primo-explore/search?tab=default_tab&amp;search_scope=EVERYTHING&amp;vid=01CRU&amp;lang=en_US&amp;offset=0&amp;query=any,contains,991002723649702656","Catalog Record")</f>
        <v>Catalog Record</v>
      </c>
      <c r="AV626" s="6" t="str">
        <f>HYPERLINK("http://www.worldcat.org/oclc/413701","WorldCat Record")</f>
        <v>WorldCat Record</v>
      </c>
      <c r="AW626" s="3" t="s">
        <v>7985</v>
      </c>
      <c r="AX626" s="3" t="s">
        <v>7986</v>
      </c>
      <c r="AY626" s="3" t="s">
        <v>7987</v>
      </c>
      <c r="AZ626" s="3" t="s">
        <v>7987</v>
      </c>
      <c r="BA626" s="3" t="s">
        <v>7988</v>
      </c>
      <c r="BB626" s="3" t="s">
        <v>77</v>
      </c>
      <c r="BE626" s="3" t="s">
        <v>7989</v>
      </c>
      <c r="BF626" s="3" t="s">
        <v>7990</v>
      </c>
    </row>
    <row r="627" spans="1:58" ht="41.25" customHeight="1" x14ac:dyDescent="0.25">
      <c r="A627" s="7" t="s">
        <v>62</v>
      </c>
      <c r="B627" s="2" t="s">
        <v>57</v>
      </c>
      <c r="C627" s="2" t="s">
        <v>58</v>
      </c>
      <c r="D627" s="2" t="s">
        <v>7991</v>
      </c>
      <c r="E627" s="2" t="s">
        <v>7992</v>
      </c>
      <c r="F627" s="2" t="s">
        <v>7993</v>
      </c>
      <c r="H627" s="3" t="s">
        <v>62</v>
      </c>
      <c r="I627" s="3" t="s">
        <v>63</v>
      </c>
      <c r="J627" s="3" t="s">
        <v>62</v>
      </c>
      <c r="K627" s="3" t="s">
        <v>62</v>
      </c>
      <c r="L627" s="3" t="s">
        <v>64</v>
      </c>
      <c r="M627" s="2" t="s">
        <v>7994</v>
      </c>
      <c r="N627" s="2" t="s">
        <v>7995</v>
      </c>
      <c r="O627" s="3" t="s">
        <v>253</v>
      </c>
      <c r="Q627" s="3" t="s">
        <v>68</v>
      </c>
      <c r="R627" s="3" t="s">
        <v>297</v>
      </c>
      <c r="T627" s="3" t="s">
        <v>70</v>
      </c>
      <c r="U627" s="4">
        <v>9</v>
      </c>
      <c r="V627" s="4">
        <v>9</v>
      </c>
      <c r="W627" s="5" t="s">
        <v>7783</v>
      </c>
      <c r="X627" s="5" t="s">
        <v>7783</v>
      </c>
      <c r="Y627" s="5" t="s">
        <v>451</v>
      </c>
      <c r="Z627" s="5" t="s">
        <v>451</v>
      </c>
      <c r="AA627" s="4">
        <v>832</v>
      </c>
      <c r="AB627" s="4">
        <v>670</v>
      </c>
      <c r="AC627" s="4">
        <v>677</v>
      </c>
      <c r="AD627" s="4">
        <v>8</v>
      </c>
      <c r="AE627" s="4">
        <v>8</v>
      </c>
      <c r="AF627" s="4">
        <v>24</v>
      </c>
      <c r="AG627" s="4">
        <v>24</v>
      </c>
      <c r="AH627" s="4">
        <v>6</v>
      </c>
      <c r="AI627" s="4">
        <v>6</v>
      </c>
      <c r="AJ627" s="4">
        <v>4</v>
      </c>
      <c r="AK627" s="4">
        <v>4</v>
      </c>
      <c r="AL627" s="4">
        <v>13</v>
      </c>
      <c r="AM627" s="4">
        <v>13</v>
      </c>
      <c r="AN627" s="4">
        <v>6</v>
      </c>
      <c r="AO627" s="4">
        <v>6</v>
      </c>
      <c r="AP627" s="4">
        <v>0</v>
      </c>
      <c r="AQ627" s="4">
        <v>0</v>
      </c>
      <c r="AR627" s="3" t="s">
        <v>62</v>
      </c>
      <c r="AS627" s="3" t="s">
        <v>62</v>
      </c>
      <c r="AU627" s="6" t="str">
        <f>HYPERLINK("https://creighton-primo.hosted.exlibrisgroup.com/primo-explore/search?tab=default_tab&amp;search_scope=EVERYTHING&amp;vid=01CRU&amp;lang=en_US&amp;offset=0&amp;query=any,contains,991000567709702656","Catalog Record")</f>
        <v>Catalog Record</v>
      </c>
      <c r="AV627" s="6" t="str">
        <f>HYPERLINK("http://www.worldcat.org/oclc/11623373","WorldCat Record")</f>
        <v>WorldCat Record</v>
      </c>
      <c r="AW627" s="3" t="s">
        <v>7996</v>
      </c>
      <c r="AX627" s="3" t="s">
        <v>7997</v>
      </c>
      <c r="AY627" s="3" t="s">
        <v>7998</v>
      </c>
      <c r="AZ627" s="3" t="s">
        <v>7998</v>
      </c>
      <c r="BA627" s="3" t="s">
        <v>7999</v>
      </c>
      <c r="BB627" s="3" t="s">
        <v>77</v>
      </c>
      <c r="BD627" s="3" t="s">
        <v>8000</v>
      </c>
      <c r="BE627" s="3" t="s">
        <v>8001</v>
      </c>
      <c r="BF627" s="3" t="s">
        <v>8002</v>
      </c>
    </row>
    <row r="628" spans="1:58" ht="41.25" customHeight="1" x14ac:dyDescent="0.25">
      <c r="A628" s="7" t="s">
        <v>62</v>
      </c>
      <c r="B628" s="2" t="s">
        <v>57</v>
      </c>
      <c r="C628" s="2" t="s">
        <v>58</v>
      </c>
      <c r="D628" s="2" t="s">
        <v>8003</v>
      </c>
      <c r="E628" s="2" t="s">
        <v>8004</v>
      </c>
      <c r="F628" s="2" t="s">
        <v>8005</v>
      </c>
      <c r="H628" s="3" t="s">
        <v>62</v>
      </c>
      <c r="I628" s="3" t="s">
        <v>63</v>
      </c>
      <c r="J628" s="3" t="s">
        <v>62</v>
      </c>
      <c r="K628" s="3" t="s">
        <v>62</v>
      </c>
      <c r="L628" s="3" t="s">
        <v>64</v>
      </c>
      <c r="M628" s="2" t="s">
        <v>8006</v>
      </c>
      <c r="N628" s="2" t="s">
        <v>8007</v>
      </c>
      <c r="O628" s="3" t="s">
        <v>4624</v>
      </c>
      <c r="Q628" s="3" t="s">
        <v>68</v>
      </c>
      <c r="R628" s="3" t="s">
        <v>88</v>
      </c>
      <c r="T628" s="3" t="s">
        <v>70</v>
      </c>
      <c r="U628" s="4">
        <v>7</v>
      </c>
      <c r="V628" s="4">
        <v>7</v>
      </c>
      <c r="W628" s="5" t="s">
        <v>8008</v>
      </c>
      <c r="X628" s="5" t="s">
        <v>8008</v>
      </c>
      <c r="Y628" s="5" t="s">
        <v>451</v>
      </c>
      <c r="Z628" s="5" t="s">
        <v>451</v>
      </c>
      <c r="AA628" s="4">
        <v>598</v>
      </c>
      <c r="AB628" s="4">
        <v>557</v>
      </c>
      <c r="AC628" s="4">
        <v>764</v>
      </c>
      <c r="AD628" s="4">
        <v>4</v>
      </c>
      <c r="AE628" s="4">
        <v>5</v>
      </c>
      <c r="AF628" s="4">
        <v>24</v>
      </c>
      <c r="AG628" s="4">
        <v>33</v>
      </c>
      <c r="AH628" s="4">
        <v>10</v>
      </c>
      <c r="AI628" s="4">
        <v>13</v>
      </c>
      <c r="AJ628" s="4">
        <v>4</v>
      </c>
      <c r="AK628" s="4">
        <v>7</v>
      </c>
      <c r="AL628" s="4">
        <v>14</v>
      </c>
      <c r="AM628" s="4">
        <v>18</v>
      </c>
      <c r="AN628" s="4">
        <v>2</v>
      </c>
      <c r="AO628" s="4">
        <v>3</v>
      </c>
      <c r="AP628" s="4">
        <v>0</v>
      </c>
      <c r="AQ628" s="4">
        <v>0</v>
      </c>
      <c r="AR628" s="3" t="s">
        <v>62</v>
      </c>
      <c r="AS628" s="3" t="s">
        <v>62</v>
      </c>
      <c r="AT628" s="6" t="str">
        <f>HYPERLINK("http://catalog.hathitrust.org/Record/001397099","HathiTrust Record")</f>
        <v>HathiTrust Record</v>
      </c>
      <c r="AU628" s="6" t="str">
        <f>HYPERLINK("https://creighton-primo.hosted.exlibrisgroup.com/primo-explore/search?tab=default_tab&amp;search_scope=EVERYTHING&amp;vid=01CRU&amp;lang=en_US&amp;offset=0&amp;query=any,contains,991003562229702656","Catalog Record")</f>
        <v>Catalog Record</v>
      </c>
      <c r="AV628" s="6" t="str">
        <f>HYPERLINK("http://www.worldcat.org/oclc/1133359","WorldCat Record")</f>
        <v>WorldCat Record</v>
      </c>
      <c r="AW628" s="3" t="s">
        <v>8009</v>
      </c>
      <c r="AX628" s="3" t="s">
        <v>8010</v>
      </c>
      <c r="AY628" s="3" t="s">
        <v>8011</v>
      </c>
      <c r="AZ628" s="3" t="s">
        <v>8011</v>
      </c>
      <c r="BA628" s="3" t="s">
        <v>8012</v>
      </c>
      <c r="BB628" s="3" t="s">
        <v>77</v>
      </c>
      <c r="BE628" s="3" t="s">
        <v>8013</v>
      </c>
      <c r="BF628" s="3" t="s">
        <v>8014</v>
      </c>
    </row>
    <row r="629" spans="1:58" ht="41.25" customHeight="1" x14ac:dyDescent="0.25">
      <c r="A629" s="7" t="s">
        <v>62</v>
      </c>
      <c r="B629" s="2" t="s">
        <v>57</v>
      </c>
      <c r="C629" s="2" t="s">
        <v>58</v>
      </c>
      <c r="D629" s="2" t="s">
        <v>8015</v>
      </c>
      <c r="E629" s="2" t="s">
        <v>8016</v>
      </c>
      <c r="F629" s="2" t="s">
        <v>8017</v>
      </c>
      <c r="H629" s="3" t="s">
        <v>62</v>
      </c>
      <c r="I629" s="3" t="s">
        <v>63</v>
      </c>
      <c r="J629" s="3" t="s">
        <v>62</v>
      </c>
      <c r="K629" s="3" t="s">
        <v>62</v>
      </c>
      <c r="L629" s="3" t="s">
        <v>64</v>
      </c>
      <c r="M629" s="2" t="s">
        <v>8018</v>
      </c>
      <c r="N629" s="2" t="s">
        <v>8019</v>
      </c>
      <c r="O629" s="3" t="s">
        <v>546</v>
      </c>
      <c r="P629" s="2" t="s">
        <v>8020</v>
      </c>
      <c r="Q629" s="3" t="s">
        <v>68</v>
      </c>
      <c r="R629" s="3" t="s">
        <v>69</v>
      </c>
      <c r="T629" s="3" t="s">
        <v>70</v>
      </c>
      <c r="U629" s="4">
        <v>13</v>
      </c>
      <c r="V629" s="4">
        <v>13</v>
      </c>
      <c r="W629" s="5" t="s">
        <v>8021</v>
      </c>
      <c r="X629" s="5" t="s">
        <v>8021</v>
      </c>
      <c r="Y629" s="5" t="s">
        <v>451</v>
      </c>
      <c r="Z629" s="5" t="s">
        <v>451</v>
      </c>
      <c r="AA629" s="4">
        <v>948</v>
      </c>
      <c r="AB629" s="4">
        <v>882</v>
      </c>
      <c r="AC629" s="4">
        <v>931</v>
      </c>
      <c r="AD629" s="4">
        <v>8</v>
      </c>
      <c r="AE629" s="4">
        <v>8</v>
      </c>
      <c r="AF629" s="4">
        <v>22</v>
      </c>
      <c r="AG629" s="4">
        <v>23</v>
      </c>
      <c r="AH629" s="4">
        <v>6</v>
      </c>
      <c r="AI629" s="4">
        <v>7</v>
      </c>
      <c r="AJ629" s="4">
        <v>5</v>
      </c>
      <c r="AK629" s="4">
        <v>5</v>
      </c>
      <c r="AL629" s="4">
        <v>12</v>
      </c>
      <c r="AM629" s="4">
        <v>12</v>
      </c>
      <c r="AN629" s="4">
        <v>4</v>
      </c>
      <c r="AO629" s="4">
        <v>4</v>
      </c>
      <c r="AP629" s="4">
        <v>0</v>
      </c>
      <c r="AQ629" s="4">
        <v>0</v>
      </c>
      <c r="AR629" s="3" t="s">
        <v>62</v>
      </c>
      <c r="AS629" s="3" t="s">
        <v>84</v>
      </c>
      <c r="AT629" s="6" t="str">
        <f>HYPERLINK("http://catalog.hathitrust.org/Record/001391799","HathiTrust Record")</f>
        <v>HathiTrust Record</v>
      </c>
      <c r="AU629" s="6" t="str">
        <f>HYPERLINK("https://creighton-primo.hosted.exlibrisgroup.com/primo-explore/search?tab=default_tab&amp;search_scope=EVERYTHING&amp;vid=01CRU&amp;lang=en_US&amp;offset=0&amp;query=any,contains,991002598299702656","Catalog Record")</f>
        <v>Catalog Record</v>
      </c>
      <c r="AV629" s="6" t="str">
        <f>HYPERLINK("http://www.worldcat.org/oclc/376905","WorldCat Record")</f>
        <v>WorldCat Record</v>
      </c>
      <c r="AW629" s="3" t="s">
        <v>8022</v>
      </c>
      <c r="AX629" s="3" t="s">
        <v>8023</v>
      </c>
      <c r="AY629" s="3" t="s">
        <v>8024</v>
      </c>
      <c r="AZ629" s="3" t="s">
        <v>8024</v>
      </c>
      <c r="BA629" s="3" t="s">
        <v>8025</v>
      </c>
      <c r="BB629" s="3" t="s">
        <v>77</v>
      </c>
      <c r="BE629" s="3" t="s">
        <v>8026</v>
      </c>
      <c r="BF629" s="3" t="s">
        <v>8027</v>
      </c>
    </row>
    <row r="630" spans="1:58" ht="41.25" customHeight="1" x14ac:dyDescent="0.25">
      <c r="A630" s="7" t="s">
        <v>62</v>
      </c>
      <c r="B630" s="2" t="s">
        <v>57</v>
      </c>
      <c r="C630" s="2" t="s">
        <v>58</v>
      </c>
      <c r="D630" s="2" t="s">
        <v>8028</v>
      </c>
      <c r="E630" s="2" t="s">
        <v>8029</v>
      </c>
      <c r="F630" s="2" t="s">
        <v>8030</v>
      </c>
      <c r="G630" s="3" t="s">
        <v>231</v>
      </c>
      <c r="H630" s="3" t="s">
        <v>84</v>
      </c>
      <c r="I630" s="3" t="s">
        <v>63</v>
      </c>
      <c r="J630" s="3" t="s">
        <v>62</v>
      </c>
      <c r="K630" s="3" t="s">
        <v>62</v>
      </c>
      <c r="L630" s="3" t="s">
        <v>64</v>
      </c>
      <c r="N630" s="2" t="s">
        <v>8031</v>
      </c>
      <c r="O630" s="3" t="s">
        <v>253</v>
      </c>
      <c r="Q630" s="3" t="s">
        <v>68</v>
      </c>
      <c r="R630" s="3" t="s">
        <v>297</v>
      </c>
      <c r="T630" s="3" t="s">
        <v>70</v>
      </c>
      <c r="U630" s="4">
        <v>2</v>
      </c>
      <c r="V630" s="4">
        <v>10</v>
      </c>
      <c r="X630" s="5" t="s">
        <v>4327</v>
      </c>
      <c r="Y630" s="5" t="s">
        <v>451</v>
      </c>
      <c r="Z630" s="5" t="s">
        <v>451</v>
      </c>
      <c r="AA630" s="4">
        <v>725</v>
      </c>
      <c r="AB630" s="4">
        <v>598</v>
      </c>
      <c r="AC630" s="4">
        <v>599</v>
      </c>
      <c r="AD630" s="4">
        <v>5</v>
      </c>
      <c r="AE630" s="4">
        <v>5</v>
      </c>
      <c r="AF630" s="4">
        <v>37</v>
      </c>
      <c r="AG630" s="4">
        <v>37</v>
      </c>
      <c r="AH630" s="4">
        <v>13</v>
      </c>
      <c r="AI630" s="4">
        <v>13</v>
      </c>
      <c r="AJ630" s="4">
        <v>10</v>
      </c>
      <c r="AK630" s="4">
        <v>10</v>
      </c>
      <c r="AL630" s="4">
        <v>22</v>
      </c>
      <c r="AM630" s="4">
        <v>22</v>
      </c>
      <c r="AN630" s="4">
        <v>4</v>
      </c>
      <c r="AO630" s="4">
        <v>4</v>
      </c>
      <c r="AP630" s="4">
        <v>0</v>
      </c>
      <c r="AQ630" s="4">
        <v>0</v>
      </c>
      <c r="AR630" s="3" t="s">
        <v>62</v>
      </c>
      <c r="AS630" s="3" t="s">
        <v>84</v>
      </c>
      <c r="AT630" s="6" t="str">
        <f>HYPERLINK("http://catalog.hathitrust.org/Record/000346121","HathiTrust Record")</f>
        <v>HathiTrust Record</v>
      </c>
      <c r="AU630" s="6" t="str">
        <f>HYPERLINK("https://creighton-primo.hosted.exlibrisgroup.com/primo-explore/search?tab=default_tab&amp;search_scope=EVERYTHING&amp;vid=01CRU&amp;lang=en_US&amp;offset=0&amp;query=any,contains,991000457139702656","Catalog Record")</f>
        <v>Catalog Record</v>
      </c>
      <c r="AV630" s="6" t="str">
        <f>HYPERLINK("http://www.worldcat.org/oclc/10914651","WorldCat Record")</f>
        <v>WorldCat Record</v>
      </c>
      <c r="AW630" s="3" t="s">
        <v>8032</v>
      </c>
      <c r="AX630" s="3" t="s">
        <v>8033</v>
      </c>
      <c r="AY630" s="3" t="s">
        <v>8034</v>
      </c>
      <c r="AZ630" s="3" t="s">
        <v>8034</v>
      </c>
      <c r="BA630" s="3" t="s">
        <v>8035</v>
      </c>
      <c r="BB630" s="3" t="s">
        <v>77</v>
      </c>
      <c r="BD630" s="3" t="s">
        <v>8036</v>
      </c>
      <c r="BE630" s="3" t="s">
        <v>8037</v>
      </c>
      <c r="BF630" s="3" t="s">
        <v>8038</v>
      </c>
    </row>
    <row r="631" spans="1:58" ht="41.25" customHeight="1" x14ac:dyDescent="0.25">
      <c r="A631" s="7" t="s">
        <v>62</v>
      </c>
      <c r="B631" s="2" t="s">
        <v>57</v>
      </c>
      <c r="C631" s="2" t="s">
        <v>58</v>
      </c>
      <c r="D631" s="2" t="s">
        <v>8028</v>
      </c>
      <c r="E631" s="2" t="s">
        <v>8029</v>
      </c>
      <c r="F631" s="2" t="s">
        <v>8030</v>
      </c>
      <c r="G631" s="3" t="s">
        <v>245</v>
      </c>
      <c r="H631" s="3" t="s">
        <v>84</v>
      </c>
      <c r="I631" s="3" t="s">
        <v>63</v>
      </c>
      <c r="J631" s="3" t="s">
        <v>62</v>
      </c>
      <c r="K631" s="3" t="s">
        <v>62</v>
      </c>
      <c r="L631" s="3" t="s">
        <v>64</v>
      </c>
      <c r="N631" s="2" t="s">
        <v>8031</v>
      </c>
      <c r="O631" s="3" t="s">
        <v>253</v>
      </c>
      <c r="Q631" s="3" t="s">
        <v>68</v>
      </c>
      <c r="R631" s="3" t="s">
        <v>297</v>
      </c>
      <c r="T631" s="3" t="s">
        <v>70</v>
      </c>
      <c r="U631" s="4">
        <v>8</v>
      </c>
      <c r="V631" s="4">
        <v>10</v>
      </c>
      <c r="W631" s="5" t="s">
        <v>4327</v>
      </c>
      <c r="X631" s="5" t="s">
        <v>4327</v>
      </c>
      <c r="Y631" s="5" t="s">
        <v>451</v>
      </c>
      <c r="Z631" s="5" t="s">
        <v>451</v>
      </c>
      <c r="AA631" s="4">
        <v>725</v>
      </c>
      <c r="AB631" s="4">
        <v>598</v>
      </c>
      <c r="AC631" s="4">
        <v>599</v>
      </c>
      <c r="AD631" s="4">
        <v>5</v>
      </c>
      <c r="AE631" s="4">
        <v>5</v>
      </c>
      <c r="AF631" s="4">
        <v>37</v>
      </c>
      <c r="AG631" s="4">
        <v>37</v>
      </c>
      <c r="AH631" s="4">
        <v>13</v>
      </c>
      <c r="AI631" s="4">
        <v>13</v>
      </c>
      <c r="AJ631" s="4">
        <v>10</v>
      </c>
      <c r="AK631" s="4">
        <v>10</v>
      </c>
      <c r="AL631" s="4">
        <v>22</v>
      </c>
      <c r="AM631" s="4">
        <v>22</v>
      </c>
      <c r="AN631" s="4">
        <v>4</v>
      </c>
      <c r="AO631" s="4">
        <v>4</v>
      </c>
      <c r="AP631" s="4">
        <v>0</v>
      </c>
      <c r="AQ631" s="4">
        <v>0</v>
      </c>
      <c r="AR631" s="3" t="s">
        <v>62</v>
      </c>
      <c r="AS631" s="3" t="s">
        <v>84</v>
      </c>
      <c r="AT631" s="6" t="str">
        <f>HYPERLINK("http://catalog.hathitrust.org/Record/000346121","HathiTrust Record")</f>
        <v>HathiTrust Record</v>
      </c>
      <c r="AU631" s="6" t="str">
        <f>HYPERLINK("https://creighton-primo.hosted.exlibrisgroup.com/primo-explore/search?tab=default_tab&amp;search_scope=EVERYTHING&amp;vid=01CRU&amp;lang=en_US&amp;offset=0&amp;query=any,contains,991000457139702656","Catalog Record")</f>
        <v>Catalog Record</v>
      </c>
      <c r="AV631" s="6" t="str">
        <f>HYPERLINK("http://www.worldcat.org/oclc/10914651","WorldCat Record")</f>
        <v>WorldCat Record</v>
      </c>
      <c r="AW631" s="3" t="s">
        <v>8032</v>
      </c>
      <c r="AX631" s="3" t="s">
        <v>8033</v>
      </c>
      <c r="AY631" s="3" t="s">
        <v>8034</v>
      </c>
      <c r="AZ631" s="3" t="s">
        <v>8034</v>
      </c>
      <c r="BA631" s="3" t="s">
        <v>8035</v>
      </c>
      <c r="BB631" s="3" t="s">
        <v>77</v>
      </c>
      <c r="BD631" s="3" t="s">
        <v>8036</v>
      </c>
      <c r="BE631" s="3" t="s">
        <v>8039</v>
      </c>
      <c r="BF631" s="3" t="s">
        <v>8040</v>
      </c>
    </row>
    <row r="632" spans="1:58" ht="41.25" customHeight="1" x14ac:dyDescent="0.25">
      <c r="A632" s="7" t="s">
        <v>62</v>
      </c>
      <c r="B632" s="2" t="s">
        <v>57</v>
      </c>
      <c r="C632" s="2" t="s">
        <v>58</v>
      </c>
      <c r="D632" s="2" t="s">
        <v>8041</v>
      </c>
      <c r="E632" s="2" t="s">
        <v>8042</v>
      </c>
      <c r="F632" s="2" t="s">
        <v>8043</v>
      </c>
      <c r="H632" s="3" t="s">
        <v>62</v>
      </c>
      <c r="I632" s="3" t="s">
        <v>63</v>
      </c>
      <c r="J632" s="3" t="s">
        <v>62</v>
      </c>
      <c r="K632" s="3" t="s">
        <v>62</v>
      </c>
      <c r="L632" s="3" t="s">
        <v>64</v>
      </c>
      <c r="M632" s="2" t="s">
        <v>8044</v>
      </c>
      <c r="N632" s="2" t="s">
        <v>8045</v>
      </c>
      <c r="O632" s="3" t="s">
        <v>970</v>
      </c>
      <c r="Q632" s="3" t="s">
        <v>68</v>
      </c>
      <c r="R632" s="3" t="s">
        <v>297</v>
      </c>
      <c r="T632" s="3" t="s">
        <v>70</v>
      </c>
      <c r="U632" s="4">
        <v>4</v>
      </c>
      <c r="V632" s="4">
        <v>4</v>
      </c>
      <c r="W632" s="5" t="s">
        <v>1953</v>
      </c>
      <c r="X632" s="5" t="s">
        <v>1953</v>
      </c>
      <c r="Y632" s="5" t="s">
        <v>1953</v>
      </c>
      <c r="Z632" s="5" t="s">
        <v>1953</v>
      </c>
      <c r="AA632" s="4">
        <v>261</v>
      </c>
      <c r="AB632" s="4">
        <v>111</v>
      </c>
      <c r="AC632" s="4">
        <v>525</v>
      </c>
      <c r="AD632" s="4">
        <v>2</v>
      </c>
      <c r="AE632" s="4">
        <v>4</v>
      </c>
      <c r="AF632" s="4">
        <v>6</v>
      </c>
      <c r="AG632" s="4">
        <v>13</v>
      </c>
      <c r="AH632" s="4">
        <v>2</v>
      </c>
      <c r="AI632" s="4">
        <v>4</v>
      </c>
      <c r="AJ632" s="4">
        <v>0</v>
      </c>
      <c r="AK632" s="4">
        <v>1</v>
      </c>
      <c r="AL632" s="4">
        <v>3</v>
      </c>
      <c r="AM632" s="4">
        <v>6</v>
      </c>
      <c r="AN632" s="4">
        <v>1</v>
      </c>
      <c r="AO632" s="4">
        <v>3</v>
      </c>
      <c r="AP632" s="4">
        <v>0</v>
      </c>
      <c r="AQ632" s="4">
        <v>0</v>
      </c>
      <c r="AR632" s="3" t="s">
        <v>62</v>
      </c>
      <c r="AS632" s="3" t="s">
        <v>84</v>
      </c>
      <c r="AT632" s="6" t="str">
        <f>HYPERLINK("http://catalog.hathitrust.org/Record/006809230","HathiTrust Record")</f>
        <v>HathiTrust Record</v>
      </c>
      <c r="AU632" s="6" t="str">
        <f>HYPERLINK("https://creighton-primo.hosted.exlibrisgroup.com/primo-explore/search?tab=default_tab&amp;search_scope=EVERYTHING&amp;vid=01CRU&amp;lang=en_US&amp;offset=0&amp;query=any,contains,991005196629702656","Catalog Record")</f>
        <v>Catalog Record</v>
      </c>
      <c r="AV632" s="6" t="str">
        <f>HYPERLINK("http://www.worldcat.org/oclc/20416882","WorldCat Record")</f>
        <v>WorldCat Record</v>
      </c>
      <c r="AW632" s="3" t="s">
        <v>8046</v>
      </c>
      <c r="AX632" s="3" t="s">
        <v>8047</v>
      </c>
      <c r="AY632" s="3" t="s">
        <v>8048</v>
      </c>
      <c r="AZ632" s="3" t="s">
        <v>8048</v>
      </c>
      <c r="BA632" s="3" t="s">
        <v>8049</v>
      </c>
      <c r="BB632" s="3" t="s">
        <v>77</v>
      </c>
      <c r="BD632" s="3" t="s">
        <v>8050</v>
      </c>
      <c r="BE632" s="3" t="s">
        <v>8051</v>
      </c>
      <c r="BF632" s="3" t="s">
        <v>8052</v>
      </c>
    </row>
    <row r="633" spans="1:58" ht="41.25" customHeight="1" x14ac:dyDescent="0.25">
      <c r="A633" s="7" t="s">
        <v>62</v>
      </c>
      <c r="B633" s="2" t="s">
        <v>57</v>
      </c>
      <c r="C633" s="2" t="s">
        <v>58</v>
      </c>
      <c r="D633" s="2" t="s">
        <v>8053</v>
      </c>
      <c r="E633" s="2" t="s">
        <v>8054</v>
      </c>
      <c r="F633" s="2" t="s">
        <v>8055</v>
      </c>
      <c r="H633" s="3" t="s">
        <v>62</v>
      </c>
      <c r="I633" s="3" t="s">
        <v>63</v>
      </c>
      <c r="J633" s="3" t="s">
        <v>62</v>
      </c>
      <c r="K633" s="3" t="s">
        <v>62</v>
      </c>
      <c r="L633" s="3" t="s">
        <v>64</v>
      </c>
      <c r="M633" s="2" t="s">
        <v>8056</v>
      </c>
      <c r="N633" s="2" t="s">
        <v>8057</v>
      </c>
      <c r="O633" s="3" t="s">
        <v>233</v>
      </c>
      <c r="Q633" s="3" t="s">
        <v>68</v>
      </c>
      <c r="R633" s="3" t="s">
        <v>204</v>
      </c>
      <c r="S633" s="2" t="s">
        <v>8058</v>
      </c>
      <c r="T633" s="3" t="s">
        <v>70</v>
      </c>
      <c r="U633" s="4">
        <v>2</v>
      </c>
      <c r="V633" s="4">
        <v>2</v>
      </c>
      <c r="W633" s="5" t="s">
        <v>2344</v>
      </c>
      <c r="X633" s="5" t="s">
        <v>2344</v>
      </c>
      <c r="Y633" s="5" t="s">
        <v>90</v>
      </c>
      <c r="Z633" s="5" t="s">
        <v>90</v>
      </c>
      <c r="AA633" s="4">
        <v>278</v>
      </c>
      <c r="AB633" s="4">
        <v>202</v>
      </c>
      <c r="AC633" s="4">
        <v>204</v>
      </c>
      <c r="AD633" s="4">
        <v>2</v>
      </c>
      <c r="AE633" s="4">
        <v>2</v>
      </c>
      <c r="AF633" s="4">
        <v>4</v>
      </c>
      <c r="AG633" s="4">
        <v>4</v>
      </c>
      <c r="AH633" s="4">
        <v>2</v>
      </c>
      <c r="AI633" s="4">
        <v>2</v>
      </c>
      <c r="AJ633" s="4">
        <v>1</v>
      </c>
      <c r="AK633" s="4">
        <v>1</v>
      </c>
      <c r="AL633" s="4">
        <v>3</v>
      </c>
      <c r="AM633" s="4">
        <v>3</v>
      </c>
      <c r="AN633" s="4">
        <v>1</v>
      </c>
      <c r="AO633" s="4">
        <v>1</v>
      </c>
      <c r="AP633" s="4">
        <v>0</v>
      </c>
      <c r="AQ633" s="4">
        <v>0</v>
      </c>
      <c r="AR633" s="3" t="s">
        <v>62</v>
      </c>
      <c r="AS633" s="3" t="s">
        <v>84</v>
      </c>
      <c r="AT633" s="6" t="str">
        <f>HYPERLINK("http://catalog.hathitrust.org/Record/000181940","HathiTrust Record")</f>
        <v>HathiTrust Record</v>
      </c>
      <c r="AU633" s="6" t="str">
        <f>HYPERLINK("https://creighton-primo.hosted.exlibrisgroup.com/primo-explore/search?tab=default_tab&amp;search_scope=EVERYTHING&amp;vid=01CRU&amp;lang=en_US&amp;offset=0&amp;query=any,contains,991005046639702656","Catalog Record")</f>
        <v>Catalog Record</v>
      </c>
      <c r="AV633" s="6" t="str">
        <f>HYPERLINK("http://www.worldcat.org/oclc/6844571","WorldCat Record")</f>
        <v>WorldCat Record</v>
      </c>
      <c r="AW633" s="3" t="s">
        <v>8059</v>
      </c>
      <c r="AX633" s="3" t="s">
        <v>8060</v>
      </c>
      <c r="AY633" s="3" t="s">
        <v>8061</v>
      </c>
      <c r="AZ633" s="3" t="s">
        <v>8061</v>
      </c>
      <c r="BA633" s="3" t="s">
        <v>8062</v>
      </c>
      <c r="BB633" s="3" t="s">
        <v>77</v>
      </c>
      <c r="BD633" s="3" t="s">
        <v>8063</v>
      </c>
      <c r="BE633" s="3" t="s">
        <v>8064</v>
      </c>
      <c r="BF633" s="3" t="s">
        <v>8065</v>
      </c>
    </row>
    <row r="634" spans="1:58" ht="41.25" customHeight="1" x14ac:dyDescent="0.25">
      <c r="A634" s="7" t="s">
        <v>62</v>
      </c>
      <c r="B634" s="2" t="s">
        <v>57</v>
      </c>
      <c r="C634" s="2" t="s">
        <v>58</v>
      </c>
      <c r="D634" s="2" t="s">
        <v>8066</v>
      </c>
      <c r="E634" s="2" t="s">
        <v>8067</v>
      </c>
      <c r="F634" s="2" t="s">
        <v>8068</v>
      </c>
      <c r="H634" s="3" t="s">
        <v>62</v>
      </c>
      <c r="I634" s="3" t="s">
        <v>63</v>
      </c>
      <c r="J634" s="3" t="s">
        <v>62</v>
      </c>
      <c r="K634" s="3" t="s">
        <v>62</v>
      </c>
      <c r="L634" s="3" t="s">
        <v>64</v>
      </c>
      <c r="M634" s="2" t="s">
        <v>8069</v>
      </c>
      <c r="N634" s="2" t="s">
        <v>8070</v>
      </c>
      <c r="O634" s="3" t="s">
        <v>253</v>
      </c>
      <c r="Q634" s="3" t="s">
        <v>68</v>
      </c>
      <c r="R634" s="3" t="s">
        <v>69</v>
      </c>
      <c r="S634" s="2" t="s">
        <v>8071</v>
      </c>
      <c r="T634" s="3" t="s">
        <v>70</v>
      </c>
      <c r="U634" s="4">
        <v>1</v>
      </c>
      <c r="V634" s="4">
        <v>1</v>
      </c>
      <c r="W634" s="5" t="s">
        <v>8072</v>
      </c>
      <c r="X634" s="5" t="s">
        <v>8072</v>
      </c>
      <c r="Y634" s="5" t="s">
        <v>90</v>
      </c>
      <c r="Z634" s="5" t="s">
        <v>90</v>
      </c>
      <c r="AA634" s="4">
        <v>312</v>
      </c>
      <c r="AB634" s="4">
        <v>259</v>
      </c>
      <c r="AC634" s="4">
        <v>260</v>
      </c>
      <c r="AD634" s="4">
        <v>2</v>
      </c>
      <c r="AE634" s="4">
        <v>2</v>
      </c>
      <c r="AF634" s="4">
        <v>14</v>
      </c>
      <c r="AG634" s="4">
        <v>14</v>
      </c>
      <c r="AH634" s="4">
        <v>3</v>
      </c>
      <c r="AI634" s="4">
        <v>3</v>
      </c>
      <c r="AJ634" s="4">
        <v>3</v>
      </c>
      <c r="AK634" s="4">
        <v>3</v>
      </c>
      <c r="AL634" s="4">
        <v>10</v>
      </c>
      <c r="AM634" s="4">
        <v>10</v>
      </c>
      <c r="AN634" s="4">
        <v>1</v>
      </c>
      <c r="AO634" s="4">
        <v>1</v>
      </c>
      <c r="AP634" s="4">
        <v>0</v>
      </c>
      <c r="AQ634" s="4">
        <v>0</v>
      </c>
      <c r="AR634" s="3" t="s">
        <v>62</v>
      </c>
      <c r="AS634" s="3" t="s">
        <v>84</v>
      </c>
      <c r="AT634" s="6" t="str">
        <f>HYPERLINK("http://catalog.hathitrust.org/Record/000412718","HathiTrust Record")</f>
        <v>HathiTrust Record</v>
      </c>
      <c r="AU634" s="6" t="str">
        <f>HYPERLINK("https://creighton-primo.hosted.exlibrisgroup.com/primo-explore/search?tab=default_tab&amp;search_scope=EVERYTHING&amp;vid=01CRU&amp;lang=en_US&amp;offset=0&amp;query=any,contains,991000550749702656","Catalog Record")</f>
        <v>Catalog Record</v>
      </c>
      <c r="AV634" s="6" t="str">
        <f>HYPERLINK("http://www.worldcat.org/oclc/11533085","WorldCat Record")</f>
        <v>WorldCat Record</v>
      </c>
      <c r="AW634" s="3" t="s">
        <v>8073</v>
      </c>
      <c r="AX634" s="3" t="s">
        <v>8074</v>
      </c>
      <c r="AY634" s="3" t="s">
        <v>8075</v>
      </c>
      <c r="AZ634" s="3" t="s">
        <v>8075</v>
      </c>
      <c r="BA634" s="3" t="s">
        <v>8076</v>
      </c>
      <c r="BB634" s="3" t="s">
        <v>77</v>
      </c>
      <c r="BD634" s="3" t="s">
        <v>8077</v>
      </c>
      <c r="BE634" s="3" t="s">
        <v>8078</v>
      </c>
      <c r="BF634" s="3" t="s">
        <v>8079</v>
      </c>
    </row>
  </sheetData>
  <sheetProtection sheet="1" objects="1" scenarios="1"/>
  <protectedRanges>
    <protectedRange sqref="A2:A634" name="Range1"/>
    <protectedRange sqref="A1" name="Range1_1"/>
  </protectedRanges>
  <dataValidations count="1">
    <dataValidation type="list" allowBlank="1" showInputMessage="1" showErrorMessage="1" sqref="A2:A634" xr:uid="{10D1F6AC-FADB-4BCF-980C-49A1C20BCC4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C7362E59-4F15-4E47-8551-5FDCC8024D3F}"/>
</file>

<file path=customXml/itemProps2.xml><?xml version="1.0" encoding="utf-8"?>
<ds:datastoreItem xmlns:ds="http://schemas.openxmlformats.org/officeDocument/2006/customXml" ds:itemID="{33D33089-55F6-4E6E-A8CC-166375D4E168}"/>
</file>

<file path=customXml/itemProps3.xml><?xml version="1.0" encoding="utf-8"?>
<ds:datastoreItem xmlns:ds="http://schemas.openxmlformats.org/officeDocument/2006/customXml" ds:itemID="{3FC20091-AD0A-4534-B4C3-B075EBCF00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2022-03-03T23:02:51Z</dcterms:created>
  <dcterms:modified xsi:type="dcterms:W3CDTF">2022-03-03T23:04:14Z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281800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